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0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hidePivotFieldList="1" defaultThemeVersion="124226"/>
  <bookViews>
    <workbookView xWindow="-15" yWindow="6150" windowWidth="28830" windowHeight="6090" tabRatio="783"/>
  </bookViews>
  <sheets>
    <sheet name="Est Effect of Base Rate Inc" sheetId="12783" r:id="rId1"/>
    <sheet name="Billing Determinants" sheetId="12861" r:id="rId2"/>
    <sheet name="Billing Comparison Sch 16" sheetId="12862" r:id="rId3"/>
    <sheet name="Billing Comparison Sch 24" sheetId="12863" r:id="rId4"/>
    <sheet name="Billing Comparison Sch 36" sheetId="12864" r:id="rId5"/>
    <sheet name="Billing Comparison Sch 40" sheetId="12865" r:id="rId6"/>
    <sheet name="Billing Comparison Sch 48 Sec" sheetId="12866" r:id="rId7"/>
    <sheet name="Billing Comparison Sch 48 Pri" sheetId="12867" r:id="rId8"/>
    <sheet name="Billing Comparison Sch 48 Ded" sheetId="12868" r:id="rId9"/>
    <sheet name="Low Income Credit" sheetId="12870" r:id="rId10"/>
    <sheet name="Stop Here" sheetId="12832" r:id="rId11"/>
    <sheet name="Exhibit No.__(JRS-11) p1-8" sheetId="12843" r:id="rId12"/>
    <sheet name="Rate Spread targets" sheetId="12831" r:id="rId13"/>
    <sheet name="Rate Design Work eff 10-14-16" sheetId="12767" r:id="rId14"/>
    <sheet name="Rate Design Work eff 9-15-17" sheetId="12860" r:id="rId15"/>
    <sheet name="Low Income Prog YR 1" sheetId="12826" r:id="rId16"/>
    <sheet name="Low Income Program YR 2" sheetId="12869" r:id="rId17"/>
    <sheet name="Table 1-Revenues" sheetId="12809" r:id="rId18"/>
    <sheet name="Table 1 - kWh" sheetId="12810" r:id="rId19"/>
    <sheet name="Table 2" sheetId="12811" r:id="rId20"/>
    <sheet name="Table 3" sheetId="12812" r:id="rId21"/>
    <sheet name="WA SBC" sheetId="12839" r:id="rId22"/>
    <sheet name="WA Depreciation" sheetId="12851" r:id="rId23"/>
    <sheet name="WA Merwin" sheetId="12852" r:id="rId24"/>
    <sheet name="305 VS COGNOS Revenue" sheetId="12764" r:id="rId25"/>
    <sheet name="305 VS COGNOS kWh" sheetId="12763" r:id="rId26"/>
    <sheet name="Rate Design Work-Res NM" sheetId="12859" state="hidden" r:id="rId27"/>
    <sheet name="Temperature" sheetId="12822" r:id="rId28"/>
    <sheet name="Temp. Adjustments" sheetId="12840" r:id="rId29"/>
    <sheet name="305 Inputs" sheetId="12813" r:id="rId30"/>
    <sheet name="Normalized Monthly revenue" sheetId="12774" r:id="rId31"/>
    <sheet name="Normalized Monthly kWh" sheetId="12775" r:id="rId32"/>
    <sheet name="Table A by class" sheetId="12837" state="hidden" r:id="rId33"/>
    <sheet name="NPC Spread" sheetId="12828" r:id="rId34"/>
    <sheet name="by rate" sheetId="12844" r:id="rId35"/>
    <sheet name="by rate (2)" sheetId="12871" r:id="rId36"/>
    <sheet name="SBC (Old)" sheetId="12761" state="hidden" r:id="rId37"/>
    <sheet name="Billing Determinants (2)" sheetId="12787" state="hidden" r:id="rId38"/>
    <sheet name="Blocking - detail" sheetId="12766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\0" localSheetId="2">[1]Jan!#REF!</definedName>
    <definedName name="\0" localSheetId="3">[1]Jan!#REF!</definedName>
    <definedName name="\0" localSheetId="4">[1]Jan!#REF!</definedName>
    <definedName name="\0" localSheetId="5">[1]Jan!#REF!</definedName>
    <definedName name="\0" localSheetId="8">[1]Jan!#REF!</definedName>
    <definedName name="\0" localSheetId="7">[1]Jan!#REF!</definedName>
    <definedName name="\0" localSheetId="6">[1]Jan!#REF!</definedName>
    <definedName name="\0" localSheetId="1">[1]Jan!#REF!</definedName>
    <definedName name="\0" localSheetId="35">[1]Jan!#REF!</definedName>
    <definedName name="\0" localSheetId="11">[1]Jan!#REF!</definedName>
    <definedName name="\0" localSheetId="9">[1]Jan!#REF!</definedName>
    <definedName name="\0" localSheetId="15">[1]Jan!#REF!</definedName>
    <definedName name="\0" localSheetId="16">[1]Jan!#REF!</definedName>
    <definedName name="\0" localSheetId="14">[1]Jan!#REF!</definedName>
    <definedName name="\0" localSheetId="26">[1]Jan!#REF!</definedName>
    <definedName name="\0" localSheetId="12">[1]Jan!#REF!</definedName>
    <definedName name="\0" localSheetId="32">[1]Jan!#REF!</definedName>
    <definedName name="\0">[1]Jan!#REF!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8">#REF!</definedName>
    <definedName name="\A" localSheetId="7">#REF!</definedName>
    <definedName name="\A" localSheetId="6">#REF!</definedName>
    <definedName name="\A" localSheetId="1">#REF!</definedName>
    <definedName name="\A" localSheetId="35">#REF!</definedName>
    <definedName name="\A" localSheetId="11">#REF!</definedName>
    <definedName name="\A" localSheetId="9">#REF!</definedName>
    <definedName name="\A" localSheetId="15">#REF!</definedName>
    <definedName name="\A" localSheetId="16">#REF!</definedName>
    <definedName name="\A" localSheetId="14">#REF!</definedName>
    <definedName name="\A" localSheetId="26">#REF!</definedName>
    <definedName name="\A" localSheetId="12">#REF!</definedName>
    <definedName name="\A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8">#REF!</definedName>
    <definedName name="\B" localSheetId="7">#REF!</definedName>
    <definedName name="\B" localSheetId="6">#REF!</definedName>
    <definedName name="\B" localSheetId="1">#REF!</definedName>
    <definedName name="\B" localSheetId="35">#REF!</definedName>
    <definedName name="\B" localSheetId="11">#REF!</definedName>
    <definedName name="\B" localSheetId="9">#REF!</definedName>
    <definedName name="\B" localSheetId="15">#REF!</definedName>
    <definedName name="\B" localSheetId="16">#REF!</definedName>
    <definedName name="\B" localSheetId="14">#REF!</definedName>
    <definedName name="\B" localSheetId="26">#REF!</definedName>
    <definedName name="\B" localSheetId="12">#REF!</definedName>
    <definedName name="\B">#REF!</definedName>
    <definedName name="\BACK1" localSheetId="2">#REF!</definedName>
    <definedName name="\BACK1" localSheetId="3">#REF!</definedName>
    <definedName name="\BACK1" localSheetId="4">#REF!</definedName>
    <definedName name="\BACK1" localSheetId="5">#REF!</definedName>
    <definedName name="\BACK1" localSheetId="8">#REF!</definedName>
    <definedName name="\BACK1" localSheetId="7">#REF!</definedName>
    <definedName name="\BACK1" localSheetId="6">#REF!</definedName>
    <definedName name="\BACK1" localSheetId="1">#REF!</definedName>
    <definedName name="\BACK1" localSheetId="35">#REF!</definedName>
    <definedName name="\BACK1" localSheetId="11">#REF!</definedName>
    <definedName name="\BACK1" localSheetId="9">#REF!</definedName>
    <definedName name="\BACK1" localSheetId="15">#REF!</definedName>
    <definedName name="\BACK1" localSheetId="16">#REF!</definedName>
    <definedName name="\BACK1" localSheetId="14">#REF!</definedName>
    <definedName name="\BACK1" localSheetId="26">#REF!</definedName>
    <definedName name="\BACK1" localSheetId="12">#REF!</definedName>
    <definedName name="\BACK1" localSheetId="27">#REF!</definedName>
    <definedName name="\BACK1">#REF!</definedName>
    <definedName name="\BLOCK" localSheetId="2">#REF!</definedName>
    <definedName name="\BLOCK" localSheetId="3">#REF!</definedName>
    <definedName name="\BLOCK" localSheetId="4">#REF!</definedName>
    <definedName name="\BLOCK" localSheetId="5">#REF!</definedName>
    <definedName name="\BLOCK" localSheetId="8">#REF!</definedName>
    <definedName name="\BLOCK" localSheetId="7">#REF!</definedName>
    <definedName name="\BLOCK" localSheetId="6">#REF!</definedName>
    <definedName name="\BLOCK" localSheetId="1">#REF!</definedName>
    <definedName name="\BLOCK" localSheetId="35">#REF!</definedName>
    <definedName name="\BLOCK" localSheetId="11">#REF!</definedName>
    <definedName name="\BLOCK" localSheetId="9">#REF!</definedName>
    <definedName name="\BLOCK" localSheetId="15">#REF!</definedName>
    <definedName name="\BLOCK" localSheetId="16">#REF!</definedName>
    <definedName name="\BLOCK" localSheetId="14">#REF!</definedName>
    <definedName name="\BLOCK" localSheetId="26">#REF!</definedName>
    <definedName name="\BLOCK" localSheetId="12">#REF!</definedName>
    <definedName name="\BLOCK" localSheetId="27">#REF!</definedName>
    <definedName name="\BLOCK">#REF!</definedName>
    <definedName name="\BLOCKT" localSheetId="2">#REF!</definedName>
    <definedName name="\BLOCKT" localSheetId="3">#REF!</definedName>
    <definedName name="\BLOCKT" localSheetId="4">#REF!</definedName>
    <definedName name="\BLOCKT" localSheetId="5">#REF!</definedName>
    <definedName name="\BLOCKT" localSheetId="8">#REF!</definedName>
    <definedName name="\BLOCKT" localSheetId="7">#REF!</definedName>
    <definedName name="\BLOCKT" localSheetId="6">#REF!</definedName>
    <definedName name="\BLOCKT" localSheetId="1">#REF!</definedName>
    <definedName name="\BLOCKT" localSheetId="35">#REF!</definedName>
    <definedName name="\BLOCKT" localSheetId="11">#REF!</definedName>
    <definedName name="\BLOCKT" localSheetId="9">#REF!</definedName>
    <definedName name="\BLOCKT" localSheetId="15">#REF!</definedName>
    <definedName name="\BLOCKT" localSheetId="16">#REF!</definedName>
    <definedName name="\BLOCKT" localSheetId="14">#REF!</definedName>
    <definedName name="\BLOCKT" localSheetId="26">#REF!</definedName>
    <definedName name="\BLOCKT" localSheetId="12">#REF!</definedName>
    <definedName name="\BLOCKT" localSheetId="27">#REF!</definedName>
    <definedName name="\BLOCKT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8">#REF!</definedName>
    <definedName name="\C" localSheetId="7">#REF!</definedName>
    <definedName name="\C" localSheetId="6">#REF!</definedName>
    <definedName name="\C" localSheetId="1">#REF!</definedName>
    <definedName name="\C" localSheetId="35">#REF!</definedName>
    <definedName name="\C" localSheetId="11">#REF!</definedName>
    <definedName name="\C" localSheetId="9">#REF!</definedName>
    <definedName name="\C" localSheetId="15">#REF!</definedName>
    <definedName name="\C" localSheetId="16">#REF!</definedName>
    <definedName name="\C" localSheetId="14">#REF!</definedName>
    <definedName name="\C" localSheetId="26">#REF!</definedName>
    <definedName name="\C" localSheetId="12">#REF!</definedName>
    <definedName name="\C">#REF!</definedName>
    <definedName name="\COMP" localSheetId="2">#REF!</definedName>
    <definedName name="\COMP" localSheetId="3">#REF!</definedName>
    <definedName name="\COMP" localSheetId="4">#REF!</definedName>
    <definedName name="\COMP" localSheetId="5">#REF!</definedName>
    <definedName name="\COMP" localSheetId="8">#REF!</definedName>
    <definedName name="\COMP" localSheetId="7">#REF!</definedName>
    <definedName name="\COMP" localSheetId="6">#REF!</definedName>
    <definedName name="\COMP" localSheetId="1">#REF!</definedName>
    <definedName name="\COMP" localSheetId="35">#REF!</definedName>
    <definedName name="\COMP" localSheetId="11">#REF!</definedName>
    <definedName name="\COMP" localSheetId="9">#REF!</definedName>
    <definedName name="\COMP" localSheetId="15">#REF!</definedName>
    <definedName name="\COMP" localSheetId="16">#REF!</definedName>
    <definedName name="\COMP" localSheetId="14">#REF!</definedName>
    <definedName name="\COMP" localSheetId="26">#REF!</definedName>
    <definedName name="\COMP" localSheetId="12">#REF!</definedName>
    <definedName name="\COMP">#REF!</definedName>
    <definedName name="\COMPT" localSheetId="2">#REF!</definedName>
    <definedName name="\COMPT" localSheetId="3">#REF!</definedName>
    <definedName name="\COMPT" localSheetId="4">#REF!</definedName>
    <definedName name="\COMPT" localSheetId="5">#REF!</definedName>
    <definedName name="\COMPT" localSheetId="8">#REF!</definedName>
    <definedName name="\COMPT" localSheetId="7">#REF!</definedName>
    <definedName name="\COMPT" localSheetId="6">#REF!</definedName>
    <definedName name="\COMPT" localSheetId="1">#REF!</definedName>
    <definedName name="\COMPT" localSheetId="35">#REF!</definedName>
    <definedName name="\COMPT" localSheetId="11">#REF!</definedName>
    <definedName name="\COMPT" localSheetId="9">#REF!</definedName>
    <definedName name="\COMPT" localSheetId="15">#REF!</definedName>
    <definedName name="\COMPT" localSheetId="16">#REF!</definedName>
    <definedName name="\COMPT" localSheetId="14">#REF!</definedName>
    <definedName name="\COMPT" localSheetId="26">#REF!</definedName>
    <definedName name="\COMPT" localSheetId="12">#REF!</definedName>
    <definedName name="\COMPT">#REF!</definedName>
    <definedName name="\G" localSheetId="2">#REF!</definedName>
    <definedName name="\G" localSheetId="3">#REF!</definedName>
    <definedName name="\G" localSheetId="4">#REF!</definedName>
    <definedName name="\G" localSheetId="5">#REF!</definedName>
    <definedName name="\G" localSheetId="8">#REF!</definedName>
    <definedName name="\G" localSheetId="7">#REF!</definedName>
    <definedName name="\G" localSheetId="6">#REF!</definedName>
    <definedName name="\G" localSheetId="1">#REF!</definedName>
    <definedName name="\G" localSheetId="35">#REF!</definedName>
    <definedName name="\G" localSheetId="11">#REF!</definedName>
    <definedName name="\G" localSheetId="9">#REF!</definedName>
    <definedName name="\G" localSheetId="15">#REF!</definedName>
    <definedName name="\G" localSheetId="16">#REF!</definedName>
    <definedName name="\G" localSheetId="14">#REF!</definedName>
    <definedName name="\G" localSheetId="26">#REF!</definedName>
    <definedName name="\G" localSheetId="12">#REF!</definedName>
    <definedName name="\G">#REF!</definedName>
    <definedName name="\I" localSheetId="2">#REF!</definedName>
    <definedName name="\I" localSheetId="3">#REF!</definedName>
    <definedName name="\I" localSheetId="4">#REF!</definedName>
    <definedName name="\I" localSheetId="5">#REF!</definedName>
    <definedName name="\I" localSheetId="8">#REF!</definedName>
    <definedName name="\I" localSheetId="7">#REF!</definedName>
    <definedName name="\I" localSheetId="6">#REF!</definedName>
    <definedName name="\I" localSheetId="1">#REF!</definedName>
    <definedName name="\I" localSheetId="35">#REF!</definedName>
    <definedName name="\I" localSheetId="11">#REF!</definedName>
    <definedName name="\I" localSheetId="9">#REF!</definedName>
    <definedName name="\I" localSheetId="15">#REF!</definedName>
    <definedName name="\I" localSheetId="16">#REF!</definedName>
    <definedName name="\I" localSheetId="14">#REF!</definedName>
    <definedName name="\I" localSheetId="26">#REF!</definedName>
    <definedName name="\I" localSheetId="12">#REF!</definedName>
    <definedName name="\I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8">#REF!</definedName>
    <definedName name="\K" localSheetId="7">#REF!</definedName>
    <definedName name="\K" localSheetId="6">#REF!</definedName>
    <definedName name="\K" localSheetId="1">#REF!</definedName>
    <definedName name="\K" localSheetId="35">#REF!</definedName>
    <definedName name="\K" localSheetId="11">#REF!</definedName>
    <definedName name="\K" localSheetId="9">#REF!</definedName>
    <definedName name="\K" localSheetId="15">#REF!</definedName>
    <definedName name="\K" localSheetId="16">#REF!</definedName>
    <definedName name="\K" localSheetId="14">#REF!</definedName>
    <definedName name="\K" localSheetId="26">#REF!</definedName>
    <definedName name="\K" localSheetId="12">#REF!</definedName>
    <definedName name="\K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8">#REF!</definedName>
    <definedName name="\L" localSheetId="7">#REF!</definedName>
    <definedName name="\L" localSheetId="6">#REF!</definedName>
    <definedName name="\L" localSheetId="1">#REF!</definedName>
    <definedName name="\L" localSheetId="35">#REF!</definedName>
    <definedName name="\L" localSheetId="11">#REF!</definedName>
    <definedName name="\L" localSheetId="9">#REF!</definedName>
    <definedName name="\L" localSheetId="15">#REF!</definedName>
    <definedName name="\L" localSheetId="16">#REF!</definedName>
    <definedName name="\L" localSheetId="14">#REF!</definedName>
    <definedName name="\L" localSheetId="26">#REF!</definedName>
    <definedName name="\L" localSheetId="12">#REF!</definedName>
    <definedName name="\L">#REF!</definedName>
    <definedName name="\M" localSheetId="2">#REF!</definedName>
    <definedName name="\M" localSheetId="3">#REF!</definedName>
    <definedName name="\M" localSheetId="4">#REF!</definedName>
    <definedName name="\M" localSheetId="5">#REF!</definedName>
    <definedName name="\M" localSheetId="8">#REF!</definedName>
    <definedName name="\M" localSheetId="7">#REF!</definedName>
    <definedName name="\M" localSheetId="6">#REF!</definedName>
    <definedName name="\M" localSheetId="1">#REF!</definedName>
    <definedName name="\M" localSheetId="35">#REF!</definedName>
    <definedName name="\M" localSheetId="11">#REF!</definedName>
    <definedName name="\M" localSheetId="9">#REF!</definedName>
    <definedName name="\M" localSheetId="15">#REF!</definedName>
    <definedName name="\M" localSheetId="16">#REF!</definedName>
    <definedName name="\M" localSheetId="14">#REF!</definedName>
    <definedName name="\M" localSheetId="26">#REF!</definedName>
    <definedName name="\M" localSheetId="12">#REF!</definedName>
    <definedName name="\M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8">#REF!</definedName>
    <definedName name="\P" localSheetId="7">#REF!</definedName>
    <definedName name="\P" localSheetId="6">#REF!</definedName>
    <definedName name="\P" localSheetId="1">#REF!</definedName>
    <definedName name="\P" localSheetId="35">#REF!</definedName>
    <definedName name="\P" localSheetId="11">#REF!</definedName>
    <definedName name="\P" localSheetId="9">#REF!</definedName>
    <definedName name="\P" localSheetId="15">#REF!</definedName>
    <definedName name="\P" localSheetId="16">#REF!</definedName>
    <definedName name="\P" localSheetId="14">#REF!</definedName>
    <definedName name="\P" localSheetId="26">#REF!</definedName>
    <definedName name="\P" localSheetId="12">#REF!</definedName>
    <definedName name="\P">#REF!</definedName>
    <definedName name="\Q" localSheetId="2">[2]Actual!#REF!</definedName>
    <definedName name="\Q" localSheetId="3">[2]Actual!#REF!</definedName>
    <definedName name="\Q" localSheetId="4">[2]Actual!#REF!</definedName>
    <definedName name="\Q" localSheetId="5">[2]Actual!#REF!</definedName>
    <definedName name="\Q" localSheetId="8">[2]Actual!#REF!</definedName>
    <definedName name="\Q" localSheetId="7">[2]Actual!#REF!</definedName>
    <definedName name="\Q" localSheetId="6">[2]Actual!#REF!</definedName>
    <definedName name="\Q" localSheetId="1">[2]Actual!#REF!</definedName>
    <definedName name="\Q" localSheetId="35">[2]Actual!#REF!</definedName>
    <definedName name="\Q" localSheetId="11">[2]Actual!#REF!</definedName>
    <definedName name="\Q" localSheetId="9">[2]Actual!#REF!</definedName>
    <definedName name="\Q" localSheetId="15">[2]Actual!#REF!</definedName>
    <definedName name="\Q" localSheetId="16">[2]Actual!#REF!</definedName>
    <definedName name="\Q" localSheetId="14">[2]Actual!#REF!</definedName>
    <definedName name="\Q" localSheetId="26">[2]Actual!#REF!</definedName>
    <definedName name="\Q" localSheetId="12">[2]Actual!#REF!</definedName>
    <definedName name="\Q" localSheetId="32">[3]Actual!#REF!</definedName>
    <definedName name="\Q">[2]Actual!#REF!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8">#REF!</definedName>
    <definedName name="\R" localSheetId="7">#REF!</definedName>
    <definedName name="\R" localSheetId="6">#REF!</definedName>
    <definedName name="\R" localSheetId="1">#REF!</definedName>
    <definedName name="\R" localSheetId="35">#REF!</definedName>
    <definedName name="\R" localSheetId="11">#REF!</definedName>
    <definedName name="\R" localSheetId="9">#REF!</definedName>
    <definedName name="\R" localSheetId="15">#REF!</definedName>
    <definedName name="\R" localSheetId="16">#REF!</definedName>
    <definedName name="\R" localSheetId="14">#REF!</definedName>
    <definedName name="\R" localSheetId="26">#REF!</definedName>
    <definedName name="\R" localSheetId="12">#REF!</definedName>
    <definedName name="\R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8">#REF!</definedName>
    <definedName name="\S" localSheetId="7">#REF!</definedName>
    <definedName name="\S" localSheetId="6">#REF!</definedName>
    <definedName name="\S" localSheetId="1">#REF!</definedName>
    <definedName name="\S" localSheetId="35">#REF!</definedName>
    <definedName name="\S" localSheetId="11">#REF!</definedName>
    <definedName name="\S" localSheetId="9">#REF!</definedName>
    <definedName name="\S" localSheetId="15">#REF!</definedName>
    <definedName name="\S" localSheetId="16">#REF!</definedName>
    <definedName name="\S" localSheetId="14">#REF!</definedName>
    <definedName name="\S" localSheetId="26">#REF!</definedName>
    <definedName name="\S" localSheetId="12">#REF!</definedName>
    <definedName name="\S">#REF!</definedName>
    <definedName name="\TABLE1" localSheetId="2">#REF!</definedName>
    <definedName name="\TABLE1" localSheetId="3">#REF!</definedName>
    <definedName name="\TABLE1" localSheetId="4">#REF!</definedName>
    <definedName name="\TABLE1" localSheetId="5">#REF!</definedName>
    <definedName name="\TABLE1" localSheetId="8">#REF!</definedName>
    <definedName name="\TABLE1" localSheetId="7">#REF!</definedName>
    <definedName name="\TABLE1" localSheetId="6">#REF!</definedName>
    <definedName name="\TABLE1" localSheetId="1">#REF!</definedName>
    <definedName name="\TABLE1" localSheetId="35">#REF!</definedName>
    <definedName name="\TABLE1" localSheetId="11">#REF!</definedName>
    <definedName name="\TABLE1" localSheetId="9">#REF!</definedName>
    <definedName name="\TABLE1" localSheetId="15">#REF!</definedName>
    <definedName name="\TABLE1" localSheetId="16">#REF!</definedName>
    <definedName name="\TABLE1" localSheetId="14">#REF!</definedName>
    <definedName name="\TABLE1" localSheetId="26">#REF!</definedName>
    <definedName name="\TABLE1" localSheetId="12">#REF!</definedName>
    <definedName name="\TABLE1">#REF!</definedName>
    <definedName name="\TABLE2" localSheetId="2">#REF!</definedName>
    <definedName name="\TABLE2" localSheetId="3">#REF!</definedName>
    <definedName name="\TABLE2" localSheetId="4">#REF!</definedName>
    <definedName name="\TABLE2" localSheetId="5">#REF!</definedName>
    <definedName name="\TABLE2" localSheetId="8">#REF!</definedName>
    <definedName name="\TABLE2" localSheetId="7">#REF!</definedName>
    <definedName name="\TABLE2" localSheetId="6">#REF!</definedName>
    <definedName name="\TABLE2" localSheetId="1">#REF!</definedName>
    <definedName name="\TABLE2" localSheetId="35">#REF!</definedName>
    <definedName name="\TABLE2" localSheetId="11">#REF!</definedName>
    <definedName name="\TABLE2" localSheetId="9">#REF!</definedName>
    <definedName name="\TABLE2" localSheetId="15">#REF!</definedName>
    <definedName name="\TABLE2" localSheetId="16">#REF!</definedName>
    <definedName name="\TABLE2" localSheetId="14">#REF!</definedName>
    <definedName name="\TABLE2" localSheetId="26">#REF!</definedName>
    <definedName name="\TABLE2" localSheetId="12">#REF!</definedName>
    <definedName name="\TABLE2">#REF!</definedName>
    <definedName name="\TABLEA" localSheetId="2">#REF!</definedName>
    <definedName name="\TABLEA" localSheetId="3">#REF!</definedName>
    <definedName name="\TABLEA" localSheetId="4">#REF!</definedName>
    <definedName name="\TABLEA" localSheetId="5">#REF!</definedName>
    <definedName name="\TABLEA" localSheetId="8">#REF!</definedName>
    <definedName name="\TABLEA" localSheetId="7">#REF!</definedName>
    <definedName name="\TABLEA" localSheetId="6">#REF!</definedName>
    <definedName name="\TABLEA" localSheetId="1">#REF!</definedName>
    <definedName name="\TABLEA" localSheetId="35">#REF!</definedName>
    <definedName name="\TABLEA" localSheetId="11">#REF!</definedName>
    <definedName name="\TABLEA" localSheetId="9">#REF!</definedName>
    <definedName name="\TABLEA" localSheetId="15">#REF!</definedName>
    <definedName name="\TABLEA" localSheetId="16">#REF!</definedName>
    <definedName name="\TABLEA" localSheetId="14">#REF!</definedName>
    <definedName name="\TABLEA" localSheetId="26">#REF!</definedName>
    <definedName name="\TABLEA" localSheetId="12">#REF!</definedName>
    <definedName name="\TABLEA">#REF!</definedName>
    <definedName name="\TBL2" localSheetId="2">#REF!</definedName>
    <definedName name="\TBL2" localSheetId="3">#REF!</definedName>
    <definedName name="\TBL2" localSheetId="4">#REF!</definedName>
    <definedName name="\TBL2" localSheetId="5">#REF!</definedName>
    <definedName name="\TBL2" localSheetId="8">#REF!</definedName>
    <definedName name="\TBL2" localSheetId="7">#REF!</definedName>
    <definedName name="\TBL2" localSheetId="6">#REF!</definedName>
    <definedName name="\TBL2" localSheetId="1">#REF!</definedName>
    <definedName name="\TBL2" localSheetId="35">#REF!</definedName>
    <definedName name="\TBL2" localSheetId="11">#REF!</definedName>
    <definedName name="\TBL2" localSheetId="9">#REF!</definedName>
    <definedName name="\TBL2" localSheetId="15">#REF!</definedName>
    <definedName name="\TBL2" localSheetId="16">#REF!</definedName>
    <definedName name="\TBL2" localSheetId="14">#REF!</definedName>
    <definedName name="\TBL2" localSheetId="26">#REF!</definedName>
    <definedName name="\TBL2" localSheetId="12">#REF!</definedName>
    <definedName name="\TBL2">#REF!</definedName>
    <definedName name="\TBL3" localSheetId="2">#REF!</definedName>
    <definedName name="\TBL3" localSheetId="3">#REF!</definedName>
    <definedName name="\TBL3" localSheetId="4">#REF!</definedName>
    <definedName name="\TBL3" localSheetId="5">#REF!</definedName>
    <definedName name="\TBL3" localSheetId="8">#REF!</definedName>
    <definedName name="\TBL3" localSheetId="7">#REF!</definedName>
    <definedName name="\TBL3" localSheetId="6">#REF!</definedName>
    <definedName name="\TBL3" localSheetId="1">#REF!</definedName>
    <definedName name="\TBL3" localSheetId="35">#REF!</definedName>
    <definedName name="\TBL3" localSheetId="11">#REF!</definedName>
    <definedName name="\TBL3" localSheetId="9">#REF!</definedName>
    <definedName name="\TBL3" localSheetId="15">#REF!</definedName>
    <definedName name="\TBL3" localSheetId="16">#REF!</definedName>
    <definedName name="\TBL3" localSheetId="14">#REF!</definedName>
    <definedName name="\TBL3" localSheetId="26">#REF!</definedName>
    <definedName name="\TBL3" localSheetId="12">#REF!</definedName>
    <definedName name="\TBL3">#REF!</definedName>
    <definedName name="\TBL4" localSheetId="2">#REF!</definedName>
    <definedName name="\TBL4" localSheetId="3">#REF!</definedName>
    <definedName name="\TBL4" localSheetId="4">#REF!</definedName>
    <definedName name="\TBL4" localSheetId="5">#REF!</definedName>
    <definedName name="\TBL4" localSheetId="8">#REF!</definedName>
    <definedName name="\TBL4" localSheetId="7">#REF!</definedName>
    <definedName name="\TBL4" localSheetId="6">#REF!</definedName>
    <definedName name="\TBL4" localSheetId="1">#REF!</definedName>
    <definedName name="\TBL4" localSheetId="35">#REF!</definedName>
    <definedName name="\TBL4" localSheetId="11">#REF!</definedName>
    <definedName name="\TBL4" localSheetId="9">#REF!</definedName>
    <definedName name="\TBL4" localSheetId="15">#REF!</definedName>
    <definedName name="\TBL4" localSheetId="16">#REF!</definedName>
    <definedName name="\TBL4" localSheetId="14">#REF!</definedName>
    <definedName name="\TBL4" localSheetId="26">#REF!</definedName>
    <definedName name="\TBL4" localSheetId="12">#REF!</definedName>
    <definedName name="\TBL4">#REF!</definedName>
    <definedName name="\TBL5" localSheetId="2">#REF!</definedName>
    <definedName name="\TBL5" localSheetId="3">#REF!</definedName>
    <definedName name="\TBL5" localSheetId="4">#REF!</definedName>
    <definedName name="\TBL5" localSheetId="5">#REF!</definedName>
    <definedName name="\TBL5" localSheetId="8">#REF!</definedName>
    <definedName name="\TBL5" localSheetId="7">#REF!</definedName>
    <definedName name="\TBL5" localSheetId="6">#REF!</definedName>
    <definedName name="\TBL5" localSheetId="1">#REF!</definedName>
    <definedName name="\TBL5" localSheetId="35">#REF!</definedName>
    <definedName name="\TBL5" localSheetId="11">#REF!</definedName>
    <definedName name="\TBL5" localSheetId="9">#REF!</definedName>
    <definedName name="\TBL5" localSheetId="15">#REF!</definedName>
    <definedName name="\TBL5" localSheetId="16">#REF!</definedName>
    <definedName name="\TBL5" localSheetId="14">#REF!</definedName>
    <definedName name="\TBL5" localSheetId="26">#REF!</definedName>
    <definedName name="\TBL5" localSheetId="12">#REF!</definedName>
    <definedName name="\TBL5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8">#REF!</definedName>
    <definedName name="\W" localSheetId="7">#REF!</definedName>
    <definedName name="\W" localSheetId="6">#REF!</definedName>
    <definedName name="\W" localSheetId="1">#REF!</definedName>
    <definedName name="\W" localSheetId="35">#REF!</definedName>
    <definedName name="\W" localSheetId="11">#REF!</definedName>
    <definedName name="\W" localSheetId="9">#REF!</definedName>
    <definedName name="\W" localSheetId="15">#REF!</definedName>
    <definedName name="\W" localSheetId="16">#REF!</definedName>
    <definedName name="\W" localSheetId="14">#REF!</definedName>
    <definedName name="\W" localSheetId="26">#REF!</definedName>
    <definedName name="\W" localSheetId="12">#REF!</definedName>
    <definedName name="\W">#REF!</definedName>
    <definedName name="\WORK1" localSheetId="2">#REF!</definedName>
    <definedName name="\WORK1" localSheetId="3">#REF!</definedName>
    <definedName name="\WORK1" localSheetId="4">#REF!</definedName>
    <definedName name="\WORK1" localSheetId="5">#REF!</definedName>
    <definedName name="\WORK1" localSheetId="8">#REF!</definedName>
    <definedName name="\WORK1" localSheetId="7">#REF!</definedName>
    <definedName name="\WORK1" localSheetId="6">#REF!</definedName>
    <definedName name="\WORK1" localSheetId="1">#REF!</definedName>
    <definedName name="\WORK1" localSheetId="35">#REF!</definedName>
    <definedName name="\WORK1" localSheetId="11">#REF!</definedName>
    <definedName name="\WORK1" localSheetId="9">#REF!</definedName>
    <definedName name="\WORK1" localSheetId="15">#REF!</definedName>
    <definedName name="\WORK1" localSheetId="16">#REF!</definedName>
    <definedName name="\WORK1" localSheetId="14">#REF!</definedName>
    <definedName name="\WORK1" localSheetId="26">#REF!</definedName>
    <definedName name="\WORK1" localSheetId="12">#REF!</definedName>
    <definedName name="\WORK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8">#REF!</definedName>
    <definedName name="\X" localSheetId="7">#REF!</definedName>
    <definedName name="\X" localSheetId="6">#REF!</definedName>
    <definedName name="\X" localSheetId="1">#REF!</definedName>
    <definedName name="\X" localSheetId="35">#REF!</definedName>
    <definedName name="\X" localSheetId="11">#REF!</definedName>
    <definedName name="\X" localSheetId="9">#REF!</definedName>
    <definedName name="\X" localSheetId="15">#REF!</definedName>
    <definedName name="\X" localSheetId="16">#REF!</definedName>
    <definedName name="\X" localSheetId="14">#REF!</definedName>
    <definedName name="\X" localSheetId="26">#REF!</definedName>
    <definedName name="\X" localSheetId="12">#REF!</definedName>
    <definedName name="\X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8">#REF!</definedName>
    <definedName name="\Z" localSheetId="7">#REF!</definedName>
    <definedName name="\Z" localSheetId="6">#REF!</definedName>
    <definedName name="\Z" localSheetId="1">#REF!</definedName>
    <definedName name="\Z" localSheetId="35">#REF!</definedName>
    <definedName name="\Z" localSheetId="11">#REF!</definedName>
    <definedName name="\Z" localSheetId="9">#REF!</definedName>
    <definedName name="\Z" localSheetId="15">#REF!</definedName>
    <definedName name="\Z" localSheetId="16">#REF!</definedName>
    <definedName name="\Z" localSheetId="14">#REF!</definedName>
    <definedName name="\Z" localSheetId="26">#REF!</definedName>
    <definedName name="\Z" localSheetId="12">#REF!</definedName>
    <definedName name="\Z" localSheetId="27">#REF!</definedName>
    <definedName name="\Z">#REF!</definedName>
    <definedName name="__123Graph_A" localSheetId="2" hidden="1">[4]Inputs!#REF!</definedName>
    <definedName name="__123Graph_A" localSheetId="3" hidden="1">[4]Inputs!#REF!</definedName>
    <definedName name="__123Graph_A" localSheetId="4" hidden="1">[4]Inputs!#REF!</definedName>
    <definedName name="__123Graph_A" localSheetId="5" hidden="1">[4]Inputs!#REF!</definedName>
    <definedName name="__123Graph_A" localSheetId="8" hidden="1">[4]Inputs!#REF!</definedName>
    <definedName name="__123Graph_A" localSheetId="7" hidden="1">[4]Inputs!#REF!</definedName>
    <definedName name="__123Graph_A" localSheetId="6" hidden="1">[4]Inputs!#REF!</definedName>
    <definedName name="__123Graph_A" localSheetId="1" hidden="1">[5]Inputs!#REF!</definedName>
    <definedName name="__123Graph_A" localSheetId="37" hidden="1">[5]Inputs!#REF!</definedName>
    <definedName name="__123Graph_A" localSheetId="38" hidden="1">[5]Inputs!#REF!</definedName>
    <definedName name="__123Graph_A" localSheetId="35" hidden="1">[6]Inputs!#REF!</definedName>
    <definedName name="__123Graph_A" localSheetId="0" hidden="1">[7]Inputs!#REF!</definedName>
    <definedName name="__123Graph_A" localSheetId="11" hidden="1">[5]Inputs!#REF!</definedName>
    <definedName name="__123Graph_A" localSheetId="9" hidden="1">[6]Inputs!#REF!</definedName>
    <definedName name="__123Graph_A" localSheetId="15" hidden="1">[6]Inputs!#REF!</definedName>
    <definedName name="__123Graph_A" localSheetId="16" hidden="1">[6]Inputs!#REF!</definedName>
    <definedName name="__123Graph_A" localSheetId="31" hidden="1">[6]Inputs!#REF!</definedName>
    <definedName name="__123Graph_A" localSheetId="30" hidden="1">[6]Inputs!#REF!</definedName>
    <definedName name="__123Graph_A" localSheetId="13" hidden="1">[5]Inputs!#REF!</definedName>
    <definedName name="__123Graph_A" localSheetId="14" hidden="1">[5]Inputs!#REF!</definedName>
    <definedName name="__123Graph_A" localSheetId="26" hidden="1">[5]Inputs!#REF!</definedName>
    <definedName name="__123Graph_A" localSheetId="12" hidden="1">[7]Inputs!#REF!</definedName>
    <definedName name="__123Graph_A" localSheetId="32" hidden="1">[8]Inputs!#REF!</definedName>
    <definedName name="__123Graph_A" localSheetId="27" hidden="1">[6]Inputs!#REF!</definedName>
    <definedName name="__123Graph_A" localSheetId="22" hidden="1">'[9]OR Inputs'!#REF!</definedName>
    <definedName name="__123Graph_A" localSheetId="23" hidden="1">'[9]OR Inputs'!#REF!</definedName>
    <definedName name="__123Graph_A" localSheetId="21" hidden="1">'[10]OR Inputs'!#REF!</definedName>
    <definedName name="__123Graph_A" hidden="1">[6]Inputs!#REF!</definedName>
    <definedName name="__123Graph_B" localSheetId="2" hidden="1">[4]Inputs!#REF!</definedName>
    <definedName name="__123Graph_B" localSheetId="3" hidden="1">[4]Inputs!#REF!</definedName>
    <definedName name="__123Graph_B" localSheetId="4" hidden="1">[4]Inputs!#REF!</definedName>
    <definedName name="__123Graph_B" localSheetId="5" hidden="1">[4]Inputs!#REF!</definedName>
    <definedName name="__123Graph_B" localSheetId="8" hidden="1">[4]Inputs!#REF!</definedName>
    <definedName name="__123Graph_B" localSheetId="7" hidden="1">[4]Inputs!#REF!</definedName>
    <definedName name="__123Graph_B" localSheetId="6" hidden="1">[4]Inputs!#REF!</definedName>
    <definedName name="__123Graph_B" localSheetId="1" hidden="1">[5]Inputs!#REF!</definedName>
    <definedName name="__123Graph_B" localSheetId="37" hidden="1">[5]Inputs!#REF!</definedName>
    <definedName name="__123Graph_B" localSheetId="38" hidden="1">[5]Inputs!#REF!</definedName>
    <definedName name="__123Graph_B" localSheetId="35" hidden="1">[6]Inputs!#REF!</definedName>
    <definedName name="__123Graph_B" localSheetId="0" hidden="1">[7]Inputs!#REF!</definedName>
    <definedName name="__123Graph_B" localSheetId="11" hidden="1">[5]Inputs!#REF!</definedName>
    <definedName name="__123Graph_B" localSheetId="9" hidden="1">[6]Inputs!#REF!</definedName>
    <definedName name="__123Graph_B" localSheetId="15" hidden="1">[6]Inputs!#REF!</definedName>
    <definedName name="__123Graph_B" localSheetId="16" hidden="1">[6]Inputs!#REF!</definedName>
    <definedName name="__123Graph_B" localSheetId="31" hidden="1">[6]Inputs!#REF!</definedName>
    <definedName name="__123Graph_B" localSheetId="30" hidden="1">[6]Inputs!#REF!</definedName>
    <definedName name="__123Graph_B" localSheetId="13" hidden="1">[5]Inputs!#REF!</definedName>
    <definedName name="__123Graph_B" localSheetId="14" hidden="1">[5]Inputs!#REF!</definedName>
    <definedName name="__123Graph_B" localSheetId="26" hidden="1">[5]Inputs!#REF!</definedName>
    <definedName name="__123Graph_B" localSheetId="12" hidden="1">[7]Inputs!#REF!</definedName>
    <definedName name="__123Graph_B" localSheetId="32" hidden="1">[8]Inputs!#REF!</definedName>
    <definedName name="__123Graph_B" localSheetId="27" hidden="1">[6]Inputs!#REF!</definedName>
    <definedName name="__123Graph_B" localSheetId="22" hidden="1">'[9]OR Inputs'!#REF!</definedName>
    <definedName name="__123Graph_B" localSheetId="23" hidden="1">'[9]OR Inputs'!#REF!</definedName>
    <definedName name="__123Graph_B" localSheetId="21" hidden="1">'[10]OR Inputs'!#REF!</definedName>
    <definedName name="__123Graph_B" hidden="1">[6]Inputs!#REF!</definedName>
    <definedName name="__123Graph_D" localSheetId="2" hidden="1">[4]Inputs!#REF!</definedName>
    <definedName name="__123Graph_D" localSheetId="3" hidden="1">[4]Inputs!#REF!</definedName>
    <definedName name="__123Graph_D" localSheetId="4" hidden="1">[4]Inputs!#REF!</definedName>
    <definedName name="__123Graph_D" localSheetId="5" hidden="1">[4]Inputs!#REF!</definedName>
    <definedName name="__123Graph_D" localSheetId="8" hidden="1">[4]Inputs!#REF!</definedName>
    <definedName name="__123Graph_D" localSheetId="7" hidden="1">[4]Inputs!#REF!</definedName>
    <definedName name="__123Graph_D" localSheetId="6" hidden="1">[4]Inputs!#REF!</definedName>
    <definedName name="__123Graph_D" localSheetId="1" hidden="1">[5]Inputs!#REF!</definedName>
    <definedName name="__123Graph_D" localSheetId="37" hidden="1">[5]Inputs!#REF!</definedName>
    <definedName name="__123Graph_D" localSheetId="38" hidden="1">[5]Inputs!#REF!</definedName>
    <definedName name="__123Graph_D" localSheetId="35" hidden="1">[6]Inputs!#REF!</definedName>
    <definedName name="__123Graph_D" localSheetId="0" hidden="1">[7]Inputs!#REF!</definedName>
    <definedName name="__123Graph_D" localSheetId="11" hidden="1">[5]Inputs!#REF!</definedName>
    <definedName name="__123Graph_D" localSheetId="9" hidden="1">[6]Inputs!#REF!</definedName>
    <definedName name="__123Graph_D" localSheetId="15" hidden="1">[6]Inputs!#REF!</definedName>
    <definedName name="__123Graph_D" localSheetId="16" hidden="1">[6]Inputs!#REF!</definedName>
    <definedName name="__123Graph_D" localSheetId="31" hidden="1">[6]Inputs!#REF!</definedName>
    <definedName name="__123Graph_D" localSheetId="30" hidden="1">[6]Inputs!#REF!</definedName>
    <definedName name="__123Graph_D" localSheetId="13" hidden="1">[5]Inputs!#REF!</definedName>
    <definedName name="__123Graph_D" localSheetId="14" hidden="1">[5]Inputs!#REF!</definedName>
    <definedName name="__123Graph_D" localSheetId="26" hidden="1">[5]Inputs!#REF!</definedName>
    <definedName name="__123Graph_D" localSheetId="12" hidden="1">[7]Inputs!#REF!</definedName>
    <definedName name="__123Graph_D" localSheetId="32" hidden="1">[8]Inputs!#REF!</definedName>
    <definedName name="__123Graph_D" localSheetId="27" hidden="1">[6]Inputs!#REF!</definedName>
    <definedName name="__123Graph_D" localSheetId="22" hidden="1">'[9]OR Inputs'!#REF!</definedName>
    <definedName name="__123Graph_D" localSheetId="23" hidden="1">'[9]OR Inputs'!#REF!</definedName>
    <definedName name="__123Graph_D" localSheetId="21" hidden="1">'[10]OR Inputs'!#REF!</definedName>
    <definedName name="__123Graph_D" hidden="1">[6]Inputs!#REF!</definedName>
    <definedName name="_1Price_Ta" localSheetId="2">#REF!</definedName>
    <definedName name="_1Price_Ta" localSheetId="3">#REF!</definedName>
    <definedName name="_1Price_Ta" localSheetId="4">#REF!</definedName>
    <definedName name="_1Price_Ta" localSheetId="5">#REF!</definedName>
    <definedName name="_1Price_Ta" localSheetId="8">#REF!</definedName>
    <definedName name="_1Price_Ta" localSheetId="7">#REF!</definedName>
    <definedName name="_1Price_Ta" localSheetId="6">#REF!</definedName>
    <definedName name="_1Price_Ta" localSheetId="1">#REF!</definedName>
    <definedName name="_1Price_Ta" localSheetId="35">#REF!</definedName>
    <definedName name="_1Price_Ta" localSheetId="11">#REF!</definedName>
    <definedName name="_1Price_Ta" localSheetId="9">#REF!</definedName>
    <definedName name="_1Price_Ta" localSheetId="15">#REF!</definedName>
    <definedName name="_1Price_Ta" localSheetId="16">#REF!</definedName>
    <definedName name="_1Price_Ta" localSheetId="14">#REF!</definedName>
    <definedName name="_1Price_Ta" localSheetId="26">#REF!</definedName>
    <definedName name="_1Price_Ta" localSheetId="12">#REF!</definedName>
    <definedName name="_1Price_Ta" localSheetId="27">#REF!</definedName>
    <definedName name="_1Price_Ta">#REF!</definedName>
    <definedName name="_2Price_Ta" localSheetId="2">#REF!</definedName>
    <definedName name="_2Price_Ta" localSheetId="3">#REF!</definedName>
    <definedName name="_2Price_Ta" localSheetId="4">#REF!</definedName>
    <definedName name="_2Price_Ta" localSheetId="5">#REF!</definedName>
    <definedName name="_2Price_Ta" localSheetId="8">#REF!</definedName>
    <definedName name="_2Price_Ta" localSheetId="7">#REF!</definedName>
    <definedName name="_2Price_Ta" localSheetId="6">#REF!</definedName>
    <definedName name="_2Price_Ta" localSheetId="1">#REF!</definedName>
    <definedName name="_2Price_Ta" localSheetId="35">#REF!</definedName>
    <definedName name="_2Price_Ta" localSheetId="11">#REF!</definedName>
    <definedName name="_2Price_Ta" localSheetId="9">#REF!</definedName>
    <definedName name="_2Price_Ta" localSheetId="15">#REF!</definedName>
    <definedName name="_2Price_Ta" localSheetId="16">#REF!</definedName>
    <definedName name="_2Price_Ta" localSheetId="14">#REF!</definedName>
    <definedName name="_2Price_Ta" localSheetId="26">#REF!</definedName>
    <definedName name="_2Price_Ta" localSheetId="12">#REF!</definedName>
    <definedName name="_2Price_Ta">#REF!</definedName>
    <definedName name="_B" localSheetId="2">'[11]Rate Design'!#REF!</definedName>
    <definedName name="_B" localSheetId="3">'[11]Rate Design'!#REF!</definedName>
    <definedName name="_B" localSheetId="4">'[11]Rate Design'!#REF!</definedName>
    <definedName name="_B" localSheetId="5">'[11]Rate Design'!#REF!</definedName>
    <definedName name="_B" localSheetId="8">'[11]Rate Design'!#REF!</definedName>
    <definedName name="_B" localSheetId="7">'[11]Rate Design'!#REF!</definedName>
    <definedName name="_B" localSheetId="6">'[11]Rate Design'!#REF!</definedName>
    <definedName name="_B" localSheetId="1">'[11]Rate Design'!#REF!</definedName>
    <definedName name="_B" localSheetId="35">'[11]Rate Design'!#REF!</definedName>
    <definedName name="_B" localSheetId="11">'[11]Rate Design'!#REF!</definedName>
    <definedName name="_B" localSheetId="9">'[11]Rate Design'!#REF!</definedName>
    <definedName name="_B" localSheetId="15">'[11]Rate Design'!#REF!</definedName>
    <definedName name="_B" localSheetId="16">'[11]Rate Design'!#REF!</definedName>
    <definedName name="_B" localSheetId="14">'[11]Rate Design'!#REF!</definedName>
    <definedName name="_B" localSheetId="26">'[11]Rate Design'!#REF!</definedName>
    <definedName name="_B" localSheetId="12">'[11]Rate Design'!#REF!</definedName>
    <definedName name="_B" localSheetId="27">'[11]Rate Design'!#REF!</definedName>
    <definedName name="_B">'[11]Rate Design'!#REF!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1" hidden="1">#REF!</definedName>
    <definedName name="_Fill" localSheetId="35" hidden="1">#REF!</definedName>
    <definedName name="_Fill" localSheetId="11" hidden="1">#REF!</definedName>
    <definedName name="_Fill" localSheetId="9" hidden="1">#REF!</definedName>
    <definedName name="_Fill" localSheetId="15" hidden="1">#REF!</definedName>
    <definedName name="_Fill" localSheetId="16" hidden="1">#REF!</definedName>
    <definedName name="_Fill" localSheetId="31" hidden="1">#REF!</definedName>
    <definedName name="_Fill" localSheetId="30" hidden="1">#REF!</definedName>
    <definedName name="_Fill" localSheetId="14" hidden="1">#REF!</definedName>
    <definedName name="_Fill" localSheetId="26" hidden="1">#REF!</definedName>
    <definedName name="_Fill" localSheetId="12" hidden="1">#REF!</definedName>
    <definedName name="_Fill" hidden="1">#REF!</definedName>
    <definedName name="_xlnm._FilterDatabase" localSheetId="29" hidden="1">'305 Inputs'!$A$6:$J$145</definedName>
    <definedName name="_xlnm._FilterDatabase" localSheetId="24" hidden="1">'305 VS COGNOS Revenue'!$A$6:$AA$56</definedName>
    <definedName name="_xlnm._FilterDatabase" localSheetId="19" hidden="1">'Table 2'!#REF!</definedName>
    <definedName name="_xlnm._FilterDatabase" localSheetId="20" hidden="1">'Table 3'!#REF!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1" hidden="1">#REF!</definedName>
    <definedName name="_Key1" localSheetId="35" hidden="1">#REF!</definedName>
    <definedName name="_Key1" localSheetId="11" hidden="1">#REF!</definedName>
    <definedName name="_Key1" localSheetId="9" hidden="1">#REF!</definedName>
    <definedName name="_Key1" localSheetId="15" hidden="1">#REF!</definedName>
    <definedName name="_Key1" localSheetId="16" hidden="1">#REF!</definedName>
    <definedName name="_Key1" localSheetId="14" hidden="1">#REF!</definedName>
    <definedName name="_Key1" localSheetId="26" hidden="1">#REF!</definedName>
    <definedName name="_Key1" localSheetId="12" hidden="1">#REF!</definedName>
    <definedName name="_Key1" localSheetId="27" hidden="1">#REF!</definedName>
    <definedName name="_Key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1" hidden="1">#REF!</definedName>
    <definedName name="_Key2" localSheetId="35" hidden="1">#REF!</definedName>
    <definedName name="_Key2" localSheetId="11" hidden="1">#REF!</definedName>
    <definedName name="_Key2" localSheetId="9" hidden="1">#REF!</definedName>
    <definedName name="_Key2" localSheetId="15" hidden="1">#REF!</definedName>
    <definedName name="_Key2" localSheetId="16" hidden="1">#REF!</definedName>
    <definedName name="_Key2" localSheetId="14" hidden="1">#REF!</definedName>
    <definedName name="_Key2" localSheetId="26" hidden="1">#REF!</definedName>
    <definedName name="_Key2" localSheetId="12" hidden="1">#REF!</definedName>
    <definedName name="_Key2" localSheetId="27" hidden="1">#REF!</definedName>
    <definedName name="_Key2" hidden="1">#REF!</definedName>
    <definedName name="_MEN2" localSheetId="2">[1]Jan!#REF!</definedName>
    <definedName name="_MEN2" localSheetId="3">[1]Jan!#REF!</definedName>
    <definedName name="_MEN2" localSheetId="4">[1]Jan!#REF!</definedName>
    <definedName name="_MEN2" localSheetId="5">[1]Jan!#REF!</definedName>
    <definedName name="_MEN2" localSheetId="8">[1]Jan!#REF!</definedName>
    <definedName name="_MEN2" localSheetId="7">[1]Jan!#REF!</definedName>
    <definedName name="_MEN2" localSheetId="6">[1]Jan!#REF!</definedName>
    <definedName name="_MEN2" localSheetId="1">[1]Jan!#REF!</definedName>
    <definedName name="_MEN2" localSheetId="35">[1]Jan!#REF!</definedName>
    <definedName name="_MEN2" localSheetId="11">[1]Jan!#REF!</definedName>
    <definedName name="_MEN2" localSheetId="9">[1]Jan!#REF!</definedName>
    <definedName name="_MEN2" localSheetId="15">[1]Jan!#REF!</definedName>
    <definedName name="_MEN2" localSheetId="16">[1]Jan!#REF!</definedName>
    <definedName name="_MEN2" localSheetId="14">[1]Jan!#REF!</definedName>
    <definedName name="_MEN2" localSheetId="26">[1]Jan!#REF!</definedName>
    <definedName name="_MEN2" localSheetId="12">[1]Jan!#REF!</definedName>
    <definedName name="_MEN2" localSheetId="32">[1]Jan!#REF!</definedName>
    <definedName name="_MEN2">[1]Jan!#REF!</definedName>
    <definedName name="_MEN3" localSheetId="2">[1]Jan!#REF!</definedName>
    <definedName name="_MEN3" localSheetId="3">[1]Jan!#REF!</definedName>
    <definedName name="_MEN3" localSheetId="4">[1]Jan!#REF!</definedName>
    <definedName name="_MEN3" localSheetId="5">[1]Jan!#REF!</definedName>
    <definedName name="_MEN3" localSheetId="8">[1]Jan!#REF!</definedName>
    <definedName name="_MEN3" localSheetId="7">[1]Jan!#REF!</definedName>
    <definedName name="_MEN3" localSheetId="6">[1]Jan!#REF!</definedName>
    <definedName name="_MEN3" localSheetId="1">[1]Jan!#REF!</definedName>
    <definedName name="_MEN3" localSheetId="35">[1]Jan!#REF!</definedName>
    <definedName name="_MEN3" localSheetId="11">[1]Jan!#REF!</definedName>
    <definedName name="_MEN3" localSheetId="9">[1]Jan!#REF!</definedName>
    <definedName name="_MEN3" localSheetId="15">[1]Jan!#REF!</definedName>
    <definedName name="_MEN3" localSheetId="16">[1]Jan!#REF!</definedName>
    <definedName name="_MEN3" localSheetId="14">[1]Jan!#REF!</definedName>
    <definedName name="_MEN3" localSheetId="26">[1]Jan!#REF!</definedName>
    <definedName name="_MEN3" localSheetId="12">[1]Jan!#REF!</definedName>
    <definedName name="_MEN3">[1]Jan!#REF!</definedName>
    <definedName name="_Order1" localSheetId="32" hidden="1">255</definedName>
    <definedName name="_Order1" hidden="1">0</definedName>
    <definedName name="_Order2" hidden="1">0</definedName>
    <definedName name="_P" localSheetId="2">#REF!</definedName>
    <definedName name="_P" localSheetId="3">#REF!</definedName>
    <definedName name="_P" localSheetId="4">#REF!</definedName>
    <definedName name="_P" localSheetId="5">#REF!</definedName>
    <definedName name="_P" localSheetId="8">#REF!</definedName>
    <definedName name="_P" localSheetId="7">#REF!</definedName>
    <definedName name="_P" localSheetId="6">#REF!</definedName>
    <definedName name="_P" localSheetId="1">#REF!</definedName>
    <definedName name="_P" localSheetId="35">#REF!</definedName>
    <definedName name="_P" localSheetId="11">#REF!</definedName>
    <definedName name="_P" localSheetId="9">#REF!</definedName>
    <definedName name="_P" localSheetId="15">#REF!</definedName>
    <definedName name="_P" localSheetId="16">#REF!</definedName>
    <definedName name="_P" localSheetId="14">#REF!</definedName>
    <definedName name="_P" localSheetId="26">#REF!</definedName>
    <definedName name="_P" localSheetId="12">#REF!</definedName>
    <definedName name="_P" localSheetId="27">#REF!</definedName>
    <definedName name="_P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1" hidden="1">#REF!</definedName>
    <definedName name="_Sort" localSheetId="35" hidden="1">#REF!</definedName>
    <definedName name="_Sort" localSheetId="11" hidden="1">#REF!</definedName>
    <definedName name="_Sort" localSheetId="9" hidden="1">#REF!</definedName>
    <definedName name="_Sort" localSheetId="15" hidden="1">#REF!</definedName>
    <definedName name="_Sort" localSheetId="16" hidden="1">#REF!</definedName>
    <definedName name="_Sort" localSheetId="14" hidden="1">#REF!</definedName>
    <definedName name="_Sort" localSheetId="26" hidden="1">#REF!</definedName>
    <definedName name="_Sort" localSheetId="12" hidden="1">#REF!</definedName>
    <definedName name="_Sort" localSheetId="27" hidden="1">#REF!</definedName>
    <definedName name="_Sort" hidden="1">#REF!</definedName>
    <definedName name="_TOP1" localSheetId="2">[1]Jan!#REF!</definedName>
    <definedName name="_TOP1" localSheetId="3">[1]Jan!#REF!</definedName>
    <definedName name="_TOP1" localSheetId="4">[1]Jan!#REF!</definedName>
    <definedName name="_TOP1" localSheetId="5">[1]Jan!#REF!</definedName>
    <definedName name="_TOP1" localSheetId="8">[1]Jan!#REF!</definedName>
    <definedName name="_TOP1" localSheetId="7">[1]Jan!#REF!</definedName>
    <definedName name="_TOP1" localSheetId="6">[1]Jan!#REF!</definedName>
    <definedName name="_TOP1" localSheetId="1">[1]Jan!#REF!</definedName>
    <definedName name="_TOP1" localSheetId="35">[1]Jan!#REF!</definedName>
    <definedName name="_TOP1" localSheetId="11">[1]Jan!#REF!</definedName>
    <definedName name="_TOP1" localSheetId="9">[1]Jan!#REF!</definedName>
    <definedName name="_TOP1" localSheetId="15">[1]Jan!#REF!</definedName>
    <definedName name="_TOP1" localSheetId="16">[1]Jan!#REF!</definedName>
    <definedName name="_TOP1" localSheetId="14">[1]Jan!#REF!</definedName>
    <definedName name="_TOP1" localSheetId="26">[1]Jan!#REF!</definedName>
    <definedName name="_TOP1" localSheetId="12">[1]Jan!#REF!</definedName>
    <definedName name="_TOP1" localSheetId="32">[1]Jan!#REF!</definedName>
    <definedName name="_TOP1">[1]Jan!#REF!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8" hidden="1">#REF!</definedName>
    <definedName name="a" localSheetId="7" hidden="1">#REF!</definedName>
    <definedName name="a" localSheetId="6" hidden="1">#REF!</definedName>
    <definedName name="a" localSheetId="1" hidden="1">#REF!</definedName>
    <definedName name="a" localSheetId="37" hidden="1">#REF!</definedName>
    <definedName name="a" localSheetId="38" hidden="1">#REF!</definedName>
    <definedName name="a" localSheetId="0" hidden="1">#REF!</definedName>
    <definedName name="a" localSheetId="11" hidden="1">#REF!</definedName>
    <definedName name="a" localSheetId="31" hidden="1">'[6]DSM Output'!$J$21:$J$23</definedName>
    <definedName name="a" localSheetId="30" hidden="1">'[6]DSM Output'!$J$21:$J$23</definedName>
    <definedName name="a" localSheetId="13" hidden="1">#REF!</definedName>
    <definedName name="a" localSheetId="14" hidden="1">#REF!</definedName>
    <definedName name="a" localSheetId="26" hidden="1">#REF!</definedName>
    <definedName name="a" localSheetId="12" hidden="1">#REF!</definedName>
    <definedName name="a" localSheetId="32" hidden="1">'[8]DSM Output'!$J$21:$J$23</definedName>
    <definedName name="a" localSheetId="27" hidden="1">'[6]DSM Output'!$J$21:$J$23</definedName>
    <definedName name="a" localSheetId="22" hidden="1">#REF!</definedName>
    <definedName name="a" localSheetId="23" hidden="1">#REF!</definedName>
    <definedName name="a" localSheetId="21" hidden="1">#REF!</definedName>
    <definedName name="a" hidden="1">'[6]DSM Output'!$J$21:$J$23</definedName>
    <definedName name="Acct108364" localSheetId="2">'[12]Func Study'!#REF!</definedName>
    <definedName name="Acct108364" localSheetId="3">'[12]Func Study'!#REF!</definedName>
    <definedName name="Acct108364" localSheetId="4">'[12]Func Study'!#REF!</definedName>
    <definedName name="Acct108364" localSheetId="5">'[12]Func Study'!#REF!</definedName>
    <definedName name="Acct108364" localSheetId="8">'[12]Func Study'!#REF!</definedName>
    <definedName name="Acct108364" localSheetId="7">'[12]Func Study'!#REF!</definedName>
    <definedName name="Acct108364" localSheetId="6">'[12]Func Study'!#REF!</definedName>
    <definedName name="Acct108364" localSheetId="1">'[12]Func Study'!#REF!</definedName>
    <definedName name="Acct108364" localSheetId="35">'[12]Func Study'!#REF!</definedName>
    <definedName name="Acct108364" localSheetId="11">'[12]Func Study'!#REF!</definedName>
    <definedName name="Acct108364" localSheetId="9">'[12]Func Study'!#REF!</definedName>
    <definedName name="Acct108364" localSheetId="15">'[12]Func Study'!#REF!</definedName>
    <definedName name="Acct108364" localSheetId="16">'[12]Func Study'!#REF!</definedName>
    <definedName name="Acct108364" localSheetId="14">'[12]Func Study'!#REF!</definedName>
    <definedName name="Acct108364" localSheetId="26">'[12]Func Study'!#REF!</definedName>
    <definedName name="Acct108364" localSheetId="12">'[12]Func Study'!#REF!</definedName>
    <definedName name="Acct108364" localSheetId="32">'[12]Func Study'!#REF!</definedName>
    <definedName name="Acct108364">'[12]Func Study'!#REF!</definedName>
    <definedName name="Acct108364S" localSheetId="2">'[12]Func Study'!#REF!</definedName>
    <definedName name="Acct108364S" localSheetId="3">'[12]Func Study'!#REF!</definedName>
    <definedName name="Acct108364S" localSheetId="4">'[12]Func Study'!#REF!</definedName>
    <definedName name="Acct108364S" localSheetId="5">'[12]Func Study'!#REF!</definedName>
    <definedName name="Acct108364S" localSheetId="8">'[12]Func Study'!#REF!</definedName>
    <definedName name="Acct108364S" localSheetId="7">'[12]Func Study'!#REF!</definedName>
    <definedName name="Acct108364S" localSheetId="6">'[12]Func Study'!#REF!</definedName>
    <definedName name="Acct108364S" localSheetId="1">'[12]Func Study'!#REF!</definedName>
    <definedName name="Acct108364S" localSheetId="35">'[12]Func Study'!#REF!</definedName>
    <definedName name="Acct108364S" localSheetId="11">'[12]Func Study'!#REF!</definedName>
    <definedName name="Acct108364S" localSheetId="9">'[12]Func Study'!#REF!</definedName>
    <definedName name="Acct108364S" localSheetId="15">'[12]Func Study'!#REF!</definedName>
    <definedName name="Acct108364S" localSheetId="16">'[12]Func Study'!#REF!</definedName>
    <definedName name="Acct108364S" localSheetId="14">'[12]Func Study'!#REF!</definedName>
    <definedName name="Acct108364S" localSheetId="26">'[12]Func Study'!#REF!</definedName>
    <definedName name="Acct108364S" localSheetId="12">'[12]Func Study'!#REF!</definedName>
    <definedName name="Acct108364S">'[12]Func Study'!#REF!</definedName>
    <definedName name="Acct228.42TROJD" localSheetId="2">'[13]Func Study'!#REF!</definedName>
    <definedName name="Acct228.42TROJD" localSheetId="3">'[13]Func Study'!#REF!</definedName>
    <definedName name="Acct228.42TROJD" localSheetId="4">'[13]Func Study'!#REF!</definedName>
    <definedName name="Acct228.42TROJD" localSheetId="5">'[13]Func Study'!#REF!</definedName>
    <definedName name="Acct228.42TROJD" localSheetId="8">'[13]Func Study'!#REF!</definedName>
    <definedName name="Acct228.42TROJD" localSheetId="7">'[13]Func Study'!#REF!</definedName>
    <definedName name="Acct228.42TROJD" localSheetId="6">'[13]Func Study'!#REF!</definedName>
    <definedName name="Acct228.42TROJD" localSheetId="1">'[13]Func Study'!#REF!</definedName>
    <definedName name="Acct228.42TROJD" localSheetId="35">'[13]Func Study'!#REF!</definedName>
    <definedName name="Acct228.42TROJD" localSheetId="11">'[13]Func Study'!#REF!</definedName>
    <definedName name="Acct228.42TROJD" localSheetId="9">'[13]Func Study'!#REF!</definedName>
    <definedName name="Acct228.42TROJD" localSheetId="15">'[13]Func Study'!#REF!</definedName>
    <definedName name="Acct228.42TROJD" localSheetId="16">'[13]Func Study'!#REF!</definedName>
    <definedName name="Acct228.42TROJD" localSheetId="14">'[13]Func Study'!#REF!</definedName>
    <definedName name="Acct228.42TROJD" localSheetId="26">'[13]Func Study'!#REF!</definedName>
    <definedName name="Acct228.42TROJD" localSheetId="12">'[13]Func Study'!#REF!</definedName>
    <definedName name="Acct228.42TROJD">'[13]Func Study'!#REF!</definedName>
    <definedName name="Acct2281SO">'[14]Func Study'!$H$2190</definedName>
    <definedName name="Acct2283SO">'[14]Func Study'!$H$2198</definedName>
    <definedName name="Acct22842TROJD" localSheetId="2">'[13]Func Study'!#REF!</definedName>
    <definedName name="Acct22842TROJD" localSheetId="3">'[13]Func Study'!#REF!</definedName>
    <definedName name="Acct22842TROJD" localSheetId="4">'[13]Func Study'!#REF!</definedName>
    <definedName name="Acct22842TROJD" localSheetId="5">'[13]Func Study'!#REF!</definedName>
    <definedName name="Acct22842TROJD" localSheetId="8">'[13]Func Study'!#REF!</definedName>
    <definedName name="Acct22842TROJD" localSheetId="7">'[13]Func Study'!#REF!</definedName>
    <definedName name="Acct22842TROJD" localSheetId="6">'[13]Func Study'!#REF!</definedName>
    <definedName name="Acct22842TROJD" localSheetId="1">'[13]Func Study'!#REF!</definedName>
    <definedName name="Acct22842TROJD" localSheetId="35">'[13]Func Study'!#REF!</definedName>
    <definedName name="Acct22842TROJD" localSheetId="11">'[13]Func Study'!#REF!</definedName>
    <definedName name="Acct22842TROJD" localSheetId="9">'[13]Func Study'!#REF!</definedName>
    <definedName name="Acct22842TROJD" localSheetId="15">'[13]Func Study'!#REF!</definedName>
    <definedName name="Acct22842TROJD" localSheetId="16">'[13]Func Study'!#REF!</definedName>
    <definedName name="Acct22842TROJD" localSheetId="14">'[13]Func Study'!#REF!</definedName>
    <definedName name="Acct22842TROJD" localSheetId="26">'[13]Func Study'!#REF!</definedName>
    <definedName name="Acct22842TROJD" localSheetId="12">'[13]Func Study'!#REF!</definedName>
    <definedName name="Acct22842TROJD" localSheetId="32">'[13]Func Study'!#REF!</definedName>
    <definedName name="Acct22842TROJD">'[13]Func Study'!#REF!</definedName>
    <definedName name="Acct228SO">'[14]Func Study'!$H$2194</definedName>
    <definedName name="Acct350">'[14]Func Study'!$H$1628</definedName>
    <definedName name="Acct352">'[14]Func Study'!$H$1635</definedName>
    <definedName name="Acct353">'[14]Func Study'!$H$1641</definedName>
    <definedName name="Acct354">'[14]Func Study'!$H$1647</definedName>
    <definedName name="Acct355">'[14]Func Study'!$H$1654</definedName>
    <definedName name="Acct356">'[14]Func Study'!$H$1660</definedName>
    <definedName name="Acct357">'[14]Func Study'!$H$1666</definedName>
    <definedName name="Acct358">'[14]Func Study'!$H$1672</definedName>
    <definedName name="Acct359">'[14]Func Study'!$H$1678</definedName>
    <definedName name="Acct360">'[14]Func Study'!$H$1698</definedName>
    <definedName name="Acct361">'[14]Func Study'!$H$1704</definedName>
    <definedName name="Acct362">'[14]Func Study'!$H$1710</definedName>
    <definedName name="Acct364">'[14]Func Study'!$H$1717</definedName>
    <definedName name="Acct365">'[14]Func Study'!$H$1724</definedName>
    <definedName name="Acct366">'[14]Func Study'!$H$1731</definedName>
    <definedName name="Acct367">'[14]Func Study'!$H$1738</definedName>
    <definedName name="Acct368">'[14]Func Study'!$H$1744</definedName>
    <definedName name="Acct369">'[14]Func Study'!$H$1751</definedName>
    <definedName name="Acct370">'[14]Func Study'!$H$1762</definedName>
    <definedName name="Acct371">'[14]Func Study'!$H$1769</definedName>
    <definedName name="Acct372">'[14]Func Study'!$H$1776</definedName>
    <definedName name="Acct372A">'[14]Func Study'!$H$1775</definedName>
    <definedName name="Acct372DP">'[14]Func Study'!$H$1773</definedName>
    <definedName name="Acct372DS">'[14]Func Study'!$H$1774</definedName>
    <definedName name="Acct373">'[14]Func Study'!$H$1782</definedName>
    <definedName name="Acct41011" localSheetId="2">'[15]Functional Study'!#REF!</definedName>
    <definedName name="Acct41011" localSheetId="3">'[15]Functional Study'!#REF!</definedName>
    <definedName name="Acct41011" localSheetId="4">'[15]Functional Study'!#REF!</definedName>
    <definedName name="Acct41011" localSheetId="5">'[15]Functional Study'!#REF!</definedName>
    <definedName name="Acct41011" localSheetId="8">'[15]Functional Study'!#REF!</definedName>
    <definedName name="Acct41011" localSheetId="7">'[15]Functional Study'!#REF!</definedName>
    <definedName name="Acct41011" localSheetId="6">'[15]Functional Study'!#REF!</definedName>
    <definedName name="Acct41011" localSheetId="1">'[15]Functional Study'!#REF!</definedName>
    <definedName name="Acct41011" localSheetId="35">'[15]Functional Study'!#REF!</definedName>
    <definedName name="Acct41011" localSheetId="11">'[15]Functional Study'!#REF!</definedName>
    <definedName name="Acct41011" localSheetId="9">'[15]Functional Study'!#REF!</definedName>
    <definedName name="Acct41011" localSheetId="15">'[15]Functional Study'!#REF!</definedName>
    <definedName name="Acct41011" localSheetId="16">'[15]Functional Study'!#REF!</definedName>
    <definedName name="Acct41011" localSheetId="14">'[15]Functional Study'!#REF!</definedName>
    <definedName name="Acct41011" localSheetId="26">'[15]Functional Study'!#REF!</definedName>
    <definedName name="Acct41011" localSheetId="12">'[15]Functional Study'!#REF!</definedName>
    <definedName name="Acct41011" localSheetId="32">'[16]Functional Study'!#REF!</definedName>
    <definedName name="Acct41011">'[15]Functional Study'!#REF!</definedName>
    <definedName name="Acct41011BADDEBT" localSheetId="2">'[15]Functional Study'!#REF!</definedName>
    <definedName name="Acct41011BADDEBT" localSheetId="3">'[15]Functional Study'!#REF!</definedName>
    <definedName name="Acct41011BADDEBT" localSheetId="4">'[15]Functional Study'!#REF!</definedName>
    <definedName name="Acct41011BADDEBT" localSheetId="5">'[15]Functional Study'!#REF!</definedName>
    <definedName name="Acct41011BADDEBT" localSheetId="8">'[15]Functional Study'!#REF!</definedName>
    <definedName name="Acct41011BADDEBT" localSheetId="7">'[15]Functional Study'!#REF!</definedName>
    <definedName name="Acct41011BADDEBT" localSheetId="6">'[15]Functional Study'!#REF!</definedName>
    <definedName name="Acct41011BADDEBT" localSheetId="1">'[15]Functional Study'!#REF!</definedName>
    <definedName name="Acct41011BADDEBT" localSheetId="35">'[15]Functional Study'!#REF!</definedName>
    <definedName name="Acct41011BADDEBT" localSheetId="11">'[15]Functional Study'!#REF!</definedName>
    <definedName name="Acct41011BADDEBT" localSheetId="9">'[15]Functional Study'!#REF!</definedName>
    <definedName name="Acct41011BADDEBT" localSheetId="15">'[15]Functional Study'!#REF!</definedName>
    <definedName name="Acct41011BADDEBT" localSheetId="16">'[15]Functional Study'!#REF!</definedName>
    <definedName name="Acct41011BADDEBT" localSheetId="14">'[15]Functional Study'!#REF!</definedName>
    <definedName name="Acct41011BADDEBT" localSheetId="26">'[15]Functional Study'!#REF!</definedName>
    <definedName name="Acct41011BADDEBT" localSheetId="12">'[15]Functional Study'!#REF!</definedName>
    <definedName name="Acct41011BADDEBT" localSheetId="32">'[16]Functional Study'!#REF!</definedName>
    <definedName name="Acct41011BADDEBT">'[15]Functional Study'!#REF!</definedName>
    <definedName name="Acct41011DITEXP" localSheetId="2">'[15]Functional Study'!#REF!</definedName>
    <definedName name="Acct41011DITEXP" localSheetId="3">'[15]Functional Study'!#REF!</definedName>
    <definedName name="Acct41011DITEXP" localSheetId="4">'[15]Functional Study'!#REF!</definedName>
    <definedName name="Acct41011DITEXP" localSheetId="5">'[15]Functional Study'!#REF!</definedName>
    <definedName name="Acct41011DITEXP" localSheetId="8">'[15]Functional Study'!#REF!</definedName>
    <definedName name="Acct41011DITEXP" localSheetId="7">'[15]Functional Study'!#REF!</definedName>
    <definedName name="Acct41011DITEXP" localSheetId="6">'[15]Functional Study'!#REF!</definedName>
    <definedName name="Acct41011DITEXP" localSheetId="1">'[15]Functional Study'!#REF!</definedName>
    <definedName name="Acct41011DITEXP" localSheetId="35">'[15]Functional Study'!#REF!</definedName>
    <definedName name="Acct41011DITEXP" localSheetId="11">'[15]Functional Study'!#REF!</definedName>
    <definedName name="Acct41011DITEXP" localSheetId="9">'[15]Functional Study'!#REF!</definedName>
    <definedName name="Acct41011DITEXP" localSheetId="15">'[15]Functional Study'!#REF!</definedName>
    <definedName name="Acct41011DITEXP" localSheetId="16">'[15]Functional Study'!#REF!</definedName>
    <definedName name="Acct41011DITEXP" localSheetId="14">'[15]Functional Study'!#REF!</definedName>
    <definedName name="Acct41011DITEXP" localSheetId="26">'[15]Functional Study'!#REF!</definedName>
    <definedName name="Acct41011DITEXP" localSheetId="12">'[15]Functional Study'!#REF!</definedName>
    <definedName name="Acct41011DITEXP" localSheetId="32">'[16]Functional Study'!#REF!</definedName>
    <definedName name="Acct41011DITEXP">'[15]Functional Study'!#REF!</definedName>
    <definedName name="Acct41011S" localSheetId="2">'[15]Functional Study'!#REF!</definedName>
    <definedName name="Acct41011S" localSheetId="3">'[15]Functional Study'!#REF!</definedName>
    <definedName name="Acct41011S" localSheetId="4">'[15]Functional Study'!#REF!</definedName>
    <definedName name="Acct41011S" localSheetId="5">'[15]Functional Study'!#REF!</definedName>
    <definedName name="Acct41011S" localSheetId="8">'[15]Functional Study'!#REF!</definedName>
    <definedName name="Acct41011S" localSheetId="7">'[15]Functional Study'!#REF!</definedName>
    <definedName name="Acct41011S" localSheetId="6">'[15]Functional Study'!#REF!</definedName>
    <definedName name="Acct41011S" localSheetId="1">'[15]Functional Study'!#REF!</definedName>
    <definedName name="Acct41011S" localSheetId="35">'[15]Functional Study'!#REF!</definedName>
    <definedName name="Acct41011S" localSheetId="11">'[15]Functional Study'!#REF!</definedName>
    <definedName name="Acct41011S" localSheetId="9">'[15]Functional Study'!#REF!</definedName>
    <definedName name="Acct41011S" localSheetId="15">'[15]Functional Study'!#REF!</definedName>
    <definedName name="Acct41011S" localSheetId="16">'[15]Functional Study'!#REF!</definedName>
    <definedName name="Acct41011S" localSheetId="14">'[15]Functional Study'!#REF!</definedName>
    <definedName name="Acct41011S" localSheetId="26">'[15]Functional Study'!#REF!</definedName>
    <definedName name="Acct41011S" localSheetId="12">'[15]Functional Study'!#REF!</definedName>
    <definedName name="Acct41011S" localSheetId="32">'[16]Functional Study'!#REF!</definedName>
    <definedName name="Acct41011S">'[15]Functional Study'!#REF!</definedName>
    <definedName name="Acct41011SE" localSheetId="2">'[15]Functional Study'!#REF!</definedName>
    <definedName name="Acct41011SE" localSheetId="3">'[15]Functional Study'!#REF!</definedName>
    <definedName name="Acct41011SE" localSheetId="4">'[15]Functional Study'!#REF!</definedName>
    <definedName name="Acct41011SE" localSheetId="5">'[15]Functional Study'!#REF!</definedName>
    <definedName name="Acct41011SE" localSheetId="8">'[15]Functional Study'!#REF!</definedName>
    <definedName name="Acct41011SE" localSheetId="7">'[15]Functional Study'!#REF!</definedName>
    <definedName name="Acct41011SE" localSheetId="6">'[15]Functional Study'!#REF!</definedName>
    <definedName name="Acct41011SE" localSheetId="1">'[15]Functional Study'!#REF!</definedName>
    <definedName name="Acct41011SE" localSheetId="35">'[15]Functional Study'!#REF!</definedName>
    <definedName name="Acct41011SE" localSheetId="11">'[15]Functional Study'!#REF!</definedName>
    <definedName name="Acct41011SE" localSheetId="9">'[15]Functional Study'!#REF!</definedName>
    <definedName name="Acct41011SE" localSheetId="15">'[15]Functional Study'!#REF!</definedName>
    <definedName name="Acct41011SE" localSheetId="16">'[15]Functional Study'!#REF!</definedName>
    <definedName name="Acct41011SE" localSheetId="14">'[15]Functional Study'!#REF!</definedName>
    <definedName name="Acct41011SE" localSheetId="26">'[15]Functional Study'!#REF!</definedName>
    <definedName name="Acct41011SE" localSheetId="12">'[15]Functional Study'!#REF!</definedName>
    <definedName name="Acct41011SE" localSheetId="32">'[16]Functional Study'!#REF!</definedName>
    <definedName name="Acct41011SE">'[15]Functional Study'!#REF!</definedName>
    <definedName name="Acct41011SG1" localSheetId="2">'[15]Functional Study'!#REF!</definedName>
    <definedName name="Acct41011SG1" localSheetId="3">'[15]Functional Study'!#REF!</definedName>
    <definedName name="Acct41011SG1" localSheetId="4">'[15]Functional Study'!#REF!</definedName>
    <definedName name="Acct41011SG1" localSheetId="5">'[15]Functional Study'!#REF!</definedName>
    <definedName name="Acct41011SG1" localSheetId="8">'[15]Functional Study'!#REF!</definedName>
    <definedName name="Acct41011SG1" localSheetId="7">'[15]Functional Study'!#REF!</definedName>
    <definedName name="Acct41011SG1" localSheetId="6">'[15]Functional Study'!#REF!</definedName>
    <definedName name="Acct41011SG1" localSheetId="1">'[15]Functional Study'!#REF!</definedName>
    <definedName name="Acct41011SG1" localSheetId="35">'[15]Functional Study'!#REF!</definedName>
    <definedName name="Acct41011SG1" localSheetId="11">'[15]Functional Study'!#REF!</definedName>
    <definedName name="Acct41011SG1" localSheetId="9">'[15]Functional Study'!#REF!</definedName>
    <definedName name="Acct41011SG1" localSheetId="15">'[15]Functional Study'!#REF!</definedName>
    <definedName name="Acct41011SG1" localSheetId="16">'[15]Functional Study'!#REF!</definedName>
    <definedName name="Acct41011SG1" localSheetId="14">'[15]Functional Study'!#REF!</definedName>
    <definedName name="Acct41011SG1" localSheetId="26">'[15]Functional Study'!#REF!</definedName>
    <definedName name="Acct41011SG1" localSheetId="12">'[15]Functional Study'!#REF!</definedName>
    <definedName name="Acct41011SG1" localSheetId="32">'[16]Functional Study'!#REF!</definedName>
    <definedName name="Acct41011SG1">'[15]Functional Study'!#REF!</definedName>
    <definedName name="Acct41011SG2" localSheetId="2">'[15]Functional Study'!#REF!</definedName>
    <definedName name="Acct41011SG2" localSheetId="3">'[15]Functional Study'!#REF!</definedName>
    <definedName name="Acct41011SG2" localSheetId="4">'[15]Functional Study'!#REF!</definedName>
    <definedName name="Acct41011SG2" localSheetId="5">'[15]Functional Study'!#REF!</definedName>
    <definedName name="Acct41011SG2" localSheetId="8">'[15]Functional Study'!#REF!</definedName>
    <definedName name="Acct41011SG2" localSheetId="7">'[15]Functional Study'!#REF!</definedName>
    <definedName name="Acct41011SG2" localSheetId="6">'[15]Functional Study'!#REF!</definedName>
    <definedName name="Acct41011SG2" localSheetId="1">'[15]Functional Study'!#REF!</definedName>
    <definedName name="Acct41011SG2" localSheetId="35">'[15]Functional Study'!#REF!</definedName>
    <definedName name="Acct41011SG2" localSheetId="11">'[15]Functional Study'!#REF!</definedName>
    <definedName name="Acct41011SG2" localSheetId="9">'[15]Functional Study'!#REF!</definedName>
    <definedName name="Acct41011SG2" localSheetId="15">'[15]Functional Study'!#REF!</definedName>
    <definedName name="Acct41011SG2" localSheetId="16">'[15]Functional Study'!#REF!</definedName>
    <definedName name="Acct41011SG2" localSheetId="14">'[15]Functional Study'!#REF!</definedName>
    <definedName name="Acct41011SG2" localSheetId="26">'[15]Functional Study'!#REF!</definedName>
    <definedName name="Acct41011SG2" localSheetId="12">'[15]Functional Study'!#REF!</definedName>
    <definedName name="Acct41011SG2" localSheetId="32">'[16]Functional Study'!#REF!</definedName>
    <definedName name="Acct41011SG2">'[15]Functional Study'!#REF!</definedName>
    <definedName name="ACCT41011SGCT" localSheetId="2">'[15]Functional Study'!#REF!</definedName>
    <definedName name="ACCT41011SGCT" localSheetId="3">'[15]Functional Study'!#REF!</definedName>
    <definedName name="ACCT41011SGCT" localSheetId="4">'[15]Functional Study'!#REF!</definedName>
    <definedName name="ACCT41011SGCT" localSheetId="5">'[15]Functional Study'!#REF!</definedName>
    <definedName name="ACCT41011SGCT" localSheetId="8">'[15]Functional Study'!#REF!</definedName>
    <definedName name="ACCT41011SGCT" localSheetId="7">'[15]Functional Study'!#REF!</definedName>
    <definedName name="ACCT41011SGCT" localSheetId="6">'[15]Functional Study'!#REF!</definedName>
    <definedName name="ACCT41011SGCT" localSheetId="1">'[15]Functional Study'!#REF!</definedName>
    <definedName name="ACCT41011SGCT" localSheetId="35">'[15]Functional Study'!#REF!</definedName>
    <definedName name="ACCT41011SGCT" localSheetId="11">'[15]Functional Study'!#REF!</definedName>
    <definedName name="ACCT41011SGCT" localSheetId="9">'[15]Functional Study'!#REF!</definedName>
    <definedName name="ACCT41011SGCT" localSheetId="15">'[15]Functional Study'!#REF!</definedName>
    <definedName name="ACCT41011SGCT" localSheetId="16">'[15]Functional Study'!#REF!</definedName>
    <definedName name="ACCT41011SGCT" localSheetId="14">'[15]Functional Study'!#REF!</definedName>
    <definedName name="ACCT41011SGCT" localSheetId="26">'[15]Functional Study'!#REF!</definedName>
    <definedName name="ACCT41011SGCT" localSheetId="12">'[15]Functional Study'!#REF!</definedName>
    <definedName name="ACCT41011SGCT" localSheetId="32">'[16]Functional Study'!#REF!</definedName>
    <definedName name="ACCT41011SGCT">'[15]Functional Study'!#REF!</definedName>
    <definedName name="Acct41011SGPP" localSheetId="2">'[15]Functional Study'!#REF!</definedName>
    <definedName name="Acct41011SGPP" localSheetId="3">'[15]Functional Study'!#REF!</definedName>
    <definedName name="Acct41011SGPP" localSheetId="4">'[15]Functional Study'!#REF!</definedName>
    <definedName name="Acct41011SGPP" localSheetId="5">'[15]Functional Study'!#REF!</definedName>
    <definedName name="Acct41011SGPP" localSheetId="8">'[15]Functional Study'!#REF!</definedName>
    <definedName name="Acct41011SGPP" localSheetId="7">'[15]Functional Study'!#REF!</definedName>
    <definedName name="Acct41011SGPP" localSheetId="6">'[15]Functional Study'!#REF!</definedName>
    <definedName name="Acct41011SGPP" localSheetId="1">'[15]Functional Study'!#REF!</definedName>
    <definedName name="Acct41011SGPP" localSheetId="35">'[15]Functional Study'!#REF!</definedName>
    <definedName name="Acct41011SGPP" localSheetId="11">'[15]Functional Study'!#REF!</definedName>
    <definedName name="Acct41011SGPP" localSheetId="9">'[15]Functional Study'!#REF!</definedName>
    <definedName name="Acct41011SGPP" localSheetId="15">'[15]Functional Study'!#REF!</definedName>
    <definedName name="Acct41011SGPP" localSheetId="16">'[15]Functional Study'!#REF!</definedName>
    <definedName name="Acct41011SGPP" localSheetId="14">'[15]Functional Study'!#REF!</definedName>
    <definedName name="Acct41011SGPP" localSheetId="26">'[15]Functional Study'!#REF!</definedName>
    <definedName name="Acct41011SGPP" localSheetId="12">'[15]Functional Study'!#REF!</definedName>
    <definedName name="Acct41011SGPP" localSheetId="32">'[16]Functional Study'!#REF!</definedName>
    <definedName name="Acct41011SGPP">'[15]Functional Study'!#REF!</definedName>
    <definedName name="Acct41011SNP" localSheetId="2">'[15]Functional Study'!#REF!</definedName>
    <definedName name="Acct41011SNP" localSheetId="3">'[15]Functional Study'!#REF!</definedName>
    <definedName name="Acct41011SNP" localSheetId="4">'[15]Functional Study'!#REF!</definedName>
    <definedName name="Acct41011SNP" localSheetId="5">'[15]Functional Study'!#REF!</definedName>
    <definedName name="Acct41011SNP" localSheetId="8">'[15]Functional Study'!#REF!</definedName>
    <definedName name="Acct41011SNP" localSheetId="7">'[15]Functional Study'!#REF!</definedName>
    <definedName name="Acct41011SNP" localSheetId="6">'[15]Functional Study'!#REF!</definedName>
    <definedName name="Acct41011SNP" localSheetId="1">'[15]Functional Study'!#REF!</definedName>
    <definedName name="Acct41011SNP" localSheetId="35">'[15]Functional Study'!#REF!</definedName>
    <definedName name="Acct41011SNP" localSheetId="11">'[15]Functional Study'!#REF!</definedName>
    <definedName name="Acct41011SNP" localSheetId="9">'[15]Functional Study'!#REF!</definedName>
    <definedName name="Acct41011SNP" localSheetId="15">'[15]Functional Study'!#REF!</definedName>
    <definedName name="Acct41011SNP" localSheetId="16">'[15]Functional Study'!#REF!</definedName>
    <definedName name="Acct41011SNP" localSheetId="14">'[15]Functional Study'!#REF!</definedName>
    <definedName name="Acct41011SNP" localSheetId="26">'[15]Functional Study'!#REF!</definedName>
    <definedName name="Acct41011SNP" localSheetId="12">'[15]Functional Study'!#REF!</definedName>
    <definedName name="Acct41011SNP" localSheetId="32">'[16]Functional Study'!#REF!</definedName>
    <definedName name="Acct41011SNP">'[15]Functional Study'!#REF!</definedName>
    <definedName name="ACCT41011SNPD" localSheetId="2">'[15]Functional Study'!#REF!</definedName>
    <definedName name="ACCT41011SNPD" localSheetId="3">'[15]Functional Study'!#REF!</definedName>
    <definedName name="ACCT41011SNPD" localSheetId="4">'[15]Functional Study'!#REF!</definedName>
    <definedName name="ACCT41011SNPD" localSheetId="5">'[15]Functional Study'!#REF!</definedName>
    <definedName name="ACCT41011SNPD" localSheetId="8">'[15]Functional Study'!#REF!</definedName>
    <definedName name="ACCT41011SNPD" localSheetId="7">'[15]Functional Study'!#REF!</definedName>
    <definedName name="ACCT41011SNPD" localSheetId="6">'[15]Functional Study'!#REF!</definedName>
    <definedName name="ACCT41011SNPD" localSheetId="1">'[15]Functional Study'!#REF!</definedName>
    <definedName name="ACCT41011SNPD" localSheetId="35">'[15]Functional Study'!#REF!</definedName>
    <definedName name="ACCT41011SNPD" localSheetId="11">'[15]Functional Study'!#REF!</definedName>
    <definedName name="ACCT41011SNPD" localSheetId="9">'[15]Functional Study'!#REF!</definedName>
    <definedName name="ACCT41011SNPD" localSheetId="15">'[15]Functional Study'!#REF!</definedName>
    <definedName name="ACCT41011SNPD" localSheetId="16">'[15]Functional Study'!#REF!</definedName>
    <definedName name="ACCT41011SNPD" localSheetId="14">'[15]Functional Study'!#REF!</definedName>
    <definedName name="ACCT41011SNPD" localSheetId="26">'[15]Functional Study'!#REF!</definedName>
    <definedName name="ACCT41011SNPD" localSheetId="12">'[15]Functional Study'!#REF!</definedName>
    <definedName name="ACCT41011SNPD" localSheetId="32">'[16]Functional Study'!#REF!</definedName>
    <definedName name="ACCT41011SNPD">'[15]Functional Study'!#REF!</definedName>
    <definedName name="Acct41011SO" localSheetId="2">'[15]Functional Study'!#REF!</definedName>
    <definedName name="Acct41011SO" localSheetId="3">'[15]Functional Study'!#REF!</definedName>
    <definedName name="Acct41011SO" localSheetId="4">'[15]Functional Study'!#REF!</definedName>
    <definedName name="Acct41011SO" localSheetId="5">'[15]Functional Study'!#REF!</definedName>
    <definedName name="Acct41011SO" localSheetId="8">'[15]Functional Study'!#REF!</definedName>
    <definedName name="Acct41011SO" localSheetId="7">'[15]Functional Study'!#REF!</definedName>
    <definedName name="Acct41011SO" localSheetId="6">'[15]Functional Study'!#REF!</definedName>
    <definedName name="Acct41011SO" localSheetId="1">'[15]Functional Study'!#REF!</definedName>
    <definedName name="Acct41011SO" localSheetId="35">'[15]Functional Study'!#REF!</definedName>
    <definedName name="Acct41011SO" localSheetId="11">'[15]Functional Study'!#REF!</definedName>
    <definedName name="Acct41011SO" localSheetId="9">'[15]Functional Study'!#REF!</definedName>
    <definedName name="Acct41011SO" localSheetId="15">'[15]Functional Study'!#REF!</definedName>
    <definedName name="Acct41011SO" localSheetId="16">'[15]Functional Study'!#REF!</definedName>
    <definedName name="Acct41011SO" localSheetId="14">'[15]Functional Study'!#REF!</definedName>
    <definedName name="Acct41011SO" localSheetId="26">'[15]Functional Study'!#REF!</definedName>
    <definedName name="Acct41011SO" localSheetId="12">'[15]Functional Study'!#REF!</definedName>
    <definedName name="Acct41011SO" localSheetId="32">'[16]Functional Study'!#REF!</definedName>
    <definedName name="Acct41011SO">'[15]Functional Study'!#REF!</definedName>
    <definedName name="Acct41011TROJP" localSheetId="2">'[15]Functional Study'!#REF!</definedName>
    <definedName name="Acct41011TROJP" localSheetId="3">'[15]Functional Study'!#REF!</definedName>
    <definedName name="Acct41011TROJP" localSheetId="4">'[15]Functional Study'!#REF!</definedName>
    <definedName name="Acct41011TROJP" localSheetId="5">'[15]Functional Study'!#REF!</definedName>
    <definedName name="Acct41011TROJP" localSheetId="8">'[15]Functional Study'!#REF!</definedName>
    <definedName name="Acct41011TROJP" localSheetId="7">'[15]Functional Study'!#REF!</definedName>
    <definedName name="Acct41011TROJP" localSheetId="6">'[15]Functional Study'!#REF!</definedName>
    <definedName name="Acct41011TROJP" localSheetId="1">'[15]Functional Study'!#REF!</definedName>
    <definedName name="Acct41011TROJP" localSheetId="35">'[15]Functional Study'!#REF!</definedName>
    <definedName name="Acct41011TROJP" localSheetId="11">'[15]Functional Study'!#REF!</definedName>
    <definedName name="Acct41011TROJP" localSheetId="9">'[15]Functional Study'!#REF!</definedName>
    <definedName name="Acct41011TROJP" localSheetId="15">'[15]Functional Study'!#REF!</definedName>
    <definedName name="Acct41011TROJP" localSheetId="16">'[15]Functional Study'!#REF!</definedName>
    <definedName name="Acct41011TROJP" localSheetId="14">'[15]Functional Study'!#REF!</definedName>
    <definedName name="Acct41011TROJP" localSheetId="26">'[15]Functional Study'!#REF!</definedName>
    <definedName name="Acct41011TROJP" localSheetId="12">'[15]Functional Study'!#REF!</definedName>
    <definedName name="Acct41011TROJP" localSheetId="32">'[16]Functional Study'!#REF!</definedName>
    <definedName name="Acct41011TROJP">'[15]Functional Study'!#REF!</definedName>
    <definedName name="Acct41111" localSheetId="2">'[15]Functional Study'!#REF!</definedName>
    <definedName name="Acct41111" localSheetId="3">'[15]Functional Study'!#REF!</definedName>
    <definedName name="Acct41111" localSheetId="4">'[15]Functional Study'!#REF!</definedName>
    <definedName name="Acct41111" localSheetId="5">'[15]Functional Study'!#REF!</definedName>
    <definedName name="Acct41111" localSheetId="8">'[15]Functional Study'!#REF!</definedName>
    <definedName name="Acct41111" localSheetId="7">'[15]Functional Study'!#REF!</definedName>
    <definedName name="Acct41111" localSheetId="6">'[15]Functional Study'!#REF!</definedName>
    <definedName name="Acct41111" localSheetId="1">'[15]Functional Study'!#REF!</definedName>
    <definedName name="Acct41111" localSheetId="35">'[15]Functional Study'!#REF!</definedName>
    <definedName name="Acct41111" localSheetId="11">'[15]Functional Study'!#REF!</definedName>
    <definedName name="Acct41111" localSheetId="9">'[15]Functional Study'!#REF!</definedName>
    <definedName name="Acct41111" localSheetId="15">'[15]Functional Study'!#REF!</definedName>
    <definedName name="Acct41111" localSheetId="16">'[15]Functional Study'!#REF!</definedName>
    <definedName name="Acct41111" localSheetId="14">'[15]Functional Study'!#REF!</definedName>
    <definedName name="Acct41111" localSheetId="26">'[15]Functional Study'!#REF!</definedName>
    <definedName name="Acct41111" localSheetId="12">'[15]Functional Study'!#REF!</definedName>
    <definedName name="Acct41111" localSheetId="32">'[16]Functional Study'!#REF!</definedName>
    <definedName name="Acct41111">'[15]Functional Study'!#REF!</definedName>
    <definedName name="Acct41111BADDEBT" localSheetId="2">'[15]Functional Study'!#REF!</definedName>
    <definedName name="Acct41111BADDEBT" localSheetId="3">'[15]Functional Study'!#REF!</definedName>
    <definedName name="Acct41111BADDEBT" localSheetId="4">'[15]Functional Study'!#REF!</definedName>
    <definedName name="Acct41111BADDEBT" localSheetId="5">'[15]Functional Study'!#REF!</definedName>
    <definedName name="Acct41111BADDEBT" localSheetId="8">'[15]Functional Study'!#REF!</definedName>
    <definedName name="Acct41111BADDEBT" localSheetId="7">'[15]Functional Study'!#REF!</definedName>
    <definedName name="Acct41111BADDEBT" localSheetId="6">'[15]Functional Study'!#REF!</definedName>
    <definedName name="Acct41111BADDEBT" localSheetId="1">'[15]Functional Study'!#REF!</definedName>
    <definedName name="Acct41111BADDEBT" localSheetId="35">'[15]Functional Study'!#REF!</definedName>
    <definedName name="Acct41111BADDEBT" localSheetId="11">'[15]Functional Study'!#REF!</definedName>
    <definedName name="Acct41111BADDEBT" localSheetId="9">'[15]Functional Study'!#REF!</definedName>
    <definedName name="Acct41111BADDEBT" localSheetId="15">'[15]Functional Study'!#REF!</definedName>
    <definedName name="Acct41111BADDEBT" localSheetId="16">'[15]Functional Study'!#REF!</definedName>
    <definedName name="Acct41111BADDEBT" localSheetId="14">'[15]Functional Study'!#REF!</definedName>
    <definedName name="Acct41111BADDEBT" localSheetId="26">'[15]Functional Study'!#REF!</definedName>
    <definedName name="Acct41111BADDEBT" localSheetId="12">'[15]Functional Study'!#REF!</definedName>
    <definedName name="Acct41111BADDEBT" localSheetId="32">'[16]Functional Study'!#REF!</definedName>
    <definedName name="Acct41111BADDEBT">'[15]Functional Study'!#REF!</definedName>
    <definedName name="Acct41111DITEXP" localSheetId="2">'[15]Functional Study'!#REF!</definedName>
    <definedName name="Acct41111DITEXP" localSheetId="3">'[15]Functional Study'!#REF!</definedName>
    <definedName name="Acct41111DITEXP" localSheetId="4">'[15]Functional Study'!#REF!</definedName>
    <definedName name="Acct41111DITEXP" localSheetId="5">'[15]Functional Study'!#REF!</definedName>
    <definedName name="Acct41111DITEXP" localSheetId="8">'[15]Functional Study'!#REF!</definedName>
    <definedName name="Acct41111DITEXP" localSheetId="7">'[15]Functional Study'!#REF!</definedName>
    <definedName name="Acct41111DITEXP" localSheetId="6">'[15]Functional Study'!#REF!</definedName>
    <definedName name="Acct41111DITEXP" localSheetId="1">'[15]Functional Study'!#REF!</definedName>
    <definedName name="Acct41111DITEXP" localSheetId="35">'[15]Functional Study'!#REF!</definedName>
    <definedName name="Acct41111DITEXP" localSheetId="11">'[15]Functional Study'!#REF!</definedName>
    <definedName name="Acct41111DITEXP" localSheetId="9">'[15]Functional Study'!#REF!</definedName>
    <definedName name="Acct41111DITEXP" localSheetId="15">'[15]Functional Study'!#REF!</definedName>
    <definedName name="Acct41111DITEXP" localSheetId="16">'[15]Functional Study'!#REF!</definedName>
    <definedName name="Acct41111DITEXP" localSheetId="14">'[15]Functional Study'!#REF!</definedName>
    <definedName name="Acct41111DITEXP" localSheetId="26">'[15]Functional Study'!#REF!</definedName>
    <definedName name="Acct41111DITEXP" localSheetId="12">'[15]Functional Study'!#REF!</definedName>
    <definedName name="Acct41111DITEXP" localSheetId="32">'[16]Functional Study'!#REF!</definedName>
    <definedName name="Acct41111DITEXP">'[15]Functional Study'!#REF!</definedName>
    <definedName name="Acct41111S" localSheetId="2">'[15]Functional Study'!#REF!</definedName>
    <definedName name="Acct41111S" localSheetId="3">'[15]Functional Study'!#REF!</definedName>
    <definedName name="Acct41111S" localSheetId="4">'[15]Functional Study'!#REF!</definedName>
    <definedName name="Acct41111S" localSheetId="5">'[15]Functional Study'!#REF!</definedName>
    <definedName name="Acct41111S" localSheetId="8">'[15]Functional Study'!#REF!</definedName>
    <definedName name="Acct41111S" localSheetId="7">'[15]Functional Study'!#REF!</definedName>
    <definedName name="Acct41111S" localSheetId="6">'[15]Functional Study'!#REF!</definedName>
    <definedName name="Acct41111S" localSheetId="1">'[15]Functional Study'!#REF!</definedName>
    <definedName name="Acct41111S" localSheetId="35">'[15]Functional Study'!#REF!</definedName>
    <definedName name="Acct41111S" localSheetId="11">'[15]Functional Study'!#REF!</definedName>
    <definedName name="Acct41111S" localSheetId="9">'[15]Functional Study'!#REF!</definedName>
    <definedName name="Acct41111S" localSheetId="15">'[15]Functional Study'!#REF!</definedName>
    <definedName name="Acct41111S" localSheetId="16">'[15]Functional Study'!#REF!</definedName>
    <definedName name="Acct41111S" localSheetId="14">'[15]Functional Study'!#REF!</definedName>
    <definedName name="Acct41111S" localSheetId="26">'[15]Functional Study'!#REF!</definedName>
    <definedName name="Acct41111S" localSheetId="12">'[15]Functional Study'!#REF!</definedName>
    <definedName name="Acct41111S" localSheetId="32">'[16]Functional Study'!#REF!</definedName>
    <definedName name="Acct41111S">'[15]Functional Study'!#REF!</definedName>
    <definedName name="Acct41111SE" localSheetId="2">'[15]Functional Study'!#REF!</definedName>
    <definedName name="Acct41111SE" localSheetId="3">'[15]Functional Study'!#REF!</definedName>
    <definedName name="Acct41111SE" localSheetId="4">'[15]Functional Study'!#REF!</definedName>
    <definedName name="Acct41111SE" localSheetId="5">'[15]Functional Study'!#REF!</definedName>
    <definedName name="Acct41111SE" localSheetId="8">'[15]Functional Study'!#REF!</definedName>
    <definedName name="Acct41111SE" localSheetId="7">'[15]Functional Study'!#REF!</definedName>
    <definedName name="Acct41111SE" localSheetId="6">'[15]Functional Study'!#REF!</definedName>
    <definedName name="Acct41111SE" localSheetId="1">'[15]Functional Study'!#REF!</definedName>
    <definedName name="Acct41111SE" localSheetId="35">'[15]Functional Study'!#REF!</definedName>
    <definedName name="Acct41111SE" localSheetId="11">'[15]Functional Study'!#REF!</definedName>
    <definedName name="Acct41111SE" localSheetId="9">'[15]Functional Study'!#REF!</definedName>
    <definedName name="Acct41111SE" localSheetId="15">'[15]Functional Study'!#REF!</definedName>
    <definedName name="Acct41111SE" localSheetId="16">'[15]Functional Study'!#REF!</definedName>
    <definedName name="Acct41111SE" localSheetId="14">'[15]Functional Study'!#REF!</definedName>
    <definedName name="Acct41111SE" localSheetId="26">'[15]Functional Study'!#REF!</definedName>
    <definedName name="Acct41111SE" localSheetId="12">'[15]Functional Study'!#REF!</definedName>
    <definedName name="Acct41111SE" localSheetId="32">'[16]Functional Study'!#REF!</definedName>
    <definedName name="Acct41111SE">'[15]Functional Study'!#REF!</definedName>
    <definedName name="Acct41111SG1" localSheetId="2">'[15]Functional Study'!#REF!</definedName>
    <definedName name="Acct41111SG1" localSheetId="3">'[15]Functional Study'!#REF!</definedName>
    <definedName name="Acct41111SG1" localSheetId="4">'[15]Functional Study'!#REF!</definedName>
    <definedName name="Acct41111SG1" localSheetId="5">'[15]Functional Study'!#REF!</definedName>
    <definedName name="Acct41111SG1" localSheetId="8">'[15]Functional Study'!#REF!</definedName>
    <definedName name="Acct41111SG1" localSheetId="7">'[15]Functional Study'!#REF!</definedName>
    <definedName name="Acct41111SG1" localSheetId="6">'[15]Functional Study'!#REF!</definedName>
    <definedName name="Acct41111SG1" localSheetId="1">'[15]Functional Study'!#REF!</definedName>
    <definedName name="Acct41111SG1" localSheetId="35">'[15]Functional Study'!#REF!</definedName>
    <definedName name="Acct41111SG1" localSheetId="11">'[15]Functional Study'!#REF!</definedName>
    <definedName name="Acct41111SG1" localSheetId="9">'[15]Functional Study'!#REF!</definedName>
    <definedName name="Acct41111SG1" localSheetId="15">'[15]Functional Study'!#REF!</definedName>
    <definedName name="Acct41111SG1" localSheetId="16">'[15]Functional Study'!#REF!</definedName>
    <definedName name="Acct41111SG1" localSheetId="14">'[15]Functional Study'!#REF!</definedName>
    <definedName name="Acct41111SG1" localSheetId="26">'[15]Functional Study'!#REF!</definedName>
    <definedName name="Acct41111SG1" localSheetId="12">'[15]Functional Study'!#REF!</definedName>
    <definedName name="Acct41111SG1" localSheetId="32">'[16]Functional Study'!#REF!</definedName>
    <definedName name="Acct41111SG1">'[15]Functional Study'!#REF!</definedName>
    <definedName name="Acct41111SG2" localSheetId="2">'[15]Functional Study'!#REF!</definedName>
    <definedName name="Acct41111SG2" localSheetId="3">'[15]Functional Study'!#REF!</definedName>
    <definedName name="Acct41111SG2" localSheetId="4">'[15]Functional Study'!#REF!</definedName>
    <definedName name="Acct41111SG2" localSheetId="5">'[15]Functional Study'!#REF!</definedName>
    <definedName name="Acct41111SG2" localSheetId="8">'[15]Functional Study'!#REF!</definedName>
    <definedName name="Acct41111SG2" localSheetId="7">'[15]Functional Study'!#REF!</definedName>
    <definedName name="Acct41111SG2" localSheetId="6">'[15]Functional Study'!#REF!</definedName>
    <definedName name="Acct41111SG2" localSheetId="1">'[15]Functional Study'!#REF!</definedName>
    <definedName name="Acct41111SG2" localSheetId="35">'[15]Functional Study'!#REF!</definedName>
    <definedName name="Acct41111SG2" localSheetId="11">'[15]Functional Study'!#REF!</definedName>
    <definedName name="Acct41111SG2" localSheetId="9">'[15]Functional Study'!#REF!</definedName>
    <definedName name="Acct41111SG2" localSheetId="15">'[15]Functional Study'!#REF!</definedName>
    <definedName name="Acct41111SG2" localSheetId="16">'[15]Functional Study'!#REF!</definedName>
    <definedName name="Acct41111SG2" localSheetId="14">'[15]Functional Study'!#REF!</definedName>
    <definedName name="Acct41111SG2" localSheetId="26">'[15]Functional Study'!#REF!</definedName>
    <definedName name="Acct41111SG2" localSheetId="12">'[15]Functional Study'!#REF!</definedName>
    <definedName name="Acct41111SG2" localSheetId="32">'[16]Functional Study'!#REF!</definedName>
    <definedName name="Acct41111SG2">'[15]Functional Study'!#REF!</definedName>
    <definedName name="Acct41111SG3" localSheetId="2">'[15]Functional Study'!#REF!</definedName>
    <definedName name="Acct41111SG3" localSheetId="3">'[15]Functional Study'!#REF!</definedName>
    <definedName name="Acct41111SG3" localSheetId="4">'[15]Functional Study'!#REF!</definedName>
    <definedName name="Acct41111SG3" localSheetId="5">'[15]Functional Study'!#REF!</definedName>
    <definedName name="Acct41111SG3" localSheetId="8">'[15]Functional Study'!#REF!</definedName>
    <definedName name="Acct41111SG3" localSheetId="7">'[15]Functional Study'!#REF!</definedName>
    <definedName name="Acct41111SG3" localSheetId="6">'[15]Functional Study'!#REF!</definedName>
    <definedName name="Acct41111SG3" localSheetId="1">'[15]Functional Study'!#REF!</definedName>
    <definedName name="Acct41111SG3" localSheetId="35">'[15]Functional Study'!#REF!</definedName>
    <definedName name="Acct41111SG3" localSheetId="11">'[15]Functional Study'!#REF!</definedName>
    <definedName name="Acct41111SG3" localSheetId="9">'[15]Functional Study'!#REF!</definedName>
    <definedName name="Acct41111SG3" localSheetId="15">'[15]Functional Study'!#REF!</definedName>
    <definedName name="Acct41111SG3" localSheetId="16">'[15]Functional Study'!#REF!</definedName>
    <definedName name="Acct41111SG3" localSheetId="14">'[15]Functional Study'!#REF!</definedName>
    <definedName name="Acct41111SG3" localSheetId="26">'[15]Functional Study'!#REF!</definedName>
    <definedName name="Acct41111SG3" localSheetId="12">'[15]Functional Study'!#REF!</definedName>
    <definedName name="Acct41111SG3" localSheetId="32">'[16]Functional Study'!#REF!</definedName>
    <definedName name="Acct41111SG3">'[15]Functional Study'!#REF!</definedName>
    <definedName name="Acct41111SGPP" localSheetId="2">'[15]Functional Study'!#REF!</definedName>
    <definedName name="Acct41111SGPP" localSheetId="3">'[15]Functional Study'!#REF!</definedName>
    <definedName name="Acct41111SGPP" localSheetId="4">'[15]Functional Study'!#REF!</definedName>
    <definedName name="Acct41111SGPP" localSheetId="5">'[15]Functional Study'!#REF!</definedName>
    <definedName name="Acct41111SGPP" localSheetId="8">'[15]Functional Study'!#REF!</definedName>
    <definedName name="Acct41111SGPP" localSheetId="7">'[15]Functional Study'!#REF!</definedName>
    <definedName name="Acct41111SGPP" localSheetId="6">'[15]Functional Study'!#REF!</definedName>
    <definedName name="Acct41111SGPP" localSheetId="1">'[15]Functional Study'!#REF!</definedName>
    <definedName name="Acct41111SGPP" localSheetId="35">'[15]Functional Study'!#REF!</definedName>
    <definedName name="Acct41111SGPP" localSheetId="11">'[15]Functional Study'!#REF!</definedName>
    <definedName name="Acct41111SGPP" localSheetId="9">'[15]Functional Study'!#REF!</definedName>
    <definedName name="Acct41111SGPP" localSheetId="15">'[15]Functional Study'!#REF!</definedName>
    <definedName name="Acct41111SGPP" localSheetId="16">'[15]Functional Study'!#REF!</definedName>
    <definedName name="Acct41111SGPP" localSheetId="14">'[15]Functional Study'!#REF!</definedName>
    <definedName name="Acct41111SGPP" localSheetId="26">'[15]Functional Study'!#REF!</definedName>
    <definedName name="Acct41111SGPP" localSheetId="12">'[15]Functional Study'!#REF!</definedName>
    <definedName name="Acct41111SGPP" localSheetId="32">'[16]Functional Study'!#REF!</definedName>
    <definedName name="Acct41111SGPP">'[15]Functional Study'!#REF!</definedName>
    <definedName name="Acct41111SNP" localSheetId="2">'[15]Functional Study'!#REF!</definedName>
    <definedName name="Acct41111SNP" localSheetId="3">'[15]Functional Study'!#REF!</definedName>
    <definedName name="Acct41111SNP" localSheetId="4">'[15]Functional Study'!#REF!</definedName>
    <definedName name="Acct41111SNP" localSheetId="5">'[15]Functional Study'!#REF!</definedName>
    <definedName name="Acct41111SNP" localSheetId="8">'[15]Functional Study'!#REF!</definedName>
    <definedName name="Acct41111SNP" localSheetId="7">'[15]Functional Study'!#REF!</definedName>
    <definedName name="Acct41111SNP" localSheetId="6">'[15]Functional Study'!#REF!</definedName>
    <definedName name="Acct41111SNP" localSheetId="1">'[15]Functional Study'!#REF!</definedName>
    <definedName name="Acct41111SNP" localSheetId="35">'[15]Functional Study'!#REF!</definedName>
    <definedName name="Acct41111SNP" localSheetId="11">'[15]Functional Study'!#REF!</definedName>
    <definedName name="Acct41111SNP" localSheetId="9">'[15]Functional Study'!#REF!</definedName>
    <definedName name="Acct41111SNP" localSheetId="15">'[15]Functional Study'!#REF!</definedName>
    <definedName name="Acct41111SNP" localSheetId="16">'[15]Functional Study'!#REF!</definedName>
    <definedName name="Acct41111SNP" localSheetId="14">'[15]Functional Study'!#REF!</definedName>
    <definedName name="Acct41111SNP" localSheetId="26">'[15]Functional Study'!#REF!</definedName>
    <definedName name="Acct41111SNP" localSheetId="12">'[15]Functional Study'!#REF!</definedName>
    <definedName name="Acct41111SNP" localSheetId="32">'[16]Functional Study'!#REF!</definedName>
    <definedName name="Acct41111SNP">'[15]Functional Study'!#REF!</definedName>
    <definedName name="Acct41111SNTP" localSheetId="2">'[15]Functional Study'!#REF!</definedName>
    <definedName name="Acct41111SNTP" localSheetId="3">'[15]Functional Study'!#REF!</definedName>
    <definedName name="Acct41111SNTP" localSheetId="4">'[15]Functional Study'!#REF!</definedName>
    <definedName name="Acct41111SNTP" localSheetId="5">'[15]Functional Study'!#REF!</definedName>
    <definedName name="Acct41111SNTP" localSheetId="8">'[15]Functional Study'!#REF!</definedName>
    <definedName name="Acct41111SNTP" localSheetId="7">'[15]Functional Study'!#REF!</definedName>
    <definedName name="Acct41111SNTP" localSheetId="6">'[15]Functional Study'!#REF!</definedName>
    <definedName name="Acct41111SNTP" localSheetId="1">'[15]Functional Study'!#REF!</definedName>
    <definedName name="Acct41111SNTP" localSheetId="35">'[15]Functional Study'!#REF!</definedName>
    <definedName name="Acct41111SNTP" localSheetId="11">'[15]Functional Study'!#REF!</definedName>
    <definedName name="Acct41111SNTP" localSheetId="9">'[15]Functional Study'!#REF!</definedName>
    <definedName name="Acct41111SNTP" localSheetId="15">'[15]Functional Study'!#REF!</definedName>
    <definedName name="Acct41111SNTP" localSheetId="16">'[15]Functional Study'!#REF!</definedName>
    <definedName name="Acct41111SNTP" localSheetId="14">'[15]Functional Study'!#REF!</definedName>
    <definedName name="Acct41111SNTP" localSheetId="26">'[15]Functional Study'!#REF!</definedName>
    <definedName name="Acct41111SNTP" localSheetId="12">'[15]Functional Study'!#REF!</definedName>
    <definedName name="Acct41111SNTP" localSheetId="32">'[16]Functional Study'!#REF!</definedName>
    <definedName name="Acct41111SNTP">'[15]Functional Study'!#REF!</definedName>
    <definedName name="Acct41111SO" localSheetId="2">'[15]Functional Study'!#REF!</definedName>
    <definedName name="Acct41111SO" localSheetId="3">'[15]Functional Study'!#REF!</definedName>
    <definedName name="Acct41111SO" localSheetId="4">'[15]Functional Study'!#REF!</definedName>
    <definedName name="Acct41111SO" localSheetId="5">'[15]Functional Study'!#REF!</definedName>
    <definedName name="Acct41111SO" localSheetId="8">'[15]Functional Study'!#REF!</definedName>
    <definedName name="Acct41111SO" localSheetId="7">'[15]Functional Study'!#REF!</definedName>
    <definedName name="Acct41111SO" localSheetId="6">'[15]Functional Study'!#REF!</definedName>
    <definedName name="Acct41111SO" localSheetId="1">'[15]Functional Study'!#REF!</definedName>
    <definedName name="Acct41111SO" localSheetId="35">'[15]Functional Study'!#REF!</definedName>
    <definedName name="Acct41111SO" localSheetId="11">'[15]Functional Study'!#REF!</definedName>
    <definedName name="Acct41111SO" localSheetId="9">'[15]Functional Study'!#REF!</definedName>
    <definedName name="Acct41111SO" localSheetId="15">'[15]Functional Study'!#REF!</definedName>
    <definedName name="Acct41111SO" localSheetId="16">'[15]Functional Study'!#REF!</definedName>
    <definedName name="Acct41111SO" localSheetId="14">'[15]Functional Study'!#REF!</definedName>
    <definedName name="Acct41111SO" localSheetId="26">'[15]Functional Study'!#REF!</definedName>
    <definedName name="Acct41111SO" localSheetId="12">'[15]Functional Study'!#REF!</definedName>
    <definedName name="Acct41111SO" localSheetId="32">'[16]Functional Study'!#REF!</definedName>
    <definedName name="Acct41111SO">'[15]Functional Study'!#REF!</definedName>
    <definedName name="Acct41111TROJP" localSheetId="2">'[15]Functional Study'!#REF!</definedName>
    <definedName name="Acct41111TROJP" localSheetId="3">'[15]Functional Study'!#REF!</definedName>
    <definedName name="Acct41111TROJP" localSheetId="4">'[15]Functional Study'!#REF!</definedName>
    <definedName name="Acct41111TROJP" localSheetId="5">'[15]Functional Study'!#REF!</definedName>
    <definedName name="Acct41111TROJP" localSheetId="8">'[15]Functional Study'!#REF!</definedName>
    <definedName name="Acct41111TROJP" localSheetId="7">'[15]Functional Study'!#REF!</definedName>
    <definedName name="Acct41111TROJP" localSheetId="6">'[15]Functional Study'!#REF!</definedName>
    <definedName name="Acct41111TROJP" localSheetId="1">'[15]Functional Study'!#REF!</definedName>
    <definedName name="Acct41111TROJP" localSheetId="35">'[15]Functional Study'!#REF!</definedName>
    <definedName name="Acct41111TROJP" localSheetId="11">'[15]Functional Study'!#REF!</definedName>
    <definedName name="Acct41111TROJP" localSheetId="9">'[15]Functional Study'!#REF!</definedName>
    <definedName name="Acct41111TROJP" localSheetId="15">'[15]Functional Study'!#REF!</definedName>
    <definedName name="Acct41111TROJP" localSheetId="16">'[15]Functional Study'!#REF!</definedName>
    <definedName name="Acct41111TROJP" localSheetId="14">'[15]Functional Study'!#REF!</definedName>
    <definedName name="Acct41111TROJP" localSheetId="26">'[15]Functional Study'!#REF!</definedName>
    <definedName name="Acct41111TROJP" localSheetId="12">'[15]Functional Study'!#REF!</definedName>
    <definedName name="Acct41111TROJP" localSheetId="32">'[16]Functional Study'!#REF!</definedName>
    <definedName name="Acct41111TROJP">'[15]Functional Study'!#REF!</definedName>
    <definedName name="Acct411BADDEBT" localSheetId="2">'[15]Functional Study'!#REF!</definedName>
    <definedName name="Acct411BADDEBT" localSheetId="3">'[15]Functional Study'!#REF!</definedName>
    <definedName name="Acct411BADDEBT" localSheetId="4">'[15]Functional Study'!#REF!</definedName>
    <definedName name="Acct411BADDEBT" localSheetId="5">'[15]Functional Study'!#REF!</definedName>
    <definedName name="Acct411BADDEBT" localSheetId="8">'[15]Functional Study'!#REF!</definedName>
    <definedName name="Acct411BADDEBT" localSheetId="7">'[15]Functional Study'!#REF!</definedName>
    <definedName name="Acct411BADDEBT" localSheetId="6">'[15]Functional Study'!#REF!</definedName>
    <definedName name="Acct411BADDEBT" localSheetId="1">'[15]Functional Study'!#REF!</definedName>
    <definedName name="Acct411BADDEBT" localSheetId="35">'[15]Functional Study'!#REF!</definedName>
    <definedName name="Acct411BADDEBT" localSheetId="11">'[15]Functional Study'!#REF!</definedName>
    <definedName name="Acct411BADDEBT" localSheetId="9">'[15]Functional Study'!#REF!</definedName>
    <definedName name="Acct411BADDEBT" localSheetId="15">'[15]Functional Study'!#REF!</definedName>
    <definedName name="Acct411BADDEBT" localSheetId="16">'[15]Functional Study'!#REF!</definedName>
    <definedName name="Acct411BADDEBT" localSheetId="14">'[15]Functional Study'!#REF!</definedName>
    <definedName name="Acct411BADDEBT" localSheetId="26">'[15]Functional Study'!#REF!</definedName>
    <definedName name="Acct411BADDEBT" localSheetId="12">'[15]Functional Study'!#REF!</definedName>
    <definedName name="Acct411BADDEBT" localSheetId="32">'[16]Functional Study'!#REF!</definedName>
    <definedName name="Acct411BADDEBT">'[15]Functional Study'!#REF!</definedName>
    <definedName name="Acct411DGP" localSheetId="2">'[15]Functional Study'!#REF!</definedName>
    <definedName name="Acct411DGP" localSheetId="3">'[15]Functional Study'!#REF!</definedName>
    <definedName name="Acct411DGP" localSheetId="4">'[15]Functional Study'!#REF!</definedName>
    <definedName name="Acct411DGP" localSheetId="5">'[15]Functional Study'!#REF!</definedName>
    <definedName name="Acct411DGP" localSheetId="8">'[15]Functional Study'!#REF!</definedName>
    <definedName name="Acct411DGP" localSheetId="7">'[15]Functional Study'!#REF!</definedName>
    <definedName name="Acct411DGP" localSheetId="6">'[15]Functional Study'!#REF!</definedName>
    <definedName name="Acct411DGP" localSheetId="1">'[15]Functional Study'!#REF!</definedName>
    <definedName name="Acct411DGP" localSheetId="35">'[15]Functional Study'!#REF!</definedName>
    <definedName name="Acct411DGP" localSheetId="11">'[15]Functional Study'!#REF!</definedName>
    <definedName name="Acct411DGP" localSheetId="9">'[15]Functional Study'!#REF!</definedName>
    <definedName name="Acct411DGP" localSheetId="15">'[15]Functional Study'!#REF!</definedName>
    <definedName name="Acct411DGP" localSheetId="16">'[15]Functional Study'!#REF!</definedName>
    <definedName name="Acct411DGP" localSheetId="14">'[15]Functional Study'!#REF!</definedName>
    <definedName name="Acct411DGP" localSheetId="26">'[15]Functional Study'!#REF!</definedName>
    <definedName name="Acct411DGP" localSheetId="12">'[15]Functional Study'!#REF!</definedName>
    <definedName name="Acct411DGP" localSheetId="32">'[16]Functional Study'!#REF!</definedName>
    <definedName name="Acct411DGP">'[15]Functional Study'!#REF!</definedName>
    <definedName name="Acct411DGU" localSheetId="2">'[15]Functional Study'!#REF!</definedName>
    <definedName name="Acct411DGU" localSheetId="3">'[15]Functional Study'!#REF!</definedName>
    <definedName name="Acct411DGU" localSheetId="4">'[15]Functional Study'!#REF!</definedName>
    <definedName name="Acct411DGU" localSheetId="5">'[15]Functional Study'!#REF!</definedName>
    <definedName name="Acct411DGU" localSheetId="8">'[15]Functional Study'!#REF!</definedName>
    <definedName name="Acct411DGU" localSheetId="7">'[15]Functional Study'!#REF!</definedName>
    <definedName name="Acct411DGU" localSheetId="6">'[15]Functional Study'!#REF!</definedName>
    <definedName name="Acct411DGU" localSheetId="1">'[15]Functional Study'!#REF!</definedName>
    <definedName name="Acct411DGU" localSheetId="35">'[15]Functional Study'!#REF!</definedName>
    <definedName name="Acct411DGU" localSheetId="11">'[15]Functional Study'!#REF!</definedName>
    <definedName name="Acct411DGU" localSheetId="9">'[15]Functional Study'!#REF!</definedName>
    <definedName name="Acct411DGU" localSheetId="15">'[15]Functional Study'!#REF!</definedName>
    <definedName name="Acct411DGU" localSheetId="16">'[15]Functional Study'!#REF!</definedName>
    <definedName name="Acct411DGU" localSheetId="14">'[15]Functional Study'!#REF!</definedName>
    <definedName name="Acct411DGU" localSheetId="26">'[15]Functional Study'!#REF!</definedName>
    <definedName name="Acct411DGU" localSheetId="12">'[15]Functional Study'!#REF!</definedName>
    <definedName name="Acct411DGU" localSheetId="32">'[16]Functional Study'!#REF!</definedName>
    <definedName name="Acct411DGU">'[15]Functional Study'!#REF!</definedName>
    <definedName name="Acct411DITEXP" localSheetId="2">'[15]Functional Study'!#REF!</definedName>
    <definedName name="Acct411DITEXP" localSheetId="3">'[15]Functional Study'!#REF!</definedName>
    <definedName name="Acct411DITEXP" localSheetId="4">'[15]Functional Study'!#REF!</definedName>
    <definedName name="Acct411DITEXP" localSheetId="5">'[15]Functional Study'!#REF!</definedName>
    <definedName name="Acct411DITEXP" localSheetId="8">'[15]Functional Study'!#REF!</definedName>
    <definedName name="Acct411DITEXP" localSheetId="7">'[15]Functional Study'!#REF!</definedName>
    <definedName name="Acct411DITEXP" localSheetId="6">'[15]Functional Study'!#REF!</definedName>
    <definedName name="Acct411DITEXP" localSheetId="1">'[15]Functional Study'!#REF!</definedName>
    <definedName name="Acct411DITEXP" localSheetId="35">'[15]Functional Study'!#REF!</definedName>
    <definedName name="Acct411DITEXP" localSheetId="11">'[15]Functional Study'!#REF!</definedName>
    <definedName name="Acct411DITEXP" localSheetId="9">'[15]Functional Study'!#REF!</definedName>
    <definedName name="Acct411DITEXP" localSheetId="15">'[15]Functional Study'!#REF!</definedName>
    <definedName name="Acct411DITEXP" localSheetId="16">'[15]Functional Study'!#REF!</definedName>
    <definedName name="Acct411DITEXP" localSheetId="14">'[15]Functional Study'!#REF!</definedName>
    <definedName name="Acct411DITEXP" localSheetId="26">'[15]Functional Study'!#REF!</definedName>
    <definedName name="Acct411DITEXP" localSheetId="12">'[15]Functional Study'!#REF!</definedName>
    <definedName name="Acct411DITEXP" localSheetId="32">'[16]Functional Study'!#REF!</definedName>
    <definedName name="Acct411DITEXP">'[15]Functional Study'!#REF!</definedName>
    <definedName name="Acct411DNPP" localSheetId="2">'[15]Functional Study'!#REF!</definedName>
    <definedName name="Acct411DNPP" localSheetId="3">'[15]Functional Study'!#REF!</definedName>
    <definedName name="Acct411DNPP" localSheetId="4">'[15]Functional Study'!#REF!</definedName>
    <definedName name="Acct411DNPP" localSheetId="5">'[15]Functional Study'!#REF!</definedName>
    <definedName name="Acct411DNPP" localSheetId="8">'[15]Functional Study'!#REF!</definedName>
    <definedName name="Acct411DNPP" localSheetId="7">'[15]Functional Study'!#REF!</definedName>
    <definedName name="Acct411DNPP" localSheetId="6">'[15]Functional Study'!#REF!</definedName>
    <definedName name="Acct411DNPP" localSheetId="1">'[15]Functional Study'!#REF!</definedName>
    <definedName name="Acct411DNPP" localSheetId="35">'[15]Functional Study'!#REF!</definedName>
    <definedName name="Acct411DNPP" localSheetId="11">'[15]Functional Study'!#REF!</definedName>
    <definedName name="Acct411DNPP" localSheetId="9">'[15]Functional Study'!#REF!</definedName>
    <definedName name="Acct411DNPP" localSheetId="15">'[15]Functional Study'!#REF!</definedName>
    <definedName name="Acct411DNPP" localSheetId="16">'[15]Functional Study'!#REF!</definedName>
    <definedName name="Acct411DNPP" localSheetId="14">'[15]Functional Study'!#REF!</definedName>
    <definedName name="Acct411DNPP" localSheetId="26">'[15]Functional Study'!#REF!</definedName>
    <definedName name="Acct411DNPP" localSheetId="12">'[15]Functional Study'!#REF!</definedName>
    <definedName name="Acct411DNPP" localSheetId="32">'[16]Functional Study'!#REF!</definedName>
    <definedName name="Acct411DNPP">'[15]Functional Study'!#REF!</definedName>
    <definedName name="Acct411DNPTP" localSheetId="2">'[15]Functional Study'!#REF!</definedName>
    <definedName name="Acct411DNPTP" localSheetId="3">'[15]Functional Study'!#REF!</definedName>
    <definedName name="Acct411DNPTP" localSheetId="4">'[15]Functional Study'!#REF!</definedName>
    <definedName name="Acct411DNPTP" localSheetId="5">'[15]Functional Study'!#REF!</definedName>
    <definedName name="Acct411DNPTP" localSheetId="8">'[15]Functional Study'!#REF!</definedName>
    <definedName name="Acct411DNPTP" localSheetId="7">'[15]Functional Study'!#REF!</definedName>
    <definedName name="Acct411DNPTP" localSheetId="6">'[15]Functional Study'!#REF!</definedName>
    <definedName name="Acct411DNPTP" localSheetId="1">'[15]Functional Study'!#REF!</definedName>
    <definedName name="Acct411DNPTP" localSheetId="35">'[15]Functional Study'!#REF!</definedName>
    <definedName name="Acct411DNPTP" localSheetId="11">'[15]Functional Study'!#REF!</definedName>
    <definedName name="Acct411DNPTP" localSheetId="9">'[15]Functional Study'!#REF!</definedName>
    <definedName name="Acct411DNPTP" localSheetId="15">'[15]Functional Study'!#REF!</definedName>
    <definedName name="Acct411DNPTP" localSheetId="16">'[15]Functional Study'!#REF!</definedName>
    <definedName name="Acct411DNPTP" localSheetId="14">'[15]Functional Study'!#REF!</definedName>
    <definedName name="Acct411DNPTP" localSheetId="26">'[15]Functional Study'!#REF!</definedName>
    <definedName name="Acct411DNPTP" localSheetId="12">'[15]Functional Study'!#REF!</definedName>
    <definedName name="Acct411DNPTP" localSheetId="32">'[16]Functional Study'!#REF!</definedName>
    <definedName name="Acct411DNPTP">'[15]Functional Study'!#REF!</definedName>
    <definedName name="Acct411S" localSheetId="2">'[15]Functional Study'!#REF!</definedName>
    <definedName name="Acct411S" localSheetId="3">'[15]Functional Study'!#REF!</definedName>
    <definedName name="Acct411S" localSheetId="4">'[15]Functional Study'!#REF!</definedName>
    <definedName name="Acct411S" localSheetId="5">'[15]Functional Study'!#REF!</definedName>
    <definedName name="Acct411S" localSheetId="8">'[15]Functional Study'!#REF!</definedName>
    <definedName name="Acct411S" localSheetId="7">'[15]Functional Study'!#REF!</definedName>
    <definedName name="Acct411S" localSheetId="6">'[15]Functional Study'!#REF!</definedName>
    <definedName name="Acct411S" localSheetId="1">'[15]Functional Study'!#REF!</definedName>
    <definedName name="Acct411S" localSheetId="35">'[15]Functional Study'!#REF!</definedName>
    <definedName name="Acct411S" localSheetId="11">'[15]Functional Study'!#REF!</definedName>
    <definedName name="Acct411S" localSheetId="9">'[15]Functional Study'!#REF!</definedName>
    <definedName name="Acct411S" localSheetId="15">'[15]Functional Study'!#REF!</definedName>
    <definedName name="Acct411S" localSheetId="16">'[15]Functional Study'!#REF!</definedName>
    <definedName name="Acct411S" localSheetId="14">'[15]Functional Study'!#REF!</definedName>
    <definedName name="Acct411S" localSheetId="26">'[15]Functional Study'!#REF!</definedName>
    <definedName name="Acct411S" localSheetId="12">'[15]Functional Study'!#REF!</definedName>
    <definedName name="Acct411S" localSheetId="32">'[16]Functional Study'!#REF!</definedName>
    <definedName name="Acct411S">'[15]Functional Study'!#REF!</definedName>
    <definedName name="Acct411SE" localSheetId="2">'[15]Functional Study'!#REF!</definedName>
    <definedName name="Acct411SE" localSheetId="3">'[15]Functional Study'!#REF!</definedName>
    <definedName name="Acct411SE" localSheetId="4">'[15]Functional Study'!#REF!</definedName>
    <definedName name="Acct411SE" localSheetId="5">'[15]Functional Study'!#REF!</definedName>
    <definedName name="Acct411SE" localSheetId="8">'[15]Functional Study'!#REF!</definedName>
    <definedName name="Acct411SE" localSheetId="7">'[15]Functional Study'!#REF!</definedName>
    <definedName name="Acct411SE" localSheetId="6">'[15]Functional Study'!#REF!</definedName>
    <definedName name="Acct411SE" localSheetId="1">'[15]Functional Study'!#REF!</definedName>
    <definedName name="Acct411SE" localSheetId="35">'[15]Functional Study'!#REF!</definedName>
    <definedName name="Acct411SE" localSheetId="11">'[15]Functional Study'!#REF!</definedName>
    <definedName name="Acct411SE" localSheetId="9">'[15]Functional Study'!#REF!</definedName>
    <definedName name="Acct411SE" localSheetId="15">'[15]Functional Study'!#REF!</definedName>
    <definedName name="Acct411SE" localSheetId="16">'[15]Functional Study'!#REF!</definedName>
    <definedName name="Acct411SE" localSheetId="14">'[15]Functional Study'!#REF!</definedName>
    <definedName name="Acct411SE" localSheetId="26">'[15]Functional Study'!#REF!</definedName>
    <definedName name="Acct411SE" localSheetId="12">'[15]Functional Study'!#REF!</definedName>
    <definedName name="Acct411SE" localSheetId="32">'[16]Functional Study'!#REF!</definedName>
    <definedName name="Acct411SE">'[15]Functional Study'!#REF!</definedName>
    <definedName name="Acct411SG" localSheetId="2">'[15]Functional Study'!#REF!</definedName>
    <definedName name="Acct411SG" localSheetId="3">'[15]Functional Study'!#REF!</definedName>
    <definedName name="Acct411SG" localSheetId="4">'[15]Functional Study'!#REF!</definedName>
    <definedName name="Acct411SG" localSheetId="5">'[15]Functional Study'!#REF!</definedName>
    <definedName name="Acct411SG" localSheetId="8">'[15]Functional Study'!#REF!</definedName>
    <definedName name="Acct411SG" localSheetId="7">'[15]Functional Study'!#REF!</definedName>
    <definedName name="Acct411SG" localSheetId="6">'[15]Functional Study'!#REF!</definedName>
    <definedName name="Acct411SG" localSheetId="1">'[15]Functional Study'!#REF!</definedName>
    <definedName name="Acct411SG" localSheetId="35">'[15]Functional Study'!#REF!</definedName>
    <definedName name="Acct411SG" localSheetId="11">'[15]Functional Study'!#REF!</definedName>
    <definedName name="Acct411SG" localSheetId="9">'[15]Functional Study'!#REF!</definedName>
    <definedName name="Acct411SG" localSheetId="15">'[15]Functional Study'!#REF!</definedName>
    <definedName name="Acct411SG" localSheetId="16">'[15]Functional Study'!#REF!</definedName>
    <definedName name="Acct411SG" localSheetId="14">'[15]Functional Study'!#REF!</definedName>
    <definedName name="Acct411SG" localSheetId="26">'[15]Functional Study'!#REF!</definedName>
    <definedName name="Acct411SG" localSheetId="12">'[15]Functional Study'!#REF!</definedName>
    <definedName name="Acct411SG" localSheetId="32">'[16]Functional Study'!#REF!</definedName>
    <definedName name="Acct411SG">'[15]Functional Study'!#REF!</definedName>
    <definedName name="Acct411SGPP" localSheetId="2">'[15]Functional Study'!#REF!</definedName>
    <definedName name="Acct411SGPP" localSheetId="3">'[15]Functional Study'!#REF!</definedName>
    <definedName name="Acct411SGPP" localSheetId="4">'[15]Functional Study'!#REF!</definedName>
    <definedName name="Acct411SGPP" localSheetId="5">'[15]Functional Study'!#REF!</definedName>
    <definedName name="Acct411SGPP" localSheetId="8">'[15]Functional Study'!#REF!</definedName>
    <definedName name="Acct411SGPP" localSheetId="7">'[15]Functional Study'!#REF!</definedName>
    <definedName name="Acct411SGPP" localSheetId="6">'[15]Functional Study'!#REF!</definedName>
    <definedName name="Acct411SGPP" localSheetId="1">'[15]Functional Study'!#REF!</definedName>
    <definedName name="Acct411SGPP" localSheetId="35">'[15]Functional Study'!#REF!</definedName>
    <definedName name="Acct411SGPP" localSheetId="11">'[15]Functional Study'!#REF!</definedName>
    <definedName name="Acct411SGPP" localSheetId="9">'[15]Functional Study'!#REF!</definedName>
    <definedName name="Acct411SGPP" localSheetId="15">'[15]Functional Study'!#REF!</definedName>
    <definedName name="Acct411SGPP" localSheetId="16">'[15]Functional Study'!#REF!</definedName>
    <definedName name="Acct411SGPP" localSheetId="14">'[15]Functional Study'!#REF!</definedName>
    <definedName name="Acct411SGPP" localSheetId="26">'[15]Functional Study'!#REF!</definedName>
    <definedName name="Acct411SGPP" localSheetId="12">'[15]Functional Study'!#REF!</definedName>
    <definedName name="Acct411SGPP" localSheetId="32">'[16]Functional Study'!#REF!</definedName>
    <definedName name="Acct411SGPP">'[15]Functional Study'!#REF!</definedName>
    <definedName name="Acct411SO" localSheetId="2">'[15]Functional Study'!#REF!</definedName>
    <definedName name="Acct411SO" localSheetId="3">'[15]Functional Study'!#REF!</definedName>
    <definedName name="Acct411SO" localSheetId="4">'[15]Functional Study'!#REF!</definedName>
    <definedName name="Acct411SO" localSheetId="5">'[15]Functional Study'!#REF!</definedName>
    <definedName name="Acct411SO" localSheetId="8">'[15]Functional Study'!#REF!</definedName>
    <definedName name="Acct411SO" localSheetId="7">'[15]Functional Study'!#REF!</definedName>
    <definedName name="Acct411SO" localSheetId="6">'[15]Functional Study'!#REF!</definedName>
    <definedName name="Acct411SO" localSheetId="1">'[15]Functional Study'!#REF!</definedName>
    <definedName name="Acct411SO" localSheetId="35">'[15]Functional Study'!#REF!</definedName>
    <definedName name="Acct411SO" localSheetId="11">'[15]Functional Study'!#REF!</definedName>
    <definedName name="Acct411SO" localSheetId="9">'[15]Functional Study'!#REF!</definedName>
    <definedName name="Acct411SO" localSheetId="15">'[15]Functional Study'!#REF!</definedName>
    <definedName name="Acct411SO" localSheetId="16">'[15]Functional Study'!#REF!</definedName>
    <definedName name="Acct411SO" localSheetId="14">'[15]Functional Study'!#REF!</definedName>
    <definedName name="Acct411SO" localSheetId="26">'[15]Functional Study'!#REF!</definedName>
    <definedName name="Acct411SO" localSheetId="12">'[15]Functional Study'!#REF!</definedName>
    <definedName name="Acct411SO" localSheetId="32">'[16]Functional Study'!#REF!</definedName>
    <definedName name="Acct411SO">'[15]Functional Study'!#REF!</definedName>
    <definedName name="Acct411TROJP" localSheetId="2">'[15]Functional Study'!#REF!</definedName>
    <definedName name="Acct411TROJP" localSheetId="3">'[15]Functional Study'!#REF!</definedName>
    <definedName name="Acct411TROJP" localSheetId="4">'[15]Functional Study'!#REF!</definedName>
    <definedName name="Acct411TROJP" localSheetId="5">'[15]Functional Study'!#REF!</definedName>
    <definedName name="Acct411TROJP" localSheetId="8">'[15]Functional Study'!#REF!</definedName>
    <definedName name="Acct411TROJP" localSheetId="7">'[15]Functional Study'!#REF!</definedName>
    <definedName name="Acct411TROJP" localSheetId="6">'[15]Functional Study'!#REF!</definedName>
    <definedName name="Acct411TROJP" localSheetId="1">'[15]Functional Study'!#REF!</definedName>
    <definedName name="Acct411TROJP" localSheetId="35">'[15]Functional Study'!#REF!</definedName>
    <definedName name="Acct411TROJP" localSheetId="11">'[15]Functional Study'!#REF!</definedName>
    <definedName name="Acct411TROJP" localSheetId="9">'[15]Functional Study'!#REF!</definedName>
    <definedName name="Acct411TROJP" localSheetId="15">'[15]Functional Study'!#REF!</definedName>
    <definedName name="Acct411TROJP" localSheetId="16">'[15]Functional Study'!#REF!</definedName>
    <definedName name="Acct411TROJP" localSheetId="14">'[15]Functional Study'!#REF!</definedName>
    <definedName name="Acct411TROJP" localSheetId="26">'[15]Functional Study'!#REF!</definedName>
    <definedName name="Acct411TROJP" localSheetId="12">'[15]Functional Study'!#REF!</definedName>
    <definedName name="Acct411TROJP" localSheetId="32">'[16]Functional Study'!#REF!</definedName>
    <definedName name="Acct411TROJP">'[15]Functional Study'!#REF!</definedName>
    <definedName name="Acct447DGU" localSheetId="2">'[13]Func Study'!#REF!</definedName>
    <definedName name="Acct447DGU" localSheetId="3">'[13]Func Study'!#REF!</definedName>
    <definedName name="Acct447DGU" localSheetId="4">'[13]Func Study'!#REF!</definedName>
    <definedName name="Acct447DGU" localSheetId="5">'[13]Func Study'!#REF!</definedName>
    <definedName name="Acct447DGU" localSheetId="8">'[13]Func Study'!#REF!</definedName>
    <definedName name="Acct447DGU" localSheetId="7">'[13]Func Study'!#REF!</definedName>
    <definedName name="Acct447DGU" localSheetId="6">'[13]Func Study'!#REF!</definedName>
    <definedName name="Acct447DGU" localSheetId="1">'[13]Func Study'!#REF!</definedName>
    <definedName name="Acct447DGU" localSheetId="35">'[13]Func Study'!#REF!</definedName>
    <definedName name="Acct447DGU" localSheetId="11">'[13]Func Study'!#REF!</definedName>
    <definedName name="Acct447DGU" localSheetId="9">'[13]Func Study'!#REF!</definedName>
    <definedName name="Acct447DGU" localSheetId="15">'[13]Func Study'!#REF!</definedName>
    <definedName name="Acct447DGU" localSheetId="16">'[13]Func Study'!#REF!</definedName>
    <definedName name="Acct447DGU" localSheetId="14">'[13]Func Study'!#REF!</definedName>
    <definedName name="Acct447DGU" localSheetId="26">'[13]Func Study'!#REF!</definedName>
    <definedName name="Acct447DGU" localSheetId="12">'[13]Func Study'!#REF!</definedName>
    <definedName name="Acct447DGU">'[13]Func Study'!#REF!</definedName>
    <definedName name="Acct448S">'[14]Func Study'!$H$274</definedName>
    <definedName name="Acct450S">'[14]Func Study'!$H$302</definedName>
    <definedName name="Acct451S">'[14]Func Study'!$H$307</definedName>
    <definedName name="Acct454S">'[14]Func Study'!$H$318</definedName>
    <definedName name="Acct456S">'[14]Func Study'!$H$325</definedName>
    <definedName name="Acct510" localSheetId="2">'[14]Func Study'!#REF!</definedName>
    <definedName name="Acct510" localSheetId="3">'[14]Func Study'!#REF!</definedName>
    <definedName name="Acct510" localSheetId="4">'[14]Func Study'!#REF!</definedName>
    <definedName name="Acct510" localSheetId="5">'[14]Func Study'!#REF!</definedName>
    <definedName name="Acct510" localSheetId="8">'[14]Func Study'!#REF!</definedName>
    <definedName name="Acct510" localSheetId="7">'[14]Func Study'!#REF!</definedName>
    <definedName name="Acct510" localSheetId="6">'[14]Func Study'!#REF!</definedName>
    <definedName name="Acct510" localSheetId="1">'[14]Func Study'!#REF!</definedName>
    <definedName name="Acct510" localSheetId="35">'[14]Func Study'!#REF!</definedName>
    <definedName name="Acct510" localSheetId="11">'[14]Func Study'!#REF!</definedName>
    <definedName name="Acct510" localSheetId="9">'[14]Func Study'!#REF!</definedName>
    <definedName name="Acct510" localSheetId="16">'[14]Func Study'!#REF!</definedName>
    <definedName name="Acct510" localSheetId="14">'[14]Func Study'!#REF!</definedName>
    <definedName name="Acct510" localSheetId="26">'[14]Func Study'!#REF!</definedName>
    <definedName name="Acct510">'[14]Func Study'!#REF!</definedName>
    <definedName name="Acct510DNPPSU" localSheetId="2">'[14]Func Study'!#REF!</definedName>
    <definedName name="Acct510DNPPSU" localSheetId="3">'[14]Func Study'!#REF!</definedName>
    <definedName name="Acct510DNPPSU" localSheetId="4">'[14]Func Study'!#REF!</definedName>
    <definedName name="Acct510DNPPSU" localSheetId="5">'[14]Func Study'!#REF!</definedName>
    <definedName name="Acct510DNPPSU" localSheetId="8">'[14]Func Study'!#REF!</definedName>
    <definedName name="Acct510DNPPSU" localSheetId="7">'[14]Func Study'!#REF!</definedName>
    <definedName name="Acct510DNPPSU" localSheetId="6">'[14]Func Study'!#REF!</definedName>
    <definedName name="Acct510DNPPSU" localSheetId="1">'[14]Func Study'!#REF!</definedName>
    <definedName name="Acct510DNPPSU" localSheetId="35">'[14]Func Study'!#REF!</definedName>
    <definedName name="Acct510DNPPSU" localSheetId="11">'[14]Func Study'!#REF!</definedName>
    <definedName name="Acct510DNPPSU" localSheetId="9">'[14]Func Study'!#REF!</definedName>
    <definedName name="Acct510DNPPSU" localSheetId="16">'[14]Func Study'!#REF!</definedName>
    <definedName name="Acct510DNPPSU" localSheetId="14">'[14]Func Study'!#REF!</definedName>
    <definedName name="Acct510DNPPSU" localSheetId="26">'[14]Func Study'!#REF!</definedName>
    <definedName name="Acct510DNPPSU">'[14]Func Study'!#REF!</definedName>
    <definedName name="ACCT510JBG" localSheetId="2">'[14]Func Study'!#REF!</definedName>
    <definedName name="ACCT510JBG" localSheetId="3">'[14]Func Study'!#REF!</definedName>
    <definedName name="ACCT510JBG" localSheetId="4">'[14]Func Study'!#REF!</definedName>
    <definedName name="ACCT510JBG" localSheetId="5">'[14]Func Study'!#REF!</definedName>
    <definedName name="ACCT510JBG" localSheetId="8">'[14]Func Study'!#REF!</definedName>
    <definedName name="ACCT510JBG" localSheetId="7">'[14]Func Study'!#REF!</definedName>
    <definedName name="ACCT510JBG" localSheetId="6">'[14]Func Study'!#REF!</definedName>
    <definedName name="ACCT510JBG" localSheetId="1">'[14]Func Study'!#REF!</definedName>
    <definedName name="ACCT510JBG" localSheetId="35">'[14]Func Study'!#REF!</definedName>
    <definedName name="ACCT510JBG" localSheetId="11">'[14]Func Study'!#REF!</definedName>
    <definedName name="ACCT510JBG" localSheetId="9">'[14]Func Study'!#REF!</definedName>
    <definedName name="ACCT510JBG" localSheetId="16">'[14]Func Study'!#REF!</definedName>
    <definedName name="ACCT510JBG" localSheetId="14">'[14]Func Study'!#REF!</definedName>
    <definedName name="ACCT510JBG" localSheetId="26">'[14]Func Study'!#REF!</definedName>
    <definedName name="ACCT510JBG">'[14]Func Study'!#REF!</definedName>
    <definedName name="ACCT510SSGCH" localSheetId="2">'[14]Func Study'!#REF!</definedName>
    <definedName name="ACCT510SSGCH" localSheetId="3">'[14]Func Study'!#REF!</definedName>
    <definedName name="ACCT510SSGCH" localSheetId="4">'[14]Func Study'!#REF!</definedName>
    <definedName name="ACCT510SSGCH" localSheetId="5">'[14]Func Study'!#REF!</definedName>
    <definedName name="ACCT510SSGCH" localSheetId="8">'[14]Func Study'!#REF!</definedName>
    <definedName name="ACCT510SSGCH" localSheetId="7">'[14]Func Study'!#REF!</definedName>
    <definedName name="ACCT510SSGCH" localSheetId="6">'[14]Func Study'!#REF!</definedName>
    <definedName name="ACCT510SSGCH" localSheetId="1">'[14]Func Study'!#REF!</definedName>
    <definedName name="ACCT510SSGCH" localSheetId="35">'[14]Func Study'!#REF!</definedName>
    <definedName name="ACCT510SSGCH" localSheetId="11">'[14]Func Study'!#REF!</definedName>
    <definedName name="ACCT510SSGCH" localSheetId="9">'[14]Func Study'!#REF!</definedName>
    <definedName name="ACCT510SSGCH" localSheetId="16">'[14]Func Study'!#REF!</definedName>
    <definedName name="ACCT510SSGCH" localSheetId="14">'[14]Func Study'!#REF!</definedName>
    <definedName name="ACCT510SSGCH" localSheetId="26">'[14]Func Study'!#REF!</definedName>
    <definedName name="ACCT510SSGCH">'[14]Func Study'!#REF!</definedName>
    <definedName name="ACCT557CAGE">'[14]Func Study'!$H$683</definedName>
    <definedName name="Acct557CT">'[14]Func Study'!$H$681</definedName>
    <definedName name="Acct580">'[14]Func Study'!$H$791</definedName>
    <definedName name="Acct581">'[14]Func Study'!$H$796</definedName>
    <definedName name="Acct582">'[14]Func Study'!$H$801</definedName>
    <definedName name="Acct583">'[14]Func Study'!$H$806</definedName>
    <definedName name="Acct584">'[14]Func Study'!$H$811</definedName>
    <definedName name="Acct585">'[14]Func Study'!$H$816</definedName>
    <definedName name="Acct586">'[14]Func Study'!$H$821</definedName>
    <definedName name="Acct587">'[14]Func Study'!$H$826</definedName>
    <definedName name="Acct588">'[14]Func Study'!$H$831</definedName>
    <definedName name="Acct589">'[14]Func Study'!$H$836</definedName>
    <definedName name="Acct590">'[14]Func Study'!$H$841</definedName>
    <definedName name="Acct591">'[14]Func Study'!$H$846</definedName>
    <definedName name="Acct592">'[14]Func Study'!$H$851</definedName>
    <definedName name="Acct593">'[14]Func Study'!$H$856</definedName>
    <definedName name="Acct594">'[14]Func Study'!$H$861</definedName>
    <definedName name="Acct595">'[14]Func Study'!$H$866</definedName>
    <definedName name="Acct596">'[14]Func Study'!$H$876</definedName>
    <definedName name="Acct597">'[14]Func Study'!$H$881</definedName>
    <definedName name="Acct598">'[14]Func Study'!$H$886</definedName>
    <definedName name="ACCT904SG" localSheetId="2">'[17]Functional Study'!#REF!</definedName>
    <definedName name="ACCT904SG" localSheetId="3">'[17]Functional Study'!#REF!</definedName>
    <definedName name="ACCT904SG" localSheetId="4">'[17]Functional Study'!#REF!</definedName>
    <definedName name="ACCT904SG" localSheetId="5">'[17]Functional Study'!#REF!</definedName>
    <definedName name="ACCT904SG" localSheetId="8">'[17]Functional Study'!#REF!</definedName>
    <definedName name="ACCT904SG" localSheetId="7">'[17]Functional Study'!#REF!</definedName>
    <definedName name="ACCT904SG" localSheetId="6">'[17]Functional Study'!#REF!</definedName>
    <definedName name="ACCT904SG" localSheetId="1">'[17]Functional Study'!#REF!</definedName>
    <definedName name="ACCT904SG" localSheetId="35">'[17]Functional Study'!#REF!</definedName>
    <definedName name="ACCT904SG" localSheetId="11">'[17]Functional Study'!#REF!</definedName>
    <definedName name="ACCT904SG" localSheetId="9">'[17]Functional Study'!#REF!</definedName>
    <definedName name="ACCT904SG" localSheetId="15">'[17]Functional Study'!#REF!</definedName>
    <definedName name="ACCT904SG" localSheetId="16">'[17]Functional Study'!#REF!</definedName>
    <definedName name="ACCT904SG" localSheetId="14">'[17]Functional Study'!#REF!</definedName>
    <definedName name="ACCT904SG" localSheetId="26">'[17]Functional Study'!#REF!</definedName>
    <definedName name="ACCT904SG" localSheetId="12">'[17]Functional Study'!#REF!</definedName>
    <definedName name="ACCT904SG" localSheetId="32">'[18]Functional Study'!#REF!</definedName>
    <definedName name="ACCT904SG">'[17]Functional Study'!#REF!</definedName>
    <definedName name="AcctAGA">'[14]Func Study'!$H$296</definedName>
    <definedName name="AcctDFAD" localSheetId="2">'[14]Func Study'!#REF!</definedName>
    <definedName name="AcctDFAD" localSheetId="3">'[14]Func Study'!#REF!</definedName>
    <definedName name="AcctDFAD" localSheetId="4">'[14]Func Study'!#REF!</definedName>
    <definedName name="AcctDFAD" localSheetId="5">'[14]Func Study'!#REF!</definedName>
    <definedName name="AcctDFAD" localSheetId="8">'[14]Func Study'!#REF!</definedName>
    <definedName name="AcctDFAD" localSheetId="7">'[14]Func Study'!#REF!</definedName>
    <definedName name="AcctDFAD" localSheetId="6">'[14]Func Study'!#REF!</definedName>
    <definedName name="AcctDFAD" localSheetId="1">'[14]Func Study'!#REF!</definedName>
    <definedName name="AcctDFAD" localSheetId="35">'[14]Func Study'!#REF!</definedName>
    <definedName name="AcctDFAD" localSheetId="11">'[14]Func Study'!#REF!</definedName>
    <definedName name="AcctDFAD" localSheetId="9">'[14]Func Study'!#REF!</definedName>
    <definedName name="AcctDFAD" localSheetId="16">'[14]Func Study'!#REF!</definedName>
    <definedName name="AcctDFAD" localSheetId="14">'[14]Func Study'!#REF!</definedName>
    <definedName name="AcctDFAD" localSheetId="26">'[14]Func Study'!#REF!</definedName>
    <definedName name="AcctDFAD">'[14]Func Study'!#REF!</definedName>
    <definedName name="AcctDFAP" localSheetId="2">'[14]Func Study'!#REF!</definedName>
    <definedName name="AcctDFAP" localSheetId="3">'[14]Func Study'!#REF!</definedName>
    <definedName name="AcctDFAP" localSheetId="4">'[14]Func Study'!#REF!</definedName>
    <definedName name="AcctDFAP" localSheetId="5">'[14]Func Study'!#REF!</definedName>
    <definedName name="AcctDFAP" localSheetId="8">'[14]Func Study'!#REF!</definedName>
    <definedName name="AcctDFAP" localSheetId="7">'[14]Func Study'!#REF!</definedName>
    <definedName name="AcctDFAP" localSheetId="6">'[14]Func Study'!#REF!</definedName>
    <definedName name="AcctDFAP" localSheetId="1">'[14]Func Study'!#REF!</definedName>
    <definedName name="AcctDFAP" localSheetId="35">'[14]Func Study'!#REF!</definedName>
    <definedName name="AcctDFAP" localSheetId="11">'[14]Func Study'!#REF!</definedName>
    <definedName name="AcctDFAP" localSheetId="9">'[14]Func Study'!#REF!</definedName>
    <definedName name="AcctDFAP" localSheetId="16">'[14]Func Study'!#REF!</definedName>
    <definedName name="AcctDFAP" localSheetId="14">'[14]Func Study'!#REF!</definedName>
    <definedName name="AcctDFAP" localSheetId="26">'[14]Func Study'!#REF!</definedName>
    <definedName name="AcctDFAP">'[14]Func Study'!#REF!</definedName>
    <definedName name="AcctDFAT" localSheetId="2">'[14]Func Study'!#REF!</definedName>
    <definedName name="AcctDFAT" localSheetId="3">'[14]Func Study'!#REF!</definedName>
    <definedName name="AcctDFAT" localSheetId="4">'[14]Func Study'!#REF!</definedName>
    <definedName name="AcctDFAT" localSheetId="5">'[14]Func Study'!#REF!</definedName>
    <definedName name="AcctDFAT" localSheetId="8">'[14]Func Study'!#REF!</definedName>
    <definedName name="AcctDFAT" localSheetId="7">'[14]Func Study'!#REF!</definedName>
    <definedName name="AcctDFAT" localSheetId="6">'[14]Func Study'!#REF!</definedName>
    <definedName name="AcctDFAT" localSheetId="1">'[14]Func Study'!#REF!</definedName>
    <definedName name="AcctDFAT" localSheetId="35">'[14]Func Study'!#REF!</definedName>
    <definedName name="AcctDFAT" localSheetId="11">'[14]Func Study'!#REF!</definedName>
    <definedName name="AcctDFAT" localSheetId="9">'[14]Func Study'!#REF!</definedName>
    <definedName name="AcctDFAT" localSheetId="16">'[14]Func Study'!#REF!</definedName>
    <definedName name="AcctDFAT" localSheetId="14">'[14]Func Study'!#REF!</definedName>
    <definedName name="AcctDFAT" localSheetId="26">'[14]Func Study'!#REF!</definedName>
    <definedName name="AcctDFAT">'[14]Func Study'!#REF!</definedName>
    <definedName name="AcctTable">[19]Variables!$AK$42:$AK$396</definedName>
    <definedName name="AcctTS0">'[14]Func Study'!$H$1686</definedName>
    <definedName name="ActualROR">'[13]G+T+D+R+M'!$H$61</definedName>
    <definedName name="Adjs2avg" localSheetId="27">[20]Inputs!$L$255:'[20]Inputs'!$T$505</definedName>
    <definedName name="Adjs2avg">[20]Inputs!$L$255:'[20]Inputs'!$T$505</definedName>
    <definedName name="APR" localSheetId="25">#REF!</definedName>
    <definedName name="APR" localSheetId="24">#REF!</definedName>
    <definedName name="APR" localSheetId="2">[21]Backup!#REF!</definedName>
    <definedName name="APR" localSheetId="3">[21]Backup!#REF!</definedName>
    <definedName name="APR" localSheetId="4">[21]Backup!#REF!</definedName>
    <definedName name="APR" localSheetId="5">[21]Backup!#REF!</definedName>
    <definedName name="APR" localSheetId="8">[21]Backup!#REF!</definedName>
    <definedName name="APR" localSheetId="7">[21]Backup!#REF!</definedName>
    <definedName name="APR" localSheetId="6">[21]Backup!#REF!</definedName>
    <definedName name="APR" localSheetId="1">#REF!</definedName>
    <definedName name="APR" localSheetId="37">#REF!</definedName>
    <definedName name="APR" localSheetId="38">#REF!</definedName>
    <definedName name="APR" localSheetId="35">[21]Backup!#REF!</definedName>
    <definedName name="APR" localSheetId="11">#REF!</definedName>
    <definedName name="APR" localSheetId="9">[21]Backup!#REF!</definedName>
    <definedName name="APR" localSheetId="15">[21]Backup!#REF!</definedName>
    <definedName name="APR" localSheetId="16">[21]Backup!#REF!</definedName>
    <definedName name="APR" localSheetId="31">#REF!</definedName>
    <definedName name="APR" localSheetId="30">#REF!</definedName>
    <definedName name="APR" localSheetId="13">#REF!</definedName>
    <definedName name="APR" localSheetId="14">#REF!</definedName>
    <definedName name="APR" localSheetId="26">#REF!</definedName>
    <definedName name="APR" localSheetId="12">[21]Backup!#REF!</definedName>
    <definedName name="APR" localSheetId="32">[21]Backup!#REF!</definedName>
    <definedName name="APR" localSheetId="27">[21]Backup!#REF!</definedName>
    <definedName name="APR">[21]Backup!#REF!</definedName>
    <definedName name="APRT" localSheetId="2">#REF!</definedName>
    <definedName name="APRT" localSheetId="3">#REF!</definedName>
    <definedName name="APRT" localSheetId="4">#REF!</definedName>
    <definedName name="APRT" localSheetId="5">#REF!</definedName>
    <definedName name="APRT" localSheetId="8">#REF!</definedName>
    <definedName name="APRT" localSheetId="7">#REF!</definedName>
    <definedName name="APRT" localSheetId="6">#REF!</definedName>
    <definedName name="APRT" localSheetId="1">#REF!</definedName>
    <definedName name="APRT" localSheetId="35">#REF!</definedName>
    <definedName name="APRT" localSheetId="11">#REF!</definedName>
    <definedName name="APRT" localSheetId="9">#REF!</definedName>
    <definedName name="APRT" localSheetId="15">#REF!</definedName>
    <definedName name="APRT" localSheetId="16">#REF!</definedName>
    <definedName name="APRT" localSheetId="14">#REF!</definedName>
    <definedName name="APRT" localSheetId="26">#REF!</definedName>
    <definedName name="APRT" localSheetId="12">#REF!</definedName>
    <definedName name="APRT" localSheetId="27">#REF!</definedName>
    <definedName name="APRT">#REF!</definedName>
    <definedName name="AUG" localSheetId="25">#REF!</definedName>
    <definedName name="AUG" localSheetId="24">#REF!</definedName>
    <definedName name="AUG" localSheetId="2">[21]Backup!#REF!</definedName>
    <definedName name="AUG" localSheetId="3">[21]Backup!#REF!</definedName>
    <definedName name="AUG" localSheetId="4">[21]Backup!#REF!</definedName>
    <definedName name="AUG" localSheetId="5">[21]Backup!#REF!</definedName>
    <definedName name="AUG" localSheetId="8">[21]Backup!#REF!</definedName>
    <definedName name="AUG" localSheetId="7">[21]Backup!#REF!</definedName>
    <definedName name="AUG" localSheetId="6">[21]Backup!#REF!</definedName>
    <definedName name="AUG" localSheetId="1">#REF!</definedName>
    <definedName name="AUG" localSheetId="37">#REF!</definedName>
    <definedName name="AUG" localSheetId="38">#REF!</definedName>
    <definedName name="AUG" localSheetId="35">[21]Backup!#REF!</definedName>
    <definedName name="AUG" localSheetId="11">#REF!</definedName>
    <definedName name="AUG" localSheetId="9">[21]Backup!#REF!</definedName>
    <definedName name="AUG" localSheetId="15">[21]Backup!#REF!</definedName>
    <definedName name="AUG" localSheetId="16">[21]Backup!#REF!</definedName>
    <definedName name="AUG" localSheetId="31">#REF!</definedName>
    <definedName name="AUG" localSheetId="30">#REF!</definedName>
    <definedName name="AUG" localSheetId="13">#REF!</definedName>
    <definedName name="AUG" localSheetId="14">#REF!</definedName>
    <definedName name="AUG" localSheetId="26">#REF!</definedName>
    <definedName name="AUG" localSheetId="12">[21]Backup!#REF!</definedName>
    <definedName name="AUG" localSheetId="32">[21]Backup!#REF!</definedName>
    <definedName name="AUG" localSheetId="27">[21]Backup!#REF!</definedName>
    <definedName name="AUG">[21]Backup!#REF!</definedName>
    <definedName name="AUGT" localSheetId="2">#REF!</definedName>
    <definedName name="AUGT" localSheetId="3">#REF!</definedName>
    <definedName name="AUGT" localSheetId="4">#REF!</definedName>
    <definedName name="AUGT" localSheetId="5">#REF!</definedName>
    <definedName name="AUGT" localSheetId="8">#REF!</definedName>
    <definedName name="AUGT" localSheetId="7">#REF!</definedName>
    <definedName name="AUGT" localSheetId="6">#REF!</definedName>
    <definedName name="AUGT" localSheetId="1">#REF!</definedName>
    <definedName name="AUGT" localSheetId="35">#REF!</definedName>
    <definedName name="AUGT" localSheetId="11">#REF!</definedName>
    <definedName name="AUGT" localSheetId="9">#REF!</definedName>
    <definedName name="AUGT" localSheetId="15">#REF!</definedName>
    <definedName name="AUGT" localSheetId="16">#REF!</definedName>
    <definedName name="AUGT" localSheetId="14">#REF!</definedName>
    <definedName name="AUGT" localSheetId="26">#REF!</definedName>
    <definedName name="AUGT" localSheetId="12">#REF!</definedName>
    <definedName name="AUGT" localSheetId="27">#REF!</definedName>
    <definedName name="AUGT">#REF!</definedName>
    <definedName name="AvgFactors">[19]Factors!$B$3:$P$99</definedName>
    <definedName name="BACK1" localSheetId="2">#REF!</definedName>
    <definedName name="BACK1" localSheetId="3">#REF!</definedName>
    <definedName name="BACK1" localSheetId="4">#REF!</definedName>
    <definedName name="BACK1" localSheetId="5">#REF!</definedName>
    <definedName name="BACK1" localSheetId="8">#REF!</definedName>
    <definedName name="BACK1" localSheetId="7">#REF!</definedName>
    <definedName name="BACK1" localSheetId="6">#REF!</definedName>
    <definedName name="BACK1" localSheetId="1">#REF!</definedName>
    <definedName name="BACK1" localSheetId="35">#REF!</definedName>
    <definedName name="BACK1" localSheetId="11">#REF!</definedName>
    <definedName name="BACK1" localSheetId="9">#REF!</definedName>
    <definedName name="BACK1" localSheetId="15">#REF!</definedName>
    <definedName name="BACK1" localSheetId="16">#REF!</definedName>
    <definedName name="BACK1" localSheetId="14">#REF!</definedName>
    <definedName name="BACK1" localSheetId="26">#REF!</definedName>
    <definedName name="BACK1" localSheetId="12">#REF!</definedName>
    <definedName name="BACK1" localSheetId="27">#REF!</definedName>
    <definedName name="BACK1">#REF!</definedName>
    <definedName name="BACK2" localSheetId="2">#REF!</definedName>
    <definedName name="BACK2" localSheetId="3">#REF!</definedName>
    <definedName name="BACK2" localSheetId="4">#REF!</definedName>
    <definedName name="BACK2" localSheetId="5">#REF!</definedName>
    <definedName name="BACK2" localSheetId="8">#REF!</definedName>
    <definedName name="BACK2" localSheetId="7">#REF!</definedName>
    <definedName name="BACK2" localSheetId="6">#REF!</definedName>
    <definedName name="BACK2" localSheetId="1">#REF!</definedName>
    <definedName name="BACK2" localSheetId="35">#REF!</definedName>
    <definedName name="BACK2" localSheetId="11">#REF!</definedName>
    <definedName name="BACK2" localSheetId="9">#REF!</definedName>
    <definedName name="BACK2" localSheetId="15">#REF!</definedName>
    <definedName name="BACK2" localSheetId="16">#REF!</definedName>
    <definedName name="BACK2" localSheetId="14">#REF!</definedName>
    <definedName name="BACK2" localSheetId="26">#REF!</definedName>
    <definedName name="BACK2" localSheetId="12">#REF!</definedName>
    <definedName name="BACK2" localSheetId="27">#REF!</definedName>
    <definedName name="BACK2">#REF!</definedName>
    <definedName name="BACK3" localSheetId="2">#REF!</definedName>
    <definedName name="BACK3" localSheetId="3">#REF!</definedName>
    <definedName name="BACK3" localSheetId="4">#REF!</definedName>
    <definedName name="BACK3" localSheetId="5">#REF!</definedName>
    <definedName name="BACK3" localSheetId="8">#REF!</definedName>
    <definedName name="BACK3" localSheetId="7">#REF!</definedName>
    <definedName name="BACK3" localSheetId="6">#REF!</definedName>
    <definedName name="BACK3" localSheetId="1">#REF!</definedName>
    <definedName name="BACK3" localSheetId="35">#REF!</definedName>
    <definedName name="BACK3" localSheetId="11">#REF!</definedName>
    <definedName name="BACK3" localSheetId="9">#REF!</definedName>
    <definedName name="BACK3" localSheetId="15">#REF!</definedName>
    <definedName name="BACK3" localSheetId="16">#REF!</definedName>
    <definedName name="BACK3" localSheetId="14">#REF!</definedName>
    <definedName name="BACK3" localSheetId="26">#REF!</definedName>
    <definedName name="BACK3" localSheetId="12">#REF!</definedName>
    <definedName name="BACK3" localSheetId="27">#REF!</definedName>
    <definedName name="BACK3">#REF!</definedName>
    <definedName name="BACKUP1" localSheetId="2">#REF!</definedName>
    <definedName name="BACKUP1" localSheetId="3">#REF!</definedName>
    <definedName name="BACKUP1" localSheetId="4">#REF!</definedName>
    <definedName name="BACKUP1" localSheetId="5">#REF!</definedName>
    <definedName name="BACKUP1" localSheetId="8">#REF!</definedName>
    <definedName name="BACKUP1" localSheetId="7">#REF!</definedName>
    <definedName name="BACKUP1" localSheetId="6">#REF!</definedName>
    <definedName name="BACKUP1" localSheetId="1">#REF!</definedName>
    <definedName name="BACKUP1" localSheetId="35">#REF!</definedName>
    <definedName name="BACKUP1" localSheetId="11">#REF!</definedName>
    <definedName name="BACKUP1" localSheetId="9">#REF!</definedName>
    <definedName name="BACKUP1" localSheetId="15">#REF!</definedName>
    <definedName name="BACKUP1" localSheetId="16">#REF!</definedName>
    <definedName name="BACKUP1" localSheetId="14">#REF!</definedName>
    <definedName name="BACKUP1" localSheetId="26">#REF!</definedName>
    <definedName name="BACKUP1" localSheetId="12">#REF!</definedName>
    <definedName name="BACKUP1">#REF!</definedName>
    <definedName name="BOOKADJ" localSheetId="2">#REF!</definedName>
    <definedName name="BOOKADJ" localSheetId="3">#REF!</definedName>
    <definedName name="BOOKADJ" localSheetId="4">#REF!</definedName>
    <definedName name="BOOKADJ" localSheetId="5">#REF!</definedName>
    <definedName name="BOOKADJ" localSheetId="8">#REF!</definedName>
    <definedName name="BOOKADJ" localSheetId="7">#REF!</definedName>
    <definedName name="BOOKADJ" localSheetId="6">#REF!</definedName>
    <definedName name="BOOKADJ" localSheetId="1">#REF!</definedName>
    <definedName name="BOOKADJ" localSheetId="35">#REF!</definedName>
    <definedName name="BOOKADJ" localSheetId="11">#REF!</definedName>
    <definedName name="BOOKADJ" localSheetId="9">#REF!</definedName>
    <definedName name="BOOKADJ" localSheetId="15">#REF!</definedName>
    <definedName name="BOOKADJ" localSheetId="16">#REF!</definedName>
    <definedName name="BOOKADJ" localSheetId="14">#REF!</definedName>
    <definedName name="BOOKADJ" localSheetId="26">#REF!</definedName>
    <definedName name="BOOKADJ" localSheetId="12">#REF!</definedName>
    <definedName name="BOOKADJ">#REF!</definedName>
    <definedName name="cap">[22]Readings!$B$2</definedName>
    <definedName name="Check" localSheetId="2">#REF!</definedName>
    <definedName name="Check" localSheetId="3">#REF!</definedName>
    <definedName name="Check" localSheetId="4">#REF!</definedName>
    <definedName name="Check" localSheetId="5">#REF!</definedName>
    <definedName name="Check" localSheetId="8">#REF!</definedName>
    <definedName name="Check" localSheetId="7">#REF!</definedName>
    <definedName name="Check" localSheetId="6">#REF!</definedName>
    <definedName name="Check" localSheetId="1">#REF!</definedName>
    <definedName name="Check" localSheetId="35">#REF!</definedName>
    <definedName name="Check" localSheetId="11">#REF!</definedName>
    <definedName name="Check" localSheetId="9">#REF!</definedName>
    <definedName name="Check" localSheetId="15">#REF!</definedName>
    <definedName name="Check" localSheetId="16">#REF!</definedName>
    <definedName name="Check" localSheetId="31">#REF!</definedName>
    <definedName name="Check" localSheetId="30">#REF!</definedName>
    <definedName name="Check" localSheetId="14">#REF!</definedName>
    <definedName name="Check" localSheetId="26">#REF!</definedName>
    <definedName name="Check" localSheetId="12">#REF!</definedName>
    <definedName name="Check">#REF!</definedName>
    <definedName name="Classification">'[14]Func Study'!$AB$251</definedName>
    <definedName name="COMADJ" localSheetId="2">#REF!</definedName>
    <definedName name="COMADJ" localSheetId="3">#REF!</definedName>
    <definedName name="COMADJ" localSheetId="4">#REF!</definedName>
    <definedName name="COMADJ" localSheetId="5">#REF!</definedName>
    <definedName name="COMADJ" localSheetId="8">#REF!</definedName>
    <definedName name="COMADJ" localSheetId="7">#REF!</definedName>
    <definedName name="COMADJ" localSheetId="6">#REF!</definedName>
    <definedName name="COMADJ" localSheetId="1">#REF!</definedName>
    <definedName name="COMADJ" localSheetId="35">#REF!</definedName>
    <definedName name="COMADJ" localSheetId="11">#REF!</definedName>
    <definedName name="COMADJ" localSheetId="9">#REF!</definedName>
    <definedName name="COMADJ" localSheetId="15">#REF!</definedName>
    <definedName name="COMADJ" localSheetId="16">#REF!</definedName>
    <definedName name="COMADJ" localSheetId="14">#REF!</definedName>
    <definedName name="COMADJ" localSheetId="26">#REF!</definedName>
    <definedName name="COMADJ" localSheetId="12">#REF!</definedName>
    <definedName name="COMADJ">#REF!</definedName>
    <definedName name="COMP" localSheetId="2">#REF!</definedName>
    <definedName name="COMP" localSheetId="3">#REF!</definedName>
    <definedName name="COMP" localSheetId="4">#REF!</definedName>
    <definedName name="COMP" localSheetId="5">#REF!</definedName>
    <definedName name="COMP" localSheetId="8">#REF!</definedName>
    <definedName name="COMP" localSheetId="7">#REF!</definedName>
    <definedName name="COMP" localSheetId="6">#REF!</definedName>
    <definedName name="COMP" localSheetId="1">#REF!</definedName>
    <definedName name="COMP" localSheetId="35">#REF!</definedName>
    <definedName name="COMP" localSheetId="11">#REF!</definedName>
    <definedName name="COMP" localSheetId="9">#REF!</definedName>
    <definedName name="COMP" localSheetId="15">#REF!</definedName>
    <definedName name="COMP" localSheetId="16">#REF!</definedName>
    <definedName name="COMP" localSheetId="14">#REF!</definedName>
    <definedName name="COMP" localSheetId="26">#REF!</definedName>
    <definedName name="COMP" localSheetId="12">#REF!</definedName>
    <definedName name="COMP" localSheetId="27">#REF!</definedName>
    <definedName name="COMP">#REF!</definedName>
    <definedName name="COMPACTUAL" localSheetId="2">#REF!</definedName>
    <definedName name="COMPACTUAL" localSheetId="3">#REF!</definedName>
    <definedName name="COMPACTUAL" localSheetId="4">#REF!</definedName>
    <definedName name="COMPACTUAL" localSheetId="5">#REF!</definedName>
    <definedName name="COMPACTUAL" localSheetId="8">#REF!</definedName>
    <definedName name="COMPACTUAL" localSheetId="7">#REF!</definedName>
    <definedName name="COMPACTUAL" localSheetId="6">#REF!</definedName>
    <definedName name="COMPACTUAL" localSheetId="1">#REF!</definedName>
    <definedName name="COMPACTUAL" localSheetId="35">#REF!</definedName>
    <definedName name="COMPACTUAL" localSheetId="11">#REF!</definedName>
    <definedName name="COMPACTUAL" localSheetId="9">#REF!</definedName>
    <definedName name="COMPACTUAL" localSheetId="15">#REF!</definedName>
    <definedName name="COMPACTUAL" localSheetId="16">#REF!</definedName>
    <definedName name="COMPACTUAL" localSheetId="14">#REF!</definedName>
    <definedName name="COMPACTUAL" localSheetId="26">#REF!</definedName>
    <definedName name="COMPACTUAL" localSheetId="12">#REF!</definedName>
    <definedName name="COMPACTUAL">#REF!</definedName>
    <definedName name="COMPT" localSheetId="2">#REF!</definedName>
    <definedName name="COMPT" localSheetId="3">#REF!</definedName>
    <definedName name="COMPT" localSheetId="4">#REF!</definedName>
    <definedName name="COMPT" localSheetId="5">#REF!</definedName>
    <definedName name="COMPT" localSheetId="8">#REF!</definedName>
    <definedName name="COMPT" localSheetId="7">#REF!</definedName>
    <definedName name="COMPT" localSheetId="6">#REF!</definedName>
    <definedName name="COMPT" localSheetId="1">#REF!</definedName>
    <definedName name="COMPT" localSheetId="35">#REF!</definedName>
    <definedName name="COMPT" localSheetId="11">#REF!</definedName>
    <definedName name="COMPT" localSheetId="9">#REF!</definedName>
    <definedName name="COMPT" localSheetId="15">#REF!</definedName>
    <definedName name="COMPT" localSheetId="16">#REF!</definedName>
    <definedName name="COMPT" localSheetId="14">#REF!</definedName>
    <definedName name="COMPT" localSheetId="26">#REF!</definedName>
    <definedName name="COMPT" localSheetId="12">#REF!</definedName>
    <definedName name="COMPT" localSheetId="27">#REF!</definedName>
    <definedName name="COMPT">#REF!</definedName>
    <definedName name="COMPWEATHER" localSheetId="2">#REF!</definedName>
    <definedName name="COMPWEATHER" localSheetId="3">#REF!</definedName>
    <definedName name="COMPWEATHER" localSheetId="4">#REF!</definedName>
    <definedName name="COMPWEATHER" localSheetId="5">#REF!</definedName>
    <definedName name="COMPWEATHER" localSheetId="8">#REF!</definedName>
    <definedName name="COMPWEATHER" localSheetId="7">#REF!</definedName>
    <definedName name="COMPWEATHER" localSheetId="6">#REF!</definedName>
    <definedName name="COMPWEATHER" localSheetId="1">#REF!</definedName>
    <definedName name="COMPWEATHER" localSheetId="35">#REF!</definedName>
    <definedName name="COMPWEATHER" localSheetId="11">#REF!</definedName>
    <definedName name="COMPWEATHER" localSheetId="9">#REF!</definedName>
    <definedName name="COMPWEATHER" localSheetId="15">#REF!</definedName>
    <definedName name="COMPWEATHER" localSheetId="16">#REF!</definedName>
    <definedName name="COMPWEATHER" localSheetId="14">#REF!</definedName>
    <definedName name="COMPWEATHER" localSheetId="26">#REF!</definedName>
    <definedName name="COMPWEATHER" localSheetId="12">#REF!</definedName>
    <definedName name="COMPWEATHER">#REF!</definedName>
    <definedName name="COSFacVal">[14]Inputs!$R$5</definedName>
    <definedName name="_xlnm.Database" localSheetId="2">[23]Invoice!#REF!</definedName>
    <definedName name="_xlnm.Database" localSheetId="3">[23]Invoice!#REF!</definedName>
    <definedName name="_xlnm.Database" localSheetId="4">[23]Invoice!#REF!</definedName>
    <definedName name="_xlnm.Database" localSheetId="5">[23]Invoice!#REF!</definedName>
    <definedName name="_xlnm.Database" localSheetId="8">[23]Invoice!#REF!</definedName>
    <definedName name="_xlnm.Database" localSheetId="7">[23]Invoice!#REF!</definedName>
    <definedName name="_xlnm.Database" localSheetId="6">[23]Invoice!#REF!</definedName>
    <definedName name="_xlnm.Database" localSheetId="1">[23]Invoice!#REF!</definedName>
    <definedName name="_xlnm.Database" localSheetId="35">[23]Invoice!#REF!</definedName>
    <definedName name="_xlnm.Database" localSheetId="11">[23]Invoice!#REF!</definedName>
    <definedName name="_xlnm.Database" localSheetId="9">[23]Invoice!#REF!</definedName>
    <definedName name="_xlnm.Database" localSheetId="15">[23]Invoice!#REF!</definedName>
    <definedName name="_xlnm.Database" localSheetId="16">[23]Invoice!#REF!</definedName>
    <definedName name="_xlnm.Database" localSheetId="31">[23]Invoice!#REF!</definedName>
    <definedName name="_xlnm.Database" localSheetId="30">[23]Invoice!#REF!</definedName>
    <definedName name="_xlnm.Database" localSheetId="14">[23]Invoice!#REF!</definedName>
    <definedName name="_xlnm.Database" localSheetId="26">[23]Invoice!#REF!</definedName>
    <definedName name="_xlnm.Database" localSheetId="12">[23]Invoice!#REF!</definedName>
    <definedName name="_xlnm.Database" localSheetId="27">[23]Invoice!#REF!</definedName>
    <definedName name="_xlnm.Database" localSheetId="22">#REF!</definedName>
    <definedName name="_xlnm.Database" localSheetId="23">#REF!</definedName>
    <definedName name="_xlnm.Database" localSheetId="21">#REF!</definedName>
    <definedName name="_xlnm.Database">[23]Invoice!#REF!</definedName>
    <definedName name="DATE" localSheetId="2">[24]Jan!#REF!</definedName>
    <definedName name="DATE" localSheetId="3">[24]Jan!#REF!</definedName>
    <definedName name="DATE" localSheetId="4">[24]Jan!#REF!</definedName>
    <definedName name="DATE" localSheetId="5">[24]Jan!#REF!</definedName>
    <definedName name="DATE" localSheetId="8">[24]Jan!#REF!</definedName>
    <definedName name="DATE" localSheetId="7">[24]Jan!#REF!</definedName>
    <definedName name="DATE" localSheetId="6">[24]Jan!#REF!</definedName>
    <definedName name="DATE" localSheetId="1">[24]Jan!#REF!</definedName>
    <definedName name="DATE" localSheetId="35">[24]Jan!#REF!</definedName>
    <definedName name="DATE" localSheetId="11">[24]Jan!#REF!</definedName>
    <definedName name="DATE" localSheetId="9">[24]Jan!#REF!</definedName>
    <definedName name="DATE" localSheetId="15">[24]Jan!#REF!</definedName>
    <definedName name="DATE" localSheetId="16">[24]Jan!#REF!</definedName>
    <definedName name="DATE" localSheetId="14">[24]Jan!#REF!</definedName>
    <definedName name="DATE" localSheetId="26">[24]Jan!#REF!</definedName>
    <definedName name="DATE" localSheetId="12">[24]Jan!#REF!</definedName>
    <definedName name="DATE">[24]Jan!#REF!</definedName>
    <definedName name="DEC" localSheetId="25">#REF!</definedName>
    <definedName name="DEC" localSheetId="24">#REF!</definedName>
    <definedName name="DEC" localSheetId="2">[21]Backup!#REF!</definedName>
    <definedName name="DEC" localSheetId="3">[21]Backup!#REF!</definedName>
    <definedName name="DEC" localSheetId="4">[21]Backup!#REF!</definedName>
    <definedName name="DEC" localSheetId="5">[21]Backup!#REF!</definedName>
    <definedName name="DEC" localSheetId="8">[21]Backup!#REF!</definedName>
    <definedName name="DEC" localSheetId="7">[21]Backup!#REF!</definedName>
    <definedName name="DEC" localSheetId="6">[21]Backup!#REF!</definedName>
    <definedName name="DEC" localSheetId="1">#REF!</definedName>
    <definedName name="DEC" localSheetId="37">#REF!</definedName>
    <definedName name="DEC" localSheetId="38">#REF!</definedName>
    <definedName name="DEC" localSheetId="35">[21]Backup!#REF!</definedName>
    <definedName name="DEC" localSheetId="11">#REF!</definedName>
    <definedName name="DEC" localSheetId="9">[21]Backup!#REF!</definedName>
    <definedName name="DEC" localSheetId="15">[21]Backup!#REF!</definedName>
    <definedName name="DEC" localSheetId="16">[21]Backup!#REF!</definedName>
    <definedName name="DEC" localSheetId="31">#REF!</definedName>
    <definedName name="DEC" localSheetId="30">#REF!</definedName>
    <definedName name="DEC" localSheetId="13">#REF!</definedName>
    <definedName name="DEC" localSheetId="14">#REF!</definedName>
    <definedName name="DEC" localSheetId="26">#REF!</definedName>
    <definedName name="DEC" localSheetId="12">[21]Backup!#REF!</definedName>
    <definedName name="DEC" localSheetId="32">[21]Backup!#REF!</definedName>
    <definedName name="DEC" localSheetId="27">[21]Backup!#REF!</definedName>
    <definedName name="DEC">[21]Backup!#REF!</definedName>
    <definedName name="DECT" localSheetId="2">#REF!</definedName>
    <definedName name="DECT" localSheetId="3">#REF!</definedName>
    <definedName name="DECT" localSheetId="4">#REF!</definedName>
    <definedName name="DECT" localSheetId="5">#REF!</definedName>
    <definedName name="DECT" localSheetId="8">#REF!</definedName>
    <definedName name="DECT" localSheetId="7">#REF!</definedName>
    <definedName name="DECT" localSheetId="6">#REF!</definedName>
    <definedName name="DECT" localSheetId="1">#REF!</definedName>
    <definedName name="DECT" localSheetId="35">#REF!</definedName>
    <definedName name="DECT" localSheetId="11">#REF!</definedName>
    <definedName name="DECT" localSheetId="9">#REF!</definedName>
    <definedName name="DECT" localSheetId="15">#REF!</definedName>
    <definedName name="DECT" localSheetId="16">#REF!</definedName>
    <definedName name="DECT" localSheetId="14">#REF!</definedName>
    <definedName name="DECT" localSheetId="26">#REF!</definedName>
    <definedName name="DECT" localSheetId="12">#REF!</definedName>
    <definedName name="DECT" localSheetId="27">#REF!</definedName>
    <definedName name="DECT">#REF!</definedName>
    <definedName name="Demand" localSheetId="33">[25]Inputs!$D$8</definedName>
    <definedName name="Demand">[13]Inputs!$D$8</definedName>
    <definedName name="Demand2">[25]Inputs!$D$11</definedName>
    <definedName name="Dis">'[14]Func Study'!$AB$250</definedName>
    <definedName name="DisFac">'[14]Func Dist Factor Table'!$A$11:$G$25</definedName>
    <definedName name="Dist_factor" localSheetId="2">#REF!</definedName>
    <definedName name="Dist_factor" localSheetId="3">#REF!</definedName>
    <definedName name="Dist_factor" localSheetId="4">#REF!</definedName>
    <definedName name="Dist_factor" localSheetId="5">#REF!</definedName>
    <definedName name="Dist_factor" localSheetId="8">#REF!</definedName>
    <definedName name="Dist_factor" localSheetId="7">#REF!</definedName>
    <definedName name="Dist_factor" localSheetId="6">#REF!</definedName>
    <definedName name="Dist_factor" localSheetId="1">#REF!</definedName>
    <definedName name="Dist_factor" localSheetId="35">#REF!</definedName>
    <definedName name="Dist_factor" localSheetId="11">#REF!</definedName>
    <definedName name="Dist_factor" localSheetId="9">#REF!</definedName>
    <definedName name="Dist_factor" localSheetId="15">#REF!</definedName>
    <definedName name="Dist_factor" localSheetId="16">#REF!</definedName>
    <definedName name="Dist_factor" localSheetId="14">#REF!</definedName>
    <definedName name="Dist_factor" localSheetId="26">#REF!</definedName>
    <definedName name="Dist_factor" localSheetId="12">#REF!</definedName>
    <definedName name="Dist_factor">#REF!</definedName>
    <definedName name="DistPeakMethod" localSheetId="2">[17]Inputs!#REF!</definedName>
    <definedName name="DistPeakMethod" localSheetId="3">[17]Inputs!#REF!</definedName>
    <definedName name="DistPeakMethod" localSheetId="4">[17]Inputs!#REF!</definedName>
    <definedName name="DistPeakMethod" localSheetId="5">[17]Inputs!#REF!</definedName>
    <definedName name="DistPeakMethod" localSheetId="8">[17]Inputs!#REF!</definedName>
    <definedName name="DistPeakMethod" localSheetId="7">[17]Inputs!#REF!</definedName>
    <definedName name="DistPeakMethod" localSheetId="6">[17]Inputs!#REF!</definedName>
    <definedName name="DistPeakMethod" localSheetId="1">[17]Inputs!#REF!</definedName>
    <definedName name="DistPeakMethod" localSheetId="35">[17]Inputs!#REF!</definedName>
    <definedName name="DistPeakMethod" localSheetId="11">[17]Inputs!#REF!</definedName>
    <definedName name="DistPeakMethod" localSheetId="9">[17]Inputs!#REF!</definedName>
    <definedName name="DistPeakMethod" localSheetId="15">[17]Inputs!#REF!</definedName>
    <definedName name="DistPeakMethod" localSheetId="16">[17]Inputs!#REF!</definedName>
    <definedName name="DistPeakMethod" localSheetId="14">[17]Inputs!#REF!</definedName>
    <definedName name="DistPeakMethod" localSheetId="26">[17]Inputs!#REF!</definedName>
    <definedName name="DistPeakMethod" localSheetId="12">[17]Inputs!#REF!</definedName>
    <definedName name="DistPeakMethod" localSheetId="32">[18]Inputs!#REF!</definedName>
    <definedName name="DistPeakMethod">[17]Inputs!#REF!</definedName>
    <definedName name="DUDE" localSheetId="2" hidden="1">#REF!</definedName>
    <definedName name="DUDE" localSheetId="3" hidden="1">#REF!</definedName>
    <definedName name="DUDE" localSheetId="4" hidden="1">#REF!</definedName>
    <definedName name="DUDE" localSheetId="5" hidden="1">#REF!</definedName>
    <definedName name="DUDE" localSheetId="8" hidden="1">#REF!</definedName>
    <definedName name="DUDE" localSheetId="7" hidden="1">#REF!</definedName>
    <definedName name="DUDE" localSheetId="6" hidden="1">#REF!</definedName>
    <definedName name="DUDE" localSheetId="1" hidden="1">#REF!</definedName>
    <definedName name="DUDE" localSheetId="35" hidden="1">#REF!</definedName>
    <definedName name="DUDE" localSheetId="11" hidden="1">#REF!</definedName>
    <definedName name="DUDE" localSheetId="9" hidden="1">#REF!</definedName>
    <definedName name="DUDE" localSheetId="15" hidden="1">#REF!</definedName>
    <definedName name="DUDE" localSheetId="16" hidden="1">#REF!</definedName>
    <definedName name="DUDE" localSheetId="14" hidden="1">#REF!</definedName>
    <definedName name="DUDE" localSheetId="26" hidden="1">#REF!</definedName>
    <definedName name="DUDE" localSheetId="12" hidden="1">#REF!</definedName>
    <definedName name="DUDE" localSheetId="27" hidden="1">#REF!</definedName>
    <definedName name="DUDE" hidden="1">#REF!</definedName>
    <definedName name="energy">[22]Readings!$B$3</definedName>
    <definedName name="Engy" localSheetId="33">[25]Inputs!$D$9</definedName>
    <definedName name="Engy">[13]Inputs!$D$9</definedName>
    <definedName name="Engy2">[25]Inputs!$D$12</definedName>
    <definedName name="f101top" localSheetId="2">#REF!</definedName>
    <definedName name="f101top" localSheetId="3">#REF!</definedName>
    <definedName name="f101top" localSheetId="4">#REF!</definedName>
    <definedName name="f101top" localSheetId="5">#REF!</definedName>
    <definedName name="f101top" localSheetId="8">#REF!</definedName>
    <definedName name="f101top" localSheetId="7">#REF!</definedName>
    <definedName name="f101top" localSheetId="6">#REF!</definedName>
    <definedName name="f101top" localSheetId="1">#REF!</definedName>
    <definedName name="f101top" localSheetId="35">#REF!</definedName>
    <definedName name="f101top" localSheetId="11">#REF!</definedName>
    <definedName name="f101top" localSheetId="9">#REF!</definedName>
    <definedName name="f101top" localSheetId="15">#REF!</definedName>
    <definedName name="f101top" localSheetId="16">#REF!</definedName>
    <definedName name="f101top" localSheetId="31">#REF!</definedName>
    <definedName name="f101top" localSheetId="30">#REF!</definedName>
    <definedName name="f101top" localSheetId="14">#REF!</definedName>
    <definedName name="f101top" localSheetId="26">#REF!</definedName>
    <definedName name="f101top" localSheetId="12">#REF!</definedName>
    <definedName name="f101top">#REF!</definedName>
    <definedName name="f104top" localSheetId="2">#REF!</definedName>
    <definedName name="f104top" localSheetId="3">#REF!</definedName>
    <definedName name="f104top" localSheetId="4">#REF!</definedName>
    <definedName name="f104top" localSheetId="5">#REF!</definedName>
    <definedName name="f104top" localSheetId="8">#REF!</definedName>
    <definedName name="f104top" localSheetId="7">#REF!</definedName>
    <definedName name="f104top" localSheetId="6">#REF!</definedName>
    <definedName name="f104top" localSheetId="1">#REF!</definedName>
    <definedName name="f104top" localSheetId="35">#REF!</definedName>
    <definedName name="f104top" localSheetId="11">#REF!</definedName>
    <definedName name="f104top" localSheetId="9">#REF!</definedName>
    <definedName name="f104top" localSheetId="15">#REF!</definedName>
    <definedName name="f104top" localSheetId="16">#REF!</definedName>
    <definedName name="f104top" localSheetId="31">#REF!</definedName>
    <definedName name="f104top" localSheetId="30">#REF!</definedName>
    <definedName name="f104top" localSheetId="14">#REF!</definedName>
    <definedName name="f104top" localSheetId="26">#REF!</definedName>
    <definedName name="f104top" localSheetId="12">#REF!</definedName>
    <definedName name="f104top">#REF!</definedName>
    <definedName name="f138top" localSheetId="2">#REF!</definedName>
    <definedName name="f138top" localSheetId="3">#REF!</definedName>
    <definedName name="f138top" localSheetId="4">#REF!</definedName>
    <definedName name="f138top" localSheetId="5">#REF!</definedName>
    <definedName name="f138top" localSheetId="8">#REF!</definedName>
    <definedName name="f138top" localSheetId="7">#REF!</definedName>
    <definedName name="f138top" localSheetId="6">#REF!</definedName>
    <definedName name="f138top" localSheetId="1">#REF!</definedName>
    <definedName name="f138top" localSheetId="35">#REF!</definedName>
    <definedName name="f138top" localSheetId="11">#REF!</definedName>
    <definedName name="f138top" localSheetId="9">#REF!</definedName>
    <definedName name="f138top" localSheetId="15">#REF!</definedName>
    <definedName name="f138top" localSheetId="16">#REF!</definedName>
    <definedName name="f138top" localSheetId="31">#REF!</definedName>
    <definedName name="f138top" localSheetId="30">#REF!</definedName>
    <definedName name="f138top" localSheetId="14">#REF!</definedName>
    <definedName name="f138top" localSheetId="26">#REF!</definedName>
    <definedName name="f138top" localSheetId="12">#REF!</definedName>
    <definedName name="f138top">#REF!</definedName>
    <definedName name="f140top" localSheetId="2">#REF!</definedName>
    <definedName name="f140top" localSheetId="3">#REF!</definedName>
    <definedName name="f140top" localSheetId="4">#REF!</definedName>
    <definedName name="f140top" localSheetId="5">#REF!</definedName>
    <definedName name="f140top" localSheetId="8">#REF!</definedName>
    <definedName name="f140top" localSheetId="7">#REF!</definedName>
    <definedName name="f140top" localSheetId="6">#REF!</definedName>
    <definedName name="f140top" localSheetId="1">#REF!</definedName>
    <definedName name="f140top" localSheetId="35">#REF!</definedName>
    <definedName name="f140top" localSheetId="11">#REF!</definedName>
    <definedName name="f140top" localSheetId="9">#REF!</definedName>
    <definedName name="f140top" localSheetId="15">#REF!</definedName>
    <definedName name="f140top" localSheetId="16">#REF!</definedName>
    <definedName name="f140top" localSheetId="31">#REF!</definedName>
    <definedName name="f140top" localSheetId="30">#REF!</definedName>
    <definedName name="f140top" localSheetId="14">#REF!</definedName>
    <definedName name="f140top" localSheetId="26">#REF!</definedName>
    <definedName name="f140top" localSheetId="12">#REF!</definedName>
    <definedName name="f140top">#REF!</definedName>
    <definedName name="Factorck">'[14]COS Factor Table'!$O$15:$O$113</definedName>
    <definedName name="FactorType">[19]Variables!$AK$2:$AL$12</definedName>
    <definedName name="FACTP" localSheetId="2">#REF!</definedName>
    <definedName name="FACTP" localSheetId="3">#REF!</definedName>
    <definedName name="FACTP" localSheetId="4">#REF!</definedName>
    <definedName name="FACTP" localSheetId="5">#REF!</definedName>
    <definedName name="FACTP" localSheetId="8">#REF!</definedName>
    <definedName name="FACTP" localSheetId="7">#REF!</definedName>
    <definedName name="FACTP" localSheetId="6">#REF!</definedName>
    <definedName name="FACTP" localSheetId="1">#REF!</definedName>
    <definedName name="FACTP" localSheetId="35">#REF!</definedName>
    <definedName name="FACTP" localSheetId="11">#REF!</definedName>
    <definedName name="FACTP" localSheetId="9">#REF!</definedName>
    <definedName name="FACTP" localSheetId="15">#REF!</definedName>
    <definedName name="FACTP" localSheetId="16">#REF!</definedName>
    <definedName name="FACTP" localSheetId="31">#REF!</definedName>
    <definedName name="FACTP" localSheetId="30">#REF!</definedName>
    <definedName name="FACTP" localSheetId="14">#REF!</definedName>
    <definedName name="FACTP" localSheetId="26">#REF!</definedName>
    <definedName name="FACTP" localSheetId="12">#REF!</definedName>
    <definedName name="FACTP">#REF!</definedName>
    <definedName name="FactSum">'[14]COS Factor Table'!$A$14:$O$113</definedName>
    <definedName name="FEB" localSheetId="25">#REF!</definedName>
    <definedName name="FEB" localSheetId="24">#REF!</definedName>
    <definedName name="FEB" localSheetId="2">[21]Backup!#REF!</definedName>
    <definedName name="FEB" localSheetId="3">[21]Backup!#REF!</definedName>
    <definedName name="FEB" localSheetId="4">[21]Backup!#REF!</definedName>
    <definedName name="FEB" localSheetId="5">[21]Backup!#REF!</definedName>
    <definedName name="FEB" localSheetId="8">[21]Backup!#REF!</definedName>
    <definedName name="FEB" localSheetId="7">[21]Backup!#REF!</definedName>
    <definedName name="FEB" localSheetId="6">[21]Backup!#REF!</definedName>
    <definedName name="FEB" localSheetId="1">#REF!</definedName>
    <definedName name="FEB" localSheetId="37">#REF!</definedName>
    <definedName name="FEB" localSheetId="38">#REF!</definedName>
    <definedName name="FEB" localSheetId="35">[21]Backup!#REF!</definedName>
    <definedName name="FEB" localSheetId="11">#REF!</definedName>
    <definedName name="FEB" localSheetId="9">[21]Backup!#REF!</definedName>
    <definedName name="FEB" localSheetId="15">[21]Backup!#REF!</definedName>
    <definedName name="FEB" localSheetId="16">[21]Backup!#REF!</definedName>
    <definedName name="FEB" localSheetId="31">#REF!</definedName>
    <definedName name="FEB" localSheetId="30">#REF!</definedName>
    <definedName name="FEB" localSheetId="13">#REF!</definedName>
    <definedName name="FEB" localSheetId="14">#REF!</definedName>
    <definedName name="FEB" localSheetId="26">#REF!</definedName>
    <definedName name="FEB" localSheetId="12">[21]Backup!#REF!</definedName>
    <definedName name="FEB" localSheetId="32">[21]Backup!#REF!</definedName>
    <definedName name="FEB" localSheetId="27">[21]Backup!#REF!</definedName>
    <definedName name="FEB">[21]Backup!#REF!</definedName>
    <definedName name="FEBT" localSheetId="2">#REF!</definedName>
    <definedName name="FEBT" localSheetId="3">#REF!</definedName>
    <definedName name="FEBT" localSheetId="4">#REF!</definedName>
    <definedName name="FEBT" localSheetId="5">#REF!</definedName>
    <definedName name="FEBT" localSheetId="8">#REF!</definedName>
    <definedName name="FEBT" localSheetId="7">#REF!</definedName>
    <definedName name="FEBT" localSheetId="6">#REF!</definedName>
    <definedName name="FEBT" localSheetId="1">#REF!</definedName>
    <definedName name="FEBT" localSheetId="35">#REF!</definedName>
    <definedName name="FEBT" localSheetId="11">#REF!</definedName>
    <definedName name="FEBT" localSheetId="9">#REF!</definedName>
    <definedName name="FEBT" localSheetId="15">#REF!</definedName>
    <definedName name="FEBT" localSheetId="16">#REF!</definedName>
    <definedName name="FEBT" localSheetId="14">#REF!</definedName>
    <definedName name="FEBT" localSheetId="26">#REF!</definedName>
    <definedName name="FEBT" localSheetId="12">#REF!</definedName>
    <definedName name="FEBT" localSheetId="27">#REF!</definedName>
    <definedName name="FEBT">#REF!</definedName>
    <definedName name="FranchiseTax" localSheetId="27">[20]Variables!$D$26</definedName>
    <definedName name="FranchiseTax">[20]Variables!$D$26</definedName>
    <definedName name="Func">'[14]Func Factor Table'!$A$10:$H$77</definedName>
    <definedName name="Func_Ftrs" localSheetId="2">#REF!</definedName>
    <definedName name="Func_Ftrs" localSheetId="3">#REF!</definedName>
    <definedName name="Func_Ftrs" localSheetId="4">#REF!</definedName>
    <definedName name="Func_Ftrs" localSheetId="5">#REF!</definedName>
    <definedName name="Func_Ftrs" localSheetId="8">#REF!</definedName>
    <definedName name="Func_Ftrs" localSheetId="7">#REF!</definedName>
    <definedName name="Func_Ftrs" localSheetId="6">#REF!</definedName>
    <definedName name="Func_Ftrs" localSheetId="1">#REF!</definedName>
    <definedName name="Func_Ftrs" localSheetId="35">#REF!</definedName>
    <definedName name="Func_Ftrs" localSheetId="11">#REF!</definedName>
    <definedName name="Func_Ftrs" localSheetId="9">#REF!</definedName>
    <definedName name="Func_Ftrs" localSheetId="15">#REF!</definedName>
    <definedName name="Func_Ftrs" localSheetId="16">#REF!</definedName>
    <definedName name="Func_Ftrs" localSheetId="14">#REF!</definedName>
    <definedName name="Func_Ftrs" localSheetId="26">#REF!</definedName>
    <definedName name="Func_Ftrs" localSheetId="12">#REF!</definedName>
    <definedName name="Func_Ftrs" localSheetId="27">#REF!</definedName>
    <definedName name="Func_Ftrs">#REF!</definedName>
    <definedName name="Func_GTD_Percents" localSheetId="2">#REF!</definedName>
    <definedName name="Func_GTD_Percents" localSheetId="3">#REF!</definedName>
    <definedName name="Func_GTD_Percents" localSheetId="4">#REF!</definedName>
    <definedName name="Func_GTD_Percents" localSheetId="5">#REF!</definedName>
    <definedName name="Func_GTD_Percents" localSheetId="8">#REF!</definedName>
    <definedName name="Func_GTD_Percents" localSheetId="7">#REF!</definedName>
    <definedName name="Func_GTD_Percents" localSheetId="6">#REF!</definedName>
    <definedName name="Func_GTD_Percents" localSheetId="1">#REF!</definedName>
    <definedName name="Func_GTD_Percents" localSheetId="35">#REF!</definedName>
    <definedName name="Func_GTD_Percents" localSheetId="11">#REF!</definedName>
    <definedName name="Func_GTD_Percents" localSheetId="9">#REF!</definedName>
    <definedName name="Func_GTD_Percents" localSheetId="15">#REF!</definedName>
    <definedName name="Func_GTD_Percents" localSheetId="16">#REF!</definedName>
    <definedName name="Func_GTD_Percents" localSheetId="14">#REF!</definedName>
    <definedName name="Func_GTD_Percents" localSheetId="26">#REF!</definedName>
    <definedName name="Func_GTD_Percents" localSheetId="12">#REF!</definedName>
    <definedName name="Func_GTD_Percents" localSheetId="27">#REF!</definedName>
    <definedName name="Func_GTD_Percents">#REF!</definedName>
    <definedName name="Func_MC" localSheetId="2">#REF!</definedName>
    <definedName name="Func_MC" localSheetId="3">#REF!</definedName>
    <definedName name="Func_MC" localSheetId="4">#REF!</definedName>
    <definedName name="Func_MC" localSheetId="5">#REF!</definedName>
    <definedName name="Func_MC" localSheetId="8">#REF!</definedName>
    <definedName name="Func_MC" localSheetId="7">#REF!</definedName>
    <definedName name="Func_MC" localSheetId="6">#REF!</definedName>
    <definedName name="Func_MC" localSheetId="1">#REF!</definedName>
    <definedName name="Func_MC" localSheetId="35">#REF!</definedName>
    <definedName name="Func_MC" localSheetId="11">#REF!</definedName>
    <definedName name="Func_MC" localSheetId="9">#REF!</definedName>
    <definedName name="Func_MC" localSheetId="15">#REF!</definedName>
    <definedName name="Func_MC" localSheetId="16">#REF!</definedName>
    <definedName name="Func_MC" localSheetId="14">#REF!</definedName>
    <definedName name="Func_MC" localSheetId="26">#REF!</definedName>
    <definedName name="Func_MC" localSheetId="12">#REF!</definedName>
    <definedName name="Func_MC" localSheetId="27">#REF!</definedName>
    <definedName name="Func_MC">#REF!</definedName>
    <definedName name="Func_Percents" localSheetId="2">#REF!</definedName>
    <definedName name="Func_Percents" localSheetId="3">#REF!</definedName>
    <definedName name="Func_Percents" localSheetId="4">#REF!</definedName>
    <definedName name="Func_Percents" localSheetId="5">#REF!</definedName>
    <definedName name="Func_Percents" localSheetId="8">#REF!</definedName>
    <definedName name="Func_Percents" localSheetId="7">#REF!</definedName>
    <definedName name="Func_Percents" localSheetId="6">#REF!</definedName>
    <definedName name="Func_Percents" localSheetId="1">#REF!</definedName>
    <definedName name="Func_Percents" localSheetId="35">#REF!</definedName>
    <definedName name="Func_Percents" localSheetId="11">#REF!</definedName>
    <definedName name="Func_Percents" localSheetId="9">#REF!</definedName>
    <definedName name="Func_Percents" localSheetId="15">#REF!</definedName>
    <definedName name="Func_Percents" localSheetId="16">#REF!</definedName>
    <definedName name="Func_Percents" localSheetId="14">#REF!</definedName>
    <definedName name="Func_Percents" localSheetId="26">#REF!</definedName>
    <definedName name="Func_Percents" localSheetId="12">#REF!</definedName>
    <definedName name="Func_Percents" localSheetId="27">#REF!</definedName>
    <definedName name="Func_Percents">#REF!</definedName>
    <definedName name="Func_Rev_Req1" localSheetId="2">#REF!</definedName>
    <definedName name="Func_Rev_Req1" localSheetId="3">#REF!</definedName>
    <definedName name="Func_Rev_Req1" localSheetId="4">#REF!</definedName>
    <definedName name="Func_Rev_Req1" localSheetId="5">#REF!</definedName>
    <definedName name="Func_Rev_Req1" localSheetId="8">#REF!</definedName>
    <definedName name="Func_Rev_Req1" localSheetId="7">#REF!</definedName>
    <definedName name="Func_Rev_Req1" localSheetId="6">#REF!</definedName>
    <definedName name="Func_Rev_Req1" localSheetId="1">#REF!</definedName>
    <definedName name="Func_Rev_Req1" localSheetId="35">#REF!</definedName>
    <definedName name="Func_Rev_Req1" localSheetId="11">#REF!</definedName>
    <definedName name="Func_Rev_Req1" localSheetId="9">#REF!</definedName>
    <definedName name="Func_Rev_Req1" localSheetId="15">#REF!</definedName>
    <definedName name="Func_Rev_Req1" localSheetId="16">#REF!</definedName>
    <definedName name="Func_Rev_Req1" localSheetId="14">#REF!</definedName>
    <definedName name="Func_Rev_Req1" localSheetId="26">#REF!</definedName>
    <definedName name="Func_Rev_Req1" localSheetId="12">#REF!</definedName>
    <definedName name="Func_Rev_Req1" localSheetId="27">#REF!</definedName>
    <definedName name="Func_Rev_Req1">#REF!</definedName>
    <definedName name="Func_Rev_Req2" localSheetId="2">#REF!</definedName>
    <definedName name="Func_Rev_Req2" localSheetId="3">#REF!</definedName>
    <definedName name="Func_Rev_Req2" localSheetId="4">#REF!</definedName>
    <definedName name="Func_Rev_Req2" localSheetId="5">#REF!</definedName>
    <definedName name="Func_Rev_Req2" localSheetId="8">#REF!</definedName>
    <definedName name="Func_Rev_Req2" localSheetId="7">#REF!</definedName>
    <definedName name="Func_Rev_Req2" localSheetId="6">#REF!</definedName>
    <definedName name="Func_Rev_Req2" localSheetId="1">#REF!</definedName>
    <definedName name="Func_Rev_Req2" localSheetId="35">#REF!</definedName>
    <definedName name="Func_Rev_Req2" localSheetId="11">#REF!</definedName>
    <definedName name="Func_Rev_Req2" localSheetId="9">#REF!</definedName>
    <definedName name="Func_Rev_Req2" localSheetId="15">#REF!</definedName>
    <definedName name="Func_Rev_Req2" localSheetId="16">#REF!</definedName>
    <definedName name="Func_Rev_Req2" localSheetId="14">#REF!</definedName>
    <definedName name="Func_Rev_Req2" localSheetId="26">#REF!</definedName>
    <definedName name="Func_Rev_Req2" localSheetId="12">#REF!</definedName>
    <definedName name="Func_Rev_Req2" localSheetId="27">#REF!</definedName>
    <definedName name="Func_Rev_Req2">#REF!</definedName>
    <definedName name="Func_Revenue" localSheetId="2">#REF!</definedName>
    <definedName name="Func_Revenue" localSheetId="3">#REF!</definedName>
    <definedName name="Func_Revenue" localSheetId="4">#REF!</definedName>
    <definedName name="Func_Revenue" localSheetId="5">#REF!</definedName>
    <definedName name="Func_Revenue" localSheetId="8">#REF!</definedName>
    <definedName name="Func_Revenue" localSheetId="7">#REF!</definedName>
    <definedName name="Func_Revenue" localSheetId="6">#REF!</definedName>
    <definedName name="Func_Revenue" localSheetId="1">#REF!</definedName>
    <definedName name="Func_Revenue" localSheetId="35">#REF!</definedName>
    <definedName name="Func_Revenue" localSheetId="11">#REF!</definedName>
    <definedName name="Func_Revenue" localSheetId="9">#REF!</definedName>
    <definedName name="Func_Revenue" localSheetId="15">#REF!</definedName>
    <definedName name="Func_Revenue" localSheetId="16">#REF!</definedName>
    <definedName name="Func_Revenue" localSheetId="14">#REF!</definedName>
    <definedName name="Func_Revenue" localSheetId="26">#REF!</definedName>
    <definedName name="Func_Revenue" localSheetId="12">#REF!</definedName>
    <definedName name="Func_Revenue" localSheetId="27">#REF!</definedName>
    <definedName name="Func_Revenue">#REF!</definedName>
    <definedName name="Function">'[14]Func Study'!$AB$250</definedName>
    <definedName name="GREATER10MW" localSheetId="2">#REF!</definedName>
    <definedName name="GREATER10MW" localSheetId="3">#REF!</definedName>
    <definedName name="GREATER10MW" localSheetId="4">#REF!</definedName>
    <definedName name="GREATER10MW" localSheetId="5">#REF!</definedName>
    <definedName name="GREATER10MW" localSheetId="8">#REF!</definedName>
    <definedName name="GREATER10MW" localSheetId="7">#REF!</definedName>
    <definedName name="GREATER10MW" localSheetId="6">#REF!</definedName>
    <definedName name="GREATER10MW" localSheetId="1">#REF!</definedName>
    <definedName name="GREATER10MW" localSheetId="35">#REF!</definedName>
    <definedName name="GREATER10MW" localSheetId="11">#REF!</definedName>
    <definedName name="GREATER10MW" localSheetId="9">#REF!</definedName>
    <definedName name="GREATER10MW" localSheetId="15">#REF!</definedName>
    <definedName name="GREATER10MW" localSheetId="16">#REF!</definedName>
    <definedName name="GREATER10MW" localSheetId="14">#REF!</definedName>
    <definedName name="GREATER10MW" localSheetId="26">#REF!</definedName>
    <definedName name="GREATER10MW" localSheetId="12">#REF!</definedName>
    <definedName name="GREATER10MW">#REF!</definedName>
    <definedName name="GTD_Percents" localSheetId="2">#REF!</definedName>
    <definedName name="GTD_Percents" localSheetId="3">#REF!</definedName>
    <definedName name="GTD_Percents" localSheetId="4">#REF!</definedName>
    <definedName name="GTD_Percents" localSheetId="5">#REF!</definedName>
    <definedName name="GTD_Percents" localSheetId="8">#REF!</definedName>
    <definedName name="GTD_Percents" localSheetId="7">#REF!</definedName>
    <definedName name="GTD_Percents" localSheetId="6">#REF!</definedName>
    <definedName name="GTD_Percents" localSheetId="1">#REF!</definedName>
    <definedName name="GTD_Percents" localSheetId="35">#REF!</definedName>
    <definedName name="GTD_Percents" localSheetId="11">#REF!</definedName>
    <definedName name="GTD_Percents" localSheetId="9">#REF!</definedName>
    <definedName name="GTD_Percents" localSheetId="15">#REF!</definedName>
    <definedName name="GTD_Percents" localSheetId="16">#REF!</definedName>
    <definedName name="GTD_Percents" localSheetId="14">#REF!</definedName>
    <definedName name="GTD_Percents" localSheetId="26">#REF!</definedName>
    <definedName name="GTD_Percents" localSheetId="12">#REF!</definedName>
    <definedName name="GTD_Percents" localSheetId="27">#REF!</definedName>
    <definedName name="GTD_Percents">#REF!</definedName>
    <definedName name="HEIGHT" localSheetId="2">#REF!</definedName>
    <definedName name="HEIGHT" localSheetId="3">#REF!</definedName>
    <definedName name="HEIGHT" localSheetId="4">#REF!</definedName>
    <definedName name="HEIGHT" localSheetId="5">#REF!</definedName>
    <definedName name="HEIGHT" localSheetId="8">#REF!</definedName>
    <definedName name="HEIGHT" localSheetId="7">#REF!</definedName>
    <definedName name="HEIGHT" localSheetId="6">#REF!</definedName>
    <definedName name="HEIGHT" localSheetId="1">#REF!</definedName>
    <definedName name="HEIGHT" localSheetId="35">#REF!</definedName>
    <definedName name="HEIGHT" localSheetId="11">#REF!</definedName>
    <definedName name="HEIGHT" localSheetId="9">#REF!</definedName>
    <definedName name="HEIGHT" localSheetId="15">#REF!</definedName>
    <definedName name="HEIGHT" localSheetId="16">#REF!</definedName>
    <definedName name="HEIGHT" localSheetId="14">#REF!</definedName>
    <definedName name="HEIGHT" localSheetId="26">#REF!</definedName>
    <definedName name="HEIGHT" localSheetId="12">#REF!</definedName>
    <definedName name="HEIGHT" localSheetId="27">#REF!</definedName>
    <definedName name="HEIGHT">#REF!</definedName>
    <definedName name="ID_0303_RVN_data" localSheetId="2">#REF!</definedName>
    <definedName name="ID_0303_RVN_data" localSheetId="3">#REF!</definedName>
    <definedName name="ID_0303_RVN_data" localSheetId="4">#REF!</definedName>
    <definedName name="ID_0303_RVN_data" localSheetId="5">#REF!</definedName>
    <definedName name="ID_0303_RVN_data" localSheetId="8">#REF!</definedName>
    <definedName name="ID_0303_RVN_data" localSheetId="7">#REF!</definedName>
    <definedName name="ID_0303_RVN_data" localSheetId="6">#REF!</definedName>
    <definedName name="ID_0303_RVN_data" localSheetId="1">#REF!</definedName>
    <definedName name="ID_0303_RVN_data" localSheetId="35">#REF!</definedName>
    <definedName name="ID_0303_RVN_data" localSheetId="11">#REF!</definedName>
    <definedName name="ID_0303_RVN_data" localSheetId="9">#REF!</definedName>
    <definedName name="ID_0303_RVN_data" localSheetId="15">#REF!</definedName>
    <definedName name="ID_0303_RVN_data" localSheetId="16">#REF!</definedName>
    <definedName name="ID_0303_RVN_data" localSheetId="14">#REF!</definedName>
    <definedName name="ID_0303_RVN_data" localSheetId="26">#REF!</definedName>
    <definedName name="ID_0303_RVN_data" localSheetId="12">#REF!</definedName>
    <definedName name="ID_0303_RVN_data" localSheetId="27">#REF!</definedName>
    <definedName name="ID_0303_RVN_data">#REF!</definedName>
    <definedName name="IDcontractsRVN" localSheetId="2">#REF!</definedName>
    <definedName name="IDcontractsRVN" localSheetId="3">#REF!</definedName>
    <definedName name="IDcontractsRVN" localSheetId="4">#REF!</definedName>
    <definedName name="IDcontractsRVN" localSheetId="5">#REF!</definedName>
    <definedName name="IDcontractsRVN" localSheetId="8">#REF!</definedName>
    <definedName name="IDcontractsRVN" localSheetId="7">#REF!</definedName>
    <definedName name="IDcontractsRVN" localSheetId="6">#REF!</definedName>
    <definedName name="IDcontractsRVN" localSheetId="1">#REF!</definedName>
    <definedName name="IDcontractsRVN" localSheetId="35">#REF!</definedName>
    <definedName name="IDcontractsRVN" localSheetId="11">#REF!</definedName>
    <definedName name="IDcontractsRVN" localSheetId="9">#REF!</definedName>
    <definedName name="IDcontractsRVN" localSheetId="15">#REF!</definedName>
    <definedName name="IDcontractsRVN" localSheetId="16">#REF!</definedName>
    <definedName name="IDcontractsRVN" localSheetId="14">#REF!</definedName>
    <definedName name="IDcontractsRVN" localSheetId="26">#REF!</definedName>
    <definedName name="IDcontractsRVN" localSheetId="12">#REF!</definedName>
    <definedName name="IDcontractsRVN" localSheetId="27">#REF!</definedName>
    <definedName name="IDcontractsRVN">#REF!</definedName>
    <definedName name="INDADJ" localSheetId="2">#REF!</definedName>
    <definedName name="INDADJ" localSheetId="3">#REF!</definedName>
    <definedName name="INDADJ" localSheetId="4">#REF!</definedName>
    <definedName name="INDADJ" localSheetId="5">#REF!</definedName>
    <definedName name="INDADJ" localSheetId="8">#REF!</definedName>
    <definedName name="INDADJ" localSheetId="7">#REF!</definedName>
    <definedName name="INDADJ" localSheetId="6">#REF!</definedName>
    <definedName name="INDADJ" localSheetId="1">#REF!</definedName>
    <definedName name="INDADJ" localSheetId="35">#REF!</definedName>
    <definedName name="INDADJ" localSheetId="11">#REF!</definedName>
    <definedName name="INDADJ" localSheetId="9">#REF!</definedName>
    <definedName name="INDADJ" localSheetId="15">#REF!</definedName>
    <definedName name="INDADJ" localSheetId="16">#REF!</definedName>
    <definedName name="INDADJ" localSheetId="14">#REF!</definedName>
    <definedName name="INDADJ" localSheetId="26">#REF!</definedName>
    <definedName name="INDADJ" localSheetId="12">#REF!</definedName>
    <definedName name="INDADJ">#REF!</definedName>
    <definedName name="INPUT" localSheetId="2">[26]Summary!#REF!</definedName>
    <definedName name="INPUT" localSheetId="3">[26]Summary!#REF!</definedName>
    <definedName name="INPUT" localSheetId="4">[26]Summary!#REF!</definedName>
    <definedName name="INPUT" localSheetId="5">[26]Summary!#REF!</definedName>
    <definedName name="INPUT" localSheetId="8">[26]Summary!#REF!</definedName>
    <definedName name="INPUT" localSheetId="7">[26]Summary!#REF!</definedName>
    <definedName name="INPUT" localSheetId="6">[26]Summary!#REF!</definedName>
    <definedName name="INPUT" localSheetId="1">[26]Summary!#REF!</definedName>
    <definedName name="INPUT" localSheetId="35">[26]Summary!#REF!</definedName>
    <definedName name="INPUT" localSheetId="11">[26]Summary!#REF!</definedName>
    <definedName name="INPUT" localSheetId="9">[26]Summary!#REF!</definedName>
    <definedName name="INPUT" localSheetId="15">[26]Summary!#REF!</definedName>
    <definedName name="INPUT" localSheetId="16">[26]Summary!#REF!</definedName>
    <definedName name="INPUT" localSheetId="14">[26]Summary!#REF!</definedName>
    <definedName name="INPUT" localSheetId="26">[26]Summary!#REF!</definedName>
    <definedName name="INPUT" localSheetId="12">[26]Summary!#REF!</definedName>
    <definedName name="INPUT" localSheetId="32">[27]Summary!#REF!</definedName>
    <definedName name="INPUT">[26]Summary!#REF!</definedName>
    <definedName name="Instructions" localSheetId="2">#REF!</definedName>
    <definedName name="Instructions" localSheetId="3">#REF!</definedName>
    <definedName name="Instructions" localSheetId="4">#REF!</definedName>
    <definedName name="Instructions" localSheetId="5">#REF!</definedName>
    <definedName name="Instructions" localSheetId="8">#REF!</definedName>
    <definedName name="Instructions" localSheetId="7">#REF!</definedName>
    <definedName name="Instructions" localSheetId="6">#REF!</definedName>
    <definedName name="Instructions" localSheetId="1">#REF!</definedName>
    <definedName name="Instructions" localSheetId="35">#REF!</definedName>
    <definedName name="Instructions" localSheetId="11">#REF!</definedName>
    <definedName name="Instructions" localSheetId="9">#REF!</definedName>
    <definedName name="Instructions" localSheetId="15">#REF!</definedName>
    <definedName name="Instructions" localSheetId="16">#REF!</definedName>
    <definedName name="Instructions" localSheetId="31">#REF!</definedName>
    <definedName name="Instructions" localSheetId="30">#REF!</definedName>
    <definedName name="Instructions" localSheetId="14">#REF!</definedName>
    <definedName name="Instructions" localSheetId="26">#REF!</definedName>
    <definedName name="Instructions" localSheetId="12">#REF!</definedName>
    <definedName name="Instructions">#REF!</definedName>
    <definedName name="JAN" localSheetId="25">#REF!</definedName>
    <definedName name="JAN" localSheetId="24">#REF!</definedName>
    <definedName name="JAN" localSheetId="2">[21]Backup!#REF!</definedName>
    <definedName name="JAN" localSheetId="3">[21]Backup!#REF!</definedName>
    <definedName name="JAN" localSheetId="4">[21]Backup!#REF!</definedName>
    <definedName name="JAN" localSheetId="5">[21]Backup!#REF!</definedName>
    <definedName name="JAN" localSheetId="8">[21]Backup!#REF!</definedName>
    <definedName name="JAN" localSheetId="7">[21]Backup!#REF!</definedName>
    <definedName name="JAN" localSheetId="6">[21]Backup!#REF!</definedName>
    <definedName name="JAN" localSheetId="1">#REF!</definedName>
    <definedName name="JAN" localSheetId="37">#REF!</definedName>
    <definedName name="JAN" localSheetId="38">#REF!</definedName>
    <definedName name="JAN" localSheetId="35">[21]Backup!#REF!</definedName>
    <definedName name="JAN" localSheetId="11">#REF!</definedName>
    <definedName name="JAN" localSheetId="9">[21]Backup!#REF!</definedName>
    <definedName name="JAN" localSheetId="15">[21]Backup!#REF!</definedName>
    <definedName name="JAN" localSheetId="16">[21]Backup!#REF!</definedName>
    <definedName name="JAN" localSheetId="31">#REF!</definedName>
    <definedName name="JAN" localSheetId="30">#REF!</definedName>
    <definedName name="JAN" localSheetId="13">#REF!</definedName>
    <definedName name="JAN" localSheetId="14">#REF!</definedName>
    <definedName name="JAN" localSheetId="26">#REF!</definedName>
    <definedName name="JAN" localSheetId="12">[21]Backup!#REF!</definedName>
    <definedName name="JAN" localSheetId="32">[21]Backup!#REF!</definedName>
    <definedName name="JAN" localSheetId="27">[21]Backup!#REF!</definedName>
    <definedName name="JAN">[21]Backup!#REF!</definedName>
    <definedName name="JANT" localSheetId="2">#REF!</definedName>
    <definedName name="JANT" localSheetId="3">#REF!</definedName>
    <definedName name="JANT" localSheetId="4">#REF!</definedName>
    <definedName name="JANT" localSheetId="5">#REF!</definedName>
    <definedName name="JANT" localSheetId="8">#REF!</definedName>
    <definedName name="JANT" localSheetId="7">#REF!</definedName>
    <definedName name="JANT" localSheetId="6">#REF!</definedName>
    <definedName name="JANT" localSheetId="1">#REF!</definedName>
    <definedName name="JANT" localSheetId="35">#REF!</definedName>
    <definedName name="JANT" localSheetId="11">#REF!</definedName>
    <definedName name="JANT" localSheetId="9">#REF!</definedName>
    <definedName name="JANT" localSheetId="15">#REF!</definedName>
    <definedName name="JANT" localSheetId="16">#REF!</definedName>
    <definedName name="JANT" localSheetId="14">#REF!</definedName>
    <definedName name="JANT" localSheetId="26">#REF!</definedName>
    <definedName name="JANT" localSheetId="12">#REF!</definedName>
    <definedName name="JANT" localSheetId="27">#REF!</definedName>
    <definedName name="JANT">#REF!</definedName>
    <definedName name="jjj" localSheetId="15">[28]Inputs!$N$18</definedName>
    <definedName name="jjj" localSheetId="16">[28]Inputs!$N$18</definedName>
    <definedName name="jjj" localSheetId="32">[29]Inputs!$N$18</definedName>
    <definedName name="jjj">[28]Inputs!$N$18</definedName>
    <definedName name="JUL" localSheetId="25">#REF!</definedName>
    <definedName name="JUL" localSheetId="24">#REF!</definedName>
    <definedName name="JUL" localSheetId="2">[21]Backup!#REF!</definedName>
    <definedName name="JUL" localSheetId="3">[21]Backup!#REF!</definedName>
    <definedName name="JUL" localSheetId="4">[21]Backup!#REF!</definedName>
    <definedName name="JUL" localSheetId="5">[21]Backup!#REF!</definedName>
    <definedName name="JUL" localSheetId="8">[21]Backup!#REF!</definedName>
    <definedName name="JUL" localSheetId="7">[21]Backup!#REF!</definedName>
    <definedName name="JUL" localSheetId="6">[21]Backup!#REF!</definedName>
    <definedName name="JUL" localSheetId="1">#REF!</definedName>
    <definedName name="JUL" localSheetId="37">#REF!</definedName>
    <definedName name="JUL" localSheetId="38">#REF!</definedName>
    <definedName name="JUL" localSheetId="35">[21]Backup!#REF!</definedName>
    <definedName name="JUL" localSheetId="11">#REF!</definedName>
    <definedName name="JUL" localSheetId="9">[21]Backup!#REF!</definedName>
    <definedName name="JUL" localSheetId="15">[21]Backup!#REF!</definedName>
    <definedName name="JUL" localSheetId="16">[21]Backup!#REF!</definedName>
    <definedName name="JUL" localSheetId="31">#REF!</definedName>
    <definedName name="JUL" localSheetId="30">#REF!</definedName>
    <definedName name="JUL" localSheetId="13">#REF!</definedName>
    <definedName name="JUL" localSheetId="14">#REF!</definedName>
    <definedName name="JUL" localSheetId="26">#REF!</definedName>
    <definedName name="JUL" localSheetId="12">[21]Backup!#REF!</definedName>
    <definedName name="JUL" localSheetId="32">[21]Backup!#REF!</definedName>
    <definedName name="JUL" localSheetId="27">[21]Backup!#REF!</definedName>
    <definedName name="JUL">[21]Backup!#REF!</definedName>
    <definedName name="JULT" localSheetId="2">#REF!</definedName>
    <definedName name="JULT" localSheetId="3">#REF!</definedName>
    <definedName name="JULT" localSheetId="4">#REF!</definedName>
    <definedName name="JULT" localSheetId="5">#REF!</definedName>
    <definedName name="JULT" localSheetId="8">#REF!</definedName>
    <definedName name="JULT" localSheetId="7">#REF!</definedName>
    <definedName name="JULT" localSheetId="6">#REF!</definedName>
    <definedName name="JULT" localSheetId="1">#REF!</definedName>
    <definedName name="JULT" localSheetId="35">#REF!</definedName>
    <definedName name="JULT" localSheetId="11">#REF!</definedName>
    <definedName name="JULT" localSheetId="9">#REF!</definedName>
    <definedName name="JULT" localSheetId="15">#REF!</definedName>
    <definedName name="JULT" localSheetId="16">#REF!</definedName>
    <definedName name="JULT" localSheetId="14">#REF!</definedName>
    <definedName name="JULT" localSheetId="26">#REF!</definedName>
    <definedName name="JULT" localSheetId="12">#REF!</definedName>
    <definedName name="JULT" localSheetId="27">#REF!</definedName>
    <definedName name="JULT">#REF!</definedName>
    <definedName name="JUN" localSheetId="25">#REF!</definedName>
    <definedName name="JUN" localSheetId="24">#REF!</definedName>
    <definedName name="JUN" localSheetId="2">[21]Backup!#REF!</definedName>
    <definedName name="JUN" localSheetId="3">[21]Backup!#REF!</definedName>
    <definedName name="JUN" localSheetId="4">[21]Backup!#REF!</definedName>
    <definedName name="JUN" localSheetId="5">[21]Backup!#REF!</definedName>
    <definedName name="JUN" localSheetId="8">[21]Backup!#REF!</definedName>
    <definedName name="JUN" localSheetId="7">[21]Backup!#REF!</definedName>
    <definedName name="JUN" localSheetId="6">[21]Backup!#REF!</definedName>
    <definedName name="JUN" localSheetId="1">#REF!</definedName>
    <definedName name="JUN" localSheetId="37">#REF!</definedName>
    <definedName name="JUN" localSheetId="38">#REF!</definedName>
    <definedName name="JUN" localSheetId="35">[21]Backup!#REF!</definedName>
    <definedName name="JUN" localSheetId="11">#REF!</definedName>
    <definedName name="JUN" localSheetId="9">[21]Backup!#REF!</definedName>
    <definedName name="JUN" localSheetId="15">[21]Backup!#REF!</definedName>
    <definedName name="JUN" localSheetId="16">[21]Backup!#REF!</definedName>
    <definedName name="JUN" localSheetId="31">#REF!</definedName>
    <definedName name="JUN" localSheetId="30">#REF!</definedName>
    <definedName name="JUN" localSheetId="13">#REF!</definedName>
    <definedName name="JUN" localSheetId="14">#REF!</definedName>
    <definedName name="JUN" localSheetId="26">#REF!</definedName>
    <definedName name="JUN" localSheetId="12">[21]Backup!#REF!</definedName>
    <definedName name="JUN" localSheetId="32">[21]Backup!#REF!</definedName>
    <definedName name="JUN" localSheetId="27">[21]Backup!#REF!</definedName>
    <definedName name="JUN">[21]Backup!#REF!</definedName>
    <definedName name="JUNT" localSheetId="2">#REF!</definedName>
    <definedName name="JUNT" localSheetId="3">#REF!</definedName>
    <definedName name="JUNT" localSheetId="4">#REF!</definedName>
    <definedName name="JUNT" localSheetId="5">#REF!</definedName>
    <definedName name="JUNT" localSheetId="8">#REF!</definedName>
    <definedName name="JUNT" localSheetId="7">#REF!</definedName>
    <definedName name="JUNT" localSheetId="6">#REF!</definedName>
    <definedName name="JUNT" localSheetId="1">#REF!</definedName>
    <definedName name="JUNT" localSheetId="35">#REF!</definedName>
    <definedName name="JUNT" localSheetId="11">#REF!</definedName>
    <definedName name="JUNT" localSheetId="9">#REF!</definedName>
    <definedName name="JUNT" localSheetId="15">#REF!</definedName>
    <definedName name="JUNT" localSheetId="16">#REF!</definedName>
    <definedName name="JUNT" localSheetId="14">#REF!</definedName>
    <definedName name="JUNT" localSheetId="26">#REF!</definedName>
    <definedName name="JUNT" localSheetId="12">#REF!</definedName>
    <definedName name="JUNT" localSheetId="27">#REF!</definedName>
    <definedName name="JUNT">#REF!</definedName>
    <definedName name="Jurisdiction">[19]Variables!$AK$15</definedName>
    <definedName name="JurisNumber">[19]Variables!$AL$15</definedName>
    <definedName name="LABORMOD" localSheetId="2">#REF!</definedName>
    <definedName name="LABORMOD" localSheetId="3">#REF!</definedName>
    <definedName name="LABORMOD" localSheetId="4">#REF!</definedName>
    <definedName name="LABORMOD" localSheetId="5">#REF!</definedName>
    <definedName name="LABORMOD" localSheetId="8">#REF!</definedName>
    <definedName name="LABORMOD" localSheetId="7">#REF!</definedName>
    <definedName name="LABORMOD" localSheetId="6">#REF!</definedName>
    <definedName name="LABORMOD" localSheetId="1">#REF!</definedName>
    <definedName name="LABORMOD" localSheetId="35">#REF!</definedName>
    <definedName name="LABORMOD" localSheetId="11">#REF!</definedName>
    <definedName name="LABORMOD" localSheetId="9">#REF!</definedName>
    <definedName name="LABORMOD" localSheetId="15">#REF!</definedName>
    <definedName name="LABORMOD" localSheetId="16">#REF!</definedName>
    <definedName name="LABORMOD" localSheetId="14">#REF!</definedName>
    <definedName name="LABORMOD" localSheetId="26">#REF!</definedName>
    <definedName name="LABORMOD" localSheetId="12">#REF!</definedName>
    <definedName name="LABORMOD" localSheetId="27">#REF!</definedName>
    <definedName name="LABORMOD">#REF!</definedName>
    <definedName name="LABORROLL" localSheetId="2">#REF!</definedName>
    <definedName name="LABORROLL" localSheetId="3">#REF!</definedName>
    <definedName name="LABORROLL" localSheetId="4">#REF!</definedName>
    <definedName name="LABORROLL" localSheetId="5">#REF!</definedName>
    <definedName name="LABORROLL" localSheetId="8">#REF!</definedName>
    <definedName name="LABORROLL" localSheetId="7">#REF!</definedName>
    <definedName name="LABORROLL" localSheetId="6">#REF!</definedName>
    <definedName name="LABORROLL" localSheetId="1">#REF!</definedName>
    <definedName name="LABORROLL" localSheetId="35">#REF!</definedName>
    <definedName name="LABORROLL" localSheetId="11">#REF!</definedName>
    <definedName name="LABORROLL" localSheetId="9">#REF!</definedName>
    <definedName name="LABORROLL" localSheetId="15">#REF!</definedName>
    <definedName name="LABORROLL" localSheetId="16">#REF!</definedName>
    <definedName name="LABORROLL" localSheetId="14">#REF!</definedName>
    <definedName name="LABORROLL" localSheetId="26">#REF!</definedName>
    <definedName name="LABORROLL" localSheetId="12">#REF!</definedName>
    <definedName name="LABORROLL" localSheetId="27">#REF!</definedName>
    <definedName name="LABORROLL">#REF!</definedName>
    <definedName name="limcount" hidden="1">1</definedName>
    <definedName name="Line_Ext_Credit" localSheetId="2">#REF!</definedName>
    <definedName name="Line_Ext_Credit" localSheetId="3">#REF!</definedName>
    <definedName name="Line_Ext_Credit" localSheetId="4">#REF!</definedName>
    <definedName name="Line_Ext_Credit" localSheetId="5">#REF!</definedName>
    <definedName name="Line_Ext_Credit" localSheetId="8">#REF!</definedName>
    <definedName name="Line_Ext_Credit" localSheetId="7">#REF!</definedName>
    <definedName name="Line_Ext_Credit" localSheetId="6">#REF!</definedName>
    <definedName name="Line_Ext_Credit" localSheetId="1">#REF!</definedName>
    <definedName name="Line_Ext_Credit" localSheetId="35">#REF!</definedName>
    <definedName name="Line_Ext_Credit" localSheetId="11">#REF!</definedName>
    <definedName name="Line_Ext_Credit" localSheetId="9">#REF!</definedName>
    <definedName name="Line_Ext_Credit" localSheetId="15">#REF!</definedName>
    <definedName name="Line_Ext_Credit" localSheetId="16">#REF!</definedName>
    <definedName name="Line_Ext_Credit" localSheetId="14">#REF!</definedName>
    <definedName name="Line_Ext_Credit" localSheetId="26">#REF!</definedName>
    <definedName name="Line_Ext_Credit" localSheetId="12">#REF!</definedName>
    <definedName name="Line_Ext_Credit" localSheetId="27">#REF!</definedName>
    <definedName name="Line_Ext_Credit">#REF!</definedName>
    <definedName name="LinkCos">'[14]JAM Download'!$K$4</definedName>
    <definedName name="LOG" localSheetId="2">[21]Backup!#REF!</definedName>
    <definedName name="LOG" localSheetId="3">[21]Backup!#REF!</definedName>
    <definedName name="LOG" localSheetId="4">[21]Backup!#REF!</definedName>
    <definedName name="LOG" localSheetId="5">[21]Backup!#REF!</definedName>
    <definedName name="LOG" localSheetId="8">[21]Backup!#REF!</definedName>
    <definedName name="LOG" localSheetId="7">[21]Backup!#REF!</definedName>
    <definedName name="LOG" localSheetId="6">[21]Backup!#REF!</definedName>
    <definedName name="LOG" localSheetId="1">[21]Backup!#REF!</definedName>
    <definedName name="LOG" localSheetId="35">[21]Backup!#REF!</definedName>
    <definedName name="LOG" localSheetId="11">[21]Backup!#REF!</definedName>
    <definedName name="LOG" localSheetId="9">[21]Backup!#REF!</definedName>
    <definedName name="LOG" localSheetId="15">[21]Backup!#REF!</definedName>
    <definedName name="LOG" localSheetId="16">[21]Backup!#REF!</definedName>
    <definedName name="LOG" localSheetId="14">[21]Backup!#REF!</definedName>
    <definedName name="LOG" localSheetId="26">[21]Backup!#REF!</definedName>
    <definedName name="LOG" localSheetId="12">[21]Backup!#REF!</definedName>
    <definedName name="LOG" localSheetId="32">[21]Backup!#REF!</definedName>
    <definedName name="LOG">[21]Backup!#REF!</definedName>
    <definedName name="LOSS" localSheetId="2">[21]Backup!#REF!</definedName>
    <definedName name="LOSS" localSheetId="3">[21]Backup!#REF!</definedName>
    <definedName name="LOSS" localSheetId="4">[21]Backup!#REF!</definedName>
    <definedName name="LOSS" localSheetId="5">[21]Backup!#REF!</definedName>
    <definedName name="LOSS" localSheetId="8">[21]Backup!#REF!</definedName>
    <definedName name="LOSS" localSheetId="7">[21]Backup!#REF!</definedName>
    <definedName name="LOSS" localSheetId="6">[21]Backup!#REF!</definedName>
    <definedName name="LOSS" localSheetId="1">[21]Backup!#REF!</definedName>
    <definedName name="LOSS" localSheetId="35">[21]Backup!#REF!</definedName>
    <definedName name="LOSS" localSheetId="11">[21]Backup!#REF!</definedName>
    <definedName name="LOSS" localSheetId="9">[21]Backup!#REF!</definedName>
    <definedName name="LOSS" localSheetId="15">[21]Backup!#REF!</definedName>
    <definedName name="LOSS" localSheetId="16">[21]Backup!#REF!</definedName>
    <definedName name="LOSS" localSheetId="14">[21]Backup!#REF!</definedName>
    <definedName name="LOSS" localSheetId="26">[21]Backup!#REF!</definedName>
    <definedName name="LOSS" localSheetId="12">[21]Backup!#REF!</definedName>
    <definedName name="LOSS">[21]Backup!#REF!</definedName>
    <definedName name="MACTIT" localSheetId="2">#REF!</definedName>
    <definedName name="MACTIT" localSheetId="3">#REF!</definedName>
    <definedName name="MACTIT" localSheetId="4">#REF!</definedName>
    <definedName name="MACTIT" localSheetId="5">#REF!</definedName>
    <definedName name="MACTIT" localSheetId="8">#REF!</definedName>
    <definedName name="MACTIT" localSheetId="7">#REF!</definedName>
    <definedName name="MACTIT" localSheetId="6">#REF!</definedName>
    <definedName name="MACTIT" localSheetId="1">#REF!</definedName>
    <definedName name="MACTIT" localSheetId="35">#REF!</definedName>
    <definedName name="MACTIT" localSheetId="11">#REF!</definedName>
    <definedName name="MACTIT" localSheetId="9">#REF!</definedName>
    <definedName name="MACTIT" localSheetId="15">#REF!</definedName>
    <definedName name="MACTIT" localSheetId="16">#REF!</definedName>
    <definedName name="MACTIT" localSheetId="31">#REF!</definedName>
    <definedName name="MACTIT" localSheetId="30">#REF!</definedName>
    <definedName name="MACTIT" localSheetId="14">#REF!</definedName>
    <definedName name="MACTIT" localSheetId="26">#REF!</definedName>
    <definedName name="MACTIT" localSheetId="12">#REF!</definedName>
    <definedName name="MACTIT">#REF!</definedName>
    <definedName name="MAR" localSheetId="25">#REF!</definedName>
    <definedName name="MAR" localSheetId="24">#REF!</definedName>
    <definedName name="MAR" localSheetId="2">[21]Backup!#REF!</definedName>
    <definedName name="MAR" localSheetId="3">[21]Backup!#REF!</definedName>
    <definedName name="MAR" localSheetId="4">[21]Backup!#REF!</definedName>
    <definedName name="MAR" localSheetId="5">[21]Backup!#REF!</definedName>
    <definedName name="MAR" localSheetId="8">[21]Backup!#REF!</definedName>
    <definedName name="MAR" localSheetId="7">[21]Backup!#REF!</definedName>
    <definedName name="MAR" localSheetId="6">[21]Backup!#REF!</definedName>
    <definedName name="MAR" localSheetId="1">#REF!</definedName>
    <definedName name="MAR" localSheetId="37">#REF!</definedName>
    <definedName name="MAR" localSheetId="38">#REF!</definedName>
    <definedName name="MAR" localSheetId="35">[21]Backup!#REF!</definedName>
    <definedName name="MAR" localSheetId="11">#REF!</definedName>
    <definedName name="MAR" localSheetId="9">[21]Backup!#REF!</definedName>
    <definedName name="MAR" localSheetId="15">[21]Backup!#REF!</definedName>
    <definedName name="MAR" localSheetId="16">[21]Backup!#REF!</definedName>
    <definedName name="MAR" localSheetId="31">#REF!</definedName>
    <definedName name="MAR" localSheetId="30">#REF!</definedName>
    <definedName name="MAR" localSheetId="13">#REF!</definedName>
    <definedName name="MAR" localSheetId="14">#REF!</definedName>
    <definedName name="MAR" localSheetId="26">#REF!</definedName>
    <definedName name="MAR" localSheetId="12">[21]Backup!#REF!</definedName>
    <definedName name="MAR" localSheetId="32">[21]Backup!#REF!</definedName>
    <definedName name="MAR" localSheetId="27">[21]Backup!#REF!</definedName>
    <definedName name="MAR">[21]Backup!#REF!</definedName>
    <definedName name="MART" localSheetId="2">#REF!</definedName>
    <definedName name="MART" localSheetId="3">#REF!</definedName>
    <definedName name="MART" localSheetId="4">#REF!</definedName>
    <definedName name="MART" localSheetId="5">#REF!</definedName>
    <definedName name="MART" localSheetId="8">#REF!</definedName>
    <definedName name="MART" localSheetId="7">#REF!</definedName>
    <definedName name="MART" localSheetId="6">#REF!</definedName>
    <definedName name="MART" localSheetId="1">#REF!</definedName>
    <definedName name="MART" localSheetId="35">#REF!</definedName>
    <definedName name="MART" localSheetId="11">#REF!</definedName>
    <definedName name="MART" localSheetId="9">#REF!</definedName>
    <definedName name="MART" localSheetId="15">#REF!</definedName>
    <definedName name="MART" localSheetId="16">#REF!</definedName>
    <definedName name="MART" localSheetId="14">#REF!</definedName>
    <definedName name="MART" localSheetId="26">#REF!</definedName>
    <definedName name="MART" localSheetId="12">#REF!</definedName>
    <definedName name="MART" localSheetId="27">#REF!</definedName>
    <definedName name="MART">#REF!</definedName>
    <definedName name="MAY" localSheetId="25">#REF!</definedName>
    <definedName name="MAY" localSheetId="24">#REF!</definedName>
    <definedName name="MAY" localSheetId="2">[21]Backup!#REF!</definedName>
    <definedName name="MAY" localSheetId="3">[21]Backup!#REF!</definedName>
    <definedName name="MAY" localSheetId="4">[21]Backup!#REF!</definedName>
    <definedName name="MAY" localSheetId="5">[21]Backup!#REF!</definedName>
    <definedName name="MAY" localSheetId="8">[21]Backup!#REF!</definedName>
    <definedName name="MAY" localSheetId="7">[21]Backup!#REF!</definedName>
    <definedName name="MAY" localSheetId="6">[21]Backup!#REF!</definedName>
    <definedName name="MAY" localSheetId="1">#REF!</definedName>
    <definedName name="MAY" localSheetId="37">#REF!</definedName>
    <definedName name="MAY" localSheetId="38">#REF!</definedName>
    <definedName name="MAY" localSheetId="35">[21]Backup!#REF!</definedName>
    <definedName name="MAY" localSheetId="11">#REF!</definedName>
    <definedName name="MAY" localSheetId="9">[21]Backup!#REF!</definedName>
    <definedName name="MAY" localSheetId="15">[21]Backup!#REF!</definedName>
    <definedName name="MAY" localSheetId="16">[21]Backup!#REF!</definedName>
    <definedName name="MAY" localSheetId="31">#REF!</definedName>
    <definedName name="MAY" localSheetId="30">#REF!</definedName>
    <definedName name="MAY" localSheetId="13">#REF!</definedName>
    <definedName name="MAY" localSheetId="14">#REF!</definedName>
    <definedName name="MAY" localSheetId="26">#REF!</definedName>
    <definedName name="MAY" localSheetId="12">[21]Backup!#REF!</definedName>
    <definedName name="MAY" localSheetId="32">[21]Backup!#REF!</definedName>
    <definedName name="MAY" localSheetId="27">[21]Backup!#REF!</definedName>
    <definedName name="MAY">[21]Backup!#REF!</definedName>
    <definedName name="MAYT" localSheetId="2">#REF!</definedName>
    <definedName name="MAYT" localSheetId="3">#REF!</definedName>
    <definedName name="MAYT" localSheetId="4">#REF!</definedName>
    <definedName name="MAYT" localSheetId="5">#REF!</definedName>
    <definedName name="MAYT" localSheetId="8">#REF!</definedName>
    <definedName name="MAYT" localSheetId="7">#REF!</definedName>
    <definedName name="MAYT" localSheetId="6">#REF!</definedName>
    <definedName name="MAYT" localSheetId="1">#REF!</definedName>
    <definedName name="MAYT" localSheetId="35">#REF!</definedName>
    <definedName name="MAYT" localSheetId="11">#REF!</definedName>
    <definedName name="MAYT" localSheetId="9">#REF!</definedName>
    <definedName name="MAYT" localSheetId="15">#REF!</definedName>
    <definedName name="MAYT" localSheetId="16">#REF!</definedName>
    <definedName name="MAYT" localSheetId="14">#REF!</definedName>
    <definedName name="MAYT" localSheetId="26">#REF!</definedName>
    <definedName name="MAYT" localSheetId="12">#REF!</definedName>
    <definedName name="MAYT" localSheetId="27">#REF!</definedName>
    <definedName name="MAYT">#REF!</definedName>
    <definedName name="MCtoREV" localSheetId="2">#REF!</definedName>
    <definedName name="MCtoREV" localSheetId="3">#REF!</definedName>
    <definedName name="MCtoREV" localSheetId="4">#REF!</definedName>
    <definedName name="MCtoREV" localSheetId="5">#REF!</definedName>
    <definedName name="MCtoREV" localSheetId="8">#REF!</definedName>
    <definedName name="MCtoREV" localSheetId="7">#REF!</definedName>
    <definedName name="MCtoREV" localSheetId="6">#REF!</definedName>
    <definedName name="MCtoREV" localSheetId="1">#REF!</definedName>
    <definedName name="MCtoREV" localSheetId="35">#REF!</definedName>
    <definedName name="MCtoREV" localSheetId="11">#REF!</definedName>
    <definedName name="MCtoREV" localSheetId="9">#REF!</definedName>
    <definedName name="MCtoREV" localSheetId="15">#REF!</definedName>
    <definedName name="MCtoREV" localSheetId="16">#REF!</definedName>
    <definedName name="MCtoREV" localSheetId="14">#REF!</definedName>
    <definedName name="MCtoREV" localSheetId="26">#REF!</definedName>
    <definedName name="MCtoREV" localSheetId="12">#REF!</definedName>
    <definedName name="MCtoREV" localSheetId="27">#REF!</definedName>
    <definedName name="MCtoREV">#REF!</definedName>
    <definedName name="MEN" localSheetId="2">[1]Jan!#REF!</definedName>
    <definedName name="MEN" localSheetId="3">[1]Jan!#REF!</definedName>
    <definedName name="MEN" localSheetId="4">[1]Jan!#REF!</definedName>
    <definedName name="MEN" localSheetId="5">[1]Jan!#REF!</definedName>
    <definedName name="MEN" localSheetId="8">[1]Jan!#REF!</definedName>
    <definedName name="MEN" localSheetId="7">[1]Jan!#REF!</definedName>
    <definedName name="MEN" localSheetId="6">[1]Jan!#REF!</definedName>
    <definedName name="MEN" localSheetId="1">[1]Jan!#REF!</definedName>
    <definedName name="MEN" localSheetId="35">[1]Jan!#REF!</definedName>
    <definedName name="MEN" localSheetId="11">[1]Jan!#REF!</definedName>
    <definedName name="MEN" localSheetId="9">[1]Jan!#REF!</definedName>
    <definedName name="MEN" localSheetId="15">[1]Jan!#REF!</definedName>
    <definedName name="MEN" localSheetId="16">[1]Jan!#REF!</definedName>
    <definedName name="MEN" localSheetId="14">[1]Jan!#REF!</definedName>
    <definedName name="MEN" localSheetId="26">[1]Jan!#REF!</definedName>
    <definedName name="MEN" localSheetId="12">[1]Jan!#REF!</definedName>
    <definedName name="MEN" localSheetId="32">[1]Jan!#REF!</definedName>
    <definedName name="MEN">[1]Jan!#REF!</definedName>
    <definedName name="Menu_Begin" localSheetId="2">#REF!</definedName>
    <definedName name="Menu_Begin" localSheetId="3">#REF!</definedName>
    <definedName name="Menu_Begin" localSheetId="4">#REF!</definedName>
    <definedName name="Menu_Begin" localSheetId="5">#REF!</definedName>
    <definedName name="Menu_Begin" localSheetId="8">#REF!</definedName>
    <definedName name="Menu_Begin" localSheetId="7">#REF!</definedName>
    <definedName name="Menu_Begin" localSheetId="6">#REF!</definedName>
    <definedName name="Menu_Begin" localSheetId="1">#REF!</definedName>
    <definedName name="Menu_Begin" localSheetId="35">#REF!</definedName>
    <definedName name="Menu_Begin" localSheetId="11">#REF!</definedName>
    <definedName name="Menu_Begin" localSheetId="9">#REF!</definedName>
    <definedName name="Menu_Begin" localSheetId="15">#REF!</definedName>
    <definedName name="Menu_Begin" localSheetId="16">#REF!</definedName>
    <definedName name="Menu_Begin" localSheetId="31">#REF!</definedName>
    <definedName name="Menu_Begin" localSheetId="30">#REF!</definedName>
    <definedName name="Menu_Begin" localSheetId="14">#REF!</definedName>
    <definedName name="Menu_Begin" localSheetId="26">#REF!</definedName>
    <definedName name="Menu_Begin" localSheetId="12">#REF!</definedName>
    <definedName name="Menu_Begin">#REF!</definedName>
    <definedName name="Menu_Caption" localSheetId="2">#REF!</definedName>
    <definedName name="Menu_Caption" localSheetId="3">#REF!</definedName>
    <definedName name="Menu_Caption" localSheetId="4">#REF!</definedName>
    <definedName name="Menu_Caption" localSheetId="5">#REF!</definedName>
    <definedName name="Menu_Caption" localSheetId="8">#REF!</definedName>
    <definedName name="Menu_Caption" localSheetId="7">#REF!</definedName>
    <definedName name="Menu_Caption" localSheetId="6">#REF!</definedName>
    <definedName name="Menu_Caption" localSheetId="1">#REF!</definedName>
    <definedName name="Menu_Caption" localSheetId="35">#REF!</definedName>
    <definedName name="Menu_Caption" localSheetId="11">#REF!</definedName>
    <definedName name="Menu_Caption" localSheetId="9">#REF!</definedName>
    <definedName name="Menu_Caption" localSheetId="15">#REF!</definedName>
    <definedName name="Menu_Caption" localSheetId="16">#REF!</definedName>
    <definedName name="Menu_Caption" localSheetId="31">#REF!</definedName>
    <definedName name="Menu_Caption" localSheetId="30">#REF!</definedName>
    <definedName name="Menu_Caption" localSheetId="14">#REF!</definedName>
    <definedName name="Menu_Caption" localSheetId="26">#REF!</definedName>
    <definedName name="Menu_Caption" localSheetId="12">#REF!</definedName>
    <definedName name="Menu_Caption">#REF!</definedName>
    <definedName name="Menu_Large" localSheetId="2">#REF!</definedName>
    <definedName name="Menu_Large" localSheetId="3">#REF!</definedName>
    <definedName name="Menu_Large" localSheetId="4">#REF!</definedName>
    <definedName name="Menu_Large" localSheetId="5">#REF!</definedName>
    <definedName name="Menu_Large" localSheetId="8">#REF!</definedName>
    <definedName name="Menu_Large" localSheetId="7">#REF!</definedName>
    <definedName name="Menu_Large" localSheetId="6">#REF!</definedName>
    <definedName name="Menu_Large" localSheetId="1">#REF!</definedName>
    <definedName name="Menu_Large" localSheetId="35">#REF!</definedName>
    <definedName name="Menu_Large" localSheetId="11">#REF!</definedName>
    <definedName name="Menu_Large" localSheetId="9">#REF!</definedName>
    <definedName name="Menu_Large" localSheetId="15">#REF!</definedName>
    <definedName name="Menu_Large" localSheetId="16">#REF!</definedName>
    <definedName name="Menu_Large" localSheetId="31">#REF!</definedName>
    <definedName name="Menu_Large" localSheetId="30">#REF!</definedName>
    <definedName name="Menu_Large" localSheetId="14">#REF!</definedName>
    <definedName name="Menu_Large" localSheetId="26">#REF!</definedName>
    <definedName name="Menu_Large" localSheetId="12">#REF!</definedName>
    <definedName name="Menu_Large">#REF!</definedName>
    <definedName name="Menu_Name" localSheetId="2">#REF!</definedName>
    <definedName name="Menu_Name" localSheetId="3">#REF!</definedName>
    <definedName name="Menu_Name" localSheetId="4">#REF!</definedName>
    <definedName name="Menu_Name" localSheetId="5">#REF!</definedName>
    <definedName name="Menu_Name" localSheetId="8">#REF!</definedName>
    <definedName name="Menu_Name" localSheetId="7">#REF!</definedName>
    <definedName name="Menu_Name" localSheetId="6">#REF!</definedName>
    <definedName name="Menu_Name" localSheetId="1">#REF!</definedName>
    <definedName name="Menu_Name" localSheetId="35">#REF!</definedName>
    <definedName name="Menu_Name" localSheetId="11">#REF!</definedName>
    <definedName name="Menu_Name" localSheetId="9">#REF!</definedName>
    <definedName name="Menu_Name" localSheetId="15">#REF!</definedName>
    <definedName name="Menu_Name" localSheetId="16">#REF!</definedName>
    <definedName name="Menu_Name" localSheetId="31">#REF!</definedName>
    <definedName name="Menu_Name" localSheetId="30">#REF!</definedName>
    <definedName name="Menu_Name" localSheetId="14">#REF!</definedName>
    <definedName name="Menu_Name" localSheetId="26">#REF!</definedName>
    <definedName name="Menu_Name" localSheetId="12">#REF!</definedName>
    <definedName name="Menu_Name">#REF!</definedName>
    <definedName name="Menu_OnAction" localSheetId="2">#REF!</definedName>
    <definedName name="Menu_OnAction" localSheetId="3">#REF!</definedName>
    <definedName name="Menu_OnAction" localSheetId="4">#REF!</definedName>
    <definedName name="Menu_OnAction" localSheetId="5">#REF!</definedName>
    <definedName name="Menu_OnAction" localSheetId="8">#REF!</definedName>
    <definedName name="Menu_OnAction" localSheetId="7">#REF!</definedName>
    <definedName name="Menu_OnAction" localSheetId="6">#REF!</definedName>
    <definedName name="Menu_OnAction" localSheetId="1">#REF!</definedName>
    <definedName name="Menu_OnAction" localSheetId="35">#REF!</definedName>
    <definedName name="Menu_OnAction" localSheetId="11">#REF!</definedName>
    <definedName name="Menu_OnAction" localSheetId="9">#REF!</definedName>
    <definedName name="Menu_OnAction" localSheetId="15">#REF!</definedName>
    <definedName name="Menu_OnAction" localSheetId="16">#REF!</definedName>
    <definedName name="Menu_OnAction" localSheetId="31">#REF!</definedName>
    <definedName name="Menu_OnAction" localSheetId="30">#REF!</definedName>
    <definedName name="Menu_OnAction" localSheetId="14">#REF!</definedName>
    <definedName name="Menu_OnAction" localSheetId="26">#REF!</definedName>
    <definedName name="Menu_OnAction" localSheetId="12">#REF!</definedName>
    <definedName name="Menu_OnAction">#REF!</definedName>
    <definedName name="Menu_Parent" localSheetId="2">#REF!</definedName>
    <definedName name="Menu_Parent" localSheetId="3">#REF!</definedName>
    <definedName name="Menu_Parent" localSheetId="4">#REF!</definedName>
    <definedName name="Menu_Parent" localSheetId="5">#REF!</definedName>
    <definedName name="Menu_Parent" localSheetId="8">#REF!</definedName>
    <definedName name="Menu_Parent" localSheetId="7">#REF!</definedName>
    <definedName name="Menu_Parent" localSheetId="6">#REF!</definedName>
    <definedName name="Menu_Parent" localSheetId="1">#REF!</definedName>
    <definedName name="Menu_Parent" localSheetId="35">#REF!</definedName>
    <definedName name="Menu_Parent" localSheetId="11">#REF!</definedName>
    <definedName name="Menu_Parent" localSheetId="9">#REF!</definedName>
    <definedName name="Menu_Parent" localSheetId="15">#REF!</definedName>
    <definedName name="Menu_Parent" localSheetId="16">#REF!</definedName>
    <definedName name="Menu_Parent" localSheetId="31">#REF!</definedName>
    <definedName name="Menu_Parent" localSheetId="30">#REF!</definedName>
    <definedName name="Menu_Parent" localSheetId="14">#REF!</definedName>
    <definedName name="Menu_Parent" localSheetId="26">#REF!</definedName>
    <definedName name="Menu_Parent" localSheetId="12">#REF!</definedName>
    <definedName name="Menu_Parent">#REF!</definedName>
    <definedName name="Menu_Small" localSheetId="2">#REF!</definedName>
    <definedName name="Menu_Small" localSheetId="3">#REF!</definedName>
    <definedName name="Menu_Small" localSheetId="4">#REF!</definedName>
    <definedName name="Menu_Small" localSheetId="5">#REF!</definedName>
    <definedName name="Menu_Small" localSheetId="8">#REF!</definedName>
    <definedName name="Menu_Small" localSheetId="7">#REF!</definedName>
    <definedName name="Menu_Small" localSheetId="6">#REF!</definedName>
    <definedName name="Menu_Small" localSheetId="1">#REF!</definedName>
    <definedName name="Menu_Small" localSheetId="35">#REF!</definedName>
    <definedName name="Menu_Small" localSheetId="11">#REF!</definedName>
    <definedName name="Menu_Small" localSheetId="9">#REF!</definedName>
    <definedName name="Menu_Small" localSheetId="15">#REF!</definedName>
    <definedName name="Menu_Small" localSheetId="16">#REF!</definedName>
    <definedName name="Menu_Small" localSheetId="31">#REF!</definedName>
    <definedName name="Menu_Small" localSheetId="30">#REF!</definedName>
    <definedName name="Menu_Small" localSheetId="14">#REF!</definedName>
    <definedName name="Menu_Small" localSheetId="26">#REF!</definedName>
    <definedName name="Menu_Small" localSheetId="12">#REF!</definedName>
    <definedName name="Menu_Small">#REF!</definedName>
    <definedName name="Method" localSheetId="33">[25]Inputs!$C$6</definedName>
    <definedName name="Method">[13]Inputs!$C$6</definedName>
    <definedName name="MONTH" localSheetId="2">[21]Backup!#REF!</definedName>
    <definedName name="MONTH" localSheetId="3">[21]Backup!#REF!</definedName>
    <definedName name="MONTH" localSheetId="4">[21]Backup!#REF!</definedName>
    <definedName name="MONTH" localSheetId="5">[21]Backup!#REF!</definedName>
    <definedName name="MONTH" localSheetId="8">[21]Backup!#REF!</definedName>
    <definedName name="MONTH" localSheetId="7">[21]Backup!#REF!</definedName>
    <definedName name="MONTH" localSheetId="6">[21]Backup!#REF!</definedName>
    <definedName name="MONTH" localSheetId="1">[21]Backup!#REF!</definedName>
    <definedName name="MONTH" localSheetId="35">[21]Backup!#REF!</definedName>
    <definedName name="MONTH" localSheetId="11">[21]Backup!#REF!</definedName>
    <definedName name="MONTH" localSheetId="9">[21]Backup!#REF!</definedName>
    <definedName name="MONTH" localSheetId="15">[21]Backup!#REF!</definedName>
    <definedName name="MONTH" localSheetId="16">[21]Backup!#REF!</definedName>
    <definedName name="MONTH" localSheetId="14">[21]Backup!#REF!</definedName>
    <definedName name="MONTH" localSheetId="26">[21]Backup!#REF!</definedName>
    <definedName name="MONTH" localSheetId="12">[21]Backup!#REF!</definedName>
    <definedName name="MONTH" localSheetId="27">[21]Backup!#REF!</definedName>
    <definedName name="MONTH">[21]Backup!#REF!</definedName>
    <definedName name="monthlist" localSheetId="27">[30]Table!$R$2:$S$13</definedName>
    <definedName name="monthlist">[30]Table!$R$2:$S$13</definedName>
    <definedName name="monthtotals" localSheetId="27">'[30]WA SBC'!$D$40:$O$40</definedName>
    <definedName name="monthtotals" localSheetId="22">#REF!</definedName>
    <definedName name="monthtotals" localSheetId="23">#REF!</definedName>
    <definedName name="monthtotals">'[30]WA SBC'!$D$40:$O$40</definedName>
    <definedName name="MTKWH" localSheetId="2">#REF!</definedName>
    <definedName name="MTKWH" localSheetId="3">#REF!</definedName>
    <definedName name="MTKWH" localSheetId="4">#REF!</definedName>
    <definedName name="MTKWH" localSheetId="5">#REF!</definedName>
    <definedName name="MTKWH" localSheetId="8">#REF!</definedName>
    <definedName name="MTKWH" localSheetId="7">#REF!</definedName>
    <definedName name="MTKWH" localSheetId="6">#REF!</definedName>
    <definedName name="MTKWH" localSheetId="1">#REF!</definedName>
    <definedName name="MTKWH" localSheetId="35">#REF!</definedName>
    <definedName name="MTKWH" localSheetId="11">#REF!</definedName>
    <definedName name="MTKWH" localSheetId="9">#REF!</definedName>
    <definedName name="MTKWH" localSheetId="15">#REF!</definedName>
    <definedName name="MTKWH" localSheetId="16">#REF!</definedName>
    <definedName name="MTKWH" localSheetId="14">#REF!</definedName>
    <definedName name="MTKWH" localSheetId="26">#REF!</definedName>
    <definedName name="MTKWH" localSheetId="12">#REF!</definedName>
    <definedName name="MTKWH">#REF!</definedName>
    <definedName name="MTR_YR3">[31]Variables!$E$14</definedName>
    <definedName name="MTREV" localSheetId="2">#REF!</definedName>
    <definedName name="MTREV" localSheetId="3">#REF!</definedName>
    <definedName name="MTREV" localSheetId="4">#REF!</definedName>
    <definedName name="MTREV" localSheetId="5">#REF!</definedName>
    <definedName name="MTREV" localSheetId="8">#REF!</definedName>
    <definedName name="MTREV" localSheetId="7">#REF!</definedName>
    <definedName name="MTREV" localSheetId="6">#REF!</definedName>
    <definedName name="MTREV" localSheetId="1">#REF!</definedName>
    <definedName name="MTREV" localSheetId="35">#REF!</definedName>
    <definedName name="MTREV" localSheetId="11">#REF!</definedName>
    <definedName name="MTREV" localSheetId="9">#REF!</definedName>
    <definedName name="MTREV" localSheetId="15">#REF!</definedName>
    <definedName name="MTREV" localSheetId="16">#REF!</definedName>
    <definedName name="MTREV" localSheetId="14">#REF!</definedName>
    <definedName name="MTREV" localSheetId="26">#REF!</definedName>
    <definedName name="MTREV" localSheetId="12">#REF!</definedName>
    <definedName name="MTREV">#REF!</definedName>
    <definedName name="MULT" localSheetId="2">#REF!</definedName>
    <definedName name="MULT" localSheetId="3">#REF!</definedName>
    <definedName name="MULT" localSheetId="4">#REF!</definedName>
    <definedName name="MULT" localSheetId="5">#REF!</definedName>
    <definedName name="MULT" localSheetId="8">#REF!</definedName>
    <definedName name="MULT" localSheetId="7">#REF!</definedName>
    <definedName name="MULT" localSheetId="6">#REF!</definedName>
    <definedName name="MULT" localSheetId="1">#REF!</definedName>
    <definedName name="MULT" localSheetId="35">#REF!</definedName>
    <definedName name="MULT" localSheetId="11">#REF!</definedName>
    <definedName name="MULT" localSheetId="9">#REF!</definedName>
    <definedName name="MULT" localSheetId="15">#REF!</definedName>
    <definedName name="MULT" localSheetId="16">#REF!</definedName>
    <definedName name="MULT" localSheetId="14">#REF!</definedName>
    <definedName name="MULT" localSheetId="26">#REF!</definedName>
    <definedName name="MULT" localSheetId="12">#REF!</definedName>
    <definedName name="MULT" localSheetId="27">#REF!</definedName>
    <definedName name="MULT">#REF!</definedName>
    <definedName name="Net_to_Gross_Factor">[14]Inputs!$G$8</definedName>
    <definedName name="NetToGross" localSheetId="27">[20]Variables!$D$23</definedName>
    <definedName name="NetToGross">[20]Variables!$D$23</definedName>
    <definedName name="NEWMO1" localSheetId="2">[1]Jan!#REF!</definedName>
    <definedName name="NEWMO1" localSheetId="3">[1]Jan!#REF!</definedName>
    <definedName name="NEWMO1" localSheetId="4">[1]Jan!#REF!</definedName>
    <definedName name="NEWMO1" localSheetId="5">[1]Jan!#REF!</definedName>
    <definedName name="NEWMO1" localSheetId="8">[1]Jan!#REF!</definedName>
    <definedName name="NEWMO1" localSheetId="7">[1]Jan!#REF!</definedName>
    <definedName name="NEWMO1" localSheetId="6">[1]Jan!#REF!</definedName>
    <definedName name="NEWMO1" localSheetId="1">[1]Jan!#REF!</definedName>
    <definedName name="NEWMO1" localSheetId="35">[1]Jan!#REF!</definedName>
    <definedName name="NEWMO1" localSheetId="11">[1]Jan!#REF!</definedName>
    <definedName name="NEWMO1" localSheetId="9">[1]Jan!#REF!</definedName>
    <definedName name="NEWMO1" localSheetId="15">[1]Jan!#REF!</definedName>
    <definedName name="NEWMO1" localSheetId="16">[1]Jan!#REF!</definedName>
    <definedName name="NEWMO1" localSheetId="14">[1]Jan!#REF!</definedName>
    <definedName name="NEWMO1" localSheetId="26">[1]Jan!#REF!</definedName>
    <definedName name="NEWMO1" localSheetId="12">[1]Jan!#REF!</definedName>
    <definedName name="NEWMO1" localSheetId="32">[1]Jan!#REF!</definedName>
    <definedName name="NEWMO1">[1]Jan!#REF!</definedName>
    <definedName name="NEWMO2" localSheetId="2">[1]Jan!#REF!</definedName>
    <definedName name="NEWMO2" localSheetId="3">[1]Jan!#REF!</definedName>
    <definedName name="NEWMO2" localSheetId="4">[1]Jan!#REF!</definedName>
    <definedName name="NEWMO2" localSheetId="5">[1]Jan!#REF!</definedName>
    <definedName name="NEWMO2" localSheetId="8">[1]Jan!#REF!</definedName>
    <definedName name="NEWMO2" localSheetId="7">[1]Jan!#REF!</definedName>
    <definedName name="NEWMO2" localSheetId="6">[1]Jan!#REF!</definedName>
    <definedName name="NEWMO2" localSheetId="1">[1]Jan!#REF!</definedName>
    <definedName name="NEWMO2" localSheetId="35">[1]Jan!#REF!</definedName>
    <definedName name="NEWMO2" localSheetId="11">[1]Jan!#REF!</definedName>
    <definedName name="NEWMO2" localSheetId="9">[1]Jan!#REF!</definedName>
    <definedName name="NEWMO2" localSheetId="15">[1]Jan!#REF!</definedName>
    <definedName name="NEWMO2" localSheetId="16">[1]Jan!#REF!</definedName>
    <definedName name="NEWMO2" localSheetId="14">[1]Jan!#REF!</definedName>
    <definedName name="NEWMO2" localSheetId="26">[1]Jan!#REF!</definedName>
    <definedName name="NEWMO2" localSheetId="12">[1]Jan!#REF!</definedName>
    <definedName name="NEWMO2">[1]Jan!#REF!</definedName>
    <definedName name="NEWMONTH" localSheetId="2">[1]Jan!#REF!</definedName>
    <definedName name="NEWMONTH" localSheetId="3">[1]Jan!#REF!</definedName>
    <definedName name="NEWMONTH" localSheetId="4">[1]Jan!#REF!</definedName>
    <definedName name="NEWMONTH" localSheetId="5">[1]Jan!#REF!</definedName>
    <definedName name="NEWMONTH" localSheetId="8">[1]Jan!#REF!</definedName>
    <definedName name="NEWMONTH" localSheetId="7">[1]Jan!#REF!</definedName>
    <definedName name="NEWMONTH" localSheetId="6">[1]Jan!#REF!</definedName>
    <definedName name="NEWMONTH" localSheetId="1">[1]Jan!#REF!</definedName>
    <definedName name="NEWMONTH" localSheetId="35">[1]Jan!#REF!</definedName>
    <definedName name="NEWMONTH" localSheetId="11">[1]Jan!#REF!</definedName>
    <definedName name="NEWMONTH" localSheetId="9">[1]Jan!#REF!</definedName>
    <definedName name="NEWMONTH" localSheetId="15">[1]Jan!#REF!</definedName>
    <definedName name="NEWMONTH" localSheetId="16">[1]Jan!#REF!</definedName>
    <definedName name="NEWMONTH" localSheetId="14">[1]Jan!#REF!</definedName>
    <definedName name="NEWMONTH" localSheetId="26">[1]Jan!#REF!</definedName>
    <definedName name="NEWMONTH" localSheetId="12">[1]Jan!#REF!</definedName>
    <definedName name="NEWMONTH">[1]Jan!#REF!</definedName>
    <definedName name="NORMALIZE" localSheetId="2">#REF!</definedName>
    <definedName name="NORMALIZE" localSheetId="3">#REF!</definedName>
    <definedName name="NORMALIZE" localSheetId="4">#REF!</definedName>
    <definedName name="NORMALIZE" localSheetId="5">#REF!</definedName>
    <definedName name="NORMALIZE" localSheetId="8">#REF!</definedName>
    <definedName name="NORMALIZE" localSheetId="7">#REF!</definedName>
    <definedName name="NORMALIZE" localSheetId="6">#REF!</definedName>
    <definedName name="NORMALIZE" localSheetId="1">#REF!</definedName>
    <definedName name="NORMALIZE" localSheetId="35">#REF!</definedName>
    <definedName name="NORMALIZE" localSheetId="11">#REF!</definedName>
    <definedName name="NORMALIZE" localSheetId="9">#REF!</definedName>
    <definedName name="NORMALIZE" localSheetId="15">#REF!</definedName>
    <definedName name="NORMALIZE" localSheetId="16">#REF!</definedName>
    <definedName name="NORMALIZE" localSheetId="14">#REF!</definedName>
    <definedName name="NORMALIZE" localSheetId="26">#REF!</definedName>
    <definedName name="NORMALIZE" localSheetId="12">#REF!</definedName>
    <definedName name="NORMALIZE" localSheetId="27">#REF!</definedName>
    <definedName name="NORMALIZE">#REF!</definedName>
    <definedName name="NOV" localSheetId="25">#REF!</definedName>
    <definedName name="NOV" localSheetId="24">#REF!</definedName>
    <definedName name="NOV" localSheetId="2">[21]Backup!#REF!</definedName>
    <definedName name="NOV" localSheetId="3">[21]Backup!#REF!</definedName>
    <definedName name="NOV" localSheetId="4">[21]Backup!#REF!</definedName>
    <definedName name="NOV" localSheetId="5">[21]Backup!#REF!</definedName>
    <definedName name="NOV" localSheetId="8">[21]Backup!#REF!</definedName>
    <definedName name="NOV" localSheetId="7">[21]Backup!#REF!</definedName>
    <definedName name="NOV" localSheetId="6">[21]Backup!#REF!</definedName>
    <definedName name="NOV" localSheetId="1">#REF!</definedName>
    <definedName name="NOV" localSheetId="37">#REF!</definedName>
    <definedName name="NOV" localSheetId="38">#REF!</definedName>
    <definedName name="NOV" localSheetId="35">[21]Backup!#REF!</definedName>
    <definedName name="NOV" localSheetId="11">#REF!</definedName>
    <definedName name="NOV" localSheetId="9">[21]Backup!#REF!</definedName>
    <definedName name="NOV" localSheetId="15">[21]Backup!#REF!</definedName>
    <definedName name="NOV" localSheetId="16">[21]Backup!#REF!</definedName>
    <definedName name="NOV" localSheetId="31">#REF!</definedName>
    <definedName name="NOV" localSheetId="30">#REF!</definedName>
    <definedName name="NOV" localSheetId="13">#REF!</definedName>
    <definedName name="NOV" localSheetId="14">#REF!</definedName>
    <definedName name="NOV" localSheetId="26">#REF!</definedName>
    <definedName name="NOV" localSheetId="12">[21]Backup!#REF!</definedName>
    <definedName name="NOV" localSheetId="32">[21]Backup!#REF!</definedName>
    <definedName name="NOV" localSheetId="27">[21]Backup!#REF!</definedName>
    <definedName name="NOV">[21]Backup!#REF!</definedName>
    <definedName name="NOVT" localSheetId="2">#REF!</definedName>
    <definedName name="NOVT" localSheetId="3">#REF!</definedName>
    <definedName name="NOVT" localSheetId="4">#REF!</definedName>
    <definedName name="NOVT" localSheetId="5">#REF!</definedName>
    <definedName name="NOVT" localSheetId="8">#REF!</definedName>
    <definedName name="NOVT" localSheetId="7">#REF!</definedName>
    <definedName name="NOVT" localSheetId="6">#REF!</definedName>
    <definedName name="NOVT" localSheetId="1">#REF!</definedName>
    <definedName name="NOVT" localSheetId="35">#REF!</definedName>
    <definedName name="NOVT" localSheetId="11">#REF!</definedName>
    <definedName name="NOVT" localSheetId="9">#REF!</definedName>
    <definedName name="NOVT" localSheetId="15">#REF!</definedName>
    <definedName name="NOVT" localSheetId="16">#REF!</definedName>
    <definedName name="NOVT" localSheetId="14">#REF!</definedName>
    <definedName name="NOVT" localSheetId="26">#REF!</definedName>
    <definedName name="NOVT" localSheetId="12">#REF!</definedName>
    <definedName name="NOVT" localSheetId="27">#REF!</definedName>
    <definedName name="NOVT">#REF!</definedName>
    <definedName name="NPC" localSheetId="15">[17]Inputs!$N$18</definedName>
    <definedName name="NPC" localSheetId="16">[17]Inputs!$N$18</definedName>
    <definedName name="NPC" localSheetId="32">[18]Inputs!$N$18</definedName>
    <definedName name="NPC">[17]Inputs!$N$18</definedName>
    <definedName name="NUM" localSheetId="2">#REF!</definedName>
    <definedName name="NUM" localSheetId="3">#REF!</definedName>
    <definedName name="NUM" localSheetId="4">#REF!</definedName>
    <definedName name="NUM" localSheetId="5">#REF!</definedName>
    <definedName name="NUM" localSheetId="8">#REF!</definedName>
    <definedName name="NUM" localSheetId="7">#REF!</definedName>
    <definedName name="NUM" localSheetId="6">#REF!</definedName>
    <definedName name="NUM" localSheetId="1">#REF!</definedName>
    <definedName name="NUM" localSheetId="35">#REF!</definedName>
    <definedName name="NUM" localSheetId="11">#REF!</definedName>
    <definedName name="NUM" localSheetId="9">#REF!</definedName>
    <definedName name="NUM" localSheetId="15">#REF!</definedName>
    <definedName name="NUM" localSheetId="16">#REF!</definedName>
    <definedName name="NUM" localSheetId="31">#REF!</definedName>
    <definedName name="NUM" localSheetId="30">#REF!</definedName>
    <definedName name="NUM" localSheetId="14">#REF!</definedName>
    <definedName name="NUM" localSheetId="26">#REF!</definedName>
    <definedName name="NUM" localSheetId="12">#REF!</definedName>
    <definedName name="NUM">#REF!</definedName>
    <definedName name="OCT" localSheetId="25">#REF!</definedName>
    <definedName name="OCT" localSheetId="24">#REF!</definedName>
    <definedName name="OCT" localSheetId="2">[21]Backup!#REF!</definedName>
    <definedName name="OCT" localSheetId="3">[21]Backup!#REF!</definedName>
    <definedName name="OCT" localSheetId="4">[21]Backup!#REF!</definedName>
    <definedName name="OCT" localSheetId="5">[21]Backup!#REF!</definedName>
    <definedName name="OCT" localSheetId="8">[21]Backup!#REF!</definedName>
    <definedName name="OCT" localSheetId="7">[21]Backup!#REF!</definedName>
    <definedName name="OCT" localSheetId="6">[21]Backup!#REF!</definedName>
    <definedName name="OCT" localSheetId="1">#REF!</definedName>
    <definedName name="OCT" localSheetId="37">#REF!</definedName>
    <definedName name="OCT" localSheetId="38">#REF!</definedName>
    <definedName name="OCT" localSheetId="35">[21]Backup!#REF!</definedName>
    <definedName name="OCT" localSheetId="11">#REF!</definedName>
    <definedName name="OCT" localSheetId="9">[21]Backup!#REF!</definedName>
    <definedName name="OCT" localSheetId="15">[21]Backup!#REF!</definedName>
    <definedName name="OCT" localSheetId="16">[21]Backup!#REF!</definedName>
    <definedName name="OCT" localSheetId="31">#REF!</definedName>
    <definedName name="OCT" localSheetId="30">#REF!</definedName>
    <definedName name="OCT" localSheetId="13">#REF!</definedName>
    <definedName name="OCT" localSheetId="14">#REF!</definedName>
    <definedName name="OCT" localSheetId="26">#REF!</definedName>
    <definedName name="OCT" localSheetId="12">[21]Backup!#REF!</definedName>
    <definedName name="OCT" localSheetId="32">[21]Backup!#REF!</definedName>
    <definedName name="OCT" localSheetId="27">[21]Backup!#REF!</definedName>
    <definedName name="OCT">[21]Backup!#REF!</definedName>
    <definedName name="OCTT" localSheetId="2">#REF!</definedName>
    <definedName name="OCTT" localSheetId="3">#REF!</definedName>
    <definedName name="OCTT" localSheetId="4">#REF!</definedName>
    <definedName name="OCTT" localSheetId="5">#REF!</definedName>
    <definedName name="OCTT" localSheetId="8">#REF!</definedName>
    <definedName name="OCTT" localSheetId="7">#REF!</definedName>
    <definedName name="OCTT" localSheetId="6">#REF!</definedName>
    <definedName name="OCTT" localSheetId="1">#REF!</definedName>
    <definedName name="OCTT" localSheetId="35">#REF!</definedName>
    <definedName name="OCTT" localSheetId="11">#REF!</definedName>
    <definedName name="OCTT" localSheetId="9">#REF!</definedName>
    <definedName name="OCTT" localSheetId="15">#REF!</definedName>
    <definedName name="OCTT" localSheetId="16">#REF!</definedName>
    <definedName name="OCTT" localSheetId="14">#REF!</definedName>
    <definedName name="OCTT" localSheetId="26">#REF!</definedName>
    <definedName name="OCTT" localSheetId="12">#REF!</definedName>
    <definedName name="OCTT" localSheetId="27">#REF!</definedName>
    <definedName name="OCTT">#REF!</definedName>
    <definedName name="ONE" localSheetId="2">[1]Jan!#REF!</definedName>
    <definedName name="ONE" localSheetId="3">[1]Jan!#REF!</definedName>
    <definedName name="ONE" localSheetId="4">[1]Jan!#REF!</definedName>
    <definedName name="ONE" localSheetId="5">[1]Jan!#REF!</definedName>
    <definedName name="ONE" localSheetId="8">[1]Jan!#REF!</definedName>
    <definedName name="ONE" localSheetId="7">[1]Jan!#REF!</definedName>
    <definedName name="ONE" localSheetId="6">[1]Jan!#REF!</definedName>
    <definedName name="ONE" localSheetId="1">[1]Jan!#REF!</definedName>
    <definedName name="ONE" localSheetId="35">[1]Jan!#REF!</definedName>
    <definedName name="ONE" localSheetId="11">[1]Jan!#REF!</definedName>
    <definedName name="ONE" localSheetId="9">[1]Jan!#REF!</definedName>
    <definedName name="ONE" localSheetId="15">[1]Jan!#REF!</definedName>
    <definedName name="ONE" localSheetId="16">[1]Jan!#REF!</definedName>
    <definedName name="ONE" localSheetId="14">[1]Jan!#REF!</definedName>
    <definedName name="ONE" localSheetId="26">[1]Jan!#REF!</definedName>
    <definedName name="ONE" localSheetId="12">[1]Jan!#REF!</definedName>
    <definedName name="ONE" localSheetId="32">[1]Jan!#REF!</definedName>
    <definedName name="ONE">[1]Jan!#REF!</definedName>
    <definedName name="option">'[32]Dist Misc'!$F$120</definedName>
    <definedName name="Page1" localSheetId="2">#REF!</definedName>
    <definedName name="Page1" localSheetId="3">#REF!</definedName>
    <definedName name="Page1" localSheetId="4">#REF!</definedName>
    <definedName name="Page1" localSheetId="5">#REF!</definedName>
    <definedName name="Page1" localSheetId="8">#REF!</definedName>
    <definedName name="Page1" localSheetId="7">#REF!</definedName>
    <definedName name="Page1" localSheetId="6">#REF!</definedName>
    <definedName name="Page1" localSheetId="1">#REF!</definedName>
    <definedName name="Page1" localSheetId="35">#REF!</definedName>
    <definedName name="Page1" localSheetId="11">#REF!</definedName>
    <definedName name="Page1" localSheetId="9">#REF!</definedName>
    <definedName name="Page1" localSheetId="15">#REF!</definedName>
    <definedName name="Page1" localSheetId="16">#REF!</definedName>
    <definedName name="Page1" localSheetId="31">#REF!</definedName>
    <definedName name="Page1" localSheetId="30">#REF!</definedName>
    <definedName name="Page1" localSheetId="14">#REF!</definedName>
    <definedName name="Page1" localSheetId="26">#REF!</definedName>
    <definedName name="Page1" localSheetId="12">#REF!</definedName>
    <definedName name="Page1">#REF!</definedName>
    <definedName name="Page110" localSheetId="2">#REF!</definedName>
    <definedName name="Page110" localSheetId="3">#REF!</definedName>
    <definedName name="Page110" localSheetId="4">#REF!</definedName>
    <definedName name="Page110" localSheetId="5">#REF!</definedName>
    <definedName name="Page110" localSheetId="8">#REF!</definedName>
    <definedName name="Page110" localSheetId="7">#REF!</definedName>
    <definedName name="Page110" localSheetId="6">#REF!</definedName>
    <definedName name="Page110" localSheetId="1">#REF!</definedName>
    <definedName name="Page110" localSheetId="35">#REF!</definedName>
    <definedName name="Page110" localSheetId="11">#REF!</definedName>
    <definedName name="Page110" localSheetId="9">#REF!</definedName>
    <definedName name="Page110" localSheetId="15">#REF!</definedName>
    <definedName name="Page110" localSheetId="16">#REF!</definedName>
    <definedName name="Page110" localSheetId="14">#REF!</definedName>
    <definedName name="Page110" localSheetId="26">#REF!</definedName>
    <definedName name="Page110" localSheetId="12">#REF!</definedName>
    <definedName name="Page110">#REF!</definedName>
    <definedName name="Page120" localSheetId="2">#REF!</definedName>
    <definedName name="Page120" localSheetId="3">#REF!</definedName>
    <definedName name="Page120" localSheetId="4">#REF!</definedName>
    <definedName name="Page120" localSheetId="5">#REF!</definedName>
    <definedName name="Page120" localSheetId="8">#REF!</definedName>
    <definedName name="Page120" localSheetId="7">#REF!</definedName>
    <definedName name="Page120" localSheetId="6">#REF!</definedName>
    <definedName name="Page120" localSheetId="1">#REF!</definedName>
    <definedName name="Page120" localSheetId="35">#REF!</definedName>
    <definedName name="Page120" localSheetId="11">#REF!</definedName>
    <definedName name="Page120" localSheetId="9">#REF!</definedName>
    <definedName name="Page120" localSheetId="15">#REF!</definedName>
    <definedName name="Page120" localSheetId="16">#REF!</definedName>
    <definedName name="Page120" localSheetId="14">#REF!</definedName>
    <definedName name="Page120" localSheetId="26">#REF!</definedName>
    <definedName name="Page120" localSheetId="12">#REF!</definedName>
    <definedName name="Page120">#REF!</definedName>
    <definedName name="Page2" localSheetId="2">#REF!</definedName>
    <definedName name="Page2" localSheetId="3">#REF!</definedName>
    <definedName name="Page2" localSheetId="4">#REF!</definedName>
    <definedName name="Page2" localSheetId="5">#REF!</definedName>
    <definedName name="Page2" localSheetId="8">#REF!</definedName>
    <definedName name="Page2" localSheetId="7">#REF!</definedName>
    <definedName name="Page2" localSheetId="6">#REF!</definedName>
    <definedName name="Page2" localSheetId="1">#REF!</definedName>
    <definedName name="Page2" localSheetId="35">#REF!</definedName>
    <definedName name="Page2" localSheetId="11">#REF!</definedName>
    <definedName name="Page2" localSheetId="9">#REF!</definedName>
    <definedName name="Page2" localSheetId="15">#REF!</definedName>
    <definedName name="Page2" localSheetId="16">#REF!</definedName>
    <definedName name="Page2" localSheetId="31">#REF!</definedName>
    <definedName name="Page2" localSheetId="30">#REF!</definedName>
    <definedName name="Page2" localSheetId="14">#REF!</definedName>
    <definedName name="Page2" localSheetId="26">#REF!</definedName>
    <definedName name="Page2" localSheetId="12">#REF!</definedName>
    <definedName name="Page2">#REF!</definedName>
    <definedName name="PAGE3" localSheetId="2">#REF!</definedName>
    <definedName name="PAGE3" localSheetId="3">#REF!</definedName>
    <definedName name="PAGE3" localSheetId="4">#REF!</definedName>
    <definedName name="PAGE3" localSheetId="5">#REF!</definedName>
    <definedName name="PAGE3" localSheetId="8">#REF!</definedName>
    <definedName name="PAGE3" localSheetId="7">#REF!</definedName>
    <definedName name="PAGE3" localSheetId="6">#REF!</definedName>
    <definedName name="PAGE3" localSheetId="1">#REF!</definedName>
    <definedName name="PAGE3" localSheetId="35">#REF!</definedName>
    <definedName name="PAGE3" localSheetId="11">#REF!</definedName>
    <definedName name="PAGE3" localSheetId="9">#REF!</definedName>
    <definedName name="PAGE3" localSheetId="15">#REF!</definedName>
    <definedName name="PAGE3" localSheetId="16">#REF!</definedName>
    <definedName name="PAGE3" localSheetId="14">#REF!</definedName>
    <definedName name="PAGE3" localSheetId="26">#REF!</definedName>
    <definedName name="PAGE3" localSheetId="12">#REF!</definedName>
    <definedName name="PAGE3" localSheetId="27">#REF!</definedName>
    <definedName name="PAGE3">#REF!</definedName>
    <definedName name="Page4" localSheetId="2">#REF!</definedName>
    <definedName name="Page4" localSheetId="3">#REF!</definedName>
    <definedName name="Page4" localSheetId="4">#REF!</definedName>
    <definedName name="Page4" localSheetId="5">#REF!</definedName>
    <definedName name="Page4" localSheetId="8">#REF!</definedName>
    <definedName name="Page4" localSheetId="7">#REF!</definedName>
    <definedName name="Page4" localSheetId="6">#REF!</definedName>
    <definedName name="Page4" localSheetId="1">#REF!</definedName>
    <definedName name="Page4" localSheetId="35">#REF!</definedName>
    <definedName name="Page4" localSheetId="11">#REF!</definedName>
    <definedName name="Page4" localSheetId="9">#REF!</definedName>
    <definedName name="Page4" localSheetId="15">#REF!</definedName>
    <definedName name="Page4" localSheetId="16">#REF!</definedName>
    <definedName name="Page4" localSheetId="31">#REF!</definedName>
    <definedName name="Page4" localSheetId="30">#REF!</definedName>
    <definedName name="Page4" localSheetId="14">#REF!</definedName>
    <definedName name="Page4" localSheetId="26">#REF!</definedName>
    <definedName name="Page4" localSheetId="12">#REF!</definedName>
    <definedName name="Page4">#REF!</definedName>
    <definedName name="Page5" localSheetId="2">#REF!</definedName>
    <definedName name="Page5" localSheetId="3">#REF!</definedName>
    <definedName name="Page5" localSheetId="4">#REF!</definedName>
    <definedName name="Page5" localSheetId="5">#REF!</definedName>
    <definedName name="Page5" localSheetId="8">#REF!</definedName>
    <definedName name="Page5" localSheetId="7">#REF!</definedName>
    <definedName name="Page5" localSheetId="6">#REF!</definedName>
    <definedName name="Page5" localSheetId="1">#REF!</definedName>
    <definedName name="Page5" localSheetId="35">#REF!</definedName>
    <definedName name="Page5" localSheetId="11">#REF!</definedName>
    <definedName name="Page5" localSheetId="9">#REF!</definedName>
    <definedName name="Page5" localSheetId="15">#REF!</definedName>
    <definedName name="Page5" localSheetId="16">#REF!</definedName>
    <definedName name="Page5" localSheetId="31">#REF!</definedName>
    <definedName name="Page5" localSheetId="30">#REF!</definedName>
    <definedName name="Page5" localSheetId="14">#REF!</definedName>
    <definedName name="Page5" localSheetId="26">#REF!</definedName>
    <definedName name="Page5" localSheetId="12">#REF!</definedName>
    <definedName name="Page5">#REF!</definedName>
    <definedName name="Page6" localSheetId="2">#REF!</definedName>
    <definedName name="Page6" localSheetId="3">#REF!</definedName>
    <definedName name="Page6" localSheetId="4">#REF!</definedName>
    <definedName name="Page6" localSheetId="5">#REF!</definedName>
    <definedName name="Page6" localSheetId="8">#REF!</definedName>
    <definedName name="Page6" localSheetId="7">#REF!</definedName>
    <definedName name="Page6" localSheetId="6">#REF!</definedName>
    <definedName name="Page6" localSheetId="1">#REF!</definedName>
    <definedName name="Page6" localSheetId="35">#REF!</definedName>
    <definedName name="Page6" localSheetId="11">#REF!</definedName>
    <definedName name="Page6" localSheetId="9">#REF!</definedName>
    <definedName name="Page6" localSheetId="15">#REF!</definedName>
    <definedName name="Page6" localSheetId="16">#REF!</definedName>
    <definedName name="Page6" localSheetId="14">#REF!</definedName>
    <definedName name="Page6" localSheetId="26">#REF!</definedName>
    <definedName name="Page6" localSheetId="12">#REF!</definedName>
    <definedName name="Page6">#REF!</definedName>
    <definedName name="Page62" localSheetId="2">[33]TransInvest!#REF!</definedName>
    <definedName name="Page62" localSheetId="3">[33]TransInvest!#REF!</definedName>
    <definedName name="Page62" localSheetId="4">[33]TransInvest!#REF!</definedName>
    <definedName name="Page62" localSheetId="5">[33]TransInvest!#REF!</definedName>
    <definedName name="Page62" localSheetId="8">[33]TransInvest!#REF!</definedName>
    <definedName name="Page62" localSheetId="7">[33]TransInvest!#REF!</definedName>
    <definedName name="Page62" localSheetId="6">[33]TransInvest!#REF!</definedName>
    <definedName name="Page62" localSheetId="1">[33]TransInvest!#REF!</definedName>
    <definedName name="Page62" localSheetId="35">[33]TransInvest!#REF!</definedName>
    <definedName name="Page62" localSheetId="11">[33]TransInvest!#REF!</definedName>
    <definedName name="Page62" localSheetId="9">[33]TransInvest!#REF!</definedName>
    <definedName name="Page62" localSheetId="15">[33]TransInvest!#REF!</definedName>
    <definedName name="Page62" localSheetId="16">[33]TransInvest!#REF!</definedName>
    <definedName name="Page62" localSheetId="14">[33]TransInvest!#REF!</definedName>
    <definedName name="Page62" localSheetId="26">[33]TransInvest!#REF!</definedName>
    <definedName name="Page62" localSheetId="12">[33]TransInvest!#REF!</definedName>
    <definedName name="Page62" localSheetId="32">[33]TransInvest!#REF!</definedName>
    <definedName name="Page62">[33]TransInvest!#REF!</definedName>
    <definedName name="page65" localSheetId="2">#REF!</definedName>
    <definedName name="page65" localSheetId="3">#REF!</definedName>
    <definedName name="page65" localSheetId="4">#REF!</definedName>
    <definedName name="page65" localSheetId="5">#REF!</definedName>
    <definedName name="page65" localSheetId="8">#REF!</definedName>
    <definedName name="page65" localSheetId="7">#REF!</definedName>
    <definedName name="page65" localSheetId="6">#REF!</definedName>
    <definedName name="page65" localSheetId="1">#REF!</definedName>
    <definedName name="page65" localSheetId="35">#REF!</definedName>
    <definedName name="page65" localSheetId="11">#REF!</definedName>
    <definedName name="page65" localSheetId="9">#REF!</definedName>
    <definedName name="page65" localSheetId="15">#REF!</definedName>
    <definedName name="page65" localSheetId="16">#REF!</definedName>
    <definedName name="page65" localSheetId="14">#REF!</definedName>
    <definedName name="page65" localSheetId="26">#REF!</definedName>
    <definedName name="page65" localSheetId="12">#REF!</definedName>
    <definedName name="page65">#REF!</definedName>
    <definedName name="page66" localSheetId="2">#REF!</definedName>
    <definedName name="page66" localSheetId="3">#REF!</definedName>
    <definedName name="page66" localSheetId="4">#REF!</definedName>
    <definedName name="page66" localSheetId="5">#REF!</definedName>
    <definedName name="page66" localSheetId="8">#REF!</definedName>
    <definedName name="page66" localSheetId="7">#REF!</definedName>
    <definedName name="page66" localSheetId="6">#REF!</definedName>
    <definedName name="page66" localSheetId="1">#REF!</definedName>
    <definedName name="page66" localSheetId="35">#REF!</definedName>
    <definedName name="page66" localSheetId="11">#REF!</definedName>
    <definedName name="page66" localSheetId="9">#REF!</definedName>
    <definedName name="page66" localSheetId="15">#REF!</definedName>
    <definedName name="page66" localSheetId="16">#REF!</definedName>
    <definedName name="page66" localSheetId="14">#REF!</definedName>
    <definedName name="page66" localSheetId="26">#REF!</definedName>
    <definedName name="page66" localSheetId="12">#REF!</definedName>
    <definedName name="page66">#REF!</definedName>
    <definedName name="page67" localSheetId="2">#REF!</definedName>
    <definedName name="page67" localSheetId="3">#REF!</definedName>
    <definedName name="page67" localSheetId="4">#REF!</definedName>
    <definedName name="page67" localSheetId="5">#REF!</definedName>
    <definedName name="page67" localSheetId="8">#REF!</definedName>
    <definedName name="page67" localSheetId="7">#REF!</definedName>
    <definedName name="page67" localSheetId="6">#REF!</definedName>
    <definedName name="page67" localSheetId="1">#REF!</definedName>
    <definedName name="page67" localSheetId="35">#REF!</definedName>
    <definedName name="page67" localSheetId="11">#REF!</definedName>
    <definedName name="page67" localSheetId="9">#REF!</definedName>
    <definedName name="page67" localSheetId="15">#REF!</definedName>
    <definedName name="page67" localSheetId="16">#REF!</definedName>
    <definedName name="page67" localSheetId="14">#REF!</definedName>
    <definedName name="page67" localSheetId="26">#REF!</definedName>
    <definedName name="page67" localSheetId="12">#REF!</definedName>
    <definedName name="page67">#REF!</definedName>
    <definedName name="page68" localSheetId="2">#REF!</definedName>
    <definedName name="page68" localSheetId="3">#REF!</definedName>
    <definedName name="page68" localSheetId="4">#REF!</definedName>
    <definedName name="page68" localSheetId="5">#REF!</definedName>
    <definedName name="page68" localSheetId="8">#REF!</definedName>
    <definedName name="page68" localSheetId="7">#REF!</definedName>
    <definedName name="page68" localSheetId="6">#REF!</definedName>
    <definedName name="page68" localSheetId="1">#REF!</definedName>
    <definedName name="page68" localSheetId="35">#REF!</definedName>
    <definedName name="page68" localSheetId="11">#REF!</definedName>
    <definedName name="page68" localSheetId="9">#REF!</definedName>
    <definedName name="page68" localSheetId="15">#REF!</definedName>
    <definedName name="page68" localSheetId="16">#REF!</definedName>
    <definedName name="page68" localSheetId="14">#REF!</definedName>
    <definedName name="page68" localSheetId="26">#REF!</definedName>
    <definedName name="page68" localSheetId="12">#REF!</definedName>
    <definedName name="page68">#REF!</definedName>
    <definedName name="page69" localSheetId="2">#REF!</definedName>
    <definedName name="page69" localSheetId="3">#REF!</definedName>
    <definedName name="page69" localSheetId="4">#REF!</definedName>
    <definedName name="page69" localSheetId="5">#REF!</definedName>
    <definedName name="page69" localSheetId="8">#REF!</definedName>
    <definedName name="page69" localSheetId="7">#REF!</definedName>
    <definedName name="page69" localSheetId="6">#REF!</definedName>
    <definedName name="page69" localSheetId="1">#REF!</definedName>
    <definedName name="page69" localSheetId="35">#REF!</definedName>
    <definedName name="page69" localSheetId="11">#REF!</definedName>
    <definedName name="page69" localSheetId="9">#REF!</definedName>
    <definedName name="page69" localSheetId="15">#REF!</definedName>
    <definedName name="page69" localSheetId="16">#REF!</definedName>
    <definedName name="page69" localSheetId="14">#REF!</definedName>
    <definedName name="page69" localSheetId="26">#REF!</definedName>
    <definedName name="page69" localSheetId="12">#REF!</definedName>
    <definedName name="page69">#REF!</definedName>
    <definedName name="Page7" localSheetId="2">#REF!</definedName>
    <definedName name="Page7" localSheetId="3">#REF!</definedName>
    <definedName name="Page7" localSheetId="4">#REF!</definedName>
    <definedName name="Page7" localSheetId="5">#REF!</definedName>
    <definedName name="Page7" localSheetId="8">#REF!</definedName>
    <definedName name="Page7" localSheetId="7">#REF!</definedName>
    <definedName name="Page7" localSheetId="6">#REF!</definedName>
    <definedName name="Page7" localSheetId="1">#REF!</definedName>
    <definedName name="Page7" localSheetId="35">#REF!</definedName>
    <definedName name="Page7" localSheetId="11">#REF!</definedName>
    <definedName name="Page7" localSheetId="9">#REF!</definedName>
    <definedName name="Page7" localSheetId="15">#REF!</definedName>
    <definedName name="Page7" localSheetId="16">#REF!</definedName>
    <definedName name="Page7" localSheetId="31">#REF!</definedName>
    <definedName name="Page7" localSheetId="30">#REF!</definedName>
    <definedName name="Page7" localSheetId="14">#REF!</definedName>
    <definedName name="Page7" localSheetId="26">#REF!</definedName>
    <definedName name="Page7" localSheetId="12">#REF!</definedName>
    <definedName name="Page7">#REF!</definedName>
    <definedName name="page8" localSheetId="2">#REF!</definedName>
    <definedName name="page8" localSheetId="3">#REF!</definedName>
    <definedName name="page8" localSheetId="4">#REF!</definedName>
    <definedName name="page8" localSheetId="5">#REF!</definedName>
    <definedName name="page8" localSheetId="8">#REF!</definedName>
    <definedName name="page8" localSheetId="7">#REF!</definedName>
    <definedName name="page8" localSheetId="6">#REF!</definedName>
    <definedName name="page8" localSheetId="1">#REF!</definedName>
    <definedName name="page8" localSheetId="35">#REF!</definedName>
    <definedName name="page8" localSheetId="11">#REF!</definedName>
    <definedName name="page8" localSheetId="9">#REF!</definedName>
    <definedName name="page8" localSheetId="15">#REF!</definedName>
    <definedName name="page8" localSheetId="16">#REF!</definedName>
    <definedName name="page8" localSheetId="31">#REF!</definedName>
    <definedName name="page8" localSheetId="30">#REF!</definedName>
    <definedName name="page8" localSheetId="14">#REF!</definedName>
    <definedName name="page8" localSheetId="26">#REF!</definedName>
    <definedName name="page8" localSheetId="12">#REF!</definedName>
    <definedName name="page8">#REF!</definedName>
    <definedName name="PALL" localSheetId="2">#REF!</definedName>
    <definedName name="PALL" localSheetId="3">#REF!</definedName>
    <definedName name="PALL" localSheetId="4">#REF!</definedName>
    <definedName name="PALL" localSheetId="5">#REF!</definedName>
    <definedName name="PALL" localSheetId="8">#REF!</definedName>
    <definedName name="PALL" localSheetId="7">#REF!</definedName>
    <definedName name="PALL" localSheetId="6">#REF!</definedName>
    <definedName name="PALL" localSheetId="1">#REF!</definedName>
    <definedName name="PALL" localSheetId="35">#REF!</definedName>
    <definedName name="PALL" localSheetId="11">#REF!</definedName>
    <definedName name="PALL" localSheetId="9">#REF!</definedName>
    <definedName name="PALL" localSheetId="15">#REF!</definedName>
    <definedName name="PALL" localSheetId="16">#REF!</definedName>
    <definedName name="PALL" localSheetId="14">#REF!</definedName>
    <definedName name="PALL" localSheetId="26">#REF!</definedName>
    <definedName name="PALL" localSheetId="12">#REF!</definedName>
    <definedName name="PALL">#REF!</definedName>
    <definedName name="PBLOCK" localSheetId="2">#REF!</definedName>
    <definedName name="PBLOCK" localSheetId="3">#REF!</definedName>
    <definedName name="PBLOCK" localSheetId="4">#REF!</definedName>
    <definedName name="PBLOCK" localSheetId="5">#REF!</definedName>
    <definedName name="PBLOCK" localSheetId="8">#REF!</definedName>
    <definedName name="PBLOCK" localSheetId="7">#REF!</definedName>
    <definedName name="PBLOCK" localSheetId="6">#REF!</definedName>
    <definedName name="PBLOCK" localSheetId="1">#REF!</definedName>
    <definedName name="PBLOCK" localSheetId="35">#REF!</definedName>
    <definedName name="PBLOCK" localSheetId="11">#REF!</definedName>
    <definedName name="PBLOCK" localSheetId="9">#REF!</definedName>
    <definedName name="PBLOCK" localSheetId="15">#REF!</definedName>
    <definedName name="PBLOCK" localSheetId="16">#REF!</definedName>
    <definedName name="PBLOCK" localSheetId="14">#REF!</definedName>
    <definedName name="PBLOCK" localSheetId="26">#REF!</definedName>
    <definedName name="PBLOCK" localSheetId="12">#REF!</definedName>
    <definedName name="PBLOCK">#REF!</definedName>
    <definedName name="PBLOCKWZ" localSheetId="2">#REF!</definedName>
    <definedName name="PBLOCKWZ" localSheetId="3">#REF!</definedName>
    <definedName name="PBLOCKWZ" localSheetId="4">#REF!</definedName>
    <definedName name="PBLOCKWZ" localSheetId="5">#REF!</definedName>
    <definedName name="PBLOCKWZ" localSheetId="8">#REF!</definedName>
    <definedName name="PBLOCKWZ" localSheetId="7">#REF!</definedName>
    <definedName name="PBLOCKWZ" localSheetId="6">#REF!</definedName>
    <definedName name="PBLOCKWZ" localSheetId="1">#REF!</definedName>
    <definedName name="PBLOCKWZ" localSheetId="35">#REF!</definedName>
    <definedName name="PBLOCKWZ" localSheetId="11">#REF!</definedName>
    <definedName name="PBLOCKWZ" localSheetId="9">#REF!</definedName>
    <definedName name="PBLOCKWZ" localSheetId="15">#REF!</definedName>
    <definedName name="PBLOCKWZ" localSheetId="16">#REF!</definedName>
    <definedName name="PBLOCKWZ" localSheetId="14">#REF!</definedName>
    <definedName name="PBLOCKWZ" localSheetId="26">#REF!</definedName>
    <definedName name="PBLOCKWZ" localSheetId="12">#REF!</definedName>
    <definedName name="PBLOCKWZ">#REF!</definedName>
    <definedName name="PCOMP" localSheetId="2">#REF!</definedName>
    <definedName name="PCOMP" localSheetId="3">#REF!</definedName>
    <definedName name="PCOMP" localSheetId="4">#REF!</definedName>
    <definedName name="PCOMP" localSheetId="5">#REF!</definedName>
    <definedName name="PCOMP" localSheetId="8">#REF!</definedName>
    <definedName name="PCOMP" localSheetId="7">#REF!</definedName>
    <definedName name="PCOMP" localSheetId="6">#REF!</definedName>
    <definedName name="PCOMP" localSheetId="1">#REF!</definedName>
    <definedName name="PCOMP" localSheetId="35">#REF!</definedName>
    <definedName name="PCOMP" localSheetId="11">#REF!</definedName>
    <definedName name="PCOMP" localSheetId="9">#REF!</definedName>
    <definedName name="PCOMP" localSheetId="15">#REF!</definedName>
    <definedName name="PCOMP" localSheetId="16">#REF!</definedName>
    <definedName name="PCOMP" localSheetId="14">#REF!</definedName>
    <definedName name="PCOMP" localSheetId="26">#REF!</definedName>
    <definedName name="PCOMP" localSheetId="12">#REF!</definedName>
    <definedName name="PCOMP">#REF!</definedName>
    <definedName name="PCOMPOSITES" localSheetId="2">#REF!</definedName>
    <definedName name="PCOMPOSITES" localSheetId="3">#REF!</definedName>
    <definedName name="PCOMPOSITES" localSheetId="4">#REF!</definedName>
    <definedName name="PCOMPOSITES" localSheetId="5">#REF!</definedName>
    <definedName name="PCOMPOSITES" localSheetId="8">#REF!</definedName>
    <definedName name="PCOMPOSITES" localSheetId="7">#REF!</definedName>
    <definedName name="PCOMPOSITES" localSheetId="6">#REF!</definedName>
    <definedName name="PCOMPOSITES" localSheetId="1">#REF!</definedName>
    <definedName name="PCOMPOSITES" localSheetId="35">#REF!</definedName>
    <definedName name="PCOMPOSITES" localSheetId="11">#REF!</definedName>
    <definedName name="PCOMPOSITES" localSheetId="9">#REF!</definedName>
    <definedName name="PCOMPOSITES" localSheetId="15">#REF!</definedName>
    <definedName name="PCOMPOSITES" localSheetId="16">#REF!</definedName>
    <definedName name="PCOMPOSITES" localSheetId="14">#REF!</definedName>
    <definedName name="PCOMPOSITES" localSheetId="26">#REF!</definedName>
    <definedName name="PCOMPOSITES" localSheetId="12">#REF!</definedName>
    <definedName name="PCOMPOSITES">#REF!</definedName>
    <definedName name="PCOMPWZ" localSheetId="2">#REF!</definedName>
    <definedName name="PCOMPWZ" localSheetId="3">#REF!</definedName>
    <definedName name="PCOMPWZ" localSheetId="4">#REF!</definedName>
    <definedName name="PCOMPWZ" localSheetId="5">#REF!</definedName>
    <definedName name="PCOMPWZ" localSheetId="8">#REF!</definedName>
    <definedName name="PCOMPWZ" localSheetId="7">#REF!</definedName>
    <definedName name="PCOMPWZ" localSheetId="6">#REF!</definedName>
    <definedName name="PCOMPWZ" localSheetId="1">#REF!</definedName>
    <definedName name="PCOMPWZ" localSheetId="35">#REF!</definedName>
    <definedName name="PCOMPWZ" localSheetId="11">#REF!</definedName>
    <definedName name="PCOMPWZ" localSheetId="9">#REF!</definedName>
    <definedName name="PCOMPWZ" localSheetId="15">#REF!</definedName>
    <definedName name="PCOMPWZ" localSheetId="16">#REF!</definedName>
    <definedName name="PCOMPWZ" localSheetId="14">#REF!</definedName>
    <definedName name="PCOMPWZ" localSheetId="26">#REF!</definedName>
    <definedName name="PCOMPWZ" localSheetId="12">#REF!</definedName>
    <definedName name="PCOMPWZ">#REF!</definedName>
    <definedName name="PeakMethod" localSheetId="33">[25]Inputs!$T$5</definedName>
    <definedName name="PeakMethod">[13]Inputs!$T$5</definedName>
    <definedName name="PMAC" localSheetId="2">[21]Backup!#REF!</definedName>
    <definedName name="PMAC" localSheetId="3">[21]Backup!#REF!</definedName>
    <definedName name="PMAC" localSheetId="4">[21]Backup!#REF!</definedName>
    <definedName name="PMAC" localSheetId="5">[21]Backup!#REF!</definedName>
    <definedName name="PMAC" localSheetId="8">[21]Backup!#REF!</definedName>
    <definedName name="PMAC" localSheetId="7">[21]Backup!#REF!</definedName>
    <definedName name="PMAC" localSheetId="6">[21]Backup!#REF!</definedName>
    <definedName name="PMAC" localSheetId="1">[21]Backup!#REF!</definedName>
    <definedName name="PMAC" localSheetId="35">[21]Backup!#REF!</definedName>
    <definedName name="PMAC" localSheetId="11">[21]Backup!#REF!</definedName>
    <definedName name="PMAC" localSheetId="9">[21]Backup!#REF!</definedName>
    <definedName name="PMAC" localSheetId="15">[21]Backup!#REF!</definedName>
    <definedName name="PMAC" localSheetId="16">[21]Backup!#REF!</definedName>
    <definedName name="PMAC" localSheetId="14">[21]Backup!#REF!</definedName>
    <definedName name="PMAC" localSheetId="26">[21]Backup!#REF!</definedName>
    <definedName name="PMAC" localSheetId="12">[21]Backup!#REF!</definedName>
    <definedName name="PMAC" localSheetId="27">[21]Backup!#REF!</definedName>
    <definedName name="PMAC">[21]Backup!#REF!</definedName>
    <definedName name="PRESENT" localSheetId="2">#REF!</definedName>
    <definedName name="PRESENT" localSheetId="3">#REF!</definedName>
    <definedName name="PRESENT" localSheetId="4">#REF!</definedName>
    <definedName name="PRESENT" localSheetId="5">#REF!</definedName>
    <definedName name="PRESENT" localSheetId="8">#REF!</definedName>
    <definedName name="PRESENT" localSheetId="7">#REF!</definedName>
    <definedName name="PRESENT" localSheetId="6">#REF!</definedName>
    <definedName name="PRESENT" localSheetId="1">#REF!</definedName>
    <definedName name="PRESENT" localSheetId="35">#REF!</definedName>
    <definedName name="PRESENT" localSheetId="11">#REF!</definedName>
    <definedName name="PRESENT" localSheetId="9">#REF!</definedName>
    <definedName name="PRESENT" localSheetId="15">#REF!</definedName>
    <definedName name="PRESENT" localSheetId="16">#REF!</definedName>
    <definedName name="PRESENT" localSheetId="14">#REF!</definedName>
    <definedName name="PRESENT" localSheetId="26">#REF!</definedName>
    <definedName name="PRESENT" localSheetId="12">#REF!</definedName>
    <definedName name="PRESENT" localSheetId="27">#REF!</definedName>
    <definedName name="PRESENT">#REF!</definedName>
    <definedName name="PRICCHNG" localSheetId="2">#REF!</definedName>
    <definedName name="PRICCHNG" localSheetId="3">#REF!</definedName>
    <definedName name="PRICCHNG" localSheetId="4">#REF!</definedName>
    <definedName name="PRICCHNG" localSheetId="5">#REF!</definedName>
    <definedName name="PRICCHNG" localSheetId="8">#REF!</definedName>
    <definedName name="PRICCHNG" localSheetId="7">#REF!</definedName>
    <definedName name="PRICCHNG" localSheetId="6">#REF!</definedName>
    <definedName name="PRICCHNG" localSheetId="1">#REF!</definedName>
    <definedName name="PRICCHNG" localSheetId="35">#REF!</definedName>
    <definedName name="PRICCHNG" localSheetId="11">#REF!</definedName>
    <definedName name="PRICCHNG" localSheetId="9">#REF!</definedName>
    <definedName name="PRICCHNG" localSheetId="15">#REF!</definedName>
    <definedName name="PRICCHNG" localSheetId="16">#REF!</definedName>
    <definedName name="PRICCHNG" localSheetId="14">#REF!</definedName>
    <definedName name="PRICCHNG" localSheetId="26">#REF!</definedName>
    <definedName name="PRICCHNG" localSheetId="12">#REF!</definedName>
    <definedName name="PRICCHNG">#REF!</definedName>
    <definedName name="_xlnm.Print_Area" localSheetId="25">'305 VS COGNOS kWh'!$A$1:$K$110</definedName>
    <definedName name="_xlnm.Print_Area" localSheetId="24">'305 VS COGNOS Revenue'!$A$1:$AD$112</definedName>
    <definedName name="_xlnm.Print_Area" localSheetId="2">'Billing Comparison Sch 16'!$B$1:$T$38</definedName>
    <definedName name="_xlnm.Print_Area" localSheetId="3">'Billing Comparison Sch 24'!$B$3:$U$35</definedName>
    <definedName name="_xlnm.Print_Area" localSheetId="4">'Billing Comparison Sch 36'!$B$3:$K$44</definedName>
    <definedName name="_xlnm.Print_Area" localSheetId="5">'Billing Comparison Sch 40'!$B$2:$Q$39</definedName>
    <definedName name="_xlnm.Print_Area" localSheetId="8">'Billing Comparison Sch 48 Ded'!$B$2:$K$34</definedName>
    <definedName name="_xlnm.Print_Area" localSheetId="7">'Billing Comparison Sch 48 Pri'!$B$2:$K$34</definedName>
    <definedName name="_xlnm.Print_Area" localSheetId="6">'Billing Comparison Sch 48 Sec'!$B$2:$K$34</definedName>
    <definedName name="_xlnm.Print_Area" localSheetId="1">'Billing Determinants'!$A$1:$I$1281</definedName>
    <definedName name="_xlnm.Print_Area" localSheetId="37">'Billing Determinants (2)'!$A$1:$K$1038</definedName>
    <definedName name="_xlnm.Print_Area" localSheetId="38">'Blocking - detail'!$A$1:$K$1009</definedName>
    <definedName name="_xlnm.Print_Area" localSheetId="0">'Est Effect of Base Rate Inc'!$B$1:$V$50</definedName>
    <definedName name="_xlnm.Print_Area" localSheetId="11">'Exhibit No.__(JRS-11) p1-8'!$A$1:$I$1279</definedName>
    <definedName name="_xlnm.Print_Area" localSheetId="9">'Low Income Credit'!$A$1:$F$11</definedName>
    <definedName name="_xlnm.Print_Area" localSheetId="15">'Low Income Prog YR 1'!$A$1:$J$48</definedName>
    <definedName name="_xlnm.Print_Area" localSheetId="16">'Low Income Program YR 2'!$A$1:$J$48</definedName>
    <definedName name="_xlnm.Print_Area" localSheetId="31">'Normalized Monthly kWh'!$A$1:$AF$91</definedName>
    <definedName name="_xlnm.Print_Area" localSheetId="30">'Normalized Monthly revenue'!$A$1:$AF$91</definedName>
    <definedName name="_xlnm.Print_Area" localSheetId="33">'NPC Spread'!$A$1:$K$57</definedName>
    <definedName name="_xlnm.Print_Area" localSheetId="13">'Rate Design Work eff 10-14-16'!$A$1:$I$1275</definedName>
    <definedName name="_xlnm.Print_Area" localSheetId="14">'Rate Design Work eff 9-15-17'!$A$1:$I$1275</definedName>
    <definedName name="_xlnm.Print_Area" localSheetId="26">'Rate Design Work-Res NM'!$A$1:$V$107</definedName>
    <definedName name="_xlnm.Print_Area" localSheetId="12">'Rate Spread targets'!$B$1:$AE$50</definedName>
    <definedName name="_xlnm.Print_Area" localSheetId="18">'Table 1 - kWh'!$A$1:$G$34</definedName>
    <definedName name="_xlnm.Print_Area" localSheetId="17">'Table 1-Revenues'!$A$1:$J$33</definedName>
    <definedName name="_xlnm.Print_Area" localSheetId="19">'Table 2'!$A$1:$Q$145</definedName>
    <definedName name="_xlnm.Print_Area" localSheetId="20">'Table 3'!$A$1:$Q$144</definedName>
    <definedName name="_xlnm.Print_Area" localSheetId="32">'Table A by class'!$B$1:$W$61</definedName>
    <definedName name="_xlnm.Print_Area" localSheetId="22">'WA Depreciation'!$B$2:$AN$29</definedName>
    <definedName name="_xlnm.Print_Area" localSheetId="23">'WA Merwin'!$B$2:$AN$29</definedName>
    <definedName name="_xlnm.Print_Area" localSheetId="21">'WA SBC'!$B$2:$I$50</definedName>
    <definedName name="_xlnm.Print_Titles" localSheetId="1">'Billing Determinants'!$1:$10</definedName>
    <definedName name="_xlnm.Print_Titles" localSheetId="37">'Billing Determinants (2)'!$1:$6</definedName>
    <definedName name="_xlnm.Print_Titles" localSheetId="38">'Blocking - detail'!$1:$6</definedName>
    <definedName name="_xlnm.Print_Titles" localSheetId="11">'Exhibit No.__(JRS-11) p1-8'!$1:$10</definedName>
    <definedName name="_xlnm.Print_Titles" localSheetId="13">'Rate Design Work eff 10-14-16'!$1:$10</definedName>
    <definedName name="_xlnm.Print_Titles" localSheetId="14">'Rate Design Work eff 9-15-17'!$1:$10</definedName>
    <definedName name="_xlnm.Print_Titles" localSheetId="26">'Rate Design Work-Res NM'!$1:$10</definedName>
    <definedName name="_xlnm.Print_Titles" localSheetId="19">'Table 2'!$A:$C,'Table 2'!$9:$11</definedName>
    <definedName name="_xlnm.Print_Titles" localSheetId="20">'Table 3'!$A:$C,'Table 3'!$9:$11</definedName>
    <definedName name="_xlnm.Print_Titles" localSheetId="32">'Table A by class'!$B:$F</definedName>
    <definedName name="PTABLES" localSheetId="2">#REF!</definedName>
    <definedName name="PTABLES" localSheetId="3">#REF!</definedName>
    <definedName name="PTABLES" localSheetId="4">#REF!</definedName>
    <definedName name="PTABLES" localSheetId="5">#REF!</definedName>
    <definedName name="PTABLES" localSheetId="8">#REF!</definedName>
    <definedName name="PTABLES" localSheetId="7">#REF!</definedName>
    <definedName name="PTABLES" localSheetId="6">#REF!</definedName>
    <definedName name="PTABLES" localSheetId="1">#REF!</definedName>
    <definedName name="PTABLES" localSheetId="35">#REF!</definedName>
    <definedName name="PTABLES" localSheetId="11">#REF!</definedName>
    <definedName name="PTABLES" localSheetId="9">#REF!</definedName>
    <definedName name="PTABLES" localSheetId="15">#REF!</definedName>
    <definedName name="PTABLES" localSheetId="16">#REF!</definedName>
    <definedName name="PTABLES" localSheetId="14">#REF!</definedName>
    <definedName name="PTABLES" localSheetId="26">#REF!</definedName>
    <definedName name="PTABLES" localSheetId="12">#REF!</definedName>
    <definedName name="PTABLES">#REF!</definedName>
    <definedName name="PTDMOD" localSheetId="2">#REF!</definedName>
    <definedName name="PTDMOD" localSheetId="3">#REF!</definedName>
    <definedName name="PTDMOD" localSheetId="4">#REF!</definedName>
    <definedName name="PTDMOD" localSheetId="5">#REF!</definedName>
    <definedName name="PTDMOD" localSheetId="8">#REF!</definedName>
    <definedName name="PTDMOD" localSheetId="7">#REF!</definedName>
    <definedName name="PTDMOD" localSheetId="6">#REF!</definedName>
    <definedName name="PTDMOD" localSheetId="1">#REF!</definedName>
    <definedName name="PTDMOD" localSheetId="35">#REF!</definedName>
    <definedName name="PTDMOD" localSheetId="11">#REF!</definedName>
    <definedName name="PTDMOD" localSheetId="9">#REF!</definedName>
    <definedName name="PTDMOD" localSheetId="15">#REF!</definedName>
    <definedName name="PTDMOD" localSheetId="16">#REF!</definedName>
    <definedName name="PTDMOD" localSheetId="14">#REF!</definedName>
    <definedName name="PTDMOD" localSheetId="26">#REF!</definedName>
    <definedName name="PTDMOD" localSheetId="12">#REF!</definedName>
    <definedName name="PTDMOD" localSheetId="27">#REF!</definedName>
    <definedName name="PTDMOD">#REF!</definedName>
    <definedName name="PTDROLL" localSheetId="2">#REF!</definedName>
    <definedName name="PTDROLL" localSheetId="3">#REF!</definedName>
    <definedName name="PTDROLL" localSheetId="4">#REF!</definedName>
    <definedName name="PTDROLL" localSheetId="5">#REF!</definedName>
    <definedName name="PTDROLL" localSheetId="8">#REF!</definedName>
    <definedName name="PTDROLL" localSheetId="7">#REF!</definedName>
    <definedName name="PTDROLL" localSheetId="6">#REF!</definedName>
    <definedName name="PTDROLL" localSheetId="1">#REF!</definedName>
    <definedName name="PTDROLL" localSheetId="35">#REF!</definedName>
    <definedName name="PTDROLL" localSheetId="11">#REF!</definedName>
    <definedName name="PTDROLL" localSheetId="9">#REF!</definedName>
    <definedName name="PTDROLL" localSheetId="15">#REF!</definedName>
    <definedName name="PTDROLL" localSheetId="16">#REF!</definedName>
    <definedName name="PTDROLL" localSheetId="14">#REF!</definedName>
    <definedName name="PTDROLL" localSheetId="26">#REF!</definedName>
    <definedName name="PTDROLL" localSheetId="12">#REF!</definedName>
    <definedName name="PTDROLL" localSheetId="27">#REF!</definedName>
    <definedName name="PTDROLL">#REF!</definedName>
    <definedName name="PTMOD" localSheetId="2">#REF!</definedName>
    <definedName name="PTMOD" localSheetId="3">#REF!</definedName>
    <definedName name="PTMOD" localSheetId="4">#REF!</definedName>
    <definedName name="PTMOD" localSheetId="5">#REF!</definedName>
    <definedName name="PTMOD" localSheetId="8">#REF!</definedName>
    <definedName name="PTMOD" localSheetId="7">#REF!</definedName>
    <definedName name="PTMOD" localSheetId="6">#REF!</definedName>
    <definedName name="PTMOD" localSheetId="1">#REF!</definedName>
    <definedName name="PTMOD" localSheetId="35">#REF!</definedName>
    <definedName name="PTMOD" localSheetId="11">#REF!</definedName>
    <definedName name="PTMOD" localSheetId="9">#REF!</definedName>
    <definedName name="PTMOD" localSheetId="15">#REF!</definedName>
    <definedName name="PTMOD" localSheetId="16">#REF!</definedName>
    <definedName name="PTMOD" localSheetId="14">#REF!</definedName>
    <definedName name="PTMOD" localSheetId="26">#REF!</definedName>
    <definedName name="PTMOD" localSheetId="12">#REF!</definedName>
    <definedName name="PTMOD" localSheetId="27">#REF!</definedName>
    <definedName name="PTMOD">#REF!</definedName>
    <definedName name="PTROLL" localSheetId="2">#REF!</definedName>
    <definedName name="PTROLL" localSheetId="3">#REF!</definedName>
    <definedName name="PTROLL" localSheetId="4">#REF!</definedName>
    <definedName name="PTROLL" localSheetId="5">#REF!</definedName>
    <definedName name="PTROLL" localSheetId="8">#REF!</definedName>
    <definedName name="PTROLL" localSheetId="7">#REF!</definedName>
    <definedName name="PTROLL" localSheetId="6">#REF!</definedName>
    <definedName name="PTROLL" localSheetId="1">#REF!</definedName>
    <definedName name="PTROLL" localSheetId="35">#REF!</definedName>
    <definedName name="PTROLL" localSheetId="11">#REF!</definedName>
    <definedName name="PTROLL" localSheetId="9">#REF!</definedName>
    <definedName name="PTROLL" localSheetId="15">#REF!</definedName>
    <definedName name="PTROLL" localSheetId="16">#REF!</definedName>
    <definedName name="PTROLL" localSheetId="14">#REF!</definedName>
    <definedName name="PTROLL" localSheetId="26">#REF!</definedName>
    <definedName name="PTROLL" localSheetId="12">#REF!</definedName>
    <definedName name="PTROLL" localSheetId="27">#REF!</definedName>
    <definedName name="PTROLL">#REF!</definedName>
    <definedName name="PWORKBACK" localSheetId="2">#REF!</definedName>
    <definedName name="PWORKBACK" localSheetId="3">#REF!</definedName>
    <definedName name="PWORKBACK" localSheetId="4">#REF!</definedName>
    <definedName name="PWORKBACK" localSheetId="5">#REF!</definedName>
    <definedName name="PWORKBACK" localSheetId="8">#REF!</definedName>
    <definedName name="PWORKBACK" localSheetId="7">#REF!</definedName>
    <definedName name="PWORKBACK" localSheetId="6">#REF!</definedName>
    <definedName name="PWORKBACK" localSheetId="1">#REF!</definedName>
    <definedName name="PWORKBACK" localSheetId="35">#REF!</definedName>
    <definedName name="PWORKBACK" localSheetId="11">#REF!</definedName>
    <definedName name="PWORKBACK" localSheetId="9">#REF!</definedName>
    <definedName name="PWORKBACK" localSheetId="15">#REF!</definedName>
    <definedName name="PWORKBACK" localSheetId="16">#REF!</definedName>
    <definedName name="PWORKBACK" localSheetId="14">#REF!</definedName>
    <definedName name="PWORKBACK" localSheetId="26">#REF!</definedName>
    <definedName name="PWORKBACK" localSheetId="12">#REF!</definedName>
    <definedName name="PWORKBACK">#REF!</definedName>
    <definedName name="Query1" localSheetId="2">#REF!</definedName>
    <definedName name="Query1" localSheetId="3">#REF!</definedName>
    <definedName name="Query1" localSheetId="4">#REF!</definedName>
    <definedName name="Query1" localSheetId="5">#REF!</definedName>
    <definedName name="Query1" localSheetId="8">#REF!</definedName>
    <definedName name="Query1" localSheetId="7">#REF!</definedName>
    <definedName name="Query1" localSheetId="6">#REF!</definedName>
    <definedName name="Query1" localSheetId="1">#REF!</definedName>
    <definedName name="Query1" localSheetId="35">#REF!</definedName>
    <definedName name="Query1" localSheetId="11">#REF!</definedName>
    <definedName name="Query1" localSheetId="9">#REF!</definedName>
    <definedName name="Query1" localSheetId="15">#REF!</definedName>
    <definedName name="Query1" localSheetId="16">#REF!</definedName>
    <definedName name="Query1" localSheetId="14">#REF!</definedName>
    <definedName name="Query1" localSheetId="26">#REF!</definedName>
    <definedName name="Query1" localSheetId="12">#REF!</definedName>
    <definedName name="Query1" localSheetId="27">#REF!</definedName>
    <definedName name="Query1">#REF!</definedName>
    <definedName name="Rates" localSheetId="21">[10]Codes!$A$1:$C$497</definedName>
    <definedName name="Rates">[34]Codes!$A$1:$C$500</definedName>
    <definedName name="RC_ADJ" localSheetId="2">#REF!</definedName>
    <definedName name="RC_ADJ" localSheetId="3">#REF!</definedName>
    <definedName name="RC_ADJ" localSheetId="4">#REF!</definedName>
    <definedName name="RC_ADJ" localSheetId="5">#REF!</definedName>
    <definedName name="RC_ADJ" localSheetId="8">#REF!</definedName>
    <definedName name="RC_ADJ" localSheetId="7">#REF!</definedName>
    <definedName name="RC_ADJ" localSheetId="6">#REF!</definedName>
    <definedName name="RC_ADJ" localSheetId="1">#REF!</definedName>
    <definedName name="RC_ADJ" localSheetId="35">#REF!</definedName>
    <definedName name="RC_ADJ" localSheetId="11">#REF!</definedName>
    <definedName name="RC_ADJ" localSheetId="9">#REF!</definedName>
    <definedName name="RC_ADJ" localSheetId="15">#REF!</definedName>
    <definedName name="RC_ADJ" localSheetId="16">#REF!</definedName>
    <definedName name="RC_ADJ" localSheetId="14">#REF!</definedName>
    <definedName name="RC_ADJ" localSheetId="26">#REF!</definedName>
    <definedName name="RC_ADJ" localSheetId="12">#REF!</definedName>
    <definedName name="RC_ADJ">#REF!</definedName>
    <definedName name="RESADJ" localSheetId="2">#REF!</definedName>
    <definedName name="RESADJ" localSheetId="3">#REF!</definedName>
    <definedName name="RESADJ" localSheetId="4">#REF!</definedName>
    <definedName name="RESADJ" localSheetId="5">#REF!</definedName>
    <definedName name="RESADJ" localSheetId="8">#REF!</definedName>
    <definedName name="RESADJ" localSheetId="7">#REF!</definedName>
    <definedName name="RESADJ" localSheetId="6">#REF!</definedName>
    <definedName name="RESADJ" localSheetId="1">#REF!</definedName>
    <definedName name="RESADJ" localSheetId="35">#REF!</definedName>
    <definedName name="RESADJ" localSheetId="11">#REF!</definedName>
    <definedName name="RESADJ" localSheetId="9">#REF!</definedName>
    <definedName name="RESADJ" localSheetId="15">#REF!</definedName>
    <definedName name="RESADJ" localSheetId="16">#REF!</definedName>
    <definedName name="RESADJ" localSheetId="14">#REF!</definedName>
    <definedName name="RESADJ" localSheetId="26">#REF!</definedName>
    <definedName name="RESADJ" localSheetId="12">#REF!</definedName>
    <definedName name="RESADJ">#REF!</definedName>
    <definedName name="ResourceSupplier" localSheetId="27">[20]Variables!$D$28</definedName>
    <definedName name="ResourceSupplier">[20]Variables!$D$28</definedName>
    <definedName name="retail_CC" localSheetId="8" hidden="1">{#N/A,#N/A,FALSE,"Loans";#N/A,#N/A,FALSE,"Program Costs";#N/A,#N/A,FALSE,"Measures";#N/A,#N/A,FALSE,"Net Lost Rev";#N/A,#N/A,FALSE,"Incentive"}</definedName>
    <definedName name="retail_CC" localSheetId="15" hidden="1">{#N/A,#N/A,FALSE,"Loans";#N/A,#N/A,FALSE,"Program Costs";#N/A,#N/A,FALSE,"Measures";#N/A,#N/A,FALSE,"Net Lost Rev";#N/A,#N/A,FALSE,"Incentive"}</definedName>
    <definedName name="retail_CC" localSheetId="16" hidden="1">{#N/A,#N/A,FALSE,"Loans";#N/A,#N/A,FALSE,"Program Costs";#N/A,#N/A,FALSE,"Measures";#N/A,#N/A,FALSE,"Net Lost Rev";#N/A,#N/A,FALSE,"Incentive"}</definedName>
    <definedName name="retail_CC" localSheetId="3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8" hidden="1">{#N/A,#N/A,FALSE,"Loans";#N/A,#N/A,FALSE,"Program Costs";#N/A,#N/A,FALSE,"Measures";#N/A,#N/A,FALSE,"Net Lost Rev";#N/A,#N/A,FALSE,"Incentive"}</definedName>
    <definedName name="retail_CC1" localSheetId="15" hidden="1">{#N/A,#N/A,FALSE,"Loans";#N/A,#N/A,FALSE,"Program Costs";#N/A,#N/A,FALSE,"Measures";#N/A,#N/A,FALSE,"Net Lost Rev";#N/A,#N/A,FALSE,"Incentive"}</definedName>
    <definedName name="retail_CC1" localSheetId="16" hidden="1">{#N/A,#N/A,FALSE,"Loans";#N/A,#N/A,FALSE,"Program Costs";#N/A,#N/A,FALSE,"Measures";#N/A,#N/A,FALSE,"Net Lost Rev";#N/A,#N/A,FALSE,"Incentive"}</definedName>
    <definedName name="retail_CC1" localSheetId="3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2">#REF!</definedName>
    <definedName name="REV_SCHD" localSheetId="3">#REF!</definedName>
    <definedName name="REV_SCHD" localSheetId="4">#REF!</definedName>
    <definedName name="REV_SCHD" localSheetId="5">#REF!</definedName>
    <definedName name="REV_SCHD" localSheetId="8">#REF!</definedName>
    <definedName name="REV_SCHD" localSheetId="7">#REF!</definedName>
    <definedName name="REV_SCHD" localSheetId="6">#REF!</definedName>
    <definedName name="REV_SCHD" localSheetId="1">#REF!</definedName>
    <definedName name="REV_SCHD" localSheetId="35">#REF!</definedName>
    <definedName name="REV_SCHD" localSheetId="11">#REF!</definedName>
    <definedName name="REV_SCHD" localSheetId="9">#REF!</definedName>
    <definedName name="REV_SCHD" localSheetId="15">#REF!</definedName>
    <definedName name="REV_SCHD" localSheetId="16">#REF!</definedName>
    <definedName name="REV_SCHD" localSheetId="14">#REF!</definedName>
    <definedName name="REV_SCHD" localSheetId="26">#REF!</definedName>
    <definedName name="REV_SCHD" localSheetId="12">#REF!</definedName>
    <definedName name="REV_SCHD">#REF!</definedName>
    <definedName name="RevClass" localSheetId="21">[10]Codes!$F$2:$G$10</definedName>
    <definedName name="RevClass">[34]Codes!$F$2:$G$10</definedName>
    <definedName name="Revenue_by_month_take_2" localSheetId="2">#REF!</definedName>
    <definedName name="Revenue_by_month_take_2" localSheetId="3">#REF!</definedName>
    <definedName name="Revenue_by_month_take_2" localSheetId="4">#REF!</definedName>
    <definedName name="Revenue_by_month_take_2" localSheetId="5">#REF!</definedName>
    <definedName name="Revenue_by_month_take_2" localSheetId="8">#REF!</definedName>
    <definedName name="Revenue_by_month_take_2" localSheetId="7">#REF!</definedName>
    <definedName name="Revenue_by_month_take_2" localSheetId="6">#REF!</definedName>
    <definedName name="Revenue_by_month_take_2" localSheetId="1">#REF!</definedName>
    <definedName name="Revenue_by_month_take_2" localSheetId="35">#REF!</definedName>
    <definedName name="Revenue_by_month_take_2" localSheetId="11">#REF!</definedName>
    <definedName name="Revenue_by_month_take_2" localSheetId="9">#REF!</definedName>
    <definedName name="Revenue_by_month_take_2" localSheetId="15">#REF!</definedName>
    <definedName name="Revenue_by_month_take_2" localSheetId="16">#REF!</definedName>
    <definedName name="Revenue_by_month_take_2" localSheetId="14">#REF!</definedName>
    <definedName name="Revenue_by_month_take_2" localSheetId="26">#REF!</definedName>
    <definedName name="Revenue_by_month_take_2" localSheetId="12">#REF!</definedName>
    <definedName name="Revenue_by_month_take_2" localSheetId="27">#REF!</definedName>
    <definedName name="Revenue_by_month_take_2">#REF!</definedName>
    <definedName name="RevenueCheck" localSheetId="2">#REF!</definedName>
    <definedName name="RevenueCheck" localSheetId="3">#REF!</definedName>
    <definedName name="RevenueCheck" localSheetId="4">#REF!</definedName>
    <definedName name="RevenueCheck" localSheetId="5">#REF!</definedName>
    <definedName name="RevenueCheck" localSheetId="8">#REF!</definedName>
    <definedName name="RevenueCheck" localSheetId="7">#REF!</definedName>
    <definedName name="RevenueCheck" localSheetId="6">#REF!</definedName>
    <definedName name="RevenueCheck" localSheetId="1">#REF!</definedName>
    <definedName name="RevenueCheck" localSheetId="35">#REF!</definedName>
    <definedName name="RevenueCheck" localSheetId="11">#REF!</definedName>
    <definedName name="RevenueCheck" localSheetId="9">#REF!</definedName>
    <definedName name="RevenueCheck" localSheetId="15">#REF!</definedName>
    <definedName name="RevenueCheck" localSheetId="16">#REF!</definedName>
    <definedName name="RevenueCheck" localSheetId="14">#REF!</definedName>
    <definedName name="RevenueCheck" localSheetId="26">#REF!</definedName>
    <definedName name="RevenueCheck" localSheetId="12">#REF!</definedName>
    <definedName name="RevenueCheck" localSheetId="27">#REF!</definedName>
    <definedName name="RevenueCheck">#REF!</definedName>
    <definedName name="RevReqSettle" localSheetId="2">#REF!</definedName>
    <definedName name="RevReqSettle" localSheetId="3">#REF!</definedName>
    <definedName name="RevReqSettle" localSheetId="4">#REF!</definedName>
    <definedName name="RevReqSettle" localSheetId="5">#REF!</definedName>
    <definedName name="RevReqSettle" localSheetId="8">#REF!</definedName>
    <definedName name="RevReqSettle" localSheetId="7">#REF!</definedName>
    <definedName name="RevReqSettle" localSheetId="6">#REF!</definedName>
    <definedName name="RevReqSettle" localSheetId="1">#REF!</definedName>
    <definedName name="RevReqSettle" localSheetId="35">#REF!</definedName>
    <definedName name="RevReqSettle" localSheetId="11">#REF!</definedName>
    <definedName name="RevReqSettle" localSheetId="9">#REF!</definedName>
    <definedName name="RevReqSettle" localSheetId="15">#REF!</definedName>
    <definedName name="RevReqSettle" localSheetId="16">#REF!</definedName>
    <definedName name="RevReqSettle" localSheetId="14">#REF!</definedName>
    <definedName name="RevReqSettle" localSheetId="26">#REF!</definedName>
    <definedName name="RevReqSettle" localSheetId="12">#REF!</definedName>
    <definedName name="RevReqSettle">#REF!</definedName>
    <definedName name="REVVSTRS" localSheetId="2">#REF!</definedName>
    <definedName name="REVVSTRS" localSheetId="3">#REF!</definedName>
    <definedName name="REVVSTRS" localSheetId="4">#REF!</definedName>
    <definedName name="REVVSTRS" localSheetId="5">#REF!</definedName>
    <definedName name="REVVSTRS" localSheetId="8">#REF!</definedName>
    <definedName name="REVVSTRS" localSheetId="7">#REF!</definedName>
    <definedName name="REVVSTRS" localSheetId="6">#REF!</definedName>
    <definedName name="REVVSTRS" localSheetId="1">#REF!</definedName>
    <definedName name="REVVSTRS" localSheetId="35">#REF!</definedName>
    <definedName name="REVVSTRS" localSheetId="11">#REF!</definedName>
    <definedName name="REVVSTRS" localSheetId="9">#REF!</definedName>
    <definedName name="REVVSTRS" localSheetId="15">#REF!</definedName>
    <definedName name="REVVSTRS" localSheetId="16">#REF!</definedName>
    <definedName name="REVVSTRS" localSheetId="14">#REF!</definedName>
    <definedName name="REVVSTRS" localSheetId="26">#REF!</definedName>
    <definedName name="REVVSTRS" localSheetId="12">#REF!</definedName>
    <definedName name="REVVSTRS">#REF!</definedName>
    <definedName name="RISFORM" localSheetId="2">#REF!</definedName>
    <definedName name="RISFORM" localSheetId="3">#REF!</definedName>
    <definedName name="RISFORM" localSheetId="4">#REF!</definedName>
    <definedName name="RISFORM" localSheetId="5">#REF!</definedName>
    <definedName name="RISFORM" localSheetId="8">#REF!</definedName>
    <definedName name="RISFORM" localSheetId="7">#REF!</definedName>
    <definedName name="RISFORM" localSheetId="6">#REF!</definedName>
    <definedName name="RISFORM" localSheetId="1">#REF!</definedName>
    <definedName name="RISFORM" localSheetId="35">#REF!</definedName>
    <definedName name="RISFORM" localSheetId="11">#REF!</definedName>
    <definedName name="RISFORM" localSheetId="9">#REF!</definedName>
    <definedName name="RISFORM" localSheetId="15">#REF!</definedName>
    <definedName name="RISFORM" localSheetId="16">#REF!</definedName>
    <definedName name="RISFORM" localSheetId="14">#REF!</definedName>
    <definedName name="RISFORM" localSheetId="26">#REF!</definedName>
    <definedName name="RISFORM" localSheetId="12">#REF!</definedName>
    <definedName name="RISFORM" localSheetId="27">#REF!</definedName>
    <definedName name="RISFORM">#REF!</definedName>
    <definedName name="SCH33CUSTS" localSheetId="2">#REF!</definedName>
    <definedName name="SCH33CUSTS" localSheetId="3">#REF!</definedName>
    <definedName name="SCH33CUSTS" localSheetId="4">#REF!</definedName>
    <definedName name="SCH33CUSTS" localSheetId="5">#REF!</definedName>
    <definedName name="SCH33CUSTS" localSheetId="8">#REF!</definedName>
    <definedName name="SCH33CUSTS" localSheetId="7">#REF!</definedName>
    <definedName name="SCH33CUSTS" localSheetId="6">#REF!</definedName>
    <definedName name="SCH33CUSTS" localSheetId="1">#REF!</definedName>
    <definedName name="SCH33CUSTS" localSheetId="35">#REF!</definedName>
    <definedName name="SCH33CUSTS" localSheetId="11">#REF!</definedName>
    <definedName name="SCH33CUSTS" localSheetId="9">#REF!</definedName>
    <definedName name="SCH33CUSTS" localSheetId="15">#REF!</definedName>
    <definedName name="SCH33CUSTS" localSheetId="16">#REF!</definedName>
    <definedName name="SCH33CUSTS" localSheetId="14">#REF!</definedName>
    <definedName name="SCH33CUSTS" localSheetId="26">#REF!</definedName>
    <definedName name="SCH33CUSTS" localSheetId="12">#REF!</definedName>
    <definedName name="SCH33CUSTS">#REF!</definedName>
    <definedName name="SCH48ADJ" localSheetId="2">#REF!</definedName>
    <definedName name="SCH48ADJ" localSheetId="3">#REF!</definedName>
    <definedName name="SCH48ADJ" localSheetId="4">#REF!</definedName>
    <definedName name="SCH48ADJ" localSheetId="5">#REF!</definedName>
    <definedName name="SCH48ADJ" localSheetId="8">#REF!</definedName>
    <definedName name="SCH48ADJ" localSheetId="7">#REF!</definedName>
    <definedName name="SCH48ADJ" localSheetId="6">#REF!</definedName>
    <definedName name="SCH48ADJ" localSheetId="1">#REF!</definedName>
    <definedName name="SCH48ADJ" localSheetId="35">#REF!</definedName>
    <definedName name="SCH48ADJ" localSheetId="11">#REF!</definedName>
    <definedName name="SCH48ADJ" localSheetId="9">#REF!</definedName>
    <definedName name="SCH48ADJ" localSheetId="15">#REF!</definedName>
    <definedName name="SCH48ADJ" localSheetId="16">#REF!</definedName>
    <definedName name="SCH48ADJ" localSheetId="14">#REF!</definedName>
    <definedName name="SCH48ADJ" localSheetId="26">#REF!</definedName>
    <definedName name="SCH48ADJ" localSheetId="12">#REF!</definedName>
    <definedName name="SCH48ADJ">#REF!</definedName>
    <definedName name="SCH98NOR" localSheetId="2">#REF!</definedName>
    <definedName name="SCH98NOR" localSheetId="3">#REF!</definedName>
    <definedName name="SCH98NOR" localSheetId="4">#REF!</definedName>
    <definedName name="SCH98NOR" localSheetId="5">#REF!</definedName>
    <definedName name="SCH98NOR" localSheetId="8">#REF!</definedName>
    <definedName name="SCH98NOR" localSheetId="7">#REF!</definedName>
    <definedName name="SCH98NOR" localSheetId="6">#REF!</definedName>
    <definedName name="SCH98NOR" localSheetId="1">#REF!</definedName>
    <definedName name="SCH98NOR" localSheetId="35">#REF!</definedName>
    <definedName name="SCH98NOR" localSheetId="11">#REF!</definedName>
    <definedName name="SCH98NOR" localSheetId="9">#REF!</definedName>
    <definedName name="SCH98NOR" localSheetId="15">#REF!</definedName>
    <definedName name="SCH98NOR" localSheetId="16">#REF!</definedName>
    <definedName name="SCH98NOR" localSheetId="14">#REF!</definedName>
    <definedName name="SCH98NOR" localSheetId="26">#REF!</definedName>
    <definedName name="SCH98NOR" localSheetId="12">#REF!</definedName>
    <definedName name="SCH98NOR">#REF!</definedName>
    <definedName name="SCHED47" localSheetId="2">#REF!</definedName>
    <definedName name="SCHED47" localSheetId="3">#REF!</definedName>
    <definedName name="SCHED47" localSheetId="4">#REF!</definedName>
    <definedName name="SCHED47" localSheetId="5">#REF!</definedName>
    <definedName name="SCHED47" localSheetId="8">#REF!</definedName>
    <definedName name="SCHED47" localSheetId="7">#REF!</definedName>
    <definedName name="SCHED47" localSheetId="6">#REF!</definedName>
    <definedName name="SCHED47" localSheetId="1">#REF!</definedName>
    <definedName name="SCHED47" localSheetId="35">#REF!</definedName>
    <definedName name="SCHED47" localSheetId="11">#REF!</definedName>
    <definedName name="SCHED47" localSheetId="9">#REF!</definedName>
    <definedName name="SCHED47" localSheetId="15">#REF!</definedName>
    <definedName name="SCHED47" localSheetId="16">#REF!</definedName>
    <definedName name="SCHED47" localSheetId="14">#REF!</definedName>
    <definedName name="SCHED47" localSheetId="26">#REF!</definedName>
    <definedName name="SCHED47" localSheetId="12">#REF!</definedName>
    <definedName name="SCHED47">#REF!</definedName>
    <definedName name="Schedule" localSheetId="15">[17]Inputs!$N$14</definedName>
    <definedName name="Schedule" localSheetId="16">[17]Inputs!$N$14</definedName>
    <definedName name="Schedule" localSheetId="32">[18]Inputs!$N$14</definedName>
    <definedName name="Schedule">[17]Inputs!$N$14</definedName>
    <definedName name="se" localSheetId="2">#REF!</definedName>
    <definedName name="se" localSheetId="3">#REF!</definedName>
    <definedName name="se" localSheetId="4">#REF!</definedName>
    <definedName name="se" localSheetId="5">#REF!</definedName>
    <definedName name="se" localSheetId="8">#REF!</definedName>
    <definedName name="se" localSheetId="7">#REF!</definedName>
    <definedName name="se" localSheetId="6">#REF!</definedName>
    <definedName name="se" localSheetId="1">#REF!</definedName>
    <definedName name="se" localSheetId="35">#REF!</definedName>
    <definedName name="se" localSheetId="11">#REF!</definedName>
    <definedName name="se" localSheetId="9">#REF!</definedName>
    <definedName name="se" localSheetId="15">#REF!</definedName>
    <definedName name="se" localSheetId="16">#REF!</definedName>
    <definedName name="se" localSheetId="14">#REF!</definedName>
    <definedName name="se" localSheetId="26">#REF!</definedName>
    <definedName name="se" localSheetId="12">#REF!</definedName>
    <definedName name="se" localSheetId="27">#REF!</definedName>
    <definedName name="se">#REF!</definedName>
    <definedName name="SECOND" localSheetId="2">[1]Jan!#REF!</definedName>
    <definedName name="SECOND" localSheetId="3">[1]Jan!#REF!</definedName>
    <definedName name="SECOND" localSheetId="4">[1]Jan!#REF!</definedName>
    <definedName name="SECOND" localSheetId="5">[1]Jan!#REF!</definedName>
    <definedName name="SECOND" localSheetId="8">[1]Jan!#REF!</definedName>
    <definedName name="SECOND" localSheetId="7">[1]Jan!#REF!</definedName>
    <definedName name="SECOND" localSheetId="6">[1]Jan!#REF!</definedName>
    <definedName name="SECOND" localSheetId="1">[1]Jan!#REF!</definedName>
    <definedName name="SECOND" localSheetId="35">[1]Jan!#REF!</definedName>
    <definedName name="SECOND" localSheetId="11">[1]Jan!#REF!</definedName>
    <definedName name="SECOND" localSheetId="9">[1]Jan!#REF!</definedName>
    <definedName name="SECOND" localSheetId="15">[1]Jan!#REF!</definedName>
    <definedName name="SECOND" localSheetId="16">[1]Jan!#REF!</definedName>
    <definedName name="SECOND" localSheetId="14">[1]Jan!#REF!</definedName>
    <definedName name="SECOND" localSheetId="26">[1]Jan!#REF!</definedName>
    <definedName name="SECOND" localSheetId="12">[1]Jan!#REF!</definedName>
    <definedName name="SECOND" localSheetId="32">[1]Jan!#REF!</definedName>
    <definedName name="SECOND">[1]Jan!#REF!</definedName>
    <definedName name="SEP" localSheetId="25">#REF!</definedName>
    <definedName name="SEP" localSheetId="24">#REF!</definedName>
    <definedName name="SEP" localSheetId="2">[21]Backup!#REF!</definedName>
    <definedName name="SEP" localSheetId="3">[21]Backup!#REF!</definedName>
    <definedName name="SEP" localSheetId="4">[21]Backup!#REF!</definedName>
    <definedName name="SEP" localSheetId="5">[21]Backup!#REF!</definedName>
    <definedName name="SEP" localSheetId="8">[21]Backup!#REF!</definedName>
    <definedName name="SEP" localSheetId="7">[21]Backup!#REF!</definedName>
    <definedName name="SEP" localSheetId="6">[21]Backup!#REF!</definedName>
    <definedName name="SEP" localSheetId="1">#REF!</definedName>
    <definedName name="SEP" localSheetId="37">#REF!</definedName>
    <definedName name="SEP" localSheetId="38">#REF!</definedName>
    <definedName name="SEP" localSheetId="35">[21]Backup!#REF!</definedName>
    <definedName name="SEP" localSheetId="11">#REF!</definedName>
    <definedName name="SEP" localSheetId="9">[21]Backup!#REF!</definedName>
    <definedName name="SEP" localSheetId="15">[21]Backup!#REF!</definedName>
    <definedName name="SEP" localSheetId="16">[21]Backup!#REF!</definedName>
    <definedName name="SEP" localSheetId="31">#REF!</definedName>
    <definedName name="SEP" localSheetId="30">#REF!</definedName>
    <definedName name="SEP" localSheetId="13">#REF!</definedName>
    <definedName name="SEP" localSheetId="14">#REF!</definedName>
    <definedName name="SEP" localSheetId="26">#REF!</definedName>
    <definedName name="SEP" localSheetId="12">[21]Backup!#REF!</definedName>
    <definedName name="SEP" localSheetId="32">[21]Backup!#REF!</definedName>
    <definedName name="SEP" localSheetId="27">[21]Backup!#REF!</definedName>
    <definedName name="SEP">[21]Backup!#REF!</definedName>
    <definedName name="SEPT" localSheetId="2">#REF!</definedName>
    <definedName name="SEPT" localSheetId="3">#REF!</definedName>
    <definedName name="SEPT" localSheetId="4">#REF!</definedName>
    <definedName name="SEPT" localSheetId="5">#REF!</definedName>
    <definedName name="SEPT" localSheetId="8">#REF!</definedName>
    <definedName name="SEPT" localSheetId="7">#REF!</definedName>
    <definedName name="SEPT" localSheetId="6">#REF!</definedName>
    <definedName name="SEPT" localSheetId="1">#REF!</definedName>
    <definedName name="SEPT" localSheetId="35">#REF!</definedName>
    <definedName name="SEPT" localSheetId="11">#REF!</definedName>
    <definedName name="SEPT" localSheetId="9">#REF!</definedName>
    <definedName name="SEPT" localSheetId="15">#REF!</definedName>
    <definedName name="SEPT" localSheetId="16">#REF!</definedName>
    <definedName name="SEPT" localSheetId="14">#REF!</definedName>
    <definedName name="SEPT" localSheetId="26">#REF!</definedName>
    <definedName name="SEPT" localSheetId="12">#REF!</definedName>
    <definedName name="SEPT" localSheetId="27">#REF!</definedName>
    <definedName name="SEPT">#REF!</definedName>
    <definedName name="SERVICES_3" localSheetId="2">#REF!</definedName>
    <definedName name="SERVICES_3" localSheetId="3">#REF!</definedName>
    <definedName name="SERVICES_3" localSheetId="4">#REF!</definedName>
    <definedName name="SERVICES_3" localSheetId="5">#REF!</definedName>
    <definedName name="SERVICES_3" localSheetId="8">#REF!</definedName>
    <definedName name="SERVICES_3" localSheetId="7">#REF!</definedName>
    <definedName name="SERVICES_3" localSheetId="6">#REF!</definedName>
    <definedName name="SERVICES_3" localSheetId="1">#REF!</definedName>
    <definedName name="SERVICES_3" localSheetId="35">#REF!</definedName>
    <definedName name="SERVICES_3" localSheetId="11">#REF!</definedName>
    <definedName name="SERVICES_3" localSheetId="9">#REF!</definedName>
    <definedName name="SERVICES_3" localSheetId="15">#REF!</definedName>
    <definedName name="SERVICES_3" localSheetId="16">#REF!</definedName>
    <definedName name="SERVICES_3" localSheetId="14">#REF!</definedName>
    <definedName name="SERVICES_3" localSheetId="26">#REF!</definedName>
    <definedName name="SERVICES_3" localSheetId="12">#REF!</definedName>
    <definedName name="SERVICES_3" localSheetId="27">#REF!</definedName>
    <definedName name="SERVICES_3">#REF!</definedName>
    <definedName name="sg" localSheetId="2">#REF!</definedName>
    <definedName name="sg" localSheetId="3">#REF!</definedName>
    <definedName name="sg" localSheetId="4">#REF!</definedName>
    <definedName name="sg" localSheetId="5">#REF!</definedName>
    <definedName name="sg" localSheetId="8">#REF!</definedName>
    <definedName name="sg" localSheetId="7">#REF!</definedName>
    <definedName name="sg" localSheetId="6">#REF!</definedName>
    <definedName name="sg" localSheetId="1">#REF!</definedName>
    <definedName name="sg" localSheetId="35">#REF!</definedName>
    <definedName name="sg" localSheetId="11">#REF!</definedName>
    <definedName name="sg" localSheetId="9">#REF!</definedName>
    <definedName name="sg" localSheetId="15">#REF!</definedName>
    <definedName name="sg" localSheetId="16">#REF!</definedName>
    <definedName name="sg" localSheetId="14">#REF!</definedName>
    <definedName name="sg" localSheetId="26">#REF!</definedName>
    <definedName name="sg" localSheetId="12">#REF!</definedName>
    <definedName name="sg" localSheetId="27">#REF!</definedName>
    <definedName name="sg">#REF!</definedName>
    <definedName name="START" localSheetId="2">[1]Jan!#REF!</definedName>
    <definedName name="START" localSheetId="3">[1]Jan!#REF!</definedName>
    <definedName name="START" localSheetId="4">[1]Jan!#REF!</definedName>
    <definedName name="START" localSheetId="5">[1]Jan!#REF!</definedName>
    <definedName name="START" localSheetId="8">[1]Jan!#REF!</definedName>
    <definedName name="START" localSheetId="7">[1]Jan!#REF!</definedName>
    <definedName name="START" localSheetId="6">[1]Jan!#REF!</definedName>
    <definedName name="START" localSheetId="1">[1]Jan!#REF!</definedName>
    <definedName name="START" localSheetId="35">[1]Jan!#REF!</definedName>
    <definedName name="START" localSheetId="11">[1]Jan!#REF!</definedName>
    <definedName name="START" localSheetId="9">[1]Jan!#REF!</definedName>
    <definedName name="START" localSheetId="15">[1]Jan!#REF!</definedName>
    <definedName name="START" localSheetId="16">[1]Jan!#REF!</definedName>
    <definedName name="START" localSheetId="14">[1]Jan!#REF!</definedName>
    <definedName name="START" localSheetId="26">[1]Jan!#REF!</definedName>
    <definedName name="START" localSheetId="12">[1]Jan!#REF!</definedName>
    <definedName name="START" localSheetId="32">[1]Jan!#REF!</definedName>
    <definedName name="START">[1]Jan!#REF!</definedName>
    <definedName name="SUM_TAB1" localSheetId="2">#REF!</definedName>
    <definedName name="SUM_TAB1" localSheetId="3">#REF!</definedName>
    <definedName name="SUM_TAB1" localSheetId="4">#REF!</definedName>
    <definedName name="SUM_TAB1" localSheetId="5">#REF!</definedName>
    <definedName name="SUM_TAB1" localSheetId="8">#REF!</definedName>
    <definedName name="SUM_TAB1" localSheetId="7">#REF!</definedName>
    <definedName name="SUM_TAB1" localSheetId="6">#REF!</definedName>
    <definedName name="SUM_TAB1" localSheetId="1">#REF!</definedName>
    <definedName name="SUM_TAB1" localSheetId="35">#REF!</definedName>
    <definedName name="SUM_TAB1" localSheetId="11">#REF!</definedName>
    <definedName name="SUM_TAB1" localSheetId="9">#REF!</definedName>
    <definedName name="SUM_TAB1" localSheetId="15">#REF!</definedName>
    <definedName name="SUM_TAB1" localSheetId="16">#REF!</definedName>
    <definedName name="SUM_TAB1" localSheetId="14">#REF!</definedName>
    <definedName name="SUM_TAB1" localSheetId="26">#REF!</definedName>
    <definedName name="SUM_TAB1" localSheetId="12">#REF!</definedName>
    <definedName name="SUM_TAB1">#REF!</definedName>
    <definedName name="SUM_TAB2" localSheetId="2">#REF!</definedName>
    <definedName name="SUM_TAB2" localSheetId="3">#REF!</definedName>
    <definedName name="SUM_TAB2" localSheetId="4">#REF!</definedName>
    <definedName name="SUM_TAB2" localSheetId="5">#REF!</definedName>
    <definedName name="SUM_TAB2" localSheetId="8">#REF!</definedName>
    <definedName name="SUM_TAB2" localSheetId="7">#REF!</definedName>
    <definedName name="SUM_TAB2" localSheetId="6">#REF!</definedName>
    <definedName name="SUM_TAB2" localSheetId="1">#REF!</definedName>
    <definedName name="SUM_TAB2" localSheetId="35">#REF!</definedName>
    <definedName name="SUM_TAB2" localSheetId="11">#REF!</definedName>
    <definedName name="SUM_TAB2" localSheetId="9">#REF!</definedName>
    <definedName name="SUM_TAB2" localSheetId="15">#REF!</definedName>
    <definedName name="SUM_TAB2" localSheetId="16">#REF!</definedName>
    <definedName name="SUM_TAB2" localSheetId="14">#REF!</definedName>
    <definedName name="SUM_TAB2" localSheetId="26">#REF!</definedName>
    <definedName name="SUM_TAB2" localSheetId="12">#REF!</definedName>
    <definedName name="SUM_TAB2">#REF!</definedName>
    <definedName name="SUM_TAB3" localSheetId="2">#REF!</definedName>
    <definedName name="SUM_TAB3" localSheetId="3">#REF!</definedName>
    <definedName name="SUM_TAB3" localSheetId="4">#REF!</definedName>
    <definedName name="SUM_TAB3" localSheetId="5">#REF!</definedName>
    <definedName name="SUM_TAB3" localSheetId="8">#REF!</definedName>
    <definedName name="SUM_TAB3" localSheetId="7">#REF!</definedName>
    <definedName name="SUM_TAB3" localSheetId="6">#REF!</definedName>
    <definedName name="SUM_TAB3" localSheetId="1">#REF!</definedName>
    <definedName name="SUM_TAB3" localSheetId="35">#REF!</definedName>
    <definedName name="SUM_TAB3" localSheetId="11">#REF!</definedName>
    <definedName name="SUM_TAB3" localSheetId="9">#REF!</definedName>
    <definedName name="SUM_TAB3" localSheetId="15">#REF!</definedName>
    <definedName name="SUM_TAB3" localSheetId="16">#REF!</definedName>
    <definedName name="SUM_TAB3" localSheetId="14">#REF!</definedName>
    <definedName name="SUM_TAB3" localSheetId="26">#REF!</definedName>
    <definedName name="SUM_TAB3" localSheetId="12">#REF!</definedName>
    <definedName name="SUM_TAB3">#REF!</definedName>
    <definedName name="TABLE_1" localSheetId="25">#REF!</definedName>
    <definedName name="TABLE_1" localSheetId="24">#REF!</definedName>
    <definedName name="TABLE_1" localSheetId="2">#REF!</definedName>
    <definedName name="TABLE_1" localSheetId="3">#REF!</definedName>
    <definedName name="TABLE_1" localSheetId="4">#REF!</definedName>
    <definedName name="TABLE_1" localSheetId="5">#REF!</definedName>
    <definedName name="TABLE_1" localSheetId="8">#REF!</definedName>
    <definedName name="TABLE_1" localSheetId="7">#REF!</definedName>
    <definedName name="TABLE_1" localSheetId="6">#REF!</definedName>
    <definedName name="TABLE_1" localSheetId="1">#REF!</definedName>
    <definedName name="TABLE_1" localSheetId="37">#REF!</definedName>
    <definedName name="TABLE_1" localSheetId="38">#REF!</definedName>
    <definedName name="TABLE_1" localSheetId="35">#REF!</definedName>
    <definedName name="TABLE_1" localSheetId="11">#REF!</definedName>
    <definedName name="TABLE_1" localSheetId="9">#REF!</definedName>
    <definedName name="TABLE_1" localSheetId="15">#REF!</definedName>
    <definedName name="TABLE_1" localSheetId="16">#REF!</definedName>
    <definedName name="TABLE_1" localSheetId="31">#REF!</definedName>
    <definedName name="TABLE_1" localSheetId="30">#REF!</definedName>
    <definedName name="TABLE_1" localSheetId="13">#REF!</definedName>
    <definedName name="TABLE_1" localSheetId="14">#REF!</definedName>
    <definedName name="TABLE_1" localSheetId="26">#REF!</definedName>
    <definedName name="TABLE_1" localSheetId="12">#REF!</definedName>
    <definedName name="TABLE_1" localSheetId="27">#REF!</definedName>
    <definedName name="TABLE_1">#REF!</definedName>
    <definedName name="TABLE_2" localSheetId="25">#REF!</definedName>
    <definedName name="TABLE_2" localSheetId="24">#REF!</definedName>
    <definedName name="TABLE_2" localSheetId="2">#REF!</definedName>
    <definedName name="TABLE_2" localSheetId="3">#REF!</definedName>
    <definedName name="TABLE_2" localSheetId="4">#REF!</definedName>
    <definedName name="TABLE_2" localSheetId="5">#REF!</definedName>
    <definedName name="TABLE_2" localSheetId="8">#REF!</definedName>
    <definedName name="TABLE_2" localSheetId="7">#REF!</definedName>
    <definedName name="TABLE_2" localSheetId="6">#REF!</definedName>
    <definedName name="TABLE_2" localSheetId="1">#REF!</definedName>
    <definedName name="TABLE_2" localSheetId="37">#REF!</definedName>
    <definedName name="TABLE_2" localSheetId="38">#REF!</definedName>
    <definedName name="TABLE_2" localSheetId="35">#REF!</definedName>
    <definedName name="TABLE_2" localSheetId="11">#REF!</definedName>
    <definedName name="TABLE_2" localSheetId="9">#REF!</definedName>
    <definedName name="TABLE_2" localSheetId="15">#REF!</definedName>
    <definedName name="TABLE_2" localSheetId="16">#REF!</definedName>
    <definedName name="TABLE_2" localSheetId="31">#REF!</definedName>
    <definedName name="TABLE_2" localSheetId="30">#REF!</definedName>
    <definedName name="TABLE_2" localSheetId="13">#REF!</definedName>
    <definedName name="TABLE_2" localSheetId="14">#REF!</definedName>
    <definedName name="TABLE_2" localSheetId="26">#REF!</definedName>
    <definedName name="TABLE_2" localSheetId="12">#REF!</definedName>
    <definedName name="TABLE_2" localSheetId="27">#REF!</definedName>
    <definedName name="TABLE_2">#REF!</definedName>
    <definedName name="TABLE_3" localSheetId="2">#REF!</definedName>
    <definedName name="TABLE_3" localSheetId="3">#REF!</definedName>
    <definedName name="TABLE_3" localSheetId="4">#REF!</definedName>
    <definedName name="TABLE_3" localSheetId="5">#REF!</definedName>
    <definedName name="TABLE_3" localSheetId="8">#REF!</definedName>
    <definedName name="TABLE_3" localSheetId="7">#REF!</definedName>
    <definedName name="TABLE_3" localSheetId="6">#REF!</definedName>
    <definedName name="TABLE_3" localSheetId="1">#REF!</definedName>
    <definedName name="TABLE_3" localSheetId="35">#REF!</definedName>
    <definedName name="TABLE_3" localSheetId="11">#REF!</definedName>
    <definedName name="TABLE_3" localSheetId="9">#REF!</definedName>
    <definedName name="TABLE_3" localSheetId="15">#REF!</definedName>
    <definedName name="TABLE_3" localSheetId="16">#REF!</definedName>
    <definedName name="TABLE_3" localSheetId="14">#REF!</definedName>
    <definedName name="TABLE_3" localSheetId="26">#REF!</definedName>
    <definedName name="TABLE_3" localSheetId="12">#REF!</definedName>
    <definedName name="TABLE_3" localSheetId="27">#REF!</definedName>
    <definedName name="TABLE_3">#REF!</definedName>
    <definedName name="TABLE_4" localSheetId="25">#REF!</definedName>
    <definedName name="TABLE_4" localSheetId="24">#REF!</definedName>
    <definedName name="TABLE_4" localSheetId="2">#REF!</definedName>
    <definedName name="TABLE_4" localSheetId="3">#REF!</definedName>
    <definedName name="TABLE_4" localSheetId="4">#REF!</definedName>
    <definedName name="TABLE_4" localSheetId="5">#REF!</definedName>
    <definedName name="TABLE_4" localSheetId="8">#REF!</definedName>
    <definedName name="TABLE_4" localSheetId="7">#REF!</definedName>
    <definedName name="TABLE_4" localSheetId="6">#REF!</definedName>
    <definedName name="TABLE_4" localSheetId="1">#REF!</definedName>
    <definedName name="TABLE_4" localSheetId="37">#REF!</definedName>
    <definedName name="TABLE_4" localSheetId="38">#REF!</definedName>
    <definedName name="TABLE_4" localSheetId="35">#REF!</definedName>
    <definedName name="TABLE_4" localSheetId="11">#REF!</definedName>
    <definedName name="TABLE_4" localSheetId="9">#REF!</definedName>
    <definedName name="TABLE_4" localSheetId="15">#REF!</definedName>
    <definedName name="TABLE_4" localSheetId="16">#REF!</definedName>
    <definedName name="TABLE_4" localSheetId="31">#REF!</definedName>
    <definedName name="TABLE_4" localSheetId="30">#REF!</definedName>
    <definedName name="TABLE_4" localSheetId="13">#REF!</definedName>
    <definedName name="TABLE_4" localSheetId="14">#REF!</definedName>
    <definedName name="TABLE_4" localSheetId="26">#REF!</definedName>
    <definedName name="TABLE_4" localSheetId="12">#REF!</definedName>
    <definedName name="TABLE_4" localSheetId="27">#REF!</definedName>
    <definedName name="TABLE_4">#REF!</definedName>
    <definedName name="TABLE_4_A" localSheetId="2">#REF!</definedName>
    <definedName name="TABLE_4_A" localSheetId="3">#REF!</definedName>
    <definedName name="TABLE_4_A" localSheetId="4">#REF!</definedName>
    <definedName name="TABLE_4_A" localSheetId="5">#REF!</definedName>
    <definedName name="TABLE_4_A" localSheetId="8">#REF!</definedName>
    <definedName name="TABLE_4_A" localSheetId="7">#REF!</definedName>
    <definedName name="TABLE_4_A" localSheetId="6">#REF!</definedName>
    <definedName name="TABLE_4_A" localSheetId="1">#REF!</definedName>
    <definedName name="TABLE_4_A" localSheetId="35">#REF!</definedName>
    <definedName name="TABLE_4_A" localSheetId="11">#REF!</definedName>
    <definedName name="TABLE_4_A" localSheetId="9">#REF!</definedName>
    <definedName name="TABLE_4_A" localSheetId="15">#REF!</definedName>
    <definedName name="TABLE_4_A" localSheetId="16">#REF!</definedName>
    <definedName name="TABLE_4_A" localSheetId="14">#REF!</definedName>
    <definedName name="TABLE_4_A" localSheetId="26">#REF!</definedName>
    <definedName name="TABLE_4_A" localSheetId="12">#REF!</definedName>
    <definedName name="TABLE_4_A" localSheetId="27">#REF!</definedName>
    <definedName name="TABLE_4_A">#REF!</definedName>
    <definedName name="TABLE_5" localSheetId="2">#REF!</definedName>
    <definedName name="TABLE_5" localSheetId="3">#REF!</definedName>
    <definedName name="TABLE_5" localSheetId="4">#REF!</definedName>
    <definedName name="TABLE_5" localSheetId="5">#REF!</definedName>
    <definedName name="TABLE_5" localSheetId="8">#REF!</definedName>
    <definedName name="TABLE_5" localSheetId="7">#REF!</definedName>
    <definedName name="TABLE_5" localSheetId="6">#REF!</definedName>
    <definedName name="TABLE_5" localSheetId="1">#REF!</definedName>
    <definedName name="TABLE_5" localSheetId="35">#REF!</definedName>
    <definedName name="TABLE_5" localSheetId="11">#REF!</definedName>
    <definedName name="TABLE_5" localSheetId="9">#REF!</definedName>
    <definedName name="TABLE_5" localSheetId="15">#REF!</definedName>
    <definedName name="TABLE_5" localSheetId="16">#REF!</definedName>
    <definedName name="TABLE_5" localSheetId="14">#REF!</definedName>
    <definedName name="TABLE_5" localSheetId="26">#REF!</definedName>
    <definedName name="TABLE_5" localSheetId="12">#REF!</definedName>
    <definedName name="TABLE_5" localSheetId="27">#REF!</definedName>
    <definedName name="TABLE_5">#REF!</definedName>
    <definedName name="TABLE_6" localSheetId="2">#REF!</definedName>
    <definedName name="TABLE_6" localSheetId="3">#REF!</definedName>
    <definedName name="TABLE_6" localSheetId="4">#REF!</definedName>
    <definedName name="TABLE_6" localSheetId="5">#REF!</definedName>
    <definedName name="TABLE_6" localSheetId="8">#REF!</definedName>
    <definedName name="TABLE_6" localSheetId="7">#REF!</definedName>
    <definedName name="TABLE_6" localSheetId="6">#REF!</definedName>
    <definedName name="TABLE_6" localSheetId="1">#REF!</definedName>
    <definedName name="TABLE_6" localSheetId="35">#REF!</definedName>
    <definedName name="TABLE_6" localSheetId="11">#REF!</definedName>
    <definedName name="TABLE_6" localSheetId="9">#REF!</definedName>
    <definedName name="TABLE_6" localSheetId="15">#REF!</definedName>
    <definedName name="TABLE_6" localSheetId="16">#REF!</definedName>
    <definedName name="TABLE_6" localSheetId="14">#REF!</definedName>
    <definedName name="TABLE_6" localSheetId="26">#REF!</definedName>
    <definedName name="TABLE_6" localSheetId="12">#REF!</definedName>
    <definedName name="TABLE_6" localSheetId="27">#REF!</definedName>
    <definedName name="TABLE_6">#REF!</definedName>
    <definedName name="TABLE_7" localSheetId="2">#REF!</definedName>
    <definedName name="TABLE_7" localSheetId="3">#REF!</definedName>
    <definedName name="TABLE_7" localSheetId="4">#REF!</definedName>
    <definedName name="TABLE_7" localSheetId="5">#REF!</definedName>
    <definedName name="TABLE_7" localSheetId="8">#REF!</definedName>
    <definedName name="TABLE_7" localSheetId="7">#REF!</definedName>
    <definedName name="TABLE_7" localSheetId="6">#REF!</definedName>
    <definedName name="TABLE_7" localSheetId="1">#REF!</definedName>
    <definedName name="TABLE_7" localSheetId="35">#REF!</definedName>
    <definedName name="TABLE_7" localSheetId="11">#REF!</definedName>
    <definedName name="TABLE_7" localSheetId="9">#REF!</definedName>
    <definedName name="TABLE_7" localSheetId="15">#REF!</definedName>
    <definedName name="TABLE_7" localSheetId="16">#REF!</definedName>
    <definedName name="TABLE_7" localSheetId="14">#REF!</definedName>
    <definedName name="TABLE_7" localSheetId="26">#REF!</definedName>
    <definedName name="TABLE_7" localSheetId="12">#REF!</definedName>
    <definedName name="TABLE_7" localSheetId="27">#REF!</definedName>
    <definedName name="TABLE_7">#REF!</definedName>
    <definedName name="TABLE1" localSheetId="2">#REF!</definedName>
    <definedName name="TABLE1" localSheetId="3">#REF!</definedName>
    <definedName name="TABLE1" localSheetId="4">#REF!</definedName>
    <definedName name="TABLE1" localSheetId="5">#REF!</definedName>
    <definedName name="TABLE1" localSheetId="8">#REF!</definedName>
    <definedName name="TABLE1" localSheetId="7">#REF!</definedName>
    <definedName name="TABLE1" localSheetId="6">#REF!</definedName>
    <definedName name="TABLE1" localSheetId="1">#REF!</definedName>
    <definedName name="TABLE1" localSheetId="35">#REF!</definedName>
    <definedName name="TABLE1" localSheetId="11">#REF!</definedName>
    <definedName name="TABLE1" localSheetId="9">#REF!</definedName>
    <definedName name="TABLE1" localSheetId="15">#REF!</definedName>
    <definedName name="TABLE1" localSheetId="16">#REF!</definedName>
    <definedName name="TABLE1" localSheetId="14">#REF!</definedName>
    <definedName name="TABLE1" localSheetId="26">#REF!</definedName>
    <definedName name="TABLE1" localSheetId="12">#REF!</definedName>
    <definedName name="TABLE1">#REF!</definedName>
    <definedName name="TABLE2" localSheetId="2">#REF!</definedName>
    <definedName name="TABLE2" localSheetId="3">#REF!</definedName>
    <definedName name="TABLE2" localSheetId="4">#REF!</definedName>
    <definedName name="TABLE2" localSheetId="5">#REF!</definedName>
    <definedName name="TABLE2" localSheetId="8">#REF!</definedName>
    <definedName name="TABLE2" localSheetId="7">#REF!</definedName>
    <definedName name="TABLE2" localSheetId="6">#REF!</definedName>
    <definedName name="TABLE2" localSheetId="1">#REF!</definedName>
    <definedName name="TABLE2" localSheetId="35">#REF!</definedName>
    <definedName name="TABLE2" localSheetId="11">#REF!</definedName>
    <definedName name="TABLE2" localSheetId="9">#REF!</definedName>
    <definedName name="TABLE2" localSheetId="15">#REF!</definedName>
    <definedName name="TABLE2" localSheetId="16">#REF!</definedName>
    <definedName name="TABLE2" localSheetId="14">#REF!</definedName>
    <definedName name="TABLE2" localSheetId="26">#REF!</definedName>
    <definedName name="TABLE2" localSheetId="12">#REF!</definedName>
    <definedName name="TABLE2">#REF!</definedName>
    <definedName name="TABLEA" localSheetId="2">#REF!</definedName>
    <definedName name="TABLEA" localSheetId="3">#REF!</definedName>
    <definedName name="TABLEA" localSheetId="4">#REF!</definedName>
    <definedName name="TABLEA" localSheetId="5">#REF!</definedName>
    <definedName name="TABLEA" localSheetId="8">#REF!</definedName>
    <definedName name="TABLEA" localSheetId="7">#REF!</definedName>
    <definedName name="TABLEA" localSheetId="6">#REF!</definedName>
    <definedName name="TABLEA" localSheetId="1">#REF!</definedName>
    <definedName name="TABLEA" localSheetId="35">#REF!</definedName>
    <definedName name="TABLEA" localSheetId="0">'Est Effect of Base Rate Inc'!$B$3:$AB$47</definedName>
    <definedName name="TABLEA" localSheetId="11">#REF!</definedName>
    <definedName name="TABLEA" localSheetId="9">#REF!</definedName>
    <definedName name="TABLEA" localSheetId="15">#REF!</definedName>
    <definedName name="TABLEA" localSheetId="16">#REF!</definedName>
    <definedName name="TABLEA" localSheetId="14">#REF!</definedName>
    <definedName name="TABLEA" localSheetId="26">#REF!</definedName>
    <definedName name="TABLEA" localSheetId="12">'Rate Spread targets'!$B$3:$AI$48</definedName>
    <definedName name="TABLEA" localSheetId="32">#REF!</definedName>
    <definedName name="TABLEA">#REF!</definedName>
    <definedName name="TABLEONE" localSheetId="2">#REF!</definedName>
    <definedName name="TABLEONE" localSheetId="3">#REF!</definedName>
    <definedName name="TABLEONE" localSheetId="4">#REF!</definedName>
    <definedName name="TABLEONE" localSheetId="5">#REF!</definedName>
    <definedName name="TABLEONE" localSheetId="8">#REF!</definedName>
    <definedName name="TABLEONE" localSheetId="7">#REF!</definedName>
    <definedName name="TABLEONE" localSheetId="6">#REF!</definedName>
    <definedName name="TABLEONE" localSheetId="1">#REF!</definedName>
    <definedName name="TABLEONE" localSheetId="35">#REF!</definedName>
    <definedName name="TABLEONE" localSheetId="11">#REF!</definedName>
    <definedName name="TABLEONE" localSheetId="9">#REF!</definedName>
    <definedName name="TABLEONE" localSheetId="15">#REF!</definedName>
    <definedName name="TABLEONE" localSheetId="16">#REF!</definedName>
    <definedName name="TABLEONE" localSheetId="14">#REF!</definedName>
    <definedName name="TABLEONE" localSheetId="26">#REF!</definedName>
    <definedName name="TABLEONE" localSheetId="12">#REF!</definedName>
    <definedName name="TABLEONE" localSheetId="27">#REF!</definedName>
    <definedName name="TABLEONE">#REF!</definedName>
    <definedName name="TargetROR">[13]Inputs!$G$29</definedName>
    <definedName name="TDMOD" localSheetId="2">#REF!</definedName>
    <definedName name="TDMOD" localSheetId="3">#REF!</definedName>
    <definedName name="TDMOD" localSheetId="4">#REF!</definedName>
    <definedName name="TDMOD" localSheetId="5">#REF!</definedName>
    <definedName name="TDMOD" localSheetId="8">#REF!</definedName>
    <definedName name="TDMOD" localSheetId="7">#REF!</definedName>
    <definedName name="TDMOD" localSheetId="6">#REF!</definedName>
    <definedName name="TDMOD" localSheetId="1">#REF!</definedName>
    <definedName name="TDMOD" localSheetId="35">#REF!</definedName>
    <definedName name="TDMOD" localSheetId="11">#REF!</definedName>
    <definedName name="TDMOD" localSheetId="9">#REF!</definedName>
    <definedName name="TDMOD" localSheetId="15">#REF!</definedName>
    <definedName name="TDMOD" localSheetId="16">#REF!</definedName>
    <definedName name="TDMOD" localSheetId="14">#REF!</definedName>
    <definedName name="TDMOD" localSheetId="26">#REF!</definedName>
    <definedName name="TDMOD" localSheetId="12">#REF!</definedName>
    <definedName name="TDMOD" localSheetId="27">#REF!</definedName>
    <definedName name="TDMOD">#REF!</definedName>
    <definedName name="TDROLL" localSheetId="2">#REF!</definedName>
    <definedName name="TDROLL" localSheetId="3">#REF!</definedName>
    <definedName name="TDROLL" localSheetId="4">#REF!</definedName>
    <definedName name="TDROLL" localSheetId="5">#REF!</definedName>
    <definedName name="TDROLL" localSheetId="8">#REF!</definedName>
    <definedName name="TDROLL" localSheetId="7">#REF!</definedName>
    <definedName name="TDROLL" localSheetId="6">#REF!</definedName>
    <definedName name="TDROLL" localSheetId="1">#REF!</definedName>
    <definedName name="TDROLL" localSheetId="35">#REF!</definedName>
    <definedName name="TDROLL" localSheetId="11">#REF!</definedName>
    <definedName name="TDROLL" localSheetId="9">#REF!</definedName>
    <definedName name="TDROLL" localSheetId="15">#REF!</definedName>
    <definedName name="TDROLL" localSheetId="16">#REF!</definedName>
    <definedName name="TDROLL" localSheetId="14">#REF!</definedName>
    <definedName name="TDROLL" localSheetId="26">#REF!</definedName>
    <definedName name="TDROLL" localSheetId="12">#REF!</definedName>
    <definedName name="TDROLL" localSheetId="27">#REF!</definedName>
    <definedName name="TDROLL">#REF!</definedName>
    <definedName name="TEMPADJ" localSheetId="2">#REF!</definedName>
    <definedName name="TEMPADJ" localSheetId="3">#REF!</definedName>
    <definedName name="TEMPADJ" localSheetId="4">#REF!</definedName>
    <definedName name="TEMPADJ" localSheetId="5">#REF!</definedName>
    <definedName name="TEMPADJ" localSheetId="8">#REF!</definedName>
    <definedName name="TEMPADJ" localSheetId="7">#REF!</definedName>
    <definedName name="TEMPADJ" localSheetId="6">#REF!</definedName>
    <definedName name="TEMPADJ" localSheetId="1">#REF!</definedName>
    <definedName name="TEMPADJ" localSheetId="35">#REF!</definedName>
    <definedName name="TEMPADJ" localSheetId="11">#REF!</definedName>
    <definedName name="TEMPADJ" localSheetId="9">#REF!</definedName>
    <definedName name="TEMPADJ" localSheetId="15">#REF!</definedName>
    <definedName name="TEMPADJ" localSheetId="16">#REF!</definedName>
    <definedName name="TEMPADJ" localSheetId="14">#REF!</definedName>
    <definedName name="TEMPADJ" localSheetId="26">#REF!</definedName>
    <definedName name="TEMPADJ" localSheetId="12">#REF!</definedName>
    <definedName name="TEMPADJ">#REF!</definedName>
    <definedName name="Test" localSheetId="2">#REF!</definedName>
    <definedName name="Test" localSheetId="3">#REF!</definedName>
    <definedName name="Test" localSheetId="4">#REF!</definedName>
    <definedName name="Test" localSheetId="5">#REF!</definedName>
    <definedName name="Test" localSheetId="8">#REF!</definedName>
    <definedName name="Test" localSheetId="7">#REF!</definedName>
    <definedName name="Test" localSheetId="6">#REF!</definedName>
    <definedName name="Test" localSheetId="1">#REF!</definedName>
    <definedName name="Test" localSheetId="35">#REF!</definedName>
    <definedName name="Test" localSheetId="11">#REF!</definedName>
    <definedName name="Test" localSheetId="9">#REF!</definedName>
    <definedName name="Test" localSheetId="15">#REF!</definedName>
    <definedName name="Test" localSheetId="16">#REF!</definedName>
    <definedName name="Test" localSheetId="14">#REF!</definedName>
    <definedName name="Test" localSheetId="26">#REF!</definedName>
    <definedName name="Test" localSheetId="12">#REF!</definedName>
    <definedName name="Test">#REF!</definedName>
    <definedName name="Test1" localSheetId="2">#REF!</definedName>
    <definedName name="Test1" localSheetId="3">#REF!</definedName>
    <definedName name="Test1" localSheetId="4">#REF!</definedName>
    <definedName name="Test1" localSheetId="5">#REF!</definedName>
    <definedName name="Test1" localSheetId="8">#REF!</definedName>
    <definedName name="Test1" localSheetId="7">#REF!</definedName>
    <definedName name="Test1" localSheetId="6">#REF!</definedName>
    <definedName name="Test1" localSheetId="1">#REF!</definedName>
    <definedName name="Test1" localSheetId="35">#REF!</definedName>
    <definedName name="Test1" localSheetId="11">#REF!</definedName>
    <definedName name="Test1" localSheetId="9">#REF!</definedName>
    <definedName name="Test1" localSheetId="15">#REF!</definedName>
    <definedName name="Test1" localSheetId="16">#REF!</definedName>
    <definedName name="Test1" localSheetId="14">#REF!</definedName>
    <definedName name="Test1" localSheetId="26">#REF!</definedName>
    <definedName name="Test1" localSheetId="12">#REF!</definedName>
    <definedName name="Test1">#REF!</definedName>
    <definedName name="Test2" localSheetId="2">#REF!</definedName>
    <definedName name="Test2" localSheetId="3">#REF!</definedName>
    <definedName name="Test2" localSheetId="4">#REF!</definedName>
    <definedName name="Test2" localSheetId="5">#REF!</definedName>
    <definedName name="Test2" localSheetId="8">#REF!</definedName>
    <definedName name="Test2" localSheetId="7">#REF!</definedName>
    <definedName name="Test2" localSheetId="6">#REF!</definedName>
    <definedName name="Test2" localSheetId="1">#REF!</definedName>
    <definedName name="Test2" localSheetId="35">#REF!</definedName>
    <definedName name="Test2" localSheetId="11">#REF!</definedName>
    <definedName name="Test2" localSheetId="9">#REF!</definedName>
    <definedName name="Test2" localSheetId="15">#REF!</definedName>
    <definedName name="Test2" localSheetId="16">#REF!</definedName>
    <definedName name="Test2" localSheetId="14">#REF!</definedName>
    <definedName name="Test2" localSheetId="26">#REF!</definedName>
    <definedName name="Test2" localSheetId="12">#REF!</definedName>
    <definedName name="Test2">#REF!</definedName>
    <definedName name="Test3" localSheetId="2">#REF!</definedName>
    <definedName name="Test3" localSheetId="3">#REF!</definedName>
    <definedName name="Test3" localSheetId="4">#REF!</definedName>
    <definedName name="Test3" localSheetId="5">#REF!</definedName>
    <definedName name="Test3" localSheetId="8">#REF!</definedName>
    <definedName name="Test3" localSheetId="7">#REF!</definedName>
    <definedName name="Test3" localSheetId="6">#REF!</definedName>
    <definedName name="Test3" localSheetId="1">#REF!</definedName>
    <definedName name="Test3" localSheetId="35">#REF!</definedName>
    <definedName name="Test3" localSheetId="11">#REF!</definedName>
    <definedName name="Test3" localSheetId="9">#REF!</definedName>
    <definedName name="Test3" localSheetId="15">#REF!</definedName>
    <definedName name="Test3" localSheetId="16">#REF!</definedName>
    <definedName name="Test3" localSheetId="14">#REF!</definedName>
    <definedName name="Test3" localSheetId="26">#REF!</definedName>
    <definedName name="Test3" localSheetId="12">#REF!</definedName>
    <definedName name="Test3">#REF!</definedName>
    <definedName name="Test4" localSheetId="2">#REF!</definedName>
    <definedName name="Test4" localSheetId="3">#REF!</definedName>
    <definedName name="Test4" localSheetId="4">#REF!</definedName>
    <definedName name="Test4" localSheetId="5">#REF!</definedName>
    <definedName name="Test4" localSheetId="8">#REF!</definedName>
    <definedName name="Test4" localSheetId="7">#REF!</definedName>
    <definedName name="Test4" localSheetId="6">#REF!</definedName>
    <definedName name="Test4" localSheetId="1">#REF!</definedName>
    <definedName name="Test4" localSheetId="35">#REF!</definedName>
    <definedName name="Test4" localSheetId="11">#REF!</definedName>
    <definedName name="Test4" localSheetId="9">#REF!</definedName>
    <definedName name="Test4" localSheetId="15">#REF!</definedName>
    <definedName name="Test4" localSheetId="16">#REF!</definedName>
    <definedName name="Test4" localSheetId="14">#REF!</definedName>
    <definedName name="Test4" localSheetId="26">#REF!</definedName>
    <definedName name="Test4" localSheetId="12">#REF!</definedName>
    <definedName name="Test4">#REF!</definedName>
    <definedName name="Test5" localSheetId="2">#REF!</definedName>
    <definedName name="Test5" localSheetId="3">#REF!</definedName>
    <definedName name="Test5" localSheetId="4">#REF!</definedName>
    <definedName name="Test5" localSheetId="5">#REF!</definedName>
    <definedName name="Test5" localSheetId="8">#REF!</definedName>
    <definedName name="Test5" localSheetId="7">#REF!</definedName>
    <definedName name="Test5" localSheetId="6">#REF!</definedName>
    <definedName name="Test5" localSheetId="1">#REF!</definedName>
    <definedName name="Test5" localSheetId="35">#REF!</definedName>
    <definedName name="Test5" localSheetId="11">#REF!</definedName>
    <definedName name="Test5" localSheetId="9">#REF!</definedName>
    <definedName name="Test5" localSheetId="15">#REF!</definedName>
    <definedName name="Test5" localSheetId="16">#REF!</definedName>
    <definedName name="Test5" localSheetId="14">#REF!</definedName>
    <definedName name="Test5" localSheetId="26">#REF!</definedName>
    <definedName name="Test5" localSheetId="12">#REF!</definedName>
    <definedName name="Test5">#REF!</definedName>
    <definedName name="TestPeriod">[14]Inputs!$C$5</definedName>
    <definedName name="TotalRateBase">'[14]G+T+D+R+M'!$H$58</definedName>
    <definedName name="TRANSM_2" localSheetId="27">[35]Transm2!$A$1:$M$461:'[35]10 Yr FC'!$M$47</definedName>
    <definedName name="TRANSM_2">[35]Transm2!$A$1:$M$461:'[35]10 Yr FC'!$M$47</definedName>
    <definedName name="UAACT115S" localSheetId="2">'[17]Functional Study'!#REF!</definedName>
    <definedName name="UAACT115S" localSheetId="3">'[17]Functional Study'!#REF!</definedName>
    <definedName name="UAACT115S" localSheetId="4">'[17]Functional Study'!#REF!</definedName>
    <definedName name="UAACT115S" localSheetId="5">'[17]Functional Study'!#REF!</definedName>
    <definedName name="UAACT115S" localSheetId="8">'[17]Functional Study'!#REF!</definedName>
    <definedName name="UAACT115S" localSheetId="7">'[17]Functional Study'!#REF!</definedName>
    <definedName name="UAACT115S" localSheetId="6">'[17]Functional Study'!#REF!</definedName>
    <definedName name="UAACT115S" localSheetId="1">'[17]Functional Study'!#REF!</definedName>
    <definedName name="UAACT115S" localSheetId="35">'[17]Functional Study'!#REF!</definedName>
    <definedName name="UAACT115S" localSheetId="11">'[17]Functional Study'!#REF!</definedName>
    <definedName name="UAACT115S" localSheetId="9">'[17]Functional Study'!#REF!</definedName>
    <definedName name="UAACT115S" localSheetId="15">'[17]Functional Study'!#REF!</definedName>
    <definedName name="UAACT115S" localSheetId="16">'[17]Functional Study'!#REF!</definedName>
    <definedName name="UAACT115S" localSheetId="14">'[17]Functional Study'!#REF!</definedName>
    <definedName name="UAACT115S" localSheetId="26">'[17]Functional Study'!#REF!</definedName>
    <definedName name="UAACT115S" localSheetId="12">'[17]Functional Study'!#REF!</definedName>
    <definedName name="UAACT115S" localSheetId="32">'[18]Functional Study'!#REF!</definedName>
    <definedName name="UAACT115S">'[17]Functional Study'!#REF!</definedName>
    <definedName name="UAcct103">'[14]Func Study'!$AB$1613</definedName>
    <definedName name="UAcct105Dnpg">'[14]Func Study'!$AB$2010</definedName>
    <definedName name="UAcct105S">'[14]Func Study'!$AB$2005</definedName>
    <definedName name="UAcct105Seu">'[14]Func Study'!$AB$2009</definedName>
    <definedName name="UAcct105Snppo">'[14]Func Study'!$AB$2008</definedName>
    <definedName name="UAcct105Snpps">'[14]Func Study'!$AB$2006</definedName>
    <definedName name="UAcct105Snpt">'[14]Func Study'!$AB$2007</definedName>
    <definedName name="UAcct1081390">'[14]Func Study'!$AB$2451</definedName>
    <definedName name="UAcct1081390Rcl">'[14]Func Study'!$AB$2450</definedName>
    <definedName name="UAcct1081399">'[14]Func Study'!$AB$2459</definedName>
    <definedName name="UAcct1081399Rcl">'[14]Func Study'!$AB$2458</definedName>
    <definedName name="UAcct108360">'[14]Func Study'!$AB$2355</definedName>
    <definedName name="UAcct108361">'[14]Func Study'!$AB$2359</definedName>
    <definedName name="UAcct108362">'[14]Func Study'!$AB$2363</definedName>
    <definedName name="UAcct108364">'[14]Func Study'!$AB$2367</definedName>
    <definedName name="UAcct108365">'[14]Func Study'!$AB$2371</definedName>
    <definedName name="UAcct108366">'[14]Func Study'!$AB$2375</definedName>
    <definedName name="UAcct108367">'[14]Func Study'!$AB$2379</definedName>
    <definedName name="UAcct108368">'[14]Func Study'!$AB$2383</definedName>
    <definedName name="UAcct108369">'[14]Func Study'!$AB$2387</definedName>
    <definedName name="UAcct108370">'[14]Func Study'!$AB$2391</definedName>
    <definedName name="UAcct108371">'[14]Func Study'!$AB$2395</definedName>
    <definedName name="UAcct108372">'[14]Func Study'!$AB$2399</definedName>
    <definedName name="UAcct108373">'[14]Func Study'!$AB$2403</definedName>
    <definedName name="UAcct108D">'[14]Func Study'!$AB$2415</definedName>
    <definedName name="UAcct108D00">'[14]Func Study'!$AB$2407</definedName>
    <definedName name="UAcct108Ds">'[14]Func Study'!$AB$2411</definedName>
    <definedName name="UAcct108Ep">'[14]Func Study'!$AB$2327</definedName>
    <definedName name="UAcct108Gpcn">'[14]Func Study'!$AB$2429</definedName>
    <definedName name="UAcct108Gps">'[14]Func Study'!$AB$2425</definedName>
    <definedName name="UAcct108Gpse">'[14]Func Study'!$AB$2431</definedName>
    <definedName name="UAcct108Gpsg">'[14]Func Study'!$AB$2428</definedName>
    <definedName name="UAcct108Gpsgp">'[14]Func Study'!$AB$2426</definedName>
    <definedName name="UAcct108Gpsgu">'[14]Func Study'!$AB$2427</definedName>
    <definedName name="UAcct108Gpso">'[14]Func Study'!$AB$2430</definedName>
    <definedName name="UACCT108GPSSGCH">'[14]Func Study'!$AB$2434</definedName>
    <definedName name="UACCT108GPSSGCT">'[14]Func Study'!$AB$2433</definedName>
    <definedName name="UAcct108Hp">'[14]Func Study'!$AB$2313</definedName>
    <definedName name="UAcct108Mp">'[14]Func Study'!$AB$2444</definedName>
    <definedName name="UAcct108Np">'[14]Func Study'!$AB$2305</definedName>
    <definedName name="UAcct108Op">'[14]Func Study'!$AB$2322</definedName>
    <definedName name="UACCT108OPSSCCT">'[14]Func Study'!$AB$2321</definedName>
    <definedName name="UAcct108Sp">'[14]Func Study'!$AB$2299</definedName>
    <definedName name="UACCT108SPSSGCH">'[14]Func Study'!$AB$2298</definedName>
    <definedName name="UAcct108Tp">'[14]Func Study'!$AB$2346</definedName>
    <definedName name="UAcct111Clg">'[14]Func Study'!$AB$2487</definedName>
    <definedName name="UAcct111Clgsou">'[14]Func Study'!$AB$2485</definedName>
    <definedName name="UAcct111Clh">'[14]Func Study'!$AB$2493</definedName>
    <definedName name="UAcct111Cls">'[14]Func Study'!$AB$2478</definedName>
    <definedName name="UAcct111Ipcn">'[14]Func Study'!$AB$2502</definedName>
    <definedName name="UAcct111Ips">'[14]Func Study'!$AB$2497</definedName>
    <definedName name="UAcct111Ipse">'[14]Func Study'!$AB$2500</definedName>
    <definedName name="UAcct111Ipsg">'[14]Func Study'!$AB$2501</definedName>
    <definedName name="UAcct111Ipsgp">'[14]Func Study'!$AB$2498</definedName>
    <definedName name="UAcct111Ipsgu">'[14]Func Study'!$AB$2499</definedName>
    <definedName name="UAcct111Ipso">'[14]Func Study'!$AB$2506</definedName>
    <definedName name="UACCT111IPSSGCH">'[14]Func Study'!$AB$2505</definedName>
    <definedName name="UACCT111IPSSGCT">'[14]Func Study'!$AB$2504</definedName>
    <definedName name="UAcct114">'[14]Func Study'!$AB$2017</definedName>
    <definedName name="UACCT115" localSheetId="2">'[17]Functional Study'!#REF!</definedName>
    <definedName name="UACCT115" localSheetId="3">'[17]Functional Study'!#REF!</definedName>
    <definedName name="UACCT115" localSheetId="4">'[17]Functional Study'!#REF!</definedName>
    <definedName name="UACCT115" localSheetId="5">'[17]Functional Study'!#REF!</definedName>
    <definedName name="UACCT115" localSheetId="8">'[17]Functional Study'!#REF!</definedName>
    <definedName name="UACCT115" localSheetId="7">'[17]Functional Study'!#REF!</definedName>
    <definedName name="UACCT115" localSheetId="6">'[17]Functional Study'!#REF!</definedName>
    <definedName name="UACCT115" localSheetId="1">'[17]Functional Study'!#REF!</definedName>
    <definedName name="UACCT115" localSheetId="35">'[17]Functional Study'!#REF!</definedName>
    <definedName name="UACCT115" localSheetId="11">'[17]Functional Study'!#REF!</definedName>
    <definedName name="UACCT115" localSheetId="9">'[17]Functional Study'!#REF!</definedName>
    <definedName name="UACCT115" localSheetId="15">'[17]Functional Study'!#REF!</definedName>
    <definedName name="UACCT115" localSheetId="16">'[17]Functional Study'!#REF!</definedName>
    <definedName name="UACCT115" localSheetId="14">'[17]Functional Study'!#REF!</definedName>
    <definedName name="UACCT115" localSheetId="26">'[17]Functional Study'!#REF!</definedName>
    <definedName name="UACCT115" localSheetId="12">'[17]Functional Study'!#REF!</definedName>
    <definedName name="UACCT115" localSheetId="32">'[18]Functional Study'!#REF!</definedName>
    <definedName name="UACCT115">'[17]Functional Study'!#REF!</definedName>
    <definedName name="UACCT115DGP" localSheetId="2">'[17]Functional Study'!#REF!</definedName>
    <definedName name="UACCT115DGP" localSheetId="3">'[17]Functional Study'!#REF!</definedName>
    <definedName name="UACCT115DGP" localSheetId="4">'[17]Functional Study'!#REF!</definedName>
    <definedName name="UACCT115DGP" localSheetId="5">'[17]Functional Study'!#REF!</definedName>
    <definedName name="UACCT115DGP" localSheetId="8">'[17]Functional Study'!#REF!</definedName>
    <definedName name="UACCT115DGP" localSheetId="7">'[17]Functional Study'!#REF!</definedName>
    <definedName name="UACCT115DGP" localSheetId="6">'[17]Functional Study'!#REF!</definedName>
    <definedName name="UACCT115DGP" localSheetId="1">'[17]Functional Study'!#REF!</definedName>
    <definedName name="UACCT115DGP" localSheetId="35">'[17]Functional Study'!#REF!</definedName>
    <definedName name="UACCT115DGP" localSheetId="11">'[17]Functional Study'!#REF!</definedName>
    <definedName name="UACCT115DGP" localSheetId="9">'[17]Functional Study'!#REF!</definedName>
    <definedName name="UACCT115DGP" localSheetId="15">'[17]Functional Study'!#REF!</definedName>
    <definedName name="UACCT115DGP" localSheetId="16">'[17]Functional Study'!#REF!</definedName>
    <definedName name="UACCT115DGP" localSheetId="14">'[17]Functional Study'!#REF!</definedName>
    <definedName name="UACCT115DGP" localSheetId="26">'[17]Functional Study'!#REF!</definedName>
    <definedName name="UACCT115DGP" localSheetId="12">'[17]Functional Study'!#REF!</definedName>
    <definedName name="UACCT115DGP" localSheetId="32">'[18]Functional Study'!#REF!</definedName>
    <definedName name="UACCT115DGP">'[17]Functional Study'!#REF!</definedName>
    <definedName name="UACCT115SG" localSheetId="2">'[17]Functional Study'!#REF!</definedName>
    <definedName name="UACCT115SG" localSheetId="3">'[17]Functional Study'!#REF!</definedName>
    <definedName name="UACCT115SG" localSheetId="4">'[17]Functional Study'!#REF!</definedName>
    <definedName name="UACCT115SG" localSheetId="5">'[17]Functional Study'!#REF!</definedName>
    <definedName name="UACCT115SG" localSheetId="8">'[17]Functional Study'!#REF!</definedName>
    <definedName name="UACCT115SG" localSheetId="7">'[17]Functional Study'!#REF!</definedName>
    <definedName name="UACCT115SG" localSheetId="6">'[17]Functional Study'!#REF!</definedName>
    <definedName name="UACCT115SG" localSheetId="1">'[17]Functional Study'!#REF!</definedName>
    <definedName name="UACCT115SG" localSheetId="35">'[17]Functional Study'!#REF!</definedName>
    <definedName name="UACCT115SG" localSheetId="11">'[17]Functional Study'!#REF!</definedName>
    <definedName name="UACCT115SG" localSheetId="9">'[17]Functional Study'!#REF!</definedName>
    <definedName name="UACCT115SG" localSheetId="15">'[17]Functional Study'!#REF!</definedName>
    <definedName name="UACCT115SG" localSheetId="16">'[17]Functional Study'!#REF!</definedName>
    <definedName name="UACCT115SG" localSheetId="14">'[17]Functional Study'!#REF!</definedName>
    <definedName name="UACCT115SG" localSheetId="26">'[17]Functional Study'!#REF!</definedName>
    <definedName name="UACCT115SG" localSheetId="12">'[17]Functional Study'!#REF!</definedName>
    <definedName name="UACCT115SG" localSheetId="32">'[18]Functional Study'!#REF!</definedName>
    <definedName name="UACCT115SG">'[17]Functional Study'!#REF!</definedName>
    <definedName name="UAcct120">'[14]Func Study'!$AB$2021</definedName>
    <definedName name="UAcct124">'[14]Func Study'!$AB$2026</definedName>
    <definedName name="UAcct141">'[14]Func Study'!$AB$2173</definedName>
    <definedName name="UAcct151">'[14]Func Study'!$AB$2049</definedName>
    <definedName name="Uacct151SSECT">'[14]Func Study'!$AB$2047</definedName>
    <definedName name="UAcct154">'[14]Func Study'!$AB$2083</definedName>
    <definedName name="Uacct154SSGCT">'[14]Func Study'!$AB$2080</definedName>
    <definedName name="UAcct163">'[14]Func Study'!$AB$2093</definedName>
    <definedName name="UAcct165">'[14]Func Study'!$AB$2108</definedName>
    <definedName name="UAcct165Gps">'[14]Func Study'!$AB$2104</definedName>
    <definedName name="UAcct182">'[14]Func Study'!$AB$2033</definedName>
    <definedName name="UAcct18222">'[14]Func Study'!$AB$2163</definedName>
    <definedName name="UAcct182M">'[14]Func Study'!$AB$2118</definedName>
    <definedName name="UAcct182MSSGCH">'[14]Func Study'!$AB$2113</definedName>
    <definedName name="UAcct186">'[14]Func Study'!$AB$2041</definedName>
    <definedName name="UAcct1869">'[14]Func Study'!$AB$2168</definedName>
    <definedName name="UAcct186M">'[14]Func Study'!$AB$2129</definedName>
    <definedName name="UAcct190">'[14]Func Study'!$AB$2243</definedName>
    <definedName name="UAcct190Baddebt">'[14]Func Study'!$AB$2237</definedName>
    <definedName name="UAcct190Dop">'[14]Func Study'!$AB$2235</definedName>
    <definedName name="UAcct2281">'[14]Func Study'!$AB$2191</definedName>
    <definedName name="UAcct2282">'[14]Func Study'!$AB$2195</definedName>
    <definedName name="UAcct2283">'[14]Func Study'!$AB$2200</definedName>
    <definedName name="UACCT22841SG">'[14]Func Study'!$AB$2205</definedName>
    <definedName name="UAcct22842">'[14]Func Study'!$AB$2211</definedName>
    <definedName name="UAcct22842Trojd" localSheetId="2">'[13]Func Study'!#REF!</definedName>
    <definedName name="UAcct22842Trojd" localSheetId="3">'[13]Func Study'!#REF!</definedName>
    <definedName name="UAcct22842Trojd" localSheetId="4">'[13]Func Study'!#REF!</definedName>
    <definedName name="UAcct22842Trojd" localSheetId="5">'[13]Func Study'!#REF!</definedName>
    <definedName name="UAcct22842Trojd" localSheetId="8">'[13]Func Study'!#REF!</definedName>
    <definedName name="UAcct22842Trojd" localSheetId="7">'[13]Func Study'!#REF!</definedName>
    <definedName name="UAcct22842Trojd" localSheetId="6">'[13]Func Study'!#REF!</definedName>
    <definedName name="UAcct22842Trojd" localSheetId="1">'[13]Func Study'!#REF!</definedName>
    <definedName name="UAcct22842Trojd" localSheetId="35">'[13]Func Study'!#REF!</definedName>
    <definedName name="UAcct22842Trojd" localSheetId="11">'[13]Func Study'!#REF!</definedName>
    <definedName name="UAcct22842Trojd" localSheetId="9">'[13]Func Study'!#REF!</definedName>
    <definedName name="UAcct22842Trojd" localSheetId="15">'[13]Func Study'!#REF!</definedName>
    <definedName name="UAcct22842Trojd" localSheetId="16">'[13]Func Study'!#REF!</definedName>
    <definedName name="UAcct22842Trojd" localSheetId="14">'[13]Func Study'!#REF!</definedName>
    <definedName name="UAcct22842Trojd" localSheetId="26">'[13]Func Study'!#REF!</definedName>
    <definedName name="UAcct22842Trojd" localSheetId="12">'[13]Func Study'!#REF!</definedName>
    <definedName name="UAcct22842Trojd" localSheetId="32">'[13]Func Study'!#REF!</definedName>
    <definedName name="UAcct22842Trojd">'[13]Func Study'!#REF!</definedName>
    <definedName name="UAcct235">'[14]Func Study'!$AB$2187</definedName>
    <definedName name="UACCT235CN">'[14]Func Study'!$AB$2186</definedName>
    <definedName name="UAcct252">'[14]Func Study'!$AB$2219</definedName>
    <definedName name="UAcct25316">'[14]Func Study'!$AB$2057</definedName>
    <definedName name="UAcct25317">'[14]Func Study'!$AB$2061</definedName>
    <definedName name="UAcct25318">'[14]Func Study'!$AB$2098</definedName>
    <definedName name="UAcct25319">'[14]Func Study'!$AB$2065</definedName>
    <definedName name="uacct25398">'[14]Func Study'!$AB$2222</definedName>
    <definedName name="UAcct25399">'[14]Func Study'!$AB$2230</definedName>
    <definedName name="UACCT254SO">'[14]Func Study'!$AB$2202</definedName>
    <definedName name="UAcct255">'[14]Func Study'!$AB$2284</definedName>
    <definedName name="UAcct281">'[14]Func Study'!$AB$2249</definedName>
    <definedName name="UAcct282">'[14]Func Study'!$AB$2259</definedName>
    <definedName name="UAcct282Cn">'[14]Func Study'!$AB$2256</definedName>
    <definedName name="UAcct282So">'[14]Func Study'!$AB$2255</definedName>
    <definedName name="UAcct283">'[14]Func Study'!$AB$2271</definedName>
    <definedName name="UAcct283So">'[14]Func Study'!$AB$2265</definedName>
    <definedName name="UAcct301S">'[14]Func Study'!$AB$1964</definedName>
    <definedName name="UAcct301Sg">'[14]Func Study'!$AB$1966</definedName>
    <definedName name="UAcct301So">'[14]Func Study'!$AB$1965</definedName>
    <definedName name="UAcct302S">'[14]Func Study'!$AB$1969</definedName>
    <definedName name="UAcct302Sg">'[14]Func Study'!$AB$1970</definedName>
    <definedName name="UAcct302Sgp">'[14]Func Study'!$AB$1971</definedName>
    <definedName name="UAcct302Sgu">'[14]Func Study'!$AB$1972</definedName>
    <definedName name="UAcct303Cn">'[14]Func Study'!$AB$1980</definedName>
    <definedName name="UAcct303S">'[14]Func Study'!$AB$1976</definedName>
    <definedName name="UAcct303Se">'[14]Func Study'!$AB$1979</definedName>
    <definedName name="UAcct303Sg">'[14]Func Study'!$AB$1977</definedName>
    <definedName name="UAcct303Sgu">'[14]Func Study'!$AB$1981</definedName>
    <definedName name="UAcct303So">'[14]Func Study'!$AB$1978</definedName>
    <definedName name="UACCT303SSGCH">'[14]Func Study'!$AB$1983</definedName>
    <definedName name="UAcct310">'[14]Func Study'!$AB$1414</definedName>
    <definedName name="UAcct310JBG">'[14]Func Study'!$AB$1413</definedName>
    <definedName name="UAcct311">'[14]Func Study'!$AB$1421</definedName>
    <definedName name="UAcct311JBG">'[14]Func Study'!$AB$1420</definedName>
    <definedName name="UAcct312">'[14]Func Study'!$AB$1428</definedName>
    <definedName name="UAcct312JBG">'[14]Func Study'!$AB$1427</definedName>
    <definedName name="UAcct314">'[14]Func Study'!$AB$1435</definedName>
    <definedName name="UAcct314JBG">'[14]Func Study'!$AB$1434</definedName>
    <definedName name="UAcct315">'[14]Func Study'!$AB$1442</definedName>
    <definedName name="UAcct315JBG">'[14]Func Study'!$AB$1441</definedName>
    <definedName name="UAcct316">'[14]Func Study'!$AB$1450</definedName>
    <definedName name="UAcct316JBG">'[14]Func Study'!$AB$1449</definedName>
    <definedName name="UAcct320">'[14]Func Study'!$AB$1466</definedName>
    <definedName name="UAcct321">'[14]Func Study'!$AB$1471</definedName>
    <definedName name="UAcct322">'[14]Func Study'!$AB$1476</definedName>
    <definedName name="UAcct323">'[14]Func Study'!$AB$1481</definedName>
    <definedName name="UAcct324">'[14]Func Study'!$AB$1486</definedName>
    <definedName name="UAcct325">'[14]Func Study'!$AB$1491</definedName>
    <definedName name="UAcct33">'[14]Func Study'!$AB$295</definedName>
    <definedName name="UAcct330">'[14]Func Study'!$AB$1508</definedName>
    <definedName name="UAcct331">'[14]Func Study'!$AB$1513</definedName>
    <definedName name="UAcct332">'[14]Func Study'!$AB$1518</definedName>
    <definedName name="UAcct333">'[14]Func Study'!$AB$1523</definedName>
    <definedName name="UAcct334">'[14]Func Study'!$AB$1528</definedName>
    <definedName name="UAcct335">'[14]Func Study'!$AB$1533</definedName>
    <definedName name="UAcct336">'[14]Func Study'!$AB$1539</definedName>
    <definedName name="UAcct340Dgu">'[14]Func Study'!$AB$1564</definedName>
    <definedName name="UAcct340Sgu">'[14]Func Study'!$AB$1565</definedName>
    <definedName name="UAcct341Dgu">'[14]Func Study'!$AB$1569</definedName>
    <definedName name="UAcct341Sgu">'[14]Func Study'!$AB$1570</definedName>
    <definedName name="UAcct342Dgu">'[14]Func Study'!$AB$1574</definedName>
    <definedName name="UAcct342Sgu">'[14]Func Study'!$AB$1575</definedName>
    <definedName name="UAcct343">'[14]Func Study'!$AB$1584</definedName>
    <definedName name="UAcct344S">'[14]Func Study'!$AB$1587</definedName>
    <definedName name="UAcct344Sgp">'[14]Func Study'!$AB$1588</definedName>
    <definedName name="UAcct345Dgu">'[14]Func Study'!$AB$1594</definedName>
    <definedName name="UAcct345Sgu">'[14]Func Study'!$AB$1595</definedName>
    <definedName name="UAcct346">'[14]Func Study'!$AB$1601</definedName>
    <definedName name="UAcct350">'[14]Func Study'!$AB$1628</definedName>
    <definedName name="UAcct352">'[14]Func Study'!$AB$1635</definedName>
    <definedName name="UAcct353">'[14]Func Study'!$AB$1641</definedName>
    <definedName name="UAcct354">'[14]Func Study'!$AB$1647</definedName>
    <definedName name="UAcct355">'[14]Func Study'!$AB$1654</definedName>
    <definedName name="UAcct356">'[14]Func Study'!$AB$1660</definedName>
    <definedName name="UAcct357">'[14]Func Study'!$AB$1666</definedName>
    <definedName name="UAcct358">'[14]Func Study'!$AB$1672</definedName>
    <definedName name="UAcct359">'[14]Func Study'!$AB$1678</definedName>
    <definedName name="UAcct360">'[14]Func Study'!$AB$1698</definedName>
    <definedName name="UAcct361">'[14]Func Study'!$AB$1704</definedName>
    <definedName name="UAcct362">'[14]Func Study'!$AB$1710</definedName>
    <definedName name="UAcct368">'[14]Func Study'!$AB$1744</definedName>
    <definedName name="UAcct369">'[14]Func Study'!$AB$1751</definedName>
    <definedName name="UAcct370">'[14]Func Study'!$AB$1762</definedName>
    <definedName name="UAcct372A">'[14]Func Study'!$AB$1775</definedName>
    <definedName name="UAcct372Dp">'[14]Func Study'!$AB$1773</definedName>
    <definedName name="UAcct372Ds">'[14]Func Study'!$AB$1774</definedName>
    <definedName name="UAcct373">'[14]Func Study'!$AB$1782</definedName>
    <definedName name="UAcct389Cn">'[14]Func Study'!$AB$1800</definedName>
    <definedName name="UAcct389S">'[14]Func Study'!$AB$1799</definedName>
    <definedName name="UAcct389Sg">'[14]Func Study'!$AB$1802</definedName>
    <definedName name="UAcct389Sgu">'[14]Func Study'!$AB$1801</definedName>
    <definedName name="UAcct389So">'[14]Func Study'!$AB$1803</definedName>
    <definedName name="UAcct390Cn">'[14]Func Study'!$AB$1810</definedName>
    <definedName name="UAcct390JBG">'[14]Func Study'!$AB$1812</definedName>
    <definedName name="UAcct390L">'[14]Func Study'!$AB$1927</definedName>
    <definedName name="UACCT390LRCL">'[14]Func Study'!$AB$1929</definedName>
    <definedName name="UAcct390S">'[14]Func Study'!$AB$1807</definedName>
    <definedName name="UAcct390Sgp">'[14]Func Study'!$AB$1808</definedName>
    <definedName name="UAcct390Sgu">'[14]Func Study'!$AB$1809</definedName>
    <definedName name="UAcct390Sop">'[14]Func Study'!$AB$1811</definedName>
    <definedName name="UAcct390Sou">'[14]Func Study'!$AB$1813</definedName>
    <definedName name="UAcct391Cn">'[14]Func Study'!$AB$1820</definedName>
    <definedName name="UACCT391JBE">'[14]Func Study'!$AB$1825</definedName>
    <definedName name="UAcct391S">'[14]Func Study'!$AB$1817</definedName>
    <definedName name="UAcct391Sg">'[14]Func Study'!$AB$1821</definedName>
    <definedName name="UAcct391Sgp">'[14]Func Study'!$AB$1818</definedName>
    <definedName name="UAcct391Sgu">'[14]Func Study'!$AB$1819</definedName>
    <definedName name="UAcct391So">'[14]Func Study'!$AB$1823</definedName>
    <definedName name="UACCT391SSGCH">'[14]Func Study'!$AB$1824</definedName>
    <definedName name="UAcct392Cn">'[14]Func Study'!$AB$1832</definedName>
    <definedName name="UAcct392L">'[14]Func Study'!$AB$1935</definedName>
    <definedName name="UAcct392Lrcl">'[14]Func Study'!$AB$1937</definedName>
    <definedName name="UAcct392S">'[14]Func Study'!$AB$1829</definedName>
    <definedName name="UAcct392Se">'[14]Func Study'!$AB$1834</definedName>
    <definedName name="UAcct392Sg">'[14]Func Study'!$AB$1831</definedName>
    <definedName name="UAcct392Sgp">'[14]Func Study'!$AB$1835</definedName>
    <definedName name="UAcct392Sgu">'[14]Func Study'!$AB$1833</definedName>
    <definedName name="UAcct392So">'[14]Func Study'!$AB$1830</definedName>
    <definedName name="UACCT392SSGCH">'[14]Func Study'!$AB$1836</definedName>
    <definedName name="UAcct393S">'[14]Func Study'!$AB$1841</definedName>
    <definedName name="UAcct393Sg">'[14]Func Study'!$AB$1845</definedName>
    <definedName name="UAcct393Sgp">'[14]Func Study'!$AB$1842</definedName>
    <definedName name="UAcct393Sgu">'[14]Func Study'!$AB$1843</definedName>
    <definedName name="UAcct393So">'[14]Func Study'!$AB$1844</definedName>
    <definedName name="UACCT393SSGCT">'[14]Func Study'!$AB$1846</definedName>
    <definedName name="UAcct394S">'[14]Func Study'!$AB$1850</definedName>
    <definedName name="UAcct394Se">'[14]Func Study'!$AB$1854</definedName>
    <definedName name="UAcct394Sg">'[14]Func Study'!$AB$1855</definedName>
    <definedName name="UAcct394Sgp">'[14]Func Study'!$AB$1851</definedName>
    <definedName name="UAcct394Sgu">'[14]Func Study'!$AB$1852</definedName>
    <definedName name="UAcct394So">'[14]Func Study'!$AB$1853</definedName>
    <definedName name="UACCT394SSGCH">'[14]Func Study'!$AB$1856</definedName>
    <definedName name="UAcct395S">'[14]Func Study'!$AB$1861</definedName>
    <definedName name="UAcct395Se">'[14]Func Study'!$AB$1865</definedName>
    <definedName name="UAcct395Sg">'[14]Func Study'!$AB$1866</definedName>
    <definedName name="UAcct395Sgp">'[14]Func Study'!$AB$1862</definedName>
    <definedName name="UAcct395Sgu">'[14]Func Study'!$AB$1863</definedName>
    <definedName name="UAcct395So">'[14]Func Study'!$AB$1864</definedName>
    <definedName name="UACCT395SSGCH">'[14]Func Study'!$AB$1867</definedName>
    <definedName name="UAcct396S">'[14]Func Study'!$AB$1872</definedName>
    <definedName name="UAcct396Se">'[14]Func Study'!$AB$1877</definedName>
    <definedName name="UAcct396Sg">'[14]Func Study'!$AB$1874</definedName>
    <definedName name="UAcct396Sgp">'[14]Func Study'!$AB$1873</definedName>
    <definedName name="UAcct396Sgu">'[14]Func Study'!$AB$1876</definedName>
    <definedName name="UAcct396So">'[14]Func Study'!$AB$1875</definedName>
    <definedName name="UACCT396SSGCH">'[14]Func Study'!$AB$1879</definedName>
    <definedName name="UACCT396SSGCT">'[14]Func Study'!$AB$1878</definedName>
    <definedName name="UAcct397Cn">'[14]Func Study'!$AB$1890</definedName>
    <definedName name="UAcct397JBG">'[14]Func Study'!$AB$1893</definedName>
    <definedName name="UAcct397S">'[14]Func Study'!$AB$1886</definedName>
    <definedName name="UAcct397Se">'[14]Func Study'!$AB$1892</definedName>
    <definedName name="UAcct397Sg">'[14]Func Study'!$AB$1891</definedName>
    <definedName name="UAcct397Sgp">'[14]Func Study'!$AB$1887</definedName>
    <definedName name="UAcct397Sgu">'[14]Func Study'!$AB$1888</definedName>
    <definedName name="UAcct397So">'[14]Func Study'!$AB$1889</definedName>
    <definedName name="UAcct398Cn">'[14]Func Study'!$AB$1902</definedName>
    <definedName name="UAcct398S">'[14]Func Study'!$AB$1899</definedName>
    <definedName name="UAcct398Se">'[14]Func Study'!$AB$1904</definedName>
    <definedName name="UAcct398Sg">'[14]Func Study'!$AB$1905</definedName>
    <definedName name="UAcct398Sgp">'[14]Func Study'!$AB$1900</definedName>
    <definedName name="UAcct398Sgu">'[14]Func Study'!$AB$1901</definedName>
    <definedName name="UAcct398So">'[14]Func Study'!$AB$1903</definedName>
    <definedName name="UACCT398SSGCT">'[14]Func Study'!$AB$1906</definedName>
    <definedName name="UAcct399">'[14]Func Study'!$AB$1913</definedName>
    <definedName name="UAcct399G">'[14]Func Study'!$AB$1955</definedName>
    <definedName name="UAcct399L">'[14]Func Study'!$AB$1917</definedName>
    <definedName name="UAcct399Lrcl">'[14]Func Study'!$AB$1919</definedName>
    <definedName name="UAcct403360">'[14]Func Study'!$AB$1090</definedName>
    <definedName name="UAcct403361">'[14]Func Study'!$AB$1091</definedName>
    <definedName name="UAcct403362">'[14]Func Study'!$AB$1092</definedName>
    <definedName name="UAcct403364">'[14]Func Study'!$AB$1094</definedName>
    <definedName name="UAcct403365">'[14]Func Study'!$AB$1095</definedName>
    <definedName name="UAcct403366">'[14]Func Study'!$AB$1096</definedName>
    <definedName name="UAcct403367">'[14]Func Study'!$AB$1097</definedName>
    <definedName name="UAcct403368">'[14]Func Study'!$AB$1098</definedName>
    <definedName name="UAcct403369">'[14]Func Study'!$AB$1099</definedName>
    <definedName name="UAcct403370">'[14]Func Study'!$AB$1100</definedName>
    <definedName name="UAcct403371">'[14]Func Study'!$AB$1101</definedName>
    <definedName name="UAcct403372">'[14]Func Study'!$AB$1102</definedName>
    <definedName name="UAcct403373">'[14]Func Study'!$AB$1103</definedName>
    <definedName name="UAcct403Ep">'[14]Func Study'!$AB$1130</definedName>
    <definedName name="UAcct403Gpcn">'[14]Func Study'!$AB$1111</definedName>
    <definedName name="UAcct403GPDGP">'[14]Func Study'!$AB$1108</definedName>
    <definedName name="UAcct403GPDGU">'[14]Func Study'!$AB$1109</definedName>
    <definedName name="UAcct403GPJBG">'[14]Func Study'!$AB$1115</definedName>
    <definedName name="UAcct403Gps">'[14]Func Study'!$AB$1107</definedName>
    <definedName name="UAcct403Gpsg">'[14]Func Study'!$AB$1112</definedName>
    <definedName name="UAcct403Gpso">'[14]Func Study'!$AB$1113</definedName>
    <definedName name="UAcct403Gv0">'[14]Func Study'!$AB$1121</definedName>
    <definedName name="UAcct403Hp">'[14]Func Study'!$AB$1072</definedName>
    <definedName name="UACCT403JBE">'[14]Func Study'!$AB$1116</definedName>
    <definedName name="UAcct403Mp">'[14]Func Study'!$AB$1125</definedName>
    <definedName name="UAcct403Np">'[14]Func Study'!$AB$1065</definedName>
    <definedName name="UAcct403Op">'[14]Func Study'!$AB$1080</definedName>
    <definedName name="UAcct403OPCAGE">'[14]Func Study'!$AB$1078</definedName>
    <definedName name="UAcct403Sp">'[14]Func Study'!$AB$1061</definedName>
    <definedName name="UAcct403SPJBG">'[14]Func Study'!$AB$1058</definedName>
    <definedName name="UAcct403Tp">'[14]Func Study'!$AB$1087</definedName>
    <definedName name="UAcct404330">'[14]Func Study'!$AB$1177</definedName>
    <definedName name="UACCT404GP">'[14]Func Study'!$AB$1146</definedName>
    <definedName name="UACCT404GPCN">'[14]Func Study'!$AB$1143</definedName>
    <definedName name="UACCT404GPSO">'[14]Func Study'!$AB$1141</definedName>
    <definedName name="UAcct404Ipcn">'[14]Func Study'!$AB$1158</definedName>
    <definedName name="UAcct404IPJBG">'[14]Func Study'!$AB$1163</definedName>
    <definedName name="UAcct404Ips">'[14]Func Study'!$AB$1154</definedName>
    <definedName name="UAcct404Ipse">'[14]Func Study'!$AB$1155</definedName>
    <definedName name="UAcct404Ipsg">'[14]Func Study'!$AB$1156</definedName>
    <definedName name="UAcct404Ipsg1">'[14]Func Study'!$AB$1159</definedName>
    <definedName name="UAcct404Ipsg2">'[14]Func Study'!$AB$1160</definedName>
    <definedName name="UAcct404Ipso">'[14]Func Study'!$AB$1157</definedName>
    <definedName name="UAcct404M">'[14]Func Study'!$AB$1168</definedName>
    <definedName name="UACCT404OP">'[14]Func Study'!$AB$1172</definedName>
    <definedName name="UACCT404SP">'[14]Func Study'!$AB$1151</definedName>
    <definedName name="UAcct405">'[14]Func Study'!$AB$1185</definedName>
    <definedName name="UAcct406">'[14]Func Study'!$AB$1193</definedName>
    <definedName name="UAcct407">'[14]Func Study'!$AB$1202</definedName>
    <definedName name="UAcct408">'[14]Func Study'!$AB$1221</definedName>
    <definedName name="UAcct408S">'[14]Func Study'!$AB$1213</definedName>
    <definedName name="UAcct41010">'[14]Func Study'!$AB$1294</definedName>
    <definedName name="UAcct41011">'[14]Func Study'!$AB$1309</definedName>
    <definedName name="UACCT41020" localSheetId="2">'[15]Functional Study'!#REF!</definedName>
    <definedName name="UACCT41020" localSheetId="3">'[15]Functional Study'!#REF!</definedName>
    <definedName name="UACCT41020" localSheetId="4">'[15]Functional Study'!#REF!</definedName>
    <definedName name="UACCT41020" localSheetId="5">'[15]Functional Study'!#REF!</definedName>
    <definedName name="UACCT41020" localSheetId="8">'[15]Functional Study'!#REF!</definedName>
    <definedName name="UACCT41020" localSheetId="7">'[15]Functional Study'!#REF!</definedName>
    <definedName name="UACCT41020" localSheetId="6">'[15]Functional Study'!#REF!</definedName>
    <definedName name="UACCT41020" localSheetId="1">'[15]Functional Study'!#REF!</definedName>
    <definedName name="UACCT41020" localSheetId="35">'[15]Functional Study'!#REF!</definedName>
    <definedName name="UACCT41020" localSheetId="11">'[15]Functional Study'!#REF!</definedName>
    <definedName name="UACCT41020" localSheetId="9">'[15]Functional Study'!#REF!</definedName>
    <definedName name="UACCT41020" localSheetId="15">'[15]Functional Study'!#REF!</definedName>
    <definedName name="UACCT41020" localSheetId="16">'[15]Functional Study'!#REF!</definedName>
    <definedName name="UACCT41020" localSheetId="14">'[15]Functional Study'!#REF!</definedName>
    <definedName name="UACCT41020" localSheetId="26">'[15]Functional Study'!#REF!</definedName>
    <definedName name="UACCT41020" localSheetId="12">'[15]Functional Study'!#REF!</definedName>
    <definedName name="UACCT41020" localSheetId="32">'[16]Functional Study'!#REF!</definedName>
    <definedName name="UACCT41020">'[15]Functional Study'!#REF!</definedName>
    <definedName name="UACCT41020BADDEBT" localSheetId="2">'[15]Functional Study'!#REF!</definedName>
    <definedName name="UACCT41020BADDEBT" localSheetId="3">'[15]Functional Study'!#REF!</definedName>
    <definedName name="UACCT41020BADDEBT" localSheetId="4">'[15]Functional Study'!#REF!</definedName>
    <definedName name="UACCT41020BADDEBT" localSheetId="5">'[15]Functional Study'!#REF!</definedName>
    <definedName name="UACCT41020BADDEBT" localSheetId="8">'[15]Functional Study'!#REF!</definedName>
    <definedName name="UACCT41020BADDEBT" localSheetId="7">'[15]Functional Study'!#REF!</definedName>
    <definedName name="UACCT41020BADDEBT" localSheetId="6">'[15]Functional Study'!#REF!</definedName>
    <definedName name="UACCT41020BADDEBT" localSheetId="1">'[15]Functional Study'!#REF!</definedName>
    <definedName name="UACCT41020BADDEBT" localSheetId="35">'[15]Functional Study'!#REF!</definedName>
    <definedName name="UACCT41020BADDEBT" localSheetId="11">'[15]Functional Study'!#REF!</definedName>
    <definedName name="UACCT41020BADDEBT" localSheetId="9">'[15]Functional Study'!#REF!</definedName>
    <definedName name="UACCT41020BADDEBT" localSheetId="15">'[15]Functional Study'!#REF!</definedName>
    <definedName name="UACCT41020BADDEBT" localSheetId="16">'[15]Functional Study'!#REF!</definedName>
    <definedName name="UACCT41020BADDEBT" localSheetId="14">'[15]Functional Study'!#REF!</definedName>
    <definedName name="UACCT41020BADDEBT" localSheetId="26">'[15]Functional Study'!#REF!</definedName>
    <definedName name="UACCT41020BADDEBT" localSheetId="12">'[15]Functional Study'!#REF!</definedName>
    <definedName name="UACCT41020BADDEBT" localSheetId="32">'[16]Functional Study'!#REF!</definedName>
    <definedName name="UACCT41020BADDEBT">'[15]Functional Study'!#REF!</definedName>
    <definedName name="UACCT41020DITEXP" localSheetId="2">'[15]Functional Study'!#REF!</definedName>
    <definedName name="UACCT41020DITEXP" localSheetId="3">'[15]Functional Study'!#REF!</definedName>
    <definedName name="UACCT41020DITEXP" localSheetId="4">'[15]Functional Study'!#REF!</definedName>
    <definedName name="UACCT41020DITEXP" localSheetId="5">'[15]Functional Study'!#REF!</definedName>
    <definedName name="UACCT41020DITEXP" localSheetId="8">'[15]Functional Study'!#REF!</definedName>
    <definedName name="UACCT41020DITEXP" localSheetId="7">'[15]Functional Study'!#REF!</definedName>
    <definedName name="UACCT41020DITEXP" localSheetId="6">'[15]Functional Study'!#REF!</definedName>
    <definedName name="UACCT41020DITEXP" localSheetId="1">'[15]Functional Study'!#REF!</definedName>
    <definedName name="UACCT41020DITEXP" localSheetId="35">'[15]Functional Study'!#REF!</definedName>
    <definedName name="UACCT41020DITEXP" localSheetId="11">'[15]Functional Study'!#REF!</definedName>
    <definedName name="UACCT41020DITEXP" localSheetId="9">'[15]Functional Study'!#REF!</definedName>
    <definedName name="UACCT41020DITEXP" localSheetId="15">'[15]Functional Study'!#REF!</definedName>
    <definedName name="UACCT41020DITEXP" localSheetId="16">'[15]Functional Study'!#REF!</definedName>
    <definedName name="UACCT41020DITEXP" localSheetId="14">'[15]Functional Study'!#REF!</definedName>
    <definedName name="UACCT41020DITEXP" localSheetId="26">'[15]Functional Study'!#REF!</definedName>
    <definedName name="UACCT41020DITEXP" localSheetId="12">'[15]Functional Study'!#REF!</definedName>
    <definedName name="UACCT41020DITEXP" localSheetId="32">'[16]Functional Study'!#REF!</definedName>
    <definedName name="UACCT41020DITEXP">'[15]Functional Study'!#REF!</definedName>
    <definedName name="UACCT41020DNPU" localSheetId="2">'[15]Functional Study'!#REF!</definedName>
    <definedName name="UACCT41020DNPU" localSheetId="3">'[15]Functional Study'!#REF!</definedName>
    <definedName name="UACCT41020DNPU" localSheetId="4">'[15]Functional Study'!#REF!</definedName>
    <definedName name="UACCT41020DNPU" localSheetId="5">'[15]Functional Study'!#REF!</definedName>
    <definedName name="UACCT41020DNPU" localSheetId="8">'[15]Functional Study'!#REF!</definedName>
    <definedName name="UACCT41020DNPU" localSheetId="7">'[15]Functional Study'!#REF!</definedName>
    <definedName name="UACCT41020DNPU" localSheetId="6">'[15]Functional Study'!#REF!</definedName>
    <definedName name="UACCT41020DNPU" localSheetId="1">'[15]Functional Study'!#REF!</definedName>
    <definedName name="UACCT41020DNPU" localSheetId="35">'[15]Functional Study'!#REF!</definedName>
    <definedName name="UACCT41020DNPU" localSheetId="11">'[15]Functional Study'!#REF!</definedName>
    <definedName name="UACCT41020DNPU" localSheetId="9">'[15]Functional Study'!#REF!</definedName>
    <definedName name="UACCT41020DNPU" localSheetId="15">'[15]Functional Study'!#REF!</definedName>
    <definedName name="UACCT41020DNPU" localSheetId="16">'[15]Functional Study'!#REF!</definedName>
    <definedName name="UACCT41020DNPU" localSheetId="14">'[15]Functional Study'!#REF!</definedName>
    <definedName name="UACCT41020DNPU" localSheetId="26">'[15]Functional Study'!#REF!</definedName>
    <definedName name="UACCT41020DNPU" localSheetId="12">'[15]Functional Study'!#REF!</definedName>
    <definedName name="UACCT41020DNPU" localSheetId="32">'[16]Functional Study'!#REF!</definedName>
    <definedName name="UACCT41020DNPU">'[15]Functional Study'!#REF!</definedName>
    <definedName name="UACCT41020S" localSheetId="2">'[15]Functional Study'!#REF!</definedName>
    <definedName name="UACCT41020S" localSheetId="3">'[15]Functional Study'!#REF!</definedName>
    <definedName name="UACCT41020S" localSheetId="4">'[15]Functional Study'!#REF!</definedName>
    <definedName name="UACCT41020S" localSheetId="5">'[15]Functional Study'!#REF!</definedName>
    <definedName name="UACCT41020S" localSheetId="8">'[15]Functional Study'!#REF!</definedName>
    <definedName name="UACCT41020S" localSheetId="7">'[15]Functional Study'!#REF!</definedName>
    <definedName name="UACCT41020S" localSheetId="6">'[15]Functional Study'!#REF!</definedName>
    <definedName name="UACCT41020S" localSheetId="1">'[15]Functional Study'!#REF!</definedName>
    <definedName name="UACCT41020S" localSheetId="35">'[15]Functional Study'!#REF!</definedName>
    <definedName name="UACCT41020S" localSheetId="11">'[15]Functional Study'!#REF!</definedName>
    <definedName name="UACCT41020S" localSheetId="9">'[15]Functional Study'!#REF!</definedName>
    <definedName name="UACCT41020S" localSheetId="15">'[15]Functional Study'!#REF!</definedName>
    <definedName name="UACCT41020S" localSheetId="16">'[15]Functional Study'!#REF!</definedName>
    <definedName name="UACCT41020S" localSheetId="14">'[15]Functional Study'!#REF!</definedName>
    <definedName name="UACCT41020S" localSheetId="26">'[15]Functional Study'!#REF!</definedName>
    <definedName name="UACCT41020S" localSheetId="12">'[15]Functional Study'!#REF!</definedName>
    <definedName name="UACCT41020S" localSheetId="32">'[16]Functional Study'!#REF!</definedName>
    <definedName name="UACCT41020S">'[15]Functional Study'!#REF!</definedName>
    <definedName name="UACCT41020SE" localSheetId="2">'[15]Functional Study'!#REF!</definedName>
    <definedName name="UACCT41020SE" localSheetId="3">'[15]Functional Study'!#REF!</definedName>
    <definedName name="UACCT41020SE" localSheetId="4">'[15]Functional Study'!#REF!</definedName>
    <definedName name="UACCT41020SE" localSheetId="5">'[15]Functional Study'!#REF!</definedName>
    <definedName name="UACCT41020SE" localSheetId="8">'[15]Functional Study'!#REF!</definedName>
    <definedName name="UACCT41020SE" localSheetId="7">'[15]Functional Study'!#REF!</definedName>
    <definedName name="UACCT41020SE" localSheetId="6">'[15]Functional Study'!#REF!</definedName>
    <definedName name="UACCT41020SE" localSheetId="1">'[15]Functional Study'!#REF!</definedName>
    <definedName name="UACCT41020SE" localSheetId="35">'[15]Functional Study'!#REF!</definedName>
    <definedName name="UACCT41020SE" localSheetId="11">'[15]Functional Study'!#REF!</definedName>
    <definedName name="UACCT41020SE" localSheetId="9">'[15]Functional Study'!#REF!</definedName>
    <definedName name="UACCT41020SE" localSheetId="15">'[15]Functional Study'!#REF!</definedName>
    <definedName name="UACCT41020SE" localSheetId="16">'[15]Functional Study'!#REF!</definedName>
    <definedName name="UACCT41020SE" localSheetId="14">'[15]Functional Study'!#REF!</definedName>
    <definedName name="UACCT41020SE" localSheetId="26">'[15]Functional Study'!#REF!</definedName>
    <definedName name="UACCT41020SE" localSheetId="12">'[15]Functional Study'!#REF!</definedName>
    <definedName name="UACCT41020SE" localSheetId="32">'[16]Functional Study'!#REF!</definedName>
    <definedName name="UACCT41020SE">'[15]Functional Study'!#REF!</definedName>
    <definedName name="UACCT41020SG" localSheetId="2">'[15]Functional Study'!#REF!</definedName>
    <definedName name="UACCT41020SG" localSheetId="3">'[15]Functional Study'!#REF!</definedName>
    <definedName name="UACCT41020SG" localSheetId="4">'[15]Functional Study'!#REF!</definedName>
    <definedName name="UACCT41020SG" localSheetId="5">'[15]Functional Study'!#REF!</definedName>
    <definedName name="UACCT41020SG" localSheetId="8">'[15]Functional Study'!#REF!</definedName>
    <definedName name="UACCT41020SG" localSheetId="7">'[15]Functional Study'!#REF!</definedName>
    <definedName name="UACCT41020SG" localSheetId="6">'[15]Functional Study'!#REF!</definedName>
    <definedName name="UACCT41020SG" localSheetId="1">'[15]Functional Study'!#REF!</definedName>
    <definedName name="UACCT41020SG" localSheetId="35">'[15]Functional Study'!#REF!</definedName>
    <definedName name="UACCT41020SG" localSheetId="11">'[15]Functional Study'!#REF!</definedName>
    <definedName name="UACCT41020SG" localSheetId="9">'[15]Functional Study'!#REF!</definedName>
    <definedName name="UACCT41020SG" localSheetId="15">'[15]Functional Study'!#REF!</definedName>
    <definedName name="UACCT41020SG" localSheetId="16">'[15]Functional Study'!#REF!</definedName>
    <definedName name="UACCT41020SG" localSheetId="14">'[15]Functional Study'!#REF!</definedName>
    <definedName name="UACCT41020SG" localSheetId="26">'[15]Functional Study'!#REF!</definedName>
    <definedName name="UACCT41020SG" localSheetId="12">'[15]Functional Study'!#REF!</definedName>
    <definedName name="UACCT41020SG" localSheetId="32">'[16]Functional Study'!#REF!</definedName>
    <definedName name="UACCT41020SG">'[15]Functional Study'!#REF!</definedName>
    <definedName name="UACCT41020SGCT" localSheetId="2">'[15]Functional Study'!#REF!</definedName>
    <definedName name="UACCT41020SGCT" localSheetId="3">'[15]Functional Study'!#REF!</definedName>
    <definedName name="UACCT41020SGCT" localSheetId="4">'[15]Functional Study'!#REF!</definedName>
    <definedName name="UACCT41020SGCT" localSheetId="5">'[15]Functional Study'!#REF!</definedName>
    <definedName name="UACCT41020SGCT" localSheetId="8">'[15]Functional Study'!#REF!</definedName>
    <definedName name="UACCT41020SGCT" localSheetId="7">'[15]Functional Study'!#REF!</definedName>
    <definedName name="UACCT41020SGCT" localSheetId="6">'[15]Functional Study'!#REF!</definedName>
    <definedName name="UACCT41020SGCT" localSheetId="1">'[15]Functional Study'!#REF!</definedName>
    <definedName name="UACCT41020SGCT" localSheetId="35">'[15]Functional Study'!#REF!</definedName>
    <definedName name="UACCT41020SGCT" localSheetId="11">'[15]Functional Study'!#REF!</definedName>
    <definedName name="UACCT41020SGCT" localSheetId="9">'[15]Functional Study'!#REF!</definedName>
    <definedName name="UACCT41020SGCT" localSheetId="15">'[15]Functional Study'!#REF!</definedName>
    <definedName name="UACCT41020SGCT" localSheetId="16">'[15]Functional Study'!#REF!</definedName>
    <definedName name="UACCT41020SGCT" localSheetId="14">'[15]Functional Study'!#REF!</definedName>
    <definedName name="UACCT41020SGCT" localSheetId="26">'[15]Functional Study'!#REF!</definedName>
    <definedName name="UACCT41020SGCT" localSheetId="12">'[15]Functional Study'!#REF!</definedName>
    <definedName name="UACCT41020SGCT" localSheetId="32">'[16]Functional Study'!#REF!</definedName>
    <definedName name="UACCT41020SGCT">'[15]Functional Study'!#REF!</definedName>
    <definedName name="UACCT41020SGPP" localSheetId="2">'[15]Functional Study'!#REF!</definedName>
    <definedName name="UACCT41020SGPP" localSheetId="3">'[15]Functional Study'!#REF!</definedName>
    <definedName name="UACCT41020SGPP" localSheetId="4">'[15]Functional Study'!#REF!</definedName>
    <definedName name="UACCT41020SGPP" localSheetId="5">'[15]Functional Study'!#REF!</definedName>
    <definedName name="UACCT41020SGPP" localSheetId="8">'[15]Functional Study'!#REF!</definedName>
    <definedName name="UACCT41020SGPP" localSheetId="7">'[15]Functional Study'!#REF!</definedName>
    <definedName name="UACCT41020SGPP" localSheetId="6">'[15]Functional Study'!#REF!</definedName>
    <definedName name="UACCT41020SGPP" localSheetId="1">'[15]Functional Study'!#REF!</definedName>
    <definedName name="UACCT41020SGPP" localSheetId="35">'[15]Functional Study'!#REF!</definedName>
    <definedName name="UACCT41020SGPP" localSheetId="11">'[15]Functional Study'!#REF!</definedName>
    <definedName name="UACCT41020SGPP" localSheetId="9">'[15]Functional Study'!#REF!</definedName>
    <definedName name="UACCT41020SGPP" localSheetId="15">'[15]Functional Study'!#REF!</definedName>
    <definedName name="UACCT41020SGPP" localSheetId="16">'[15]Functional Study'!#REF!</definedName>
    <definedName name="UACCT41020SGPP" localSheetId="14">'[15]Functional Study'!#REF!</definedName>
    <definedName name="UACCT41020SGPP" localSheetId="26">'[15]Functional Study'!#REF!</definedName>
    <definedName name="UACCT41020SGPP" localSheetId="12">'[15]Functional Study'!#REF!</definedName>
    <definedName name="UACCT41020SGPP" localSheetId="32">'[16]Functional Study'!#REF!</definedName>
    <definedName name="UACCT41020SGPP">'[15]Functional Study'!#REF!</definedName>
    <definedName name="UACCT41020SO" localSheetId="2">'[15]Functional Study'!#REF!</definedName>
    <definedName name="UACCT41020SO" localSheetId="3">'[15]Functional Study'!#REF!</definedName>
    <definedName name="UACCT41020SO" localSheetId="4">'[15]Functional Study'!#REF!</definedName>
    <definedName name="UACCT41020SO" localSheetId="5">'[15]Functional Study'!#REF!</definedName>
    <definedName name="UACCT41020SO" localSheetId="8">'[15]Functional Study'!#REF!</definedName>
    <definedName name="UACCT41020SO" localSheetId="7">'[15]Functional Study'!#REF!</definedName>
    <definedName name="UACCT41020SO" localSheetId="6">'[15]Functional Study'!#REF!</definedName>
    <definedName name="UACCT41020SO" localSheetId="1">'[15]Functional Study'!#REF!</definedName>
    <definedName name="UACCT41020SO" localSheetId="35">'[15]Functional Study'!#REF!</definedName>
    <definedName name="UACCT41020SO" localSheetId="11">'[15]Functional Study'!#REF!</definedName>
    <definedName name="UACCT41020SO" localSheetId="9">'[15]Functional Study'!#REF!</definedName>
    <definedName name="UACCT41020SO" localSheetId="15">'[15]Functional Study'!#REF!</definedName>
    <definedName name="UACCT41020SO" localSheetId="16">'[15]Functional Study'!#REF!</definedName>
    <definedName name="UACCT41020SO" localSheetId="14">'[15]Functional Study'!#REF!</definedName>
    <definedName name="UACCT41020SO" localSheetId="26">'[15]Functional Study'!#REF!</definedName>
    <definedName name="UACCT41020SO" localSheetId="12">'[15]Functional Study'!#REF!</definedName>
    <definedName name="UACCT41020SO" localSheetId="32">'[16]Functional Study'!#REF!</definedName>
    <definedName name="UACCT41020SO">'[15]Functional Study'!#REF!</definedName>
    <definedName name="UACCT41020TROJP" localSheetId="2">'[15]Functional Study'!#REF!</definedName>
    <definedName name="UACCT41020TROJP" localSheetId="3">'[15]Functional Study'!#REF!</definedName>
    <definedName name="UACCT41020TROJP" localSheetId="4">'[15]Functional Study'!#REF!</definedName>
    <definedName name="UACCT41020TROJP" localSheetId="5">'[15]Functional Study'!#REF!</definedName>
    <definedName name="UACCT41020TROJP" localSheetId="8">'[15]Functional Study'!#REF!</definedName>
    <definedName name="UACCT41020TROJP" localSheetId="7">'[15]Functional Study'!#REF!</definedName>
    <definedName name="UACCT41020TROJP" localSheetId="6">'[15]Functional Study'!#REF!</definedName>
    <definedName name="UACCT41020TROJP" localSheetId="1">'[15]Functional Study'!#REF!</definedName>
    <definedName name="UACCT41020TROJP" localSheetId="35">'[15]Functional Study'!#REF!</definedName>
    <definedName name="UACCT41020TROJP" localSheetId="11">'[15]Functional Study'!#REF!</definedName>
    <definedName name="UACCT41020TROJP" localSheetId="9">'[15]Functional Study'!#REF!</definedName>
    <definedName name="UACCT41020TROJP" localSheetId="15">'[15]Functional Study'!#REF!</definedName>
    <definedName name="UACCT41020TROJP" localSheetId="16">'[15]Functional Study'!#REF!</definedName>
    <definedName name="UACCT41020TROJP" localSheetId="14">'[15]Functional Study'!#REF!</definedName>
    <definedName name="UACCT41020TROJP" localSheetId="26">'[15]Functional Study'!#REF!</definedName>
    <definedName name="UACCT41020TROJP" localSheetId="12">'[15]Functional Study'!#REF!</definedName>
    <definedName name="UACCT41020TROJP" localSheetId="32">'[16]Functional Study'!#REF!</definedName>
    <definedName name="UACCT41020TROJP">'[15]Functional Study'!#REF!</definedName>
    <definedName name="UACCT4102SNPD" localSheetId="2">'[15]Functional Study'!#REF!</definedName>
    <definedName name="UACCT4102SNPD" localSheetId="3">'[15]Functional Study'!#REF!</definedName>
    <definedName name="UACCT4102SNPD" localSheetId="4">'[15]Functional Study'!#REF!</definedName>
    <definedName name="UACCT4102SNPD" localSheetId="5">'[15]Functional Study'!#REF!</definedName>
    <definedName name="UACCT4102SNPD" localSheetId="8">'[15]Functional Study'!#REF!</definedName>
    <definedName name="UACCT4102SNPD" localSheetId="7">'[15]Functional Study'!#REF!</definedName>
    <definedName name="UACCT4102SNPD" localSheetId="6">'[15]Functional Study'!#REF!</definedName>
    <definedName name="UACCT4102SNPD" localSheetId="1">'[15]Functional Study'!#REF!</definedName>
    <definedName name="UACCT4102SNPD" localSheetId="35">'[15]Functional Study'!#REF!</definedName>
    <definedName name="UACCT4102SNPD" localSheetId="11">'[15]Functional Study'!#REF!</definedName>
    <definedName name="UACCT4102SNPD" localSheetId="9">'[15]Functional Study'!#REF!</definedName>
    <definedName name="UACCT4102SNPD" localSheetId="15">'[15]Functional Study'!#REF!</definedName>
    <definedName name="UACCT4102SNPD" localSheetId="16">'[15]Functional Study'!#REF!</definedName>
    <definedName name="UACCT4102SNPD" localSheetId="14">'[15]Functional Study'!#REF!</definedName>
    <definedName name="UACCT4102SNPD" localSheetId="26">'[15]Functional Study'!#REF!</definedName>
    <definedName name="UACCT4102SNPD" localSheetId="12">'[15]Functional Study'!#REF!</definedName>
    <definedName name="UACCT4102SNPD" localSheetId="32">'[16]Functional Study'!#REF!</definedName>
    <definedName name="UACCT4102SNPD">'[15]Functional Study'!#REF!</definedName>
    <definedName name="UAcct41110">'[14]Func Study'!$AB$1325</definedName>
    <definedName name="UAcct41111" localSheetId="2">'[15]Functional Study'!#REF!</definedName>
    <definedName name="UAcct41111" localSheetId="3">'[15]Functional Study'!#REF!</definedName>
    <definedName name="UAcct41111" localSheetId="4">'[15]Functional Study'!#REF!</definedName>
    <definedName name="UAcct41111" localSheetId="5">'[15]Functional Study'!#REF!</definedName>
    <definedName name="UAcct41111" localSheetId="8">'[15]Functional Study'!#REF!</definedName>
    <definedName name="UAcct41111" localSheetId="7">'[15]Functional Study'!#REF!</definedName>
    <definedName name="UAcct41111" localSheetId="6">'[15]Functional Study'!#REF!</definedName>
    <definedName name="UAcct41111" localSheetId="1">'[15]Functional Study'!#REF!</definedName>
    <definedName name="UAcct41111" localSheetId="35">'[15]Functional Study'!#REF!</definedName>
    <definedName name="UAcct41111" localSheetId="11">'[15]Functional Study'!#REF!</definedName>
    <definedName name="UAcct41111" localSheetId="9">'[15]Functional Study'!#REF!</definedName>
    <definedName name="UAcct41111" localSheetId="15">'[15]Functional Study'!#REF!</definedName>
    <definedName name="UAcct41111" localSheetId="16">'[15]Functional Study'!#REF!</definedName>
    <definedName name="UAcct41111" localSheetId="14">'[15]Functional Study'!#REF!</definedName>
    <definedName name="UAcct41111" localSheetId="26">'[15]Functional Study'!#REF!</definedName>
    <definedName name="UAcct41111" localSheetId="12">'[15]Functional Study'!#REF!</definedName>
    <definedName name="UAcct41111" localSheetId="32">'[16]Functional Study'!#REF!</definedName>
    <definedName name="UAcct41111">'[15]Functional Study'!#REF!</definedName>
    <definedName name="UAcct41111Baddebt" localSheetId="2">'[15]Functional Study'!#REF!</definedName>
    <definedName name="UAcct41111Baddebt" localSheetId="3">'[15]Functional Study'!#REF!</definedName>
    <definedName name="UAcct41111Baddebt" localSheetId="4">'[15]Functional Study'!#REF!</definedName>
    <definedName name="UAcct41111Baddebt" localSheetId="5">'[15]Functional Study'!#REF!</definedName>
    <definedName name="UAcct41111Baddebt" localSheetId="8">'[15]Functional Study'!#REF!</definedName>
    <definedName name="UAcct41111Baddebt" localSheetId="7">'[15]Functional Study'!#REF!</definedName>
    <definedName name="UAcct41111Baddebt" localSheetId="6">'[15]Functional Study'!#REF!</definedName>
    <definedName name="UAcct41111Baddebt" localSheetId="1">'[15]Functional Study'!#REF!</definedName>
    <definedName name="UAcct41111Baddebt" localSheetId="35">'[15]Functional Study'!#REF!</definedName>
    <definedName name="UAcct41111Baddebt" localSheetId="11">'[15]Functional Study'!#REF!</definedName>
    <definedName name="UAcct41111Baddebt" localSheetId="9">'[15]Functional Study'!#REF!</definedName>
    <definedName name="UAcct41111Baddebt" localSheetId="15">'[15]Functional Study'!#REF!</definedName>
    <definedName name="UAcct41111Baddebt" localSheetId="16">'[15]Functional Study'!#REF!</definedName>
    <definedName name="UAcct41111Baddebt" localSheetId="14">'[15]Functional Study'!#REF!</definedName>
    <definedName name="UAcct41111Baddebt" localSheetId="26">'[15]Functional Study'!#REF!</definedName>
    <definedName name="UAcct41111Baddebt" localSheetId="12">'[15]Functional Study'!#REF!</definedName>
    <definedName name="UAcct41111Baddebt" localSheetId="32">'[16]Functional Study'!#REF!</definedName>
    <definedName name="UAcct41111Baddebt">'[15]Functional Study'!#REF!</definedName>
    <definedName name="UAcct41111Dgp" localSheetId="2">'[15]Functional Study'!#REF!</definedName>
    <definedName name="UAcct41111Dgp" localSheetId="3">'[15]Functional Study'!#REF!</definedName>
    <definedName name="UAcct41111Dgp" localSheetId="4">'[15]Functional Study'!#REF!</definedName>
    <definedName name="UAcct41111Dgp" localSheetId="5">'[15]Functional Study'!#REF!</definedName>
    <definedName name="UAcct41111Dgp" localSheetId="8">'[15]Functional Study'!#REF!</definedName>
    <definedName name="UAcct41111Dgp" localSheetId="7">'[15]Functional Study'!#REF!</definedName>
    <definedName name="UAcct41111Dgp" localSheetId="6">'[15]Functional Study'!#REF!</definedName>
    <definedName name="UAcct41111Dgp" localSheetId="1">'[15]Functional Study'!#REF!</definedName>
    <definedName name="UAcct41111Dgp" localSheetId="35">'[15]Functional Study'!#REF!</definedName>
    <definedName name="UAcct41111Dgp" localSheetId="11">'[15]Functional Study'!#REF!</definedName>
    <definedName name="UAcct41111Dgp" localSheetId="9">'[15]Functional Study'!#REF!</definedName>
    <definedName name="UAcct41111Dgp" localSheetId="15">'[15]Functional Study'!#REF!</definedName>
    <definedName name="UAcct41111Dgp" localSheetId="16">'[15]Functional Study'!#REF!</definedName>
    <definedName name="UAcct41111Dgp" localSheetId="14">'[15]Functional Study'!#REF!</definedName>
    <definedName name="UAcct41111Dgp" localSheetId="26">'[15]Functional Study'!#REF!</definedName>
    <definedName name="UAcct41111Dgp" localSheetId="12">'[15]Functional Study'!#REF!</definedName>
    <definedName name="UAcct41111Dgp" localSheetId="32">'[16]Functional Study'!#REF!</definedName>
    <definedName name="UAcct41111Dgp">'[15]Functional Study'!#REF!</definedName>
    <definedName name="UAcct41111Dgu" localSheetId="2">'[15]Functional Study'!#REF!</definedName>
    <definedName name="UAcct41111Dgu" localSheetId="3">'[15]Functional Study'!#REF!</definedName>
    <definedName name="UAcct41111Dgu" localSheetId="4">'[15]Functional Study'!#REF!</definedName>
    <definedName name="UAcct41111Dgu" localSheetId="5">'[15]Functional Study'!#REF!</definedName>
    <definedName name="UAcct41111Dgu" localSheetId="8">'[15]Functional Study'!#REF!</definedName>
    <definedName name="UAcct41111Dgu" localSheetId="7">'[15]Functional Study'!#REF!</definedName>
    <definedName name="UAcct41111Dgu" localSheetId="6">'[15]Functional Study'!#REF!</definedName>
    <definedName name="UAcct41111Dgu" localSheetId="1">'[15]Functional Study'!#REF!</definedName>
    <definedName name="UAcct41111Dgu" localSheetId="35">'[15]Functional Study'!#REF!</definedName>
    <definedName name="UAcct41111Dgu" localSheetId="11">'[15]Functional Study'!#REF!</definedName>
    <definedName name="UAcct41111Dgu" localSheetId="9">'[15]Functional Study'!#REF!</definedName>
    <definedName name="UAcct41111Dgu" localSheetId="15">'[15]Functional Study'!#REF!</definedName>
    <definedName name="UAcct41111Dgu" localSheetId="16">'[15]Functional Study'!#REF!</definedName>
    <definedName name="UAcct41111Dgu" localSheetId="14">'[15]Functional Study'!#REF!</definedName>
    <definedName name="UAcct41111Dgu" localSheetId="26">'[15]Functional Study'!#REF!</definedName>
    <definedName name="UAcct41111Dgu" localSheetId="12">'[15]Functional Study'!#REF!</definedName>
    <definedName name="UAcct41111Dgu" localSheetId="32">'[16]Functional Study'!#REF!</definedName>
    <definedName name="UAcct41111Dgu">'[15]Functional Study'!#REF!</definedName>
    <definedName name="UAcct41111Ditexp" localSheetId="2">'[15]Functional Study'!#REF!</definedName>
    <definedName name="UAcct41111Ditexp" localSheetId="3">'[15]Functional Study'!#REF!</definedName>
    <definedName name="UAcct41111Ditexp" localSheetId="4">'[15]Functional Study'!#REF!</definedName>
    <definedName name="UAcct41111Ditexp" localSheetId="5">'[15]Functional Study'!#REF!</definedName>
    <definedName name="UAcct41111Ditexp" localSheetId="8">'[15]Functional Study'!#REF!</definedName>
    <definedName name="UAcct41111Ditexp" localSheetId="7">'[15]Functional Study'!#REF!</definedName>
    <definedName name="UAcct41111Ditexp" localSheetId="6">'[15]Functional Study'!#REF!</definedName>
    <definedName name="UAcct41111Ditexp" localSheetId="1">'[15]Functional Study'!#REF!</definedName>
    <definedName name="UAcct41111Ditexp" localSheetId="35">'[15]Functional Study'!#REF!</definedName>
    <definedName name="UAcct41111Ditexp" localSheetId="11">'[15]Functional Study'!#REF!</definedName>
    <definedName name="UAcct41111Ditexp" localSheetId="9">'[15]Functional Study'!#REF!</definedName>
    <definedName name="UAcct41111Ditexp" localSheetId="15">'[15]Functional Study'!#REF!</definedName>
    <definedName name="UAcct41111Ditexp" localSheetId="16">'[15]Functional Study'!#REF!</definedName>
    <definedName name="UAcct41111Ditexp" localSheetId="14">'[15]Functional Study'!#REF!</definedName>
    <definedName name="UAcct41111Ditexp" localSheetId="26">'[15]Functional Study'!#REF!</definedName>
    <definedName name="UAcct41111Ditexp" localSheetId="12">'[15]Functional Study'!#REF!</definedName>
    <definedName name="UAcct41111Ditexp" localSheetId="32">'[16]Functional Study'!#REF!</definedName>
    <definedName name="UAcct41111Ditexp">'[15]Functional Study'!#REF!</definedName>
    <definedName name="UAcct41111Dnpp" localSheetId="2">'[15]Functional Study'!#REF!</definedName>
    <definedName name="UAcct41111Dnpp" localSheetId="3">'[15]Functional Study'!#REF!</definedName>
    <definedName name="UAcct41111Dnpp" localSheetId="4">'[15]Functional Study'!#REF!</definedName>
    <definedName name="UAcct41111Dnpp" localSheetId="5">'[15]Functional Study'!#REF!</definedName>
    <definedName name="UAcct41111Dnpp" localSheetId="8">'[15]Functional Study'!#REF!</definedName>
    <definedName name="UAcct41111Dnpp" localSheetId="7">'[15]Functional Study'!#REF!</definedName>
    <definedName name="UAcct41111Dnpp" localSheetId="6">'[15]Functional Study'!#REF!</definedName>
    <definedName name="UAcct41111Dnpp" localSheetId="1">'[15]Functional Study'!#REF!</definedName>
    <definedName name="UAcct41111Dnpp" localSheetId="35">'[15]Functional Study'!#REF!</definedName>
    <definedName name="UAcct41111Dnpp" localSheetId="11">'[15]Functional Study'!#REF!</definedName>
    <definedName name="UAcct41111Dnpp" localSheetId="9">'[15]Functional Study'!#REF!</definedName>
    <definedName name="UAcct41111Dnpp" localSheetId="15">'[15]Functional Study'!#REF!</definedName>
    <definedName name="UAcct41111Dnpp" localSheetId="16">'[15]Functional Study'!#REF!</definedName>
    <definedName name="UAcct41111Dnpp" localSheetId="14">'[15]Functional Study'!#REF!</definedName>
    <definedName name="UAcct41111Dnpp" localSheetId="26">'[15]Functional Study'!#REF!</definedName>
    <definedName name="UAcct41111Dnpp" localSheetId="12">'[15]Functional Study'!#REF!</definedName>
    <definedName name="UAcct41111Dnpp" localSheetId="32">'[16]Functional Study'!#REF!</definedName>
    <definedName name="UAcct41111Dnpp">'[15]Functional Study'!#REF!</definedName>
    <definedName name="UAcct41111Dnptp" localSheetId="2">'[15]Functional Study'!#REF!</definedName>
    <definedName name="UAcct41111Dnptp" localSheetId="3">'[15]Functional Study'!#REF!</definedName>
    <definedName name="UAcct41111Dnptp" localSheetId="4">'[15]Functional Study'!#REF!</definedName>
    <definedName name="UAcct41111Dnptp" localSheetId="5">'[15]Functional Study'!#REF!</definedName>
    <definedName name="UAcct41111Dnptp" localSheetId="8">'[15]Functional Study'!#REF!</definedName>
    <definedName name="UAcct41111Dnptp" localSheetId="7">'[15]Functional Study'!#REF!</definedName>
    <definedName name="UAcct41111Dnptp" localSheetId="6">'[15]Functional Study'!#REF!</definedName>
    <definedName name="UAcct41111Dnptp" localSheetId="1">'[15]Functional Study'!#REF!</definedName>
    <definedName name="UAcct41111Dnptp" localSheetId="35">'[15]Functional Study'!#REF!</definedName>
    <definedName name="UAcct41111Dnptp" localSheetId="11">'[15]Functional Study'!#REF!</definedName>
    <definedName name="UAcct41111Dnptp" localSheetId="9">'[15]Functional Study'!#REF!</definedName>
    <definedName name="UAcct41111Dnptp" localSheetId="15">'[15]Functional Study'!#REF!</definedName>
    <definedName name="UAcct41111Dnptp" localSheetId="16">'[15]Functional Study'!#REF!</definedName>
    <definedName name="UAcct41111Dnptp" localSheetId="14">'[15]Functional Study'!#REF!</definedName>
    <definedName name="UAcct41111Dnptp" localSheetId="26">'[15]Functional Study'!#REF!</definedName>
    <definedName name="UAcct41111Dnptp" localSheetId="12">'[15]Functional Study'!#REF!</definedName>
    <definedName name="UAcct41111Dnptp" localSheetId="32">'[16]Functional Study'!#REF!</definedName>
    <definedName name="UAcct41111Dnptp">'[15]Functional Study'!#REF!</definedName>
    <definedName name="UAcct41111S" localSheetId="2">'[15]Functional Study'!#REF!</definedName>
    <definedName name="UAcct41111S" localSheetId="3">'[15]Functional Study'!#REF!</definedName>
    <definedName name="UAcct41111S" localSheetId="4">'[15]Functional Study'!#REF!</definedName>
    <definedName name="UAcct41111S" localSheetId="5">'[15]Functional Study'!#REF!</definedName>
    <definedName name="UAcct41111S" localSheetId="8">'[15]Functional Study'!#REF!</definedName>
    <definedName name="UAcct41111S" localSheetId="7">'[15]Functional Study'!#REF!</definedName>
    <definedName name="UAcct41111S" localSheetId="6">'[15]Functional Study'!#REF!</definedName>
    <definedName name="UAcct41111S" localSheetId="1">'[15]Functional Study'!#REF!</definedName>
    <definedName name="UAcct41111S" localSheetId="35">'[15]Functional Study'!#REF!</definedName>
    <definedName name="UAcct41111S" localSheetId="11">'[15]Functional Study'!#REF!</definedName>
    <definedName name="UAcct41111S" localSheetId="9">'[15]Functional Study'!#REF!</definedName>
    <definedName name="UAcct41111S" localSheetId="15">'[15]Functional Study'!#REF!</definedName>
    <definedName name="UAcct41111S" localSheetId="16">'[15]Functional Study'!#REF!</definedName>
    <definedName name="UAcct41111S" localSheetId="14">'[15]Functional Study'!#REF!</definedName>
    <definedName name="UAcct41111S" localSheetId="26">'[15]Functional Study'!#REF!</definedName>
    <definedName name="UAcct41111S" localSheetId="12">'[15]Functional Study'!#REF!</definedName>
    <definedName name="UAcct41111S" localSheetId="32">'[16]Functional Study'!#REF!</definedName>
    <definedName name="UAcct41111S">'[15]Functional Study'!#REF!</definedName>
    <definedName name="UAcct41111Se" localSheetId="2">'[15]Functional Study'!#REF!</definedName>
    <definedName name="UAcct41111Se" localSheetId="3">'[15]Functional Study'!#REF!</definedName>
    <definedName name="UAcct41111Se" localSheetId="4">'[15]Functional Study'!#REF!</definedName>
    <definedName name="UAcct41111Se" localSheetId="5">'[15]Functional Study'!#REF!</definedName>
    <definedName name="UAcct41111Se" localSheetId="8">'[15]Functional Study'!#REF!</definedName>
    <definedName name="UAcct41111Se" localSheetId="7">'[15]Functional Study'!#REF!</definedName>
    <definedName name="UAcct41111Se" localSheetId="6">'[15]Functional Study'!#REF!</definedName>
    <definedName name="UAcct41111Se" localSheetId="1">'[15]Functional Study'!#REF!</definedName>
    <definedName name="UAcct41111Se" localSheetId="35">'[15]Functional Study'!#REF!</definedName>
    <definedName name="UAcct41111Se" localSheetId="11">'[15]Functional Study'!#REF!</definedName>
    <definedName name="UAcct41111Se" localSheetId="9">'[15]Functional Study'!#REF!</definedName>
    <definedName name="UAcct41111Se" localSheetId="15">'[15]Functional Study'!#REF!</definedName>
    <definedName name="UAcct41111Se" localSheetId="16">'[15]Functional Study'!#REF!</definedName>
    <definedName name="UAcct41111Se" localSheetId="14">'[15]Functional Study'!#REF!</definedName>
    <definedName name="UAcct41111Se" localSheetId="26">'[15]Functional Study'!#REF!</definedName>
    <definedName name="UAcct41111Se" localSheetId="12">'[15]Functional Study'!#REF!</definedName>
    <definedName name="UAcct41111Se" localSheetId="32">'[16]Functional Study'!#REF!</definedName>
    <definedName name="UAcct41111Se">'[15]Functional Study'!#REF!</definedName>
    <definedName name="UAcct41111Sg" localSheetId="2">'[15]Functional Study'!#REF!</definedName>
    <definedName name="UAcct41111Sg" localSheetId="3">'[15]Functional Study'!#REF!</definedName>
    <definedName name="UAcct41111Sg" localSheetId="4">'[15]Functional Study'!#REF!</definedName>
    <definedName name="UAcct41111Sg" localSheetId="5">'[15]Functional Study'!#REF!</definedName>
    <definedName name="UAcct41111Sg" localSheetId="8">'[15]Functional Study'!#REF!</definedName>
    <definedName name="UAcct41111Sg" localSheetId="7">'[15]Functional Study'!#REF!</definedName>
    <definedName name="UAcct41111Sg" localSheetId="6">'[15]Functional Study'!#REF!</definedName>
    <definedName name="UAcct41111Sg" localSheetId="1">'[15]Functional Study'!#REF!</definedName>
    <definedName name="UAcct41111Sg" localSheetId="35">'[15]Functional Study'!#REF!</definedName>
    <definedName name="UAcct41111Sg" localSheetId="11">'[15]Functional Study'!#REF!</definedName>
    <definedName name="UAcct41111Sg" localSheetId="9">'[15]Functional Study'!#REF!</definedName>
    <definedName name="UAcct41111Sg" localSheetId="15">'[15]Functional Study'!#REF!</definedName>
    <definedName name="UAcct41111Sg" localSheetId="16">'[15]Functional Study'!#REF!</definedName>
    <definedName name="UAcct41111Sg" localSheetId="14">'[15]Functional Study'!#REF!</definedName>
    <definedName name="UAcct41111Sg" localSheetId="26">'[15]Functional Study'!#REF!</definedName>
    <definedName name="UAcct41111Sg" localSheetId="12">'[15]Functional Study'!#REF!</definedName>
    <definedName name="UAcct41111Sg" localSheetId="32">'[16]Functional Study'!#REF!</definedName>
    <definedName name="UAcct41111Sg">'[15]Functional Study'!#REF!</definedName>
    <definedName name="UAcct41111Sgpp" localSheetId="2">'[15]Functional Study'!#REF!</definedName>
    <definedName name="UAcct41111Sgpp" localSheetId="3">'[15]Functional Study'!#REF!</definedName>
    <definedName name="UAcct41111Sgpp" localSheetId="4">'[15]Functional Study'!#REF!</definedName>
    <definedName name="UAcct41111Sgpp" localSheetId="5">'[15]Functional Study'!#REF!</definedName>
    <definedName name="UAcct41111Sgpp" localSheetId="8">'[15]Functional Study'!#REF!</definedName>
    <definedName name="UAcct41111Sgpp" localSheetId="7">'[15]Functional Study'!#REF!</definedName>
    <definedName name="UAcct41111Sgpp" localSheetId="6">'[15]Functional Study'!#REF!</definedName>
    <definedName name="UAcct41111Sgpp" localSheetId="1">'[15]Functional Study'!#REF!</definedName>
    <definedName name="UAcct41111Sgpp" localSheetId="35">'[15]Functional Study'!#REF!</definedName>
    <definedName name="UAcct41111Sgpp" localSheetId="11">'[15]Functional Study'!#REF!</definedName>
    <definedName name="UAcct41111Sgpp" localSheetId="9">'[15]Functional Study'!#REF!</definedName>
    <definedName name="UAcct41111Sgpp" localSheetId="15">'[15]Functional Study'!#REF!</definedName>
    <definedName name="UAcct41111Sgpp" localSheetId="16">'[15]Functional Study'!#REF!</definedName>
    <definedName name="UAcct41111Sgpp" localSheetId="14">'[15]Functional Study'!#REF!</definedName>
    <definedName name="UAcct41111Sgpp" localSheetId="26">'[15]Functional Study'!#REF!</definedName>
    <definedName name="UAcct41111Sgpp" localSheetId="12">'[15]Functional Study'!#REF!</definedName>
    <definedName name="UAcct41111Sgpp" localSheetId="32">'[16]Functional Study'!#REF!</definedName>
    <definedName name="UAcct41111Sgpp">'[15]Functional Study'!#REF!</definedName>
    <definedName name="UAcct41111So" localSheetId="2">'[15]Functional Study'!#REF!</definedName>
    <definedName name="UAcct41111So" localSheetId="3">'[15]Functional Study'!#REF!</definedName>
    <definedName name="UAcct41111So" localSheetId="4">'[15]Functional Study'!#REF!</definedName>
    <definedName name="UAcct41111So" localSheetId="5">'[15]Functional Study'!#REF!</definedName>
    <definedName name="UAcct41111So" localSheetId="8">'[15]Functional Study'!#REF!</definedName>
    <definedName name="UAcct41111So" localSheetId="7">'[15]Functional Study'!#REF!</definedName>
    <definedName name="UAcct41111So" localSheetId="6">'[15]Functional Study'!#REF!</definedName>
    <definedName name="UAcct41111So" localSheetId="1">'[15]Functional Study'!#REF!</definedName>
    <definedName name="UAcct41111So" localSheetId="35">'[15]Functional Study'!#REF!</definedName>
    <definedName name="UAcct41111So" localSheetId="11">'[15]Functional Study'!#REF!</definedName>
    <definedName name="UAcct41111So" localSheetId="9">'[15]Functional Study'!#REF!</definedName>
    <definedName name="UAcct41111So" localSheetId="15">'[15]Functional Study'!#REF!</definedName>
    <definedName name="UAcct41111So" localSheetId="16">'[15]Functional Study'!#REF!</definedName>
    <definedName name="UAcct41111So" localSheetId="14">'[15]Functional Study'!#REF!</definedName>
    <definedName name="UAcct41111So" localSheetId="26">'[15]Functional Study'!#REF!</definedName>
    <definedName name="UAcct41111So" localSheetId="12">'[15]Functional Study'!#REF!</definedName>
    <definedName name="UAcct41111So" localSheetId="32">'[16]Functional Study'!#REF!</definedName>
    <definedName name="UAcct41111So">'[15]Functional Study'!#REF!</definedName>
    <definedName name="UAcct41111Trojp" localSheetId="2">'[15]Functional Study'!#REF!</definedName>
    <definedName name="UAcct41111Trojp" localSheetId="3">'[15]Functional Study'!#REF!</definedName>
    <definedName name="UAcct41111Trojp" localSheetId="4">'[15]Functional Study'!#REF!</definedName>
    <definedName name="UAcct41111Trojp" localSheetId="5">'[15]Functional Study'!#REF!</definedName>
    <definedName name="UAcct41111Trojp" localSheetId="8">'[15]Functional Study'!#REF!</definedName>
    <definedName name="UAcct41111Trojp" localSheetId="7">'[15]Functional Study'!#REF!</definedName>
    <definedName name="UAcct41111Trojp" localSheetId="6">'[15]Functional Study'!#REF!</definedName>
    <definedName name="UAcct41111Trojp" localSheetId="1">'[15]Functional Study'!#REF!</definedName>
    <definedName name="UAcct41111Trojp" localSheetId="35">'[15]Functional Study'!#REF!</definedName>
    <definedName name="UAcct41111Trojp" localSheetId="11">'[15]Functional Study'!#REF!</definedName>
    <definedName name="UAcct41111Trojp" localSheetId="9">'[15]Functional Study'!#REF!</definedName>
    <definedName name="UAcct41111Trojp" localSheetId="15">'[15]Functional Study'!#REF!</definedName>
    <definedName name="UAcct41111Trojp" localSheetId="16">'[15]Functional Study'!#REF!</definedName>
    <definedName name="UAcct41111Trojp" localSheetId="14">'[15]Functional Study'!#REF!</definedName>
    <definedName name="UAcct41111Trojp" localSheetId="26">'[15]Functional Study'!#REF!</definedName>
    <definedName name="UAcct41111Trojp" localSheetId="12">'[15]Functional Study'!#REF!</definedName>
    <definedName name="UAcct41111Trojp" localSheetId="32">'[16]Functional Study'!#REF!</definedName>
    <definedName name="UAcct41111Trojp">'[15]Functional Study'!#REF!</definedName>
    <definedName name="UAcct41140">'[14]Func Study'!$AB$1232</definedName>
    <definedName name="UAcct41141">'[14]Func Study'!$AB$1237</definedName>
    <definedName name="UAcct41160">'[14]Func Study'!$AB$369</definedName>
    <definedName name="UAcct41170">'[14]Func Study'!$AB$374</definedName>
    <definedName name="UAcct4118">'[14]Func Study'!$AB$378</definedName>
    <definedName name="UAcct41181">'[14]Func Study'!$AB$381</definedName>
    <definedName name="UAcct4194">'[14]Func Study'!$AB$385</definedName>
    <definedName name="UAcct421">'[14]Func Study'!$AB$394</definedName>
    <definedName name="UAcct4311">'[14]Func Study'!$AB$401</definedName>
    <definedName name="UAcct442Se">'[14]Func Study'!$AB$259</definedName>
    <definedName name="UAcct442Sg">'[14]Func Study'!$AB$260</definedName>
    <definedName name="UAcct447">'[14]Func Study'!$AB$281</definedName>
    <definedName name="UAcct447CAEE" localSheetId="2">'[12]Func Study'!#REF!</definedName>
    <definedName name="UAcct447CAEE" localSheetId="3">'[12]Func Study'!#REF!</definedName>
    <definedName name="UAcct447CAEE" localSheetId="4">'[12]Func Study'!#REF!</definedName>
    <definedName name="UAcct447CAEE" localSheetId="5">'[12]Func Study'!#REF!</definedName>
    <definedName name="UAcct447CAEE" localSheetId="8">'[12]Func Study'!#REF!</definedName>
    <definedName name="UAcct447CAEE" localSheetId="7">'[12]Func Study'!#REF!</definedName>
    <definedName name="UAcct447CAEE" localSheetId="6">'[12]Func Study'!#REF!</definedName>
    <definedName name="UAcct447CAEE" localSheetId="1">'[12]Func Study'!#REF!</definedName>
    <definedName name="UAcct447CAEE" localSheetId="35">'[12]Func Study'!#REF!</definedName>
    <definedName name="UAcct447CAEE" localSheetId="11">'[12]Func Study'!#REF!</definedName>
    <definedName name="UAcct447CAEE" localSheetId="9">'[12]Func Study'!#REF!</definedName>
    <definedName name="UAcct447CAEE" localSheetId="15">'[12]Func Study'!#REF!</definedName>
    <definedName name="UAcct447CAEE" localSheetId="16">'[12]Func Study'!#REF!</definedName>
    <definedName name="UAcct447CAEE" localSheetId="14">'[12]Func Study'!#REF!</definedName>
    <definedName name="UAcct447CAEE" localSheetId="26">'[12]Func Study'!#REF!</definedName>
    <definedName name="UAcct447CAEE" localSheetId="12">'[12]Func Study'!#REF!</definedName>
    <definedName name="UAcct447CAEE" localSheetId="32">'[12]Func Study'!#REF!</definedName>
    <definedName name="UAcct447CAEE">'[12]Func Study'!#REF!</definedName>
    <definedName name="UAcct447CAGE" localSheetId="2">'[12]Func Study'!#REF!</definedName>
    <definedName name="UAcct447CAGE" localSheetId="3">'[12]Func Study'!#REF!</definedName>
    <definedName name="UAcct447CAGE" localSheetId="4">'[12]Func Study'!#REF!</definedName>
    <definedName name="UAcct447CAGE" localSheetId="5">'[12]Func Study'!#REF!</definedName>
    <definedName name="UAcct447CAGE" localSheetId="8">'[12]Func Study'!#REF!</definedName>
    <definedName name="UAcct447CAGE" localSheetId="7">'[12]Func Study'!#REF!</definedName>
    <definedName name="UAcct447CAGE" localSheetId="6">'[12]Func Study'!#REF!</definedName>
    <definedName name="UAcct447CAGE" localSheetId="1">'[12]Func Study'!#REF!</definedName>
    <definedName name="UAcct447CAGE" localSheetId="35">'[12]Func Study'!#REF!</definedName>
    <definedName name="UAcct447CAGE" localSheetId="11">'[12]Func Study'!#REF!</definedName>
    <definedName name="UAcct447CAGE" localSheetId="9">'[12]Func Study'!#REF!</definedName>
    <definedName name="UAcct447CAGE" localSheetId="15">'[12]Func Study'!#REF!</definedName>
    <definedName name="UAcct447CAGE" localSheetId="16">'[12]Func Study'!#REF!</definedName>
    <definedName name="UAcct447CAGE" localSheetId="14">'[12]Func Study'!#REF!</definedName>
    <definedName name="UAcct447CAGE" localSheetId="26">'[12]Func Study'!#REF!</definedName>
    <definedName name="UAcct447CAGE" localSheetId="12">'[12]Func Study'!#REF!</definedName>
    <definedName name="UAcct447CAGE">'[12]Func Study'!#REF!</definedName>
    <definedName name="UAcct447Dgu" localSheetId="2">'[13]Func Study'!#REF!</definedName>
    <definedName name="UAcct447Dgu" localSheetId="3">'[13]Func Study'!#REF!</definedName>
    <definedName name="UAcct447Dgu" localSheetId="4">'[13]Func Study'!#REF!</definedName>
    <definedName name="UAcct447Dgu" localSheetId="5">'[13]Func Study'!#REF!</definedName>
    <definedName name="UAcct447Dgu" localSheetId="8">'[13]Func Study'!#REF!</definedName>
    <definedName name="UAcct447Dgu" localSheetId="7">'[13]Func Study'!#REF!</definedName>
    <definedName name="UAcct447Dgu" localSheetId="6">'[13]Func Study'!#REF!</definedName>
    <definedName name="UAcct447Dgu" localSheetId="1">'[13]Func Study'!#REF!</definedName>
    <definedName name="UAcct447Dgu" localSheetId="35">'[13]Func Study'!#REF!</definedName>
    <definedName name="UAcct447Dgu" localSheetId="11">'[13]Func Study'!#REF!</definedName>
    <definedName name="UAcct447Dgu" localSheetId="9">'[13]Func Study'!#REF!</definedName>
    <definedName name="UAcct447Dgu" localSheetId="15">'[13]Func Study'!#REF!</definedName>
    <definedName name="UAcct447Dgu" localSheetId="16">'[13]Func Study'!#REF!</definedName>
    <definedName name="UAcct447Dgu" localSheetId="14">'[13]Func Study'!#REF!</definedName>
    <definedName name="UAcct447Dgu" localSheetId="26">'[13]Func Study'!#REF!</definedName>
    <definedName name="UAcct447Dgu" localSheetId="12">'[13]Func Study'!#REF!</definedName>
    <definedName name="UAcct447Dgu">'[13]Func Study'!#REF!</definedName>
    <definedName name="UACCT447NPC">'[14]Func Study'!$AB$289</definedName>
    <definedName name="UACCT447NPCCAEW">'[14]Func Study'!$AB$286</definedName>
    <definedName name="UACCT447NPCCAGW">'[14]Func Study'!$AB$287</definedName>
    <definedName name="UACCT447NPCDGP">'[14]Func Study'!$AB$288</definedName>
    <definedName name="UAcct447S">'[14]Func Study'!$AB$280</definedName>
    <definedName name="UAcct448S">'[14]Func Study'!$AB$274</definedName>
    <definedName name="UAcct448So">'[14]Func Study'!$AB$275</definedName>
    <definedName name="UAcct449">'[14]Func Study'!$AB$294</definedName>
    <definedName name="UAcct450">'[14]Func Study'!$AB$304</definedName>
    <definedName name="UAcct450S">'[14]Func Study'!$AB$302</definedName>
    <definedName name="UAcct450So">'[14]Func Study'!$AB$303</definedName>
    <definedName name="UAcct451S">'[14]Func Study'!$AB$307</definedName>
    <definedName name="UAcct451Sg">'[14]Func Study'!$AB$308</definedName>
    <definedName name="UAcct451So">'[14]Func Study'!$AB$309</definedName>
    <definedName name="UAcct453">'[14]Func Study'!$AB$315</definedName>
    <definedName name="UAcct453CAGE" localSheetId="2">'[12]Func Study'!#REF!</definedName>
    <definedName name="UAcct453CAGE" localSheetId="3">'[12]Func Study'!#REF!</definedName>
    <definedName name="UAcct453CAGE" localSheetId="4">'[12]Func Study'!#REF!</definedName>
    <definedName name="UAcct453CAGE" localSheetId="5">'[12]Func Study'!#REF!</definedName>
    <definedName name="UAcct453CAGE" localSheetId="8">'[12]Func Study'!#REF!</definedName>
    <definedName name="UAcct453CAGE" localSheetId="7">'[12]Func Study'!#REF!</definedName>
    <definedName name="UAcct453CAGE" localSheetId="6">'[12]Func Study'!#REF!</definedName>
    <definedName name="UAcct453CAGE" localSheetId="1">'[12]Func Study'!#REF!</definedName>
    <definedName name="UAcct453CAGE" localSheetId="35">'[12]Func Study'!#REF!</definedName>
    <definedName name="UAcct453CAGE" localSheetId="11">'[12]Func Study'!#REF!</definedName>
    <definedName name="UAcct453CAGE" localSheetId="9">'[12]Func Study'!#REF!</definedName>
    <definedName name="UAcct453CAGE" localSheetId="15">'[12]Func Study'!#REF!</definedName>
    <definedName name="UAcct453CAGE" localSheetId="16">'[12]Func Study'!#REF!</definedName>
    <definedName name="UAcct453CAGE" localSheetId="14">'[12]Func Study'!#REF!</definedName>
    <definedName name="UAcct453CAGE" localSheetId="26">'[12]Func Study'!#REF!</definedName>
    <definedName name="UAcct453CAGE" localSheetId="12">'[12]Func Study'!#REF!</definedName>
    <definedName name="UAcct453CAGE" localSheetId="32">'[12]Func Study'!#REF!</definedName>
    <definedName name="UAcct453CAGE">'[12]Func Study'!#REF!</definedName>
    <definedName name="UAcct453CAGW" localSheetId="2">'[12]Func Study'!#REF!</definedName>
    <definedName name="UAcct453CAGW" localSheetId="3">'[12]Func Study'!#REF!</definedName>
    <definedName name="UAcct453CAGW" localSheetId="4">'[12]Func Study'!#REF!</definedName>
    <definedName name="UAcct453CAGW" localSheetId="5">'[12]Func Study'!#REF!</definedName>
    <definedName name="UAcct453CAGW" localSheetId="8">'[12]Func Study'!#REF!</definedName>
    <definedName name="UAcct453CAGW" localSheetId="7">'[12]Func Study'!#REF!</definedName>
    <definedName name="UAcct453CAGW" localSheetId="6">'[12]Func Study'!#REF!</definedName>
    <definedName name="UAcct453CAGW" localSheetId="1">'[12]Func Study'!#REF!</definedName>
    <definedName name="UAcct453CAGW" localSheetId="35">'[12]Func Study'!#REF!</definedName>
    <definedName name="UAcct453CAGW" localSheetId="11">'[12]Func Study'!#REF!</definedName>
    <definedName name="UAcct453CAGW" localSheetId="9">'[12]Func Study'!#REF!</definedName>
    <definedName name="UAcct453CAGW" localSheetId="15">'[12]Func Study'!#REF!</definedName>
    <definedName name="UAcct453CAGW" localSheetId="16">'[12]Func Study'!#REF!</definedName>
    <definedName name="UAcct453CAGW" localSheetId="14">'[12]Func Study'!#REF!</definedName>
    <definedName name="UAcct453CAGW" localSheetId="26">'[12]Func Study'!#REF!</definedName>
    <definedName name="UAcct453CAGW" localSheetId="12">'[12]Func Study'!#REF!</definedName>
    <definedName name="UAcct453CAGW">'[12]Func Study'!#REF!</definedName>
    <definedName name="UAcct454">'[14]Func Study'!$AB$322</definedName>
    <definedName name="UAcct454JBG">'[14]Func Study'!$AB$319</definedName>
    <definedName name="UAcct454S">'[14]Func Study'!$AB$318</definedName>
    <definedName name="UAcct454Sg">'[14]Func Study'!$AB$320</definedName>
    <definedName name="UAcct454So">'[14]Func Study'!$AB$321</definedName>
    <definedName name="UAcct456">'[14]Func Study'!$AB$332</definedName>
    <definedName name="UAcct456CAEW">'[14]Func Study'!$AB$331</definedName>
    <definedName name="UAcct456S">'[14]Func Study'!$AB$325</definedName>
    <definedName name="UAcct456So">'[14]Func Study'!$AB$329</definedName>
    <definedName name="UAcct500">'[14]Func Study'!$AB$416</definedName>
    <definedName name="UAcct500JBG">'[14]Func Study'!$AB$414</definedName>
    <definedName name="UAcct501">'[14]Func Study'!$AB$423</definedName>
    <definedName name="UAcct501CAEW">'[14]Func Study'!$AB$420</definedName>
    <definedName name="UAcct501JBE">'[14]Func Study'!$AB$421</definedName>
    <definedName name="UACCT501NPCCAEW">'[14]Func Study'!$AB$426</definedName>
    <definedName name="UAcct502">'[14]Func Study'!$AB$433</definedName>
    <definedName name="UAcct502CAGE">'[14]Func Study'!$AB$431</definedName>
    <definedName name="UAcct502JBG" localSheetId="2">'[12]Func Study'!#REF!</definedName>
    <definedName name="UAcct502JBG" localSheetId="3">'[12]Func Study'!#REF!</definedName>
    <definedName name="UAcct502JBG" localSheetId="4">'[12]Func Study'!#REF!</definedName>
    <definedName name="UAcct502JBG" localSheetId="5">'[12]Func Study'!#REF!</definedName>
    <definedName name="UAcct502JBG" localSheetId="8">'[12]Func Study'!#REF!</definedName>
    <definedName name="UAcct502JBG" localSheetId="7">'[12]Func Study'!#REF!</definedName>
    <definedName name="UAcct502JBG" localSheetId="6">'[12]Func Study'!#REF!</definedName>
    <definedName name="UAcct502JBG" localSheetId="1">'[12]Func Study'!#REF!</definedName>
    <definedName name="UAcct502JBG" localSheetId="35">'[12]Func Study'!#REF!</definedName>
    <definedName name="UAcct502JBG" localSheetId="11">'[12]Func Study'!#REF!</definedName>
    <definedName name="UAcct502JBG" localSheetId="9">'[12]Func Study'!#REF!</definedName>
    <definedName name="UAcct502JBG" localSheetId="15">'[12]Func Study'!#REF!</definedName>
    <definedName name="UAcct502JBG" localSheetId="16">'[12]Func Study'!#REF!</definedName>
    <definedName name="UAcct502JBG" localSheetId="14">'[12]Func Study'!#REF!</definedName>
    <definedName name="UAcct502JBG" localSheetId="26">'[12]Func Study'!#REF!</definedName>
    <definedName name="UAcct502JBG" localSheetId="12">'[12]Func Study'!#REF!</definedName>
    <definedName name="UAcct502JBG" localSheetId="32">'[12]Func Study'!#REF!</definedName>
    <definedName name="UAcct502JBG">'[12]Func Study'!#REF!</definedName>
    <definedName name="UAcct503">'[14]Func Study'!$AB$437</definedName>
    <definedName name="UACCT503NPC">'[14]Func Study'!$AB$443</definedName>
    <definedName name="UAcct505">'[14]Func Study'!$AB$449</definedName>
    <definedName name="UAcct505CAGE">'[14]Func Study'!$AB$447</definedName>
    <definedName name="UAcct505JBG" localSheetId="2">'[12]Func Study'!#REF!</definedName>
    <definedName name="UAcct505JBG" localSheetId="3">'[12]Func Study'!#REF!</definedName>
    <definedName name="UAcct505JBG" localSheetId="4">'[12]Func Study'!#REF!</definedName>
    <definedName name="UAcct505JBG" localSheetId="5">'[12]Func Study'!#REF!</definedName>
    <definedName name="UAcct505JBG" localSheetId="8">'[12]Func Study'!#REF!</definedName>
    <definedName name="UAcct505JBG" localSheetId="7">'[12]Func Study'!#REF!</definedName>
    <definedName name="UAcct505JBG" localSheetId="6">'[12]Func Study'!#REF!</definedName>
    <definedName name="UAcct505JBG" localSheetId="1">'[12]Func Study'!#REF!</definedName>
    <definedName name="UAcct505JBG" localSheetId="35">'[12]Func Study'!#REF!</definedName>
    <definedName name="UAcct505JBG" localSheetId="11">'[12]Func Study'!#REF!</definedName>
    <definedName name="UAcct505JBG" localSheetId="9">'[12]Func Study'!#REF!</definedName>
    <definedName name="UAcct505JBG" localSheetId="15">'[12]Func Study'!#REF!</definedName>
    <definedName name="UAcct505JBG" localSheetId="16">'[12]Func Study'!#REF!</definedName>
    <definedName name="UAcct505JBG" localSheetId="14">'[12]Func Study'!#REF!</definedName>
    <definedName name="UAcct505JBG" localSheetId="26">'[12]Func Study'!#REF!</definedName>
    <definedName name="UAcct505JBG" localSheetId="12">'[12]Func Study'!#REF!</definedName>
    <definedName name="UAcct505JBG" localSheetId="32">'[12]Func Study'!#REF!</definedName>
    <definedName name="UAcct505JBG">'[12]Func Study'!#REF!</definedName>
    <definedName name="UAcct506">'[14]Func Study'!$AB$455</definedName>
    <definedName name="UAcct506CAGE">'[14]Func Study'!$AB$452</definedName>
    <definedName name="UAcct506JBG" localSheetId="2">'[12]Func Study'!#REF!</definedName>
    <definedName name="UAcct506JBG" localSheetId="3">'[12]Func Study'!#REF!</definedName>
    <definedName name="UAcct506JBG" localSheetId="4">'[12]Func Study'!#REF!</definedName>
    <definedName name="UAcct506JBG" localSheetId="5">'[12]Func Study'!#REF!</definedName>
    <definedName name="UAcct506JBG" localSheetId="8">'[12]Func Study'!#REF!</definedName>
    <definedName name="UAcct506JBG" localSheetId="7">'[12]Func Study'!#REF!</definedName>
    <definedName name="UAcct506JBG" localSheetId="6">'[12]Func Study'!#REF!</definedName>
    <definedName name="UAcct506JBG" localSheetId="1">'[12]Func Study'!#REF!</definedName>
    <definedName name="UAcct506JBG" localSheetId="35">'[12]Func Study'!#REF!</definedName>
    <definedName name="UAcct506JBG" localSheetId="11">'[12]Func Study'!#REF!</definedName>
    <definedName name="UAcct506JBG" localSheetId="9">'[12]Func Study'!#REF!</definedName>
    <definedName name="UAcct506JBG" localSheetId="15">'[12]Func Study'!#REF!</definedName>
    <definedName name="UAcct506JBG" localSheetId="16">'[12]Func Study'!#REF!</definedName>
    <definedName name="UAcct506JBG" localSheetId="14">'[12]Func Study'!#REF!</definedName>
    <definedName name="UAcct506JBG" localSheetId="26">'[12]Func Study'!#REF!</definedName>
    <definedName name="UAcct506JBG" localSheetId="12">'[12]Func Study'!#REF!</definedName>
    <definedName name="UAcct506JBG" localSheetId="32">'[12]Func Study'!#REF!</definedName>
    <definedName name="UAcct506JBG">'[12]Func Study'!#REF!</definedName>
    <definedName name="UAcct507">'[14]Func Study'!$AB$464</definedName>
    <definedName name="UAcct507CAGE">'[14]Func Study'!$AB$462</definedName>
    <definedName name="UAcct507JBG" localSheetId="2">'[12]Func Study'!#REF!</definedName>
    <definedName name="UAcct507JBG" localSheetId="3">'[12]Func Study'!#REF!</definedName>
    <definedName name="UAcct507JBG" localSheetId="4">'[12]Func Study'!#REF!</definedName>
    <definedName name="UAcct507JBG" localSheetId="5">'[12]Func Study'!#REF!</definedName>
    <definedName name="UAcct507JBG" localSheetId="8">'[12]Func Study'!#REF!</definedName>
    <definedName name="UAcct507JBG" localSheetId="7">'[12]Func Study'!#REF!</definedName>
    <definedName name="UAcct507JBG" localSheetId="6">'[12]Func Study'!#REF!</definedName>
    <definedName name="UAcct507JBG" localSheetId="1">'[12]Func Study'!#REF!</definedName>
    <definedName name="UAcct507JBG" localSheetId="35">'[12]Func Study'!#REF!</definedName>
    <definedName name="UAcct507JBG" localSheetId="11">'[12]Func Study'!#REF!</definedName>
    <definedName name="UAcct507JBG" localSheetId="9">'[12]Func Study'!#REF!</definedName>
    <definedName name="UAcct507JBG" localSheetId="15">'[12]Func Study'!#REF!</definedName>
    <definedName name="UAcct507JBG" localSheetId="16">'[12]Func Study'!#REF!</definedName>
    <definedName name="UAcct507JBG" localSheetId="14">'[12]Func Study'!#REF!</definedName>
    <definedName name="UAcct507JBG" localSheetId="26">'[12]Func Study'!#REF!</definedName>
    <definedName name="UAcct507JBG" localSheetId="12">'[12]Func Study'!#REF!</definedName>
    <definedName name="UAcct507JBG" localSheetId="32">'[12]Func Study'!#REF!</definedName>
    <definedName name="UAcct507JBG">'[12]Func Study'!#REF!</definedName>
    <definedName name="UAcct510">'[14]Func Study'!$AB$469</definedName>
    <definedName name="UAcct510CAGE">'[14]Func Study'!$AB$467</definedName>
    <definedName name="UAcct510JBG" localSheetId="2">'[12]Func Study'!#REF!</definedName>
    <definedName name="UAcct510JBG" localSheetId="3">'[12]Func Study'!#REF!</definedName>
    <definedName name="UAcct510JBG" localSheetId="4">'[12]Func Study'!#REF!</definedName>
    <definedName name="UAcct510JBG" localSheetId="5">'[12]Func Study'!#REF!</definedName>
    <definedName name="UAcct510JBG" localSheetId="8">'[12]Func Study'!#REF!</definedName>
    <definedName name="UAcct510JBG" localSheetId="7">'[12]Func Study'!#REF!</definedName>
    <definedName name="UAcct510JBG" localSheetId="6">'[12]Func Study'!#REF!</definedName>
    <definedName name="UAcct510JBG" localSheetId="1">'[12]Func Study'!#REF!</definedName>
    <definedName name="UAcct510JBG" localSheetId="35">'[12]Func Study'!#REF!</definedName>
    <definedName name="UAcct510JBG" localSheetId="11">'[12]Func Study'!#REF!</definedName>
    <definedName name="UAcct510JBG" localSheetId="9">'[12]Func Study'!#REF!</definedName>
    <definedName name="UAcct510JBG" localSheetId="15">'[12]Func Study'!#REF!</definedName>
    <definedName name="UAcct510JBG" localSheetId="16">'[12]Func Study'!#REF!</definedName>
    <definedName name="UAcct510JBG" localSheetId="14">'[12]Func Study'!#REF!</definedName>
    <definedName name="UAcct510JBG" localSheetId="26">'[12]Func Study'!#REF!</definedName>
    <definedName name="UAcct510JBG" localSheetId="12">'[12]Func Study'!#REF!</definedName>
    <definedName name="UAcct510JBG" localSheetId="32">'[12]Func Study'!#REF!</definedName>
    <definedName name="UAcct510JBG">'[12]Func Study'!#REF!</definedName>
    <definedName name="UAcct511">'[14]Func Study'!$AB$474</definedName>
    <definedName name="UAcct511CAGE">'[14]Func Study'!$AB$472</definedName>
    <definedName name="UAcct511JBG" localSheetId="2">'[12]Func Study'!#REF!</definedName>
    <definedName name="UAcct511JBG" localSheetId="3">'[12]Func Study'!#REF!</definedName>
    <definedName name="UAcct511JBG" localSheetId="4">'[12]Func Study'!#REF!</definedName>
    <definedName name="UAcct511JBG" localSheetId="5">'[12]Func Study'!#REF!</definedName>
    <definedName name="UAcct511JBG" localSheetId="8">'[12]Func Study'!#REF!</definedName>
    <definedName name="UAcct511JBG" localSheetId="7">'[12]Func Study'!#REF!</definedName>
    <definedName name="UAcct511JBG" localSheetId="6">'[12]Func Study'!#REF!</definedName>
    <definedName name="UAcct511JBG" localSheetId="1">'[12]Func Study'!#REF!</definedName>
    <definedName name="UAcct511JBG" localSheetId="35">'[12]Func Study'!#REF!</definedName>
    <definedName name="UAcct511JBG" localSheetId="11">'[12]Func Study'!#REF!</definedName>
    <definedName name="UAcct511JBG" localSheetId="9">'[12]Func Study'!#REF!</definedName>
    <definedName name="UAcct511JBG" localSheetId="15">'[12]Func Study'!#REF!</definedName>
    <definedName name="UAcct511JBG" localSheetId="16">'[12]Func Study'!#REF!</definedName>
    <definedName name="UAcct511JBG" localSheetId="14">'[12]Func Study'!#REF!</definedName>
    <definedName name="UAcct511JBG" localSheetId="26">'[12]Func Study'!#REF!</definedName>
    <definedName name="UAcct511JBG" localSheetId="12">'[12]Func Study'!#REF!</definedName>
    <definedName name="UAcct511JBG" localSheetId="32">'[12]Func Study'!#REF!</definedName>
    <definedName name="UAcct511JBG">'[12]Func Study'!#REF!</definedName>
    <definedName name="UAcct512">'[14]Func Study'!$AB$479</definedName>
    <definedName name="UAcct512CAGE">'[14]Func Study'!$AB$477</definedName>
    <definedName name="UAcct512JBG" localSheetId="2">'[12]Func Study'!#REF!</definedName>
    <definedName name="UAcct512JBG" localSheetId="3">'[12]Func Study'!#REF!</definedName>
    <definedName name="UAcct512JBG" localSheetId="4">'[12]Func Study'!#REF!</definedName>
    <definedName name="UAcct512JBG" localSheetId="5">'[12]Func Study'!#REF!</definedName>
    <definedName name="UAcct512JBG" localSheetId="8">'[12]Func Study'!#REF!</definedName>
    <definedName name="UAcct512JBG" localSheetId="7">'[12]Func Study'!#REF!</definedName>
    <definedName name="UAcct512JBG" localSheetId="6">'[12]Func Study'!#REF!</definedName>
    <definedName name="UAcct512JBG" localSheetId="1">'[12]Func Study'!#REF!</definedName>
    <definedName name="UAcct512JBG" localSheetId="35">'[12]Func Study'!#REF!</definedName>
    <definedName name="UAcct512JBG" localSheetId="11">'[12]Func Study'!#REF!</definedName>
    <definedName name="UAcct512JBG" localSheetId="9">'[12]Func Study'!#REF!</definedName>
    <definedName name="UAcct512JBG" localSheetId="15">'[12]Func Study'!#REF!</definedName>
    <definedName name="UAcct512JBG" localSheetId="16">'[12]Func Study'!#REF!</definedName>
    <definedName name="UAcct512JBG" localSheetId="14">'[12]Func Study'!#REF!</definedName>
    <definedName name="UAcct512JBG" localSheetId="26">'[12]Func Study'!#REF!</definedName>
    <definedName name="UAcct512JBG" localSheetId="12">'[12]Func Study'!#REF!</definedName>
    <definedName name="UAcct512JBG" localSheetId="32">'[12]Func Study'!#REF!</definedName>
    <definedName name="UAcct512JBG">'[12]Func Study'!#REF!</definedName>
    <definedName name="UAcct513">'[14]Func Study'!$AB$484</definedName>
    <definedName name="UAcct513CAGE">'[14]Func Study'!$AB$482</definedName>
    <definedName name="UAcct513JBG" localSheetId="2">'[12]Func Study'!#REF!</definedName>
    <definedName name="UAcct513JBG" localSheetId="3">'[12]Func Study'!#REF!</definedName>
    <definedName name="UAcct513JBG" localSheetId="4">'[12]Func Study'!#REF!</definedName>
    <definedName name="UAcct513JBG" localSheetId="5">'[12]Func Study'!#REF!</definedName>
    <definedName name="UAcct513JBG" localSheetId="8">'[12]Func Study'!#REF!</definedName>
    <definedName name="UAcct513JBG" localSheetId="7">'[12]Func Study'!#REF!</definedName>
    <definedName name="UAcct513JBG" localSheetId="6">'[12]Func Study'!#REF!</definedName>
    <definedName name="UAcct513JBG" localSheetId="1">'[12]Func Study'!#REF!</definedName>
    <definedName name="UAcct513JBG" localSheetId="35">'[12]Func Study'!#REF!</definedName>
    <definedName name="UAcct513JBG" localSheetId="11">'[12]Func Study'!#REF!</definedName>
    <definedName name="UAcct513JBG" localSheetId="9">'[12]Func Study'!#REF!</definedName>
    <definedName name="UAcct513JBG" localSheetId="15">'[12]Func Study'!#REF!</definedName>
    <definedName name="UAcct513JBG" localSheetId="16">'[12]Func Study'!#REF!</definedName>
    <definedName name="UAcct513JBG" localSheetId="14">'[12]Func Study'!#REF!</definedName>
    <definedName name="UAcct513JBG" localSheetId="26">'[12]Func Study'!#REF!</definedName>
    <definedName name="UAcct513JBG" localSheetId="12">'[12]Func Study'!#REF!</definedName>
    <definedName name="UAcct513JBG" localSheetId="32">'[12]Func Study'!#REF!</definedName>
    <definedName name="UAcct513JBG">'[12]Func Study'!#REF!</definedName>
    <definedName name="UAcct514">'[14]Func Study'!$AB$489</definedName>
    <definedName name="UAcct514CAGE">'[14]Func Study'!$AB$487</definedName>
    <definedName name="UAcct514JBG" localSheetId="2">'[12]Func Study'!#REF!</definedName>
    <definedName name="UAcct514JBG" localSheetId="3">'[12]Func Study'!#REF!</definedName>
    <definedName name="UAcct514JBG" localSheetId="4">'[12]Func Study'!#REF!</definedName>
    <definedName name="UAcct514JBG" localSheetId="5">'[12]Func Study'!#REF!</definedName>
    <definedName name="UAcct514JBG" localSheetId="8">'[12]Func Study'!#REF!</definedName>
    <definedName name="UAcct514JBG" localSheetId="7">'[12]Func Study'!#REF!</definedName>
    <definedName name="UAcct514JBG" localSheetId="6">'[12]Func Study'!#REF!</definedName>
    <definedName name="UAcct514JBG" localSheetId="1">'[12]Func Study'!#REF!</definedName>
    <definedName name="UAcct514JBG" localSheetId="35">'[12]Func Study'!#REF!</definedName>
    <definedName name="UAcct514JBG" localSheetId="11">'[12]Func Study'!#REF!</definedName>
    <definedName name="UAcct514JBG" localSheetId="9">'[12]Func Study'!#REF!</definedName>
    <definedName name="UAcct514JBG" localSheetId="15">'[12]Func Study'!#REF!</definedName>
    <definedName name="UAcct514JBG" localSheetId="16">'[12]Func Study'!#REF!</definedName>
    <definedName name="UAcct514JBG" localSheetId="14">'[12]Func Study'!#REF!</definedName>
    <definedName name="UAcct514JBG" localSheetId="26">'[12]Func Study'!#REF!</definedName>
    <definedName name="UAcct514JBG" localSheetId="12">'[12]Func Study'!#REF!</definedName>
    <definedName name="UAcct514JBG" localSheetId="32">'[12]Func Study'!#REF!</definedName>
    <definedName name="UAcct514JBG">'[12]Func Study'!#REF!</definedName>
    <definedName name="UAcct517">'[14]Func Study'!$AB$498</definedName>
    <definedName name="UAcct518">'[14]Func Study'!$AB$502</definedName>
    <definedName name="UAcct519">'[14]Func Study'!$AB$507</definedName>
    <definedName name="UAcct520">'[14]Func Study'!$AB$511</definedName>
    <definedName name="UAcct523">'[14]Func Study'!$AB$515</definedName>
    <definedName name="UAcct524">'[14]Func Study'!$AB$519</definedName>
    <definedName name="UAcct528">'[14]Func Study'!$AB$523</definedName>
    <definedName name="UAcct529">'[14]Func Study'!$AB$527</definedName>
    <definedName name="UAcct530">'[14]Func Study'!$AB$531</definedName>
    <definedName name="UAcct531">'[14]Func Study'!$AB$535</definedName>
    <definedName name="UAcct532">'[14]Func Study'!$AB$539</definedName>
    <definedName name="UAcct535">'[14]Func Study'!$AB$551</definedName>
    <definedName name="UAcct536">'[14]Func Study'!$AB$555</definedName>
    <definedName name="UAcct537">'[14]Func Study'!$AB$559</definedName>
    <definedName name="UAcct538">'[14]Func Study'!$AB$563</definedName>
    <definedName name="UAcct539">'[14]Func Study'!$AB$568</definedName>
    <definedName name="UAcct540">'[14]Func Study'!$AB$572</definedName>
    <definedName name="UAcct541">'[14]Func Study'!$AB$576</definedName>
    <definedName name="UAcct542">'[14]Func Study'!$AB$580</definedName>
    <definedName name="UAcct543">'[14]Func Study'!$AB$584</definedName>
    <definedName name="UAcct544">'[14]Func Study'!$AB$588</definedName>
    <definedName name="UAcct545">'[14]Func Study'!$AB$592</definedName>
    <definedName name="UAcct546">'[14]Func Study'!$AB$606</definedName>
    <definedName name="UAcct546CAGE">'[14]Func Study'!$AB$605</definedName>
    <definedName name="UAcct547CAEW">'[14]Func Study'!$AB$610</definedName>
    <definedName name="UACCT547NPCCAEW">'[14]Func Study'!$AB$613</definedName>
    <definedName name="UAcct547Se">'[14]Func Study'!$AB$609</definedName>
    <definedName name="UAcct548">'[14]Func Study'!$AB$621</definedName>
    <definedName name="UACCT548CAGE">'[14]Func Study'!$AB$620</definedName>
    <definedName name="UAcct549">'[14]Func Study'!$AB$626</definedName>
    <definedName name="Uacct549CAGE">'[14]Func Study'!$AB$625</definedName>
    <definedName name="UAcct5506SE" localSheetId="2">'[12]Func Study'!#REF!</definedName>
    <definedName name="UAcct5506SE" localSheetId="3">'[12]Func Study'!#REF!</definedName>
    <definedName name="UAcct5506SE" localSheetId="4">'[12]Func Study'!#REF!</definedName>
    <definedName name="UAcct5506SE" localSheetId="5">'[12]Func Study'!#REF!</definedName>
    <definedName name="UAcct5506SE" localSheetId="8">'[12]Func Study'!#REF!</definedName>
    <definedName name="UAcct5506SE" localSheetId="7">'[12]Func Study'!#REF!</definedName>
    <definedName name="UAcct5506SE" localSheetId="6">'[12]Func Study'!#REF!</definedName>
    <definedName name="UAcct5506SE" localSheetId="1">'[12]Func Study'!#REF!</definedName>
    <definedName name="UAcct5506SE" localSheetId="35">'[12]Func Study'!#REF!</definedName>
    <definedName name="UAcct5506SE" localSheetId="11">'[12]Func Study'!#REF!</definedName>
    <definedName name="UAcct5506SE" localSheetId="9">'[12]Func Study'!#REF!</definedName>
    <definedName name="UAcct5506SE" localSheetId="15">'[12]Func Study'!#REF!</definedName>
    <definedName name="UAcct5506SE" localSheetId="16">'[12]Func Study'!#REF!</definedName>
    <definedName name="UAcct5506SE" localSheetId="14">'[12]Func Study'!#REF!</definedName>
    <definedName name="UAcct5506SE" localSheetId="26">'[12]Func Study'!#REF!</definedName>
    <definedName name="UAcct5506SE" localSheetId="12">'[12]Func Study'!#REF!</definedName>
    <definedName name="UAcct5506SE" localSheetId="32">'[12]Func Study'!#REF!</definedName>
    <definedName name="UAcct5506SE">'[12]Func Study'!#REF!</definedName>
    <definedName name="UAcct551CAGE">'[14]Func Study'!$AB$634</definedName>
    <definedName name="UACCT551SG">'[14]Func Study'!$AB$635</definedName>
    <definedName name="UACCT552CAGE">'[14]Func Study'!$AB$640</definedName>
    <definedName name="UAcct552SG">'[14]Func Study'!$AB$639</definedName>
    <definedName name="UACCT553CAGE">'[14]Func Study'!$AB$646</definedName>
    <definedName name="UAcct553SG">'[14]Func Study'!$AB$645</definedName>
    <definedName name="UACCT554CAGE">'[14]Func Study'!$AB$651</definedName>
    <definedName name="UAcct554SG">'[14]Func Study'!$AB$650</definedName>
    <definedName name="UAcct555CAEE" localSheetId="2">'[12]Func Study'!#REF!</definedName>
    <definedName name="UAcct555CAEE" localSheetId="3">'[12]Func Study'!#REF!</definedName>
    <definedName name="UAcct555CAEE" localSheetId="4">'[12]Func Study'!#REF!</definedName>
    <definedName name="UAcct555CAEE" localSheetId="5">'[12]Func Study'!#REF!</definedName>
    <definedName name="UAcct555CAEE" localSheetId="8">'[12]Func Study'!#REF!</definedName>
    <definedName name="UAcct555CAEE" localSheetId="7">'[12]Func Study'!#REF!</definedName>
    <definedName name="UAcct555CAEE" localSheetId="6">'[12]Func Study'!#REF!</definedName>
    <definedName name="UAcct555CAEE" localSheetId="1">'[12]Func Study'!#REF!</definedName>
    <definedName name="UAcct555CAEE" localSheetId="35">'[12]Func Study'!#REF!</definedName>
    <definedName name="UAcct555CAEE" localSheetId="11">'[12]Func Study'!#REF!</definedName>
    <definedName name="UAcct555CAEE" localSheetId="9">'[12]Func Study'!#REF!</definedName>
    <definedName name="UAcct555CAEE" localSheetId="15">'[12]Func Study'!#REF!</definedName>
    <definedName name="UAcct555CAEE" localSheetId="16">'[12]Func Study'!#REF!</definedName>
    <definedName name="UAcct555CAEE" localSheetId="14">'[12]Func Study'!#REF!</definedName>
    <definedName name="UAcct555CAEE" localSheetId="26">'[12]Func Study'!#REF!</definedName>
    <definedName name="UAcct555CAEE" localSheetId="12">'[12]Func Study'!#REF!</definedName>
    <definedName name="UAcct555CAEE" localSheetId="32">'[12]Func Study'!#REF!</definedName>
    <definedName name="UAcct555CAEE">'[12]Func Study'!#REF!</definedName>
    <definedName name="UAcct555CAEW">'[14]Func Study'!$AB$665</definedName>
    <definedName name="UAcct555CAGE" localSheetId="2">'[12]Func Study'!#REF!</definedName>
    <definedName name="UAcct555CAGE" localSheetId="3">'[12]Func Study'!#REF!</definedName>
    <definedName name="UAcct555CAGE" localSheetId="4">'[12]Func Study'!#REF!</definedName>
    <definedName name="UAcct555CAGE" localSheetId="5">'[12]Func Study'!#REF!</definedName>
    <definedName name="UAcct555CAGE" localSheetId="8">'[12]Func Study'!#REF!</definedName>
    <definedName name="UAcct555CAGE" localSheetId="7">'[12]Func Study'!#REF!</definedName>
    <definedName name="UAcct555CAGE" localSheetId="6">'[12]Func Study'!#REF!</definedName>
    <definedName name="UAcct555CAGE" localSheetId="1">'[12]Func Study'!#REF!</definedName>
    <definedName name="UAcct555CAGE" localSheetId="35">'[12]Func Study'!#REF!</definedName>
    <definedName name="UAcct555CAGE" localSheetId="11">'[12]Func Study'!#REF!</definedName>
    <definedName name="UAcct555CAGE" localSheetId="9">'[12]Func Study'!#REF!</definedName>
    <definedName name="UAcct555CAGE" localSheetId="15">'[12]Func Study'!#REF!</definedName>
    <definedName name="UAcct555CAGE" localSheetId="16">'[12]Func Study'!#REF!</definedName>
    <definedName name="UAcct555CAGE" localSheetId="14">'[12]Func Study'!#REF!</definedName>
    <definedName name="UAcct555CAGE" localSheetId="26">'[12]Func Study'!#REF!</definedName>
    <definedName name="UAcct555CAGE" localSheetId="12">'[12]Func Study'!#REF!</definedName>
    <definedName name="UAcct555CAGE" localSheetId="32">'[12]Func Study'!#REF!</definedName>
    <definedName name="UAcct555CAGE">'[12]Func Study'!#REF!</definedName>
    <definedName name="UAcct555CAGW">'[14]Func Study'!$AB$664</definedName>
    <definedName name="UACCT555DGP">'[14]Func Study'!$AB$670</definedName>
    <definedName name="UACCT555NPCCAEW">'[14]Func Study'!$AB$669</definedName>
    <definedName name="UACCT555NPCCAGW">'[14]Func Study'!$AB$668</definedName>
    <definedName name="UAcct555S">'[14]Func Study'!$AB$663</definedName>
    <definedName name="UAcct555Se">'[14]Func Study'!$AB$665</definedName>
    <definedName name="UACCT555SG">'[14]Func Study'!$AB$664</definedName>
    <definedName name="UAcct556">'[14]Func Study'!$AB$676</definedName>
    <definedName name="UAcct557">'[14]Func Study'!$AB$685</definedName>
    <definedName name="UAcct560">'[14]Func Study'!$AB$715</definedName>
    <definedName name="UAcct561">'[14]Func Study'!$AB$720</definedName>
    <definedName name="UAcct562">'[14]Func Study'!$AB$726</definedName>
    <definedName name="UAcct563">'[14]Func Study'!$AB$731</definedName>
    <definedName name="UAcct564">'[14]Func Study'!$AB$735</definedName>
    <definedName name="UAcct565">'[14]Func Study'!$AB$739</definedName>
    <definedName name="UACCT565NPC">'[14]Func Study'!$AB$744</definedName>
    <definedName name="UACCT565NPCCAGW">'[14]Func Study'!$AB$742</definedName>
    <definedName name="UAcct566">'[14]Func Study'!$AB$748</definedName>
    <definedName name="UAcct567">'[14]Func Study'!$AB$752</definedName>
    <definedName name="UAcct568">'[14]Func Study'!$AB$756</definedName>
    <definedName name="UAcct569">'[14]Func Study'!$AB$760</definedName>
    <definedName name="UAcct570">'[14]Func Study'!$AB$765</definedName>
    <definedName name="UAcct571">'[14]Func Study'!$AB$770</definedName>
    <definedName name="UAcct572">'[14]Func Study'!$AB$774</definedName>
    <definedName name="UAcct573">'[14]Func Study'!$AB$778</definedName>
    <definedName name="UAcct580">'[14]Func Study'!$AB$791</definedName>
    <definedName name="UAcct581">'[14]Func Study'!$AB$796</definedName>
    <definedName name="UAcct582">'[14]Func Study'!$AB$801</definedName>
    <definedName name="UAcct583">'[14]Func Study'!$AB$806</definedName>
    <definedName name="UAcct584">'[14]Func Study'!$AB$811</definedName>
    <definedName name="UAcct585">'[14]Func Study'!$AB$816</definedName>
    <definedName name="UAcct586">'[14]Func Study'!$AB$821</definedName>
    <definedName name="UAcct587">'[14]Func Study'!$AB$826</definedName>
    <definedName name="UAcct588">'[14]Func Study'!$AB$831</definedName>
    <definedName name="UAcct589">'[14]Func Study'!$AB$836</definedName>
    <definedName name="UAcct590">'[14]Func Study'!$AB$841</definedName>
    <definedName name="UAcct591">'[14]Func Study'!$AB$846</definedName>
    <definedName name="UAcct592">'[14]Func Study'!$AB$851</definedName>
    <definedName name="UAcct593">'[14]Func Study'!$AB$856</definedName>
    <definedName name="UAcct594">'[14]Func Study'!$AB$861</definedName>
    <definedName name="UAcct595">'[14]Func Study'!$AB$866</definedName>
    <definedName name="UAcct596">'[14]Func Study'!$AB$876</definedName>
    <definedName name="UAcct597">'[14]Func Study'!$AB$881</definedName>
    <definedName name="UAcct598">'[14]Func Study'!$AB$886</definedName>
    <definedName name="UAcct901">'[14]Func Study'!$AB$898</definedName>
    <definedName name="UAcct902">'[14]Func Study'!$AB$903</definedName>
    <definedName name="UAcct903">'[14]Func Study'!$AB$908</definedName>
    <definedName name="UAcct904">'[14]Func Study'!$AB$914</definedName>
    <definedName name="Uacct904SG" localSheetId="2">'[17]Functional Study'!#REF!</definedName>
    <definedName name="Uacct904SG" localSheetId="3">'[17]Functional Study'!#REF!</definedName>
    <definedName name="Uacct904SG" localSheetId="4">'[17]Functional Study'!#REF!</definedName>
    <definedName name="Uacct904SG" localSheetId="5">'[17]Functional Study'!#REF!</definedName>
    <definedName name="Uacct904SG" localSheetId="8">'[17]Functional Study'!#REF!</definedName>
    <definedName name="Uacct904SG" localSheetId="7">'[17]Functional Study'!#REF!</definedName>
    <definedName name="Uacct904SG" localSheetId="6">'[17]Functional Study'!#REF!</definedName>
    <definedName name="Uacct904SG" localSheetId="1">'[17]Functional Study'!#REF!</definedName>
    <definedName name="Uacct904SG" localSheetId="35">'[17]Functional Study'!#REF!</definedName>
    <definedName name="Uacct904SG" localSheetId="11">'[17]Functional Study'!#REF!</definedName>
    <definedName name="Uacct904SG" localSheetId="9">'[17]Functional Study'!#REF!</definedName>
    <definedName name="Uacct904SG" localSheetId="15">'[17]Functional Study'!#REF!</definedName>
    <definedName name="Uacct904SG" localSheetId="16">'[17]Functional Study'!#REF!</definedName>
    <definedName name="Uacct904SG" localSheetId="14">'[17]Functional Study'!#REF!</definedName>
    <definedName name="Uacct904SG" localSheetId="26">'[17]Functional Study'!#REF!</definedName>
    <definedName name="Uacct904SG" localSheetId="12">'[17]Functional Study'!#REF!</definedName>
    <definedName name="Uacct904SG" localSheetId="32">'[18]Functional Study'!#REF!</definedName>
    <definedName name="Uacct904SG">'[17]Functional Study'!#REF!</definedName>
    <definedName name="UAcct905">'[14]Func Study'!$AB$919</definedName>
    <definedName name="UAcct907">'[14]Func Study'!$AB$933</definedName>
    <definedName name="UAcct908">'[14]Func Study'!$AB$938</definedName>
    <definedName name="UAcct909">'[14]Func Study'!$AB$943</definedName>
    <definedName name="UAcct910">'[14]Func Study'!$AB$948</definedName>
    <definedName name="UAcct911">'[14]Func Study'!$AB$959</definedName>
    <definedName name="UAcct912">'[14]Func Study'!$AB$964</definedName>
    <definedName name="UAcct913">'[14]Func Study'!$AB$969</definedName>
    <definedName name="UAcct916">'[14]Func Study'!$AB$974</definedName>
    <definedName name="UAcct920">'[14]Func Study'!$AB$985</definedName>
    <definedName name="UAcct920Cn">'[14]Func Study'!$AB$983</definedName>
    <definedName name="UAcct921">'[14]Func Study'!$AB$991</definedName>
    <definedName name="UAcct921Cn">'[14]Func Study'!$AB$989</definedName>
    <definedName name="UAcct923">'[14]Func Study'!$AB$997</definedName>
    <definedName name="UAcct923CAGW">'[14]Func Study'!$AB$995</definedName>
    <definedName name="UAcct924">'[14]Func Study'!$AB$1001</definedName>
    <definedName name="UAcct925">'[14]Func Study'!$AB$1005</definedName>
    <definedName name="UAcct926">'[14]Func Study'!$AB$1011</definedName>
    <definedName name="UAcct927">'[14]Func Study'!$AB$1016</definedName>
    <definedName name="UAcct928">'[14]Func Study'!$AB$1023</definedName>
    <definedName name="UAcct929">'[14]Func Study'!$AB$1028</definedName>
    <definedName name="UAcct930">'[14]Func Study'!$AB$1034</definedName>
    <definedName name="UAcct931">'[14]Func Study'!$AB$1039</definedName>
    <definedName name="UAcct935">'[14]Func Study'!$AB$1045</definedName>
    <definedName name="UAcctAGA">'[14]Func Study'!$AB$296</definedName>
    <definedName name="UAcctcwc">'[14]Func Study'!$AB$2136</definedName>
    <definedName name="UAcctd00">'[14]Func Study'!$AB$1786</definedName>
    <definedName name="UAcctdfa" localSheetId="2">'[14]Func Study'!#REF!</definedName>
    <definedName name="UAcctdfa" localSheetId="3">'[14]Func Study'!#REF!</definedName>
    <definedName name="UAcctdfa" localSheetId="4">'[14]Func Study'!#REF!</definedName>
    <definedName name="UAcctdfa" localSheetId="5">'[14]Func Study'!#REF!</definedName>
    <definedName name="UAcctdfa" localSheetId="8">'[14]Func Study'!#REF!</definedName>
    <definedName name="UAcctdfa" localSheetId="7">'[14]Func Study'!#REF!</definedName>
    <definedName name="UAcctdfa" localSheetId="6">'[14]Func Study'!#REF!</definedName>
    <definedName name="UAcctdfa" localSheetId="1">'[14]Func Study'!#REF!</definedName>
    <definedName name="UAcctdfa" localSheetId="35">'[14]Func Study'!#REF!</definedName>
    <definedName name="UAcctdfa" localSheetId="11">'[14]Func Study'!#REF!</definedName>
    <definedName name="UAcctdfa" localSheetId="9">'[14]Func Study'!#REF!</definedName>
    <definedName name="UAcctdfa" localSheetId="16">'[14]Func Study'!#REF!</definedName>
    <definedName name="UAcctdfa" localSheetId="14">'[14]Func Study'!#REF!</definedName>
    <definedName name="UAcctdfa" localSheetId="26">'[14]Func Study'!#REF!</definedName>
    <definedName name="UAcctdfa">'[14]Func Study'!#REF!</definedName>
    <definedName name="UAcctdfad" localSheetId="2">'[14]Func Study'!#REF!</definedName>
    <definedName name="UAcctdfad" localSheetId="3">'[14]Func Study'!#REF!</definedName>
    <definedName name="UAcctdfad" localSheetId="4">'[14]Func Study'!#REF!</definedName>
    <definedName name="UAcctdfad" localSheetId="5">'[14]Func Study'!#REF!</definedName>
    <definedName name="UAcctdfad" localSheetId="8">'[14]Func Study'!#REF!</definedName>
    <definedName name="UAcctdfad" localSheetId="7">'[14]Func Study'!#REF!</definedName>
    <definedName name="UAcctdfad" localSheetId="6">'[14]Func Study'!#REF!</definedName>
    <definedName name="UAcctdfad" localSheetId="1">'[14]Func Study'!#REF!</definedName>
    <definedName name="UAcctdfad" localSheetId="35">'[14]Func Study'!#REF!</definedName>
    <definedName name="UAcctdfad" localSheetId="11">'[14]Func Study'!#REF!</definedName>
    <definedName name="UAcctdfad" localSheetId="9">'[14]Func Study'!#REF!</definedName>
    <definedName name="UAcctdfad" localSheetId="16">'[14]Func Study'!#REF!</definedName>
    <definedName name="UAcctdfad" localSheetId="14">'[14]Func Study'!#REF!</definedName>
    <definedName name="UAcctdfad" localSheetId="26">'[14]Func Study'!#REF!</definedName>
    <definedName name="UAcctdfad">'[14]Func Study'!#REF!</definedName>
    <definedName name="UAcctdfap" localSheetId="2">'[14]Func Study'!#REF!</definedName>
    <definedName name="UAcctdfap" localSheetId="3">'[14]Func Study'!#REF!</definedName>
    <definedName name="UAcctdfap" localSheetId="4">'[14]Func Study'!#REF!</definedName>
    <definedName name="UAcctdfap" localSheetId="5">'[14]Func Study'!#REF!</definedName>
    <definedName name="UAcctdfap" localSheetId="8">'[14]Func Study'!#REF!</definedName>
    <definedName name="UAcctdfap" localSheetId="7">'[14]Func Study'!#REF!</definedName>
    <definedName name="UAcctdfap" localSheetId="6">'[14]Func Study'!#REF!</definedName>
    <definedName name="UAcctdfap" localSheetId="1">'[14]Func Study'!#REF!</definedName>
    <definedName name="UAcctdfap" localSheetId="35">'[14]Func Study'!#REF!</definedName>
    <definedName name="UAcctdfap" localSheetId="11">'[14]Func Study'!#REF!</definedName>
    <definedName name="UAcctdfap" localSheetId="9">'[14]Func Study'!#REF!</definedName>
    <definedName name="UAcctdfap" localSheetId="16">'[14]Func Study'!#REF!</definedName>
    <definedName name="UAcctdfap" localSheetId="14">'[14]Func Study'!#REF!</definedName>
    <definedName name="UAcctdfap" localSheetId="26">'[14]Func Study'!#REF!</definedName>
    <definedName name="UAcctdfap">'[14]Func Study'!#REF!</definedName>
    <definedName name="UAcctdfat" localSheetId="2">'[14]Func Study'!#REF!</definedName>
    <definedName name="UAcctdfat" localSheetId="3">'[14]Func Study'!#REF!</definedName>
    <definedName name="UAcctdfat" localSheetId="4">'[14]Func Study'!#REF!</definedName>
    <definedName name="UAcctdfat" localSheetId="5">'[14]Func Study'!#REF!</definedName>
    <definedName name="UAcctdfat" localSheetId="8">'[14]Func Study'!#REF!</definedName>
    <definedName name="UAcctdfat" localSheetId="7">'[14]Func Study'!#REF!</definedName>
    <definedName name="UAcctdfat" localSheetId="6">'[14]Func Study'!#REF!</definedName>
    <definedName name="UAcctdfat" localSheetId="1">'[14]Func Study'!#REF!</definedName>
    <definedName name="UAcctdfat" localSheetId="35">'[14]Func Study'!#REF!</definedName>
    <definedName name="UAcctdfat" localSheetId="11">'[14]Func Study'!#REF!</definedName>
    <definedName name="UAcctdfat" localSheetId="9">'[14]Func Study'!#REF!</definedName>
    <definedName name="UAcctdfat" localSheetId="16">'[14]Func Study'!#REF!</definedName>
    <definedName name="UAcctdfat" localSheetId="14">'[14]Func Study'!#REF!</definedName>
    <definedName name="UAcctdfat" localSheetId="26">'[14]Func Study'!#REF!</definedName>
    <definedName name="UAcctdfat">'[14]Func Study'!#REF!</definedName>
    <definedName name="UAcctds0">'[14]Func Study'!$AB$1790</definedName>
    <definedName name="UACCTECDDGP">'[14]Func Study'!$AB$687</definedName>
    <definedName name="UACCTECDMC">'[14]Func Study'!$AB$689</definedName>
    <definedName name="UACCTECDS">'[14]Func Study'!$AB$691</definedName>
    <definedName name="UACCTECDSG1">'[14]Func Study'!$AB$688</definedName>
    <definedName name="UACCTECDSG2">'[14]Func Study'!$AB$690</definedName>
    <definedName name="UACCTECDSG3">'[14]Func Study'!$AB$692</definedName>
    <definedName name="UAcctfit">'[14]Func Study'!$AB$1395</definedName>
    <definedName name="UAcctg00">'[14]Func Study'!$AB$1947</definedName>
    <definedName name="UAccth00">'[14]Func Study'!$AB$1545</definedName>
    <definedName name="UAccti00">'[14]Func Study'!$AB$1993</definedName>
    <definedName name="UAcctn00">'[14]Func Study'!$AB$1496</definedName>
    <definedName name="UAccto00">'[14]Func Study'!$AB$1606</definedName>
    <definedName name="UAcctowc">'[14]Func Study'!$AB$2149</definedName>
    <definedName name="UACCTOWCSSECH">'[14]Func Study'!$AB$2148</definedName>
    <definedName name="UAccts00">'[14]Func Study'!$AB$1455</definedName>
    <definedName name="UAcctsttax">'[14]Func Study'!$AB$1377</definedName>
    <definedName name="UAcctt00">'[14]Func Study'!$AB$1682</definedName>
    <definedName name="UNBILREV" localSheetId="2">#REF!</definedName>
    <definedName name="UNBILREV" localSheetId="3">#REF!</definedName>
    <definedName name="UNBILREV" localSheetId="4">#REF!</definedName>
    <definedName name="UNBILREV" localSheetId="5">#REF!</definedName>
    <definedName name="UNBILREV" localSheetId="8">#REF!</definedName>
    <definedName name="UNBILREV" localSheetId="7">#REF!</definedName>
    <definedName name="UNBILREV" localSheetId="6">#REF!</definedName>
    <definedName name="UNBILREV" localSheetId="1">#REF!</definedName>
    <definedName name="UNBILREV" localSheetId="35">#REF!</definedName>
    <definedName name="UNBILREV" localSheetId="11">#REF!</definedName>
    <definedName name="UNBILREV" localSheetId="9">#REF!</definedName>
    <definedName name="UNBILREV" localSheetId="15">#REF!</definedName>
    <definedName name="UNBILREV" localSheetId="16">#REF!</definedName>
    <definedName name="UNBILREV" localSheetId="14">#REF!</definedName>
    <definedName name="UNBILREV" localSheetId="26">#REF!</definedName>
    <definedName name="UNBILREV" localSheetId="12">#REF!</definedName>
    <definedName name="UNBILREV">#REF!</definedName>
    <definedName name="UncollectibleAccounts" localSheetId="27">[20]Variables!$D$25</definedName>
    <definedName name="UncollectibleAccounts">[20]Variables!$D$25</definedName>
    <definedName name="UtGrossReceipts" localSheetId="27">[20]Variables!$D$29</definedName>
    <definedName name="UtGrossReceipts">[20]Variables!$D$29</definedName>
    <definedName name="ValidAccount">[19]Variables!$AK$43:$AK$369</definedName>
    <definedName name="VAR" localSheetId="2">[21]Backup!#REF!</definedName>
    <definedName name="VAR" localSheetId="3">[21]Backup!#REF!</definedName>
    <definedName name="VAR" localSheetId="4">[21]Backup!#REF!</definedName>
    <definedName name="VAR" localSheetId="5">[21]Backup!#REF!</definedName>
    <definedName name="VAR" localSheetId="8">[21]Backup!#REF!</definedName>
    <definedName name="VAR" localSheetId="7">[21]Backup!#REF!</definedName>
    <definedName name="VAR" localSheetId="6">[21]Backup!#REF!</definedName>
    <definedName name="VAR" localSheetId="1">[21]Backup!#REF!</definedName>
    <definedName name="VAR" localSheetId="35">[21]Backup!#REF!</definedName>
    <definedName name="VAR" localSheetId="11">[21]Backup!#REF!</definedName>
    <definedName name="VAR" localSheetId="9">[21]Backup!#REF!</definedName>
    <definedName name="VAR" localSheetId="15">[21]Backup!#REF!</definedName>
    <definedName name="VAR" localSheetId="16">[21]Backup!#REF!</definedName>
    <definedName name="VAR" localSheetId="14">[21]Backup!#REF!</definedName>
    <definedName name="VAR" localSheetId="26">[21]Backup!#REF!</definedName>
    <definedName name="VAR" localSheetId="12">[21]Backup!#REF!</definedName>
    <definedName name="VAR" localSheetId="32">[21]Backup!#REF!</definedName>
    <definedName name="VAR">[21]Backup!#REF!</definedName>
    <definedName name="VARIABLE" localSheetId="2">[26]Summary!#REF!</definedName>
    <definedName name="VARIABLE" localSheetId="3">[26]Summary!#REF!</definedName>
    <definedName name="VARIABLE" localSheetId="4">[26]Summary!#REF!</definedName>
    <definedName name="VARIABLE" localSheetId="5">[26]Summary!#REF!</definedName>
    <definedName name="VARIABLE" localSheetId="8">[26]Summary!#REF!</definedName>
    <definedName name="VARIABLE" localSheetId="7">[26]Summary!#REF!</definedName>
    <definedName name="VARIABLE" localSheetId="6">[26]Summary!#REF!</definedName>
    <definedName name="VARIABLE" localSheetId="1">[26]Summary!#REF!</definedName>
    <definedName name="VARIABLE" localSheetId="35">[26]Summary!#REF!</definedName>
    <definedName name="VARIABLE" localSheetId="11">[26]Summary!#REF!</definedName>
    <definedName name="VARIABLE" localSheetId="9">[26]Summary!#REF!</definedName>
    <definedName name="VARIABLE" localSheetId="15">[26]Summary!#REF!</definedName>
    <definedName name="VARIABLE" localSheetId="16">[26]Summary!#REF!</definedName>
    <definedName name="VARIABLE" localSheetId="14">[26]Summary!#REF!</definedName>
    <definedName name="VARIABLE" localSheetId="26">[26]Summary!#REF!</definedName>
    <definedName name="VARIABLE" localSheetId="12">[26]Summary!#REF!</definedName>
    <definedName name="VARIABLE" localSheetId="32">[27]Summary!#REF!</definedName>
    <definedName name="VARIABLE">[26]Summary!#REF!</definedName>
    <definedName name="VOUCHER" localSheetId="2">#REF!</definedName>
    <definedName name="VOUCHER" localSheetId="3">#REF!</definedName>
    <definedName name="VOUCHER" localSheetId="4">#REF!</definedName>
    <definedName name="VOUCHER" localSheetId="5">#REF!</definedName>
    <definedName name="VOUCHER" localSheetId="8">#REF!</definedName>
    <definedName name="VOUCHER" localSheetId="7">#REF!</definedName>
    <definedName name="VOUCHER" localSheetId="6">#REF!</definedName>
    <definedName name="VOUCHER" localSheetId="1">#REF!</definedName>
    <definedName name="VOUCHER" localSheetId="35">#REF!</definedName>
    <definedName name="VOUCHER" localSheetId="11">#REF!</definedName>
    <definedName name="VOUCHER" localSheetId="9">#REF!</definedName>
    <definedName name="VOUCHER" localSheetId="15">#REF!</definedName>
    <definedName name="VOUCHER" localSheetId="16">#REF!</definedName>
    <definedName name="VOUCHER" localSheetId="14">#REF!</definedName>
    <definedName name="VOUCHER" localSheetId="26">#REF!</definedName>
    <definedName name="VOUCHER" localSheetId="12">#REF!</definedName>
    <definedName name="VOUCHER" localSheetId="27">#REF!</definedName>
    <definedName name="VOUCHER">#REF!</definedName>
    <definedName name="WaRevenueTax" localSheetId="27">[20]Variables!$D$27</definedName>
    <definedName name="WaRevenueTax">[20]Variables!$D$27</definedName>
    <definedName name="WEATHER" localSheetId="2">#REF!</definedName>
    <definedName name="WEATHER" localSheetId="3">#REF!</definedName>
    <definedName name="WEATHER" localSheetId="4">#REF!</definedName>
    <definedName name="WEATHER" localSheetId="5">#REF!</definedName>
    <definedName name="WEATHER" localSheetId="8">#REF!</definedName>
    <definedName name="WEATHER" localSheetId="7">#REF!</definedName>
    <definedName name="WEATHER" localSheetId="6">#REF!</definedName>
    <definedName name="WEATHER" localSheetId="1">#REF!</definedName>
    <definedName name="WEATHER" localSheetId="35">#REF!</definedName>
    <definedName name="WEATHER" localSheetId="11">#REF!</definedName>
    <definedName name="WEATHER" localSheetId="9">#REF!</definedName>
    <definedName name="WEATHER" localSheetId="15">#REF!</definedName>
    <definedName name="WEATHER" localSheetId="16">#REF!</definedName>
    <definedName name="WEATHER" localSheetId="14">#REF!</definedName>
    <definedName name="WEATHER" localSheetId="26">#REF!</definedName>
    <definedName name="WEATHER" localSheetId="12">#REF!</definedName>
    <definedName name="WEATHER">#REF!</definedName>
    <definedName name="WEATHRNORM" localSheetId="2">#REF!</definedName>
    <definedName name="WEATHRNORM" localSheetId="3">#REF!</definedName>
    <definedName name="WEATHRNORM" localSheetId="4">#REF!</definedName>
    <definedName name="WEATHRNORM" localSheetId="5">#REF!</definedName>
    <definedName name="WEATHRNORM" localSheetId="8">#REF!</definedName>
    <definedName name="WEATHRNORM" localSheetId="7">#REF!</definedName>
    <definedName name="WEATHRNORM" localSheetId="6">#REF!</definedName>
    <definedName name="WEATHRNORM" localSheetId="1">#REF!</definedName>
    <definedName name="WEATHRNORM" localSheetId="35">#REF!</definedName>
    <definedName name="WEATHRNORM" localSheetId="11">#REF!</definedName>
    <definedName name="WEATHRNORM" localSheetId="9">#REF!</definedName>
    <definedName name="WEATHRNORM" localSheetId="15">#REF!</definedName>
    <definedName name="WEATHRNORM" localSheetId="16">#REF!</definedName>
    <definedName name="WEATHRNORM" localSheetId="14">#REF!</definedName>
    <definedName name="WEATHRNORM" localSheetId="26">#REF!</definedName>
    <definedName name="WEATHRNORM" localSheetId="12">#REF!</definedName>
    <definedName name="WEATHRNORM">#REF!</definedName>
    <definedName name="WIDTH" localSheetId="2">#REF!</definedName>
    <definedName name="WIDTH" localSheetId="3">#REF!</definedName>
    <definedName name="WIDTH" localSheetId="4">#REF!</definedName>
    <definedName name="WIDTH" localSheetId="5">#REF!</definedName>
    <definedName name="WIDTH" localSheetId="8">#REF!</definedName>
    <definedName name="WIDTH" localSheetId="7">#REF!</definedName>
    <definedName name="WIDTH" localSheetId="6">#REF!</definedName>
    <definedName name="WIDTH" localSheetId="1">#REF!</definedName>
    <definedName name="WIDTH" localSheetId="35">#REF!</definedName>
    <definedName name="WIDTH" localSheetId="11">#REF!</definedName>
    <definedName name="WIDTH" localSheetId="9">#REF!</definedName>
    <definedName name="WIDTH" localSheetId="15">#REF!</definedName>
    <definedName name="WIDTH" localSheetId="16">#REF!</definedName>
    <definedName name="WIDTH" localSheetId="14">#REF!</definedName>
    <definedName name="WIDTH" localSheetId="26">#REF!</definedName>
    <definedName name="WIDTH" localSheetId="12">#REF!</definedName>
    <definedName name="WIDTH" localSheetId="27">#REF!</definedName>
    <definedName name="WIDTH">#REF!</definedName>
    <definedName name="WinterPeak" localSheetId="27">'[36]Load Data'!$D$9:$H$12,'[36]Load Data'!$D$20:$H$22</definedName>
    <definedName name="WinterPeak">'[36]Load Data'!$D$9:$H$12,'[36]Load Data'!$D$20:$H$22</definedName>
    <definedName name="WORK1" localSheetId="2">#REF!</definedName>
    <definedName name="WORK1" localSheetId="3">#REF!</definedName>
    <definedName name="WORK1" localSheetId="4">#REF!</definedName>
    <definedName name="WORK1" localSheetId="5">#REF!</definedName>
    <definedName name="WORK1" localSheetId="8">#REF!</definedName>
    <definedName name="WORK1" localSheetId="7">#REF!</definedName>
    <definedName name="WORK1" localSheetId="6">#REF!</definedName>
    <definedName name="WORK1" localSheetId="1">#REF!</definedName>
    <definedName name="WORK1" localSheetId="35">#REF!</definedName>
    <definedName name="WORK1" localSheetId="11">#REF!</definedName>
    <definedName name="WORK1" localSheetId="9">#REF!</definedName>
    <definedName name="WORK1" localSheetId="15">#REF!</definedName>
    <definedName name="WORK1" localSheetId="16">#REF!</definedName>
    <definedName name="WORK1" localSheetId="14">#REF!</definedName>
    <definedName name="WORK1" localSheetId="26">#REF!</definedName>
    <definedName name="WORK1" localSheetId="12">#REF!</definedName>
    <definedName name="WORK1" localSheetId="27">#REF!</definedName>
    <definedName name="WORK1">#REF!</definedName>
    <definedName name="WORK2" localSheetId="2">#REF!</definedName>
    <definedName name="WORK2" localSheetId="3">#REF!</definedName>
    <definedName name="WORK2" localSheetId="4">#REF!</definedName>
    <definedName name="WORK2" localSheetId="5">#REF!</definedName>
    <definedName name="WORK2" localSheetId="8">#REF!</definedName>
    <definedName name="WORK2" localSheetId="7">#REF!</definedName>
    <definedName name="WORK2" localSheetId="6">#REF!</definedName>
    <definedName name="WORK2" localSheetId="1">#REF!</definedName>
    <definedName name="WORK2" localSheetId="35">#REF!</definedName>
    <definedName name="WORK2" localSheetId="11">#REF!</definedName>
    <definedName name="WORK2" localSheetId="9">#REF!</definedName>
    <definedName name="WORK2" localSheetId="15">#REF!</definedName>
    <definedName name="WORK2" localSheetId="16">#REF!</definedName>
    <definedName name="WORK2" localSheetId="14">#REF!</definedName>
    <definedName name="WORK2" localSheetId="26">#REF!</definedName>
    <definedName name="WORK2" localSheetId="12">#REF!</definedName>
    <definedName name="WORK2" localSheetId="27">#REF!</definedName>
    <definedName name="WORK2">#REF!</definedName>
    <definedName name="WORK3" localSheetId="2">#REF!</definedName>
    <definedName name="WORK3" localSheetId="3">#REF!</definedName>
    <definedName name="WORK3" localSheetId="4">#REF!</definedName>
    <definedName name="WORK3" localSheetId="5">#REF!</definedName>
    <definedName name="WORK3" localSheetId="8">#REF!</definedName>
    <definedName name="WORK3" localSheetId="7">#REF!</definedName>
    <definedName name="WORK3" localSheetId="6">#REF!</definedName>
    <definedName name="WORK3" localSheetId="1">#REF!</definedName>
    <definedName name="WORK3" localSheetId="35">#REF!</definedName>
    <definedName name="WORK3" localSheetId="11">#REF!</definedName>
    <definedName name="WORK3" localSheetId="9">#REF!</definedName>
    <definedName name="WORK3" localSheetId="15">#REF!</definedName>
    <definedName name="WORK3" localSheetId="16">#REF!</definedName>
    <definedName name="WORK3" localSheetId="14">#REF!</definedName>
    <definedName name="WORK3" localSheetId="26">#REF!</definedName>
    <definedName name="WORK3" localSheetId="12">#REF!</definedName>
    <definedName name="WORK3" localSheetId="27">#REF!</definedName>
    <definedName name="WORK3">#REF!</definedName>
    <definedName name="wrn.OR._.Carrying._.Charge._.JV." localSheetId="8" hidden="1">{#N/A,#N/A,FALSE,"Loans";#N/A,#N/A,FALSE,"Program Costs";#N/A,#N/A,FALSE,"Measures";#N/A,#N/A,FALSE,"Net Lost Rev";#N/A,#N/A,FALSE,"Incentive"}</definedName>
    <definedName name="wrn.OR._.Carrying._.Charge._.JV." localSheetId="15" hidden="1">{#N/A,#N/A,FALSE,"Loans";#N/A,#N/A,FALSE,"Program Costs";#N/A,#N/A,FALSE,"Measures";#N/A,#N/A,FALSE,"Net Lost Rev";#N/A,#N/A,FALSE,"Incentive"}</definedName>
    <definedName name="wrn.OR._.Carrying._.Charge._.JV." localSheetId="16" hidden="1">{#N/A,#N/A,FALSE,"Loans";#N/A,#N/A,FALSE,"Program Costs";#N/A,#N/A,FALSE,"Measures";#N/A,#N/A,FALSE,"Net Lost Rev";#N/A,#N/A,FALSE,"Incentive"}</definedName>
    <definedName name="wrn.OR._.Carrying._.Charge._.JV." localSheetId="3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8" hidden="1">{#N/A,#N/A,FALSE,"Loans";#N/A,#N/A,FALSE,"Program Costs";#N/A,#N/A,FALSE,"Measures";#N/A,#N/A,FALSE,"Net Lost Rev";#N/A,#N/A,FALSE,"Incentive"}</definedName>
    <definedName name="wrn.OR._.Carrying._.Charge._.JV.1" localSheetId="15" hidden="1">{#N/A,#N/A,FALSE,"Loans";#N/A,#N/A,FALSE,"Program Costs";#N/A,#N/A,FALSE,"Measures";#N/A,#N/A,FALSE,"Net Lost Rev";#N/A,#N/A,FALSE,"Incentive"}</definedName>
    <definedName name="wrn.OR._.Carrying._.Charge._.JV.1" localSheetId="16" hidden="1">{#N/A,#N/A,FALSE,"Loans";#N/A,#N/A,FALSE,"Program Costs";#N/A,#N/A,FALSE,"Measures";#N/A,#N/A,FALSE,"Net Lost Rev";#N/A,#N/A,FALSE,"Incentive"}</definedName>
    <definedName name="wrn.OR._.Carrying._.Charge._.JV.1" localSheetId="3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'[37]Weather Present'!$K$7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8" hidden="1">#REF!</definedName>
    <definedName name="y" localSheetId="7" hidden="1">#REF!</definedName>
    <definedName name="y" localSheetId="6" hidden="1">#REF!</definedName>
    <definedName name="y" localSheetId="1" hidden="1">#REF!</definedName>
    <definedName name="y" localSheetId="37" hidden="1">#REF!</definedName>
    <definedName name="y" localSheetId="38" hidden="1">#REF!</definedName>
    <definedName name="y" localSheetId="0" hidden="1">#REF!</definedName>
    <definedName name="y" localSheetId="11" hidden="1">#REF!</definedName>
    <definedName name="y" localSheetId="31" hidden="1">'[6]DSM Output'!$B$21:$B$23</definedName>
    <definedName name="y" localSheetId="30" hidden="1">'[6]DSM Output'!$B$21:$B$23</definedName>
    <definedName name="y" localSheetId="13" hidden="1">#REF!</definedName>
    <definedName name="y" localSheetId="14" hidden="1">#REF!</definedName>
    <definedName name="y" localSheetId="26" hidden="1">#REF!</definedName>
    <definedName name="y" localSheetId="12" hidden="1">#REF!</definedName>
    <definedName name="y" localSheetId="32" hidden="1">'[8]DSM Output'!$B$21:$B$23</definedName>
    <definedName name="y" localSheetId="27" hidden="1">'[6]DSM Output'!$B$21:$B$23</definedName>
    <definedName name="y" localSheetId="22" hidden="1">#REF!</definedName>
    <definedName name="y" localSheetId="23" hidden="1">#REF!</definedName>
    <definedName name="y" localSheetId="21" hidden="1">#REF!</definedName>
    <definedName name="y" hidden="1">'[6]DSM Output'!$B$21:$B$23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8">#REF!</definedName>
    <definedName name="Year" localSheetId="7">#REF!</definedName>
    <definedName name="Year" localSheetId="6">#REF!</definedName>
    <definedName name="Year" localSheetId="1">#REF!</definedName>
    <definedName name="Year" localSheetId="35">#REF!</definedName>
    <definedName name="Year" localSheetId="11">#REF!</definedName>
    <definedName name="Year" localSheetId="9">#REF!</definedName>
    <definedName name="Year" localSheetId="15">#REF!</definedName>
    <definedName name="Year" localSheetId="16">#REF!</definedName>
    <definedName name="Year" localSheetId="14">#REF!</definedName>
    <definedName name="Year" localSheetId="26">#REF!</definedName>
    <definedName name="Year" localSheetId="12">#REF!</definedName>
    <definedName name="Year" localSheetId="27">#REF!</definedName>
    <definedName name="Year">#REF!</definedName>
    <definedName name="YEFactors">[19]Factors!$S$3:$AG$99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8" hidden="1">#REF!</definedName>
    <definedName name="z" localSheetId="7" hidden="1">#REF!</definedName>
    <definedName name="z" localSheetId="6" hidden="1">#REF!</definedName>
    <definedName name="z" localSheetId="1" hidden="1">#REF!</definedName>
    <definedName name="z" localSheetId="37" hidden="1">#REF!</definedName>
    <definedName name="z" localSheetId="38" hidden="1">#REF!</definedName>
    <definedName name="z" localSheetId="0" hidden="1">#REF!</definedName>
    <definedName name="z" localSheetId="11" hidden="1">#REF!</definedName>
    <definedName name="z" localSheetId="31" hidden="1">'[6]DSM Output'!$G$21:$G$23</definedName>
    <definedName name="z" localSheetId="30" hidden="1">'[6]DSM Output'!$G$21:$G$23</definedName>
    <definedName name="z" localSheetId="13" hidden="1">#REF!</definedName>
    <definedName name="z" localSheetId="14" hidden="1">#REF!</definedName>
    <definedName name="z" localSheetId="26" hidden="1">#REF!</definedName>
    <definedName name="z" localSheetId="12" hidden="1">#REF!</definedName>
    <definedName name="z" localSheetId="32" hidden="1">'[8]DSM Output'!$G$21:$G$23</definedName>
    <definedName name="z" localSheetId="27" hidden="1">'[6]DSM Output'!$G$21:$G$23</definedName>
    <definedName name="z" localSheetId="22" hidden="1">#REF!</definedName>
    <definedName name="z" localSheetId="23" hidden="1">#REF!</definedName>
    <definedName name="z" localSheetId="21" hidden="1">#REF!</definedName>
    <definedName name="z" hidden="1">'[6]DSM Output'!$G$21:$G$23</definedName>
    <definedName name="ZA" localSheetId="2">'[38] annual balance '!#REF!</definedName>
    <definedName name="ZA" localSheetId="3">'[38] annual balance '!#REF!</definedName>
    <definedName name="ZA" localSheetId="4">'[38] annual balance '!#REF!</definedName>
    <definedName name="ZA" localSheetId="5">'[38] annual balance '!#REF!</definedName>
    <definedName name="ZA" localSheetId="8">'[38] annual balance '!#REF!</definedName>
    <definedName name="ZA" localSheetId="7">'[38] annual balance '!#REF!</definedName>
    <definedName name="ZA" localSheetId="6">'[38] annual balance '!#REF!</definedName>
    <definedName name="ZA" localSheetId="1">'[38] annual balance '!#REF!</definedName>
    <definedName name="ZA" localSheetId="35">'[38] annual balance '!#REF!</definedName>
    <definedName name="ZA" localSheetId="11">'[38] annual balance '!#REF!</definedName>
    <definedName name="ZA" localSheetId="9">'[38] annual balance '!#REF!</definedName>
    <definedName name="ZA" localSheetId="15">'[38] annual balance '!#REF!</definedName>
    <definedName name="ZA" localSheetId="16">'[38] annual balance '!#REF!</definedName>
    <definedName name="ZA" localSheetId="14">'[38] annual balance '!#REF!</definedName>
    <definedName name="ZA" localSheetId="26">'[38] annual balance '!#REF!</definedName>
    <definedName name="ZA" localSheetId="12">'[38] annual balance '!#REF!</definedName>
    <definedName name="ZA" localSheetId="32">'[38] annual balance '!#REF!</definedName>
    <definedName name="ZA">'[38] annual balance '!#REF!</definedName>
  </definedNames>
  <calcPr calcId="152511"/>
</workbook>
</file>

<file path=xl/calcChain.xml><?xml version="1.0" encoding="utf-8"?>
<calcChain xmlns="http://schemas.openxmlformats.org/spreadsheetml/2006/main">
  <c r="G1126" i="12861" l="1"/>
  <c r="G1123" i="12861"/>
  <c r="U1126" i="12861"/>
  <c r="S1126" i="12861"/>
  <c r="Q1126" i="12861"/>
  <c r="O1126" i="12861"/>
  <c r="M1126" i="12861"/>
  <c r="K1126" i="12861"/>
  <c r="I1126" i="12861"/>
  <c r="F1126" i="12861"/>
  <c r="U1123" i="12861"/>
  <c r="S1123" i="12861"/>
  <c r="Q1123" i="12861"/>
  <c r="O1123" i="12861"/>
  <c r="M1123" i="12861"/>
  <c r="K1123" i="12861"/>
  <c r="C1123" i="12861"/>
  <c r="F1123" i="12861" s="1"/>
  <c r="I1123" i="12861" l="1"/>
  <c r="B11" i="12870"/>
  <c r="E9" i="12870"/>
  <c r="E21" i="12869" l="1"/>
  <c r="E20" i="12869"/>
  <c r="E17" i="12869"/>
  <c r="E18" i="12869"/>
  <c r="E16" i="12869"/>
  <c r="G89" i="12860"/>
  <c r="G89" i="12767"/>
  <c r="E19" i="12869" l="1"/>
  <c r="E26" i="12869"/>
  <c r="E25" i="12869"/>
  <c r="E24" i="12869"/>
  <c r="E23" i="12869"/>
  <c r="E22" i="12869"/>
  <c r="E18" i="12826" l="1"/>
  <c r="E17" i="12826"/>
  <c r="E16" i="12826"/>
  <c r="E15" i="12826"/>
  <c r="E21" i="12826"/>
  <c r="E20" i="12826"/>
  <c r="G90" i="12860"/>
  <c r="G90" i="12767" l="1"/>
  <c r="E26" i="12826" l="1"/>
  <c r="E24" i="12826"/>
  <c r="E23" i="12826"/>
  <c r="E22" i="12826"/>
  <c r="E19" i="12826"/>
  <c r="G1235" i="12860"/>
  <c r="E25" i="12826" l="1"/>
  <c r="G1120" i="12860" l="1"/>
  <c r="G1124" i="12860"/>
  <c r="G1123" i="12860"/>
  <c r="G1126" i="12860"/>
  <c r="G1125" i="12860"/>
  <c r="G1121" i="12860"/>
  <c r="E15" i="12869" l="1"/>
  <c r="D80" i="12811" l="1"/>
  <c r="D12" i="12871" l="1"/>
  <c r="D14" i="12871"/>
  <c r="C19" i="12871" s="1"/>
  <c r="C12" i="12871"/>
  <c r="G10" i="12871"/>
  <c r="E10" i="12871"/>
  <c r="F10" i="12871" s="1"/>
  <c r="G9" i="12871"/>
  <c r="E9" i="12871"/>
  <c r="F9" i="12871" s="1"/>
  <c r="G8" i="12871"/>
  <c r="E8" i="12871"/>
  <c r="F8" i="12871" s="1"/>
  <c r="G7" i="12871"/>
  <c r="E7" i="12871"/>
  <c r="F7" i="12871" s="1"/>
  <c r="E10" i="12870"/>
  <c r="E8" i="12870"/>
  <c r="L26" i="12869"/>
  <c r="G24" i="12869"/>
  <c r="G23" i="12869"/>
  <c r="L22" i="12869"/>
  <c r="D36" i="12869"/>
  <c r="F29" i="12869"/>
  <c r="P26" i="12869"/>
  <c r="S26" i="12869" s="1"/>
  <c r="P25" i="12869"/>
  <c r="S25" i="12869" s="1"/>
  <c r="G25" i="12869"/>
  <c r="P24" i="12869"/>
  <c r="S24" i="12869" s="1"/>
  <c r="P23" i="12869"/>
  <c r="S23" i="12869" s="1"/>
  <c r="P22" i="12869"/>
  <c r="S22" i="12869" s="1"/>
  <c r="P21" i="12869"/>
  <c r="S21" i="12869" s="1"/>
  <c r="G21" i="12869"/>
  <c r="P20" i="12869"/>
  <c r="S20" i="12869" s="1"/>
  <c r="G20" i="12869"/>
  <c r="P19" i="12869"/>
  <c r="S19" i="12869" s="1"/>
  <c r="G19" i="12869"/>
  <c r="P18" i="12869"/>
  <c r="S18" i="12869" s="1"/>
  <c r="L18" i="12869"/>
  <c r="P17" i="12869"/>
  <c r="S17" i="12869" s="1"/>
  <c r="L17" i="12869"/>
  <c r="P16" i="12869"/>
  <c r="S16" i="12869" s="1"/>
  <c r="G16" i="12869"/>
  <c r="P15" i="12869"/>
  <c r="S15" i="12869" s="1"/>
  <c r="H15" i="12869"/>
  <c r="G15" i="12869"/>
  <c r="P14" i="12869"/>
  <c r="E14" i="12869"/>
  <c r="G14" i="12869" s="1"/>
  <c r="D11" i="12869"/>
  <c r="S11" i="12869" s="1"/>
  <c r="C11" i="12869"/>
  <c r="E11" i="12869" s="1"/>
  <c r="T9" i="12869"/>
  <c r="C18" i="12871" l="1"/>
  <c r="C20" i="12871"/>
  <c r="E36" i="12869"/>
  <c r="D15" i="12871"/>
  <c r="D19" i="12871" s="1"/>
  <c r="P27" i="12869"/>
  <c r="C21" i="12871"/>
  <c r="D20" i="12871"/>
  <c r="J15" i="12869"/>
  <c r="G17" i="12869"/>
  <c r="J17" i="12869"/>
  <c r="T15" i="12869"/>
  <c r="G18" i="12869"/>
  <c r="G22" i="12869"/>
  <c r="G26" i="12869"/>
  <c r="T17" i="12869"/>
  <c r="E47" i="12869"/>
  <c r="T11" i="12869"/>
  <c r="F11" i="12869"/>
  <c r="L14" i="12869"/>
  <c r="L23" i="12869"/>
  <c r="L15" i="12869"/>
  <c r="L20" i="12869"/>
  <c r="L24" i="12869"/>
  <c r="S14" i="12869"/>
  <c r="S27" i="12869" s="1"/>
  <c r="L16" i="12869"/>
  <c r="L21" i="12869"/>
  <c r="L25" i="12869"/>
  <c r="L19" i="12869"/>
  <c r="D18" i="12871" l="1"/>
  <c r="D21" i="12871"/>
  <c r="O15" i="12868" l="1"/>
  <c r="E29" i="12868" l="1"/>
  <c r="E28" i="12868"/>
  <c r="E27" i="12868"/>
  <c r="E25" i="12868"/>
  <c r="R24" i="12868"/>
  <c r="R25" i="12868" s="1"/>
  <c r="E24" i="12868"/>
  <c r="E23" i="12868"/>
  <c r="E21" i="12868"/>
  <c r="E20" i="12868"/>
  <c r="E19" i="12868"/>
  <c r="E17" i="12868"/>
  <c r="E16" i="12868"/>
  <c r="N15" i="12868"/>
  <c r="E15" i="12868"/>
  <c r="E29" i="12867"/>
  <c r="E28" i="12867"/>
  <c r="E27" i="12867"/>
  <c r="E25" i="12867"/>
  <c r="Q24" i="12867"/>
  <c r="Q25" i="12867" s="1"/>
  <c r="E24" i="12867"/>
  <c r="E23" i="12867"/>
  <c r="E21" i="12867"/>
  <c r="E20" i="12867"/>
  <c r="E19" i="12867"/>
  <c r="E17" i="12867"/>
  <c r="E16" i="12867"/>
  <c r="E15" i="12867"/>
  <c r="E29" i="12866"/>
  <c r="E28" i="12866"/>
  <c r="E27" i="12866"/>
  <c r="E25" i="12866"/>
  <c r="Q24" i="12866"/>
  <c r="Q25" i="12866" s="1"/>
  <c r="E24" i="12866"/>
  <c r="E23" i="12866"/>
  <c r="E21" i="12866"/>
  <c r="E20" i="12866"/>
  <c r="E19" i="12866"/>
  <c r="E17" i="12866"/>
  <c r="E16" i="12866"/>
  <c r="E15" i="12866"/>
  <c r="E33" i="12865"/>
  <c r="E32" i="12865"/>
  <c r="E31" i="12865"/>
  <c r="E29" i="12865"/>
  <c r="E28" i="12865"/>
  <c r="V27" i="12865"/>
  <c r="E27" i="12865"/>
  <c r="E25" i="12865"/>
  <c r="E24" i="12865"/>
  <c r="E23" i="12865"/>
  <c r="E20" i="12865"/>
  <c r="E19" i="12865"/>
  <c r="E18" i="12865"/>
  <c r="E40" i="12864"/>
  <c r="E39" i="12864"/>
  <c r="E38" i="12864"/>
  <c r="E36" i="12864"/>
  <c r="E35" i="12864"/>
  <c r="E34" i="12864"/>
  <c r="E32" i="12864"/>
  <c r="E31" i="12864"/>
  <c r="E30" i="12864"/>
  <c r="E28" i="12864"/>
  <c r="E27" i="12864"/>
  <c r="R26" i="12864"/>
  <c r="R27" i="12864" s="1"/>
  <c r="E26" i="12864"/>
  <c r="E24" i="12864"/>
  <c r="E23" i="12864"/>
  <c r="E22" i="12864"/>
  <c r="E20" i="12864"/>
  <c r="E19" i="12864"/>
  <c r="E18" i="12864"/>
  <c r="E32" i="12863"/>
  <c r="E31" i="12863"/>
  <c r="AA30" i="12863"/>
  <c r="E30" i="12863"/>
  <c r="AA29" i="12863"/>
  <c r="E28" i="12863"/>
  <c r="E27" i="12863"/>
  <c r="E26" i="12863"/>
  <c r="D24" i="12863"/>
  <c r="E24" i="12863" s="1"/>
  <c r="D23" i="12863"/>
  <c r="E23" i="12863" s="1"/>
  <c r="D22" i="12863"/>
  <c r="E22" i="12863" s="1"/>
  <c r="E20" i="12863"/>
  <c r="E19" i="12863"/>
  <c r="E18" i="12863"/>
  <c r="Y16" i="12862"/>
  <c r="Y17" i="12862" s="1"/>
  <c r="V28" i="12865" l="1"/>
  <c r="X1221" i="12860"/>
  <c r="X1221" i="12767" l="1"/>
  <c r="E10" i="12844" l="1"/>
  <c r="C20" i="12844"/>
  <c r="B10" i="12870" s="1"/>
  <c r="C19" i="12844"/>
  <c r="B9" i="12870" s="1"/>
  <c r="C18" i="12844"/>
  <c r="B8" i="12870" s="1"/>
  <c r="D14" i="12844"/>
  <c r="D12" i="12844"/>
  <c r="G10" i="12844"/>
  <c r="G9" i="12844"/>
  <c r="G8" i="12844"/>
  <c r="G7" i="12844"/>
  <c r="E14" i="12826"/>
  <c r="E7" i="12844"/>
  <c r="E8" i="12844"/>
  <c r="B45" i="12826" l="1"/>
  <c r="H15" i="12826" l="1"/>
  <c r="G1269" i="12861" l="1"/>
  <c r="G1228" i="12861"/>
  <c r="G1227" i="12861"/>
  <c r="G1229" i="12861" s="1"/>
  <c r="G1213" i="12861"/>
  <c r="G1199" i="12861"/>
  <c r="G1196" i="12861"/>
  <c r="G1169" i="12861"/>
  <c r="S1169" i="12861" s="1"/>
  <c r="G1151" i="12861"/>
  <c r="G1155" i="12861" s="1"/>
  <c r="G1138" i="12861"/>
  <c r="G1100" i="12861"/>
  <c r="G1006" i="12861"/>
  <c r="G949" i="12861"/>
  <c r="G743" i="12861"/>
  <c r="G766" i="12861" s="1"/>
  <c r="G870" i="12861" s="1"/>
  <c r="G723" i="12861"/>
  <c r="G748" i="12861" s="1"/>
  <c r="G632" i="12861"/>
  <c r="G672" i="12861" s="1"/>
  <c r="G631" i="12861"/>
  <c r="G671" i="12861" s="1"/>
  <c r="G617" i="12861"/>
  <c r="G616" i="12861"/>
  <c r="G576" i="12861"/>
  <c r="G575" i="12861"/>
  <c r="G574" i="12861"/>
  <c r="G199" i="12861"/>
  <c r="G185" i="12861"/>
  <c r="G184" i="12861"/>
  <c r="G183" i="12861"/>
  <c r="G96" i="12861"/>
  <c r="G95" i="12861"/>
  <c r="G113" i="12861" s="1"/>
  <c r="G23" i="12861"/>
  <c r="G62" i="12861" s="1"/>
  <c r="G91" i="12861"/>
  <c r="Y89" i="12860"/>
  <c r="D1267" i="12861"/>
  <c r="D1265" i="12861"/>
  <c r="D1264" i="12861"/>
  <c r="D1263" i="12861"/>
  <c r="D1261" i="12861"/>
  <c r="D1260" i="12861"/>
  <c r="D1258" i="12861"/>
  <c r="D1257" i="12861"/>
  <c r="D1256" i="12861"/>
  <c r="D1253" i="12861"/>
  <c r="D1252" i="12861"/>
  <c r="D1250" i="12861"/>
  <c r="D1249" i="12861"/>
  <c r="D1248" i="12861"/>
  <c r="D1245" i="12861"/>
  <c r="D1244" i="12861"/>
  <c r="D1242" i="12861"/>
  <c r="F1242" i="12861" s="1"/>
  <c r="D1241" i="12861"/>
  <c r="D1240" i="12861"/>
  <c r="D1229" i="12861"/>
  <c r="D1228" i="12861"/>
  <c r="D1227" i="12861"/>
  <c r="D1225" i="12861"/>
  <c r="D1224" i="12861"/>
  <c r="D1213" i="12861"/>
  <c r="D1211" i="12861"/>
  <c r="D1210" i="12861"/>
  <c r="D1200" i="12861"/>
  <c r="D1199" i="12861"/>
  <c r="D1196" i="12861"/>
  <c r="D1195" i="12861"/>
  <c r="D1194" i="12861"/>
  <c r="D1193" i="12861"/>
  <c r="D1192" i="12861"/>
  <c r="D1191" i="12861"/>
  <c r="D1190" i="12861"/>
  <c r="D1187" i="12861"/>
  <c r="D1186" i="12861"/>
  <c r="D1185" i="12861"/>
  <c r="D1184" i="12861"/>
  <c r="D1183" i="12861"/>
  <c r="D1182" i="12861"/>
  <c r="D1169" i="12861"/>
  <c r="D1155" i="12861"/>
  <c r="D1154" i="12861"/>
  <c r="D1152" i="12861"/>
  <c r="D1151" i="12861"/>
  <c r="D1138" i="12861"/>
  <c r="D1136" i="12861"/>
  <c r="D1135" i="12861"/>
  <c r="D1134" i="12861"/>
  <c r="D1133" i="12861"/>
  <c r="D1132" i="12861"/>
  <c r="D1131" i="12861"/>
  <c r="D1130" i="12861"/>
  <c r="D1128" i="12861"/>
  <c r="D1127" i="12861"/>
  <c r="D1125" i="12861"/>
  <c r="D1124" i="12861"/>
  <c r="D1121" i="12861"/>
  <c r="D1120" i="12861"/>
  <c r="D1119" i="12861"/>
  <c r="D1118" i="12861"/>
  <c r="D1117" i="12861"/>
  <c r="D1116" i="12861"/>
  <c r="D1115" i="12861"/>
  <c r="D1114" i="12861"/>
  <c r="D1113" i="12861"/>
  <c r="D1112" i="12861"/>
  <c r="D1101" i="12861"/>
  <c r="D1100" i="12861"/>
  <c r="D1099" i="12861"/>
  <c r="D1098" i="12861"/>
  <c r="D1096" i="12861"/>
  <c r="D1095" i="12861"/>
  <c r="D1092" i="12861"/>
  <c r="D1045" i="12861"/>
  <c r="D1044" i="12861"/>
  <c r="D1043" i="12861"/>
  <c r="D1041" i="12861"/>
  <c r="D1040" i="12861"/>
  <c r="D1039" i="12861"/>
  <c r="D1037" i="12861"/>
  <c r="D1036" i="12861"/>
  <c r="D1027" i="12861"/>
  <c r="D1026" i="12861"/>
  <c r="D1025" i="12861"/>
  <c r="D1023" i="12861"/>
  <c r="D1022" i="12861"/>
  <c r="D1021" i="12861"/>
  <c r="D1019" i="12861"/>
  <c r="D1018" i="12861"/>
  <c r="D1007" i="12861"/>
  <c r="D1006" i="12861"/>
  <c r="D1005" i="12861"/>
  <c r="D1004" i="12861"/>
  <c r="D1002" i="12861"/>
  <c r="D1001" i="12861"/>
  <c r="D1000" i="12861"/>
  <c r="D998" i="12861"/>
  <c r="D997" i="12861"/>
  <c r="D987" i="12861"/>
  <c r="D986" i="12861"/>
  <c r="D985" i="12861"/>
  <c r="D983" i="12861"/>
  <c r="D982" i="12861"/>
  <c r="D981" i="12861"/>
  <c r="D979" i="12861"/>
  <c r="D978" i="12861"/>
  <c r="D969" i="12861"/>
  <c r="D968" i="12861"/>
  <c r="D967" i="12861"/>
  <c r="D965" i="12861"/>
  <c r="D964" i="12861"/>
  <c r="D963" i="12861"/>
  <c r="D961" i="12861"/>
  <c r="D960" i="12861"/>
  <c r="D950" i="12861"/>
  <c r="D949" i="12861"/>
  <c r="D948" i="12861"/>
  <c r="D947" i="12861"/>
  <c r="D945" i="12861"/>
  <c r="D944" i="12861"/>
  <c r="D943" i="12861"/>
  <c r="D941" i="12861"/>
  <c r="D940" i="12861"/>
  <c r="D894" i="12861"/>
  <c r="D893" i="12861"/>
  <c r="D892" i="12861"/>
  <c r="D891" i="12861"/>
  <c r="D890" i="12861"/>
  <c r="D889" i="12861"/>
  <c r="D888" i="12861"/>
  <c r="D886" i="12861"/>
  <c r="D885" i="12861"/>
  <c r="D884" i="12861"/>
  <c r="D882" i="12861"/>
  <c r="D881" i="12861"/>
  <c r="D870" i="12861"/>
  <c r="D869" i="12861"/>
  <c r="F869" i="12861" s="1"/>
  <c r="D868" i="12861"/>
  <c r="F868" i="12861" s="1"/>
  <c r="D867" i="12861"/>
  <c r="D866" i="12861"/>
  <c r="D864" i="12861"/>
  <c r="D863" i="12861"/>
  <c r="D861" i="12861"/>
  <c r="D860" i="12861"/>
  <c r="D859" i="12861"/>
  <c r="D858" i="12861"/>
  <c r="D857" i="12861"/>
  <c r="D855" i="12861"/>
  <c r="F855" i="12861" s="1"/>
  <c r="D854" i="12861"/>
  <c r="F854" i="12861" s="1"/>
  <c r="D853" i="12861"/>
  <c r="F853" i="12861" s="1"/>
  <c r="D852" i="12861"/>
  <c r="F852" i="12861" s="1"/>
  <c r="D850" i="12861"/>
  <c r="F850" i="12861" s="1"/>
  <c r="D849" i="12861"/>
  <c r="D848" i="12861"/>
  <c r="D847" i="12861"/>
  <c r="D846" i="12861"/>
  <c r="D844" i="12861"/>
  <c r="D843" i="12861"/>
  <c r="D841" i="12861"/>
  <c r="D840" i="12861"/>
  <c r="D839" i="12861"/>
  <c r="D838" i="12861"/>
  <c r="D837" i="12861"/>
  <c r="D835" i="12861"/>
  <c r="D830" i="12861"/>
  <c r="D829" i="12861"/>
  <c r="D828" i="12861"/>
  <c r="D826" i="12861"/>
  <c r="D817" i="12861"/>
  <c r="D816" i="12861"/>
  <c r="D815" i="12861"/>
  <c r="F815" i="12861" s="1"/>
  <c r="D814" i="12861"/>
  <c r="D812" i="12861"/>
  <c r="D811" i="12861"/>
  <c r="D809" i="12861"/>
  <c r="D808" i="12861"/>
  <c r="D807" i="12861"/>
  <c r="D806" i="12861"/>
  <c r="D805" i="12861"/>
  <c r="D803" i="12861"/>
  <c r="D802" i="12861"/>
  <c r="D801" i="12861"/>
  <c r="D800" i="12861"/>
  <c r="D798" i="12861"/>
  <c r="D797" i="12861"/>
  <c r="D796" i="12861"/>
  <c r="D795" i="12861"/>
  <c r="D793" i="12861"/>
  <c r="D792" i="12861"/>
  <c r="D790" i="12861"/>
  <c r="D789" i="12861"/>
  <c r="D788" i="12861"/>
  <c r="D787" i="12861"/>
  <c r="D786" i="12861"/>
  <c r="D784" i="12861"/>
  <c r="D779" i="12861"/>
  <c r="D778" i="12861"/>
  <c r="D777" i="12861"/>
  <c r="D775" i="12861"/>
  <c r="D766" i="12861"/>
  <c r="D765" i="12861"/>
  <c r="D764" i="12861"/>
  <c r="D763" i="12861"/>
  <c r="D762" i="12861"/>
  <c r="D760" i="12861"/>
  <c r="D759" i="12861"/>
  <c r="D757" i="12861"/>
  <c r="D756" i="12861"/>
  <c r="D755" i="12861"/>
  <c r="D754" i="12861"/>
  <c r="D753" i="12861"/>
  <c r="D751" i="12861"/>
  <c r="D750" i="12861"/>
  <c r="D749" i="12861"/>
  <c r="D748" i="12861"/>
  <c r="D746" i="12861"/>
  <c r="D745" i="12861"/>
  <c r="D744" i="12861"/>
  <c r="D743" i="12861"/>
  <c r="D742" i="12861"/>
  <c r="D741" i="12861"/>
  <c r="D739" i="12861"/>
  <c r="D738" i="12861"/>
  <c r="D736" i="12861"/>
  <c r="D735" i="12861"/>
  <c r="D734" i="12861"/>
  <c r="D733" i="12861"/>
  <c r="D732" i="12861"/>
  <c r="D730" i="12861"/>
  <c r="D725" i="12861"/>
  <c r="D724" i="12861"/>
  <c r="D723" i="12861"/>
  <c r="D721" i="12861"/>
  <c r="D712" i="12861"/>
  <c r="D711" i="12861"/>
  <c r="D710" i="12861"/>
  <c r="D709" i="12861"/>
  <c r="D708" i="12861"/>
  <c r="D707" i="12861"/>
  <c r="D706" i="12861"/>
  <c r="D705" i="12861"/>
  <c r="D704" i="12861"/>
  <c r="D703" i="12861"/>
  <c r="D702" i="12861"/>
  <c r="D701" i="12861"/>
  <c r="D700" i="12861"/>
  <c r="D699" i="12861"/>
  <c r="D698" i="12861"/>
  <c r="D697" i="12861"/>
  <c r="D696" i="12861"/>
  <c r="D695" i="12861"/>
  <c r="D694" i="12861"/>
  <c r="D693" i="12861"/>
  <c r="D691" i="12861"/>
  <c r="D690" i="12861"/>
  <c r="D688" i="12861"/>
  <c r="D687" i="12861"/>
  <c r="D685" i="12861"/>
  <c r="D684" i="12861"/>
  <c r="D683" i="12861"/>
  <c r="D674" i="12861"/>
  <c r="D673" i="12861"/>
  <c r="D672" i="12861"/>
  <c r="D671" i="12861"/>
  <c r="D670" i="12861"/>
  <c r="D669" i="12861"/>
  <c r="D668" i="12861"/>
  <c r="D667" i="12861"/>
  <c r="D666" i="12861"/>
  <c r="D665" i="12861"/>
  <c r="D664" i="12861"/>
  <c r="D663" i="12861"/>
  <c r="D662" i="12861"/>
  <c r="D661" i="12861"/>
  <c r="D660" i="12861"/>
  <c r="D659" i="12861"/>
  <c r="D658" i="12861"/>
  <c r="D657" i="12861"/>
  <c r="D656" i="12861"/>
  <c r="D655" i="12861"/>
  <c r="D653" i="12861"/>
  <c r="D652" i="12861"/>
  <c r="D650" i="12861"/>
  <c r="D649" i="12861"/>
  <c r="D647" i="12861"/>
  <c r="D646" i="12861"/>
  <c r="D645" i="12861"/>
  <c r="D634" i="12861"/>
  <c r="D633" i="12861"/>
  <c r="D632" i="12861"/>
  <c r="D631" i="12861"/>
  <c r="D630" i="12861"/>
  <c r="D629" i="12861"/>
  <c r="D628" i="12861"/>
  <c r="D627" i="12861"/>
  <c r="D626" i="12861"/>
  <c r="D625" i="12861"/>
  <c r="D624" i="12861"/>
  <c r="D623" i="12861"/>
  <c r="D622" i="12861"/>
  <c r="D621" i="12861"/>
  <c r="D620" i="12861"/>
  <c r="D619" i="12861"/>
  <c r="D618" i="12861"/>
  <c r="D617" i="12861"/>
  <c r="D616" i="12861"/>
  <c r="D615" i="12861"/>
  <c r="D614" i="12861"/>
  <c r="D613" i="12861"/>
  <c r="D611" i="12861"/>
  <c r="D610" i="12861"/>
  <c r="D608" i="12861"/>
  <c r="D607" i="12861"/>
  <c r="D605" i="12861"/>
  <c r="D604" i="12861"/>
  <c r="D603" i="12861"/>
  <c r="D594" i="12861"/>
  <c r="D593" i="12861"/>
  <c r="D592" i="12861"/>
  <c r="F592" i="12861" s="1"/>
  <c r="D591" i="12861"/>
  <c r="F591" i="12861" s="1"/>
  <c r="D590" i="12861"/>
  <c r="D589" i="12861"/>
  <c r="D588" i="12861"/>
  <c r="F588" i="12861" s="1"/>
  <c r="D587" i="12861"/>
  <c r="D586" i="12861"/>
  <c r="D585" i="12861"/>
  <c r="D584" i="12861"/>
  <c r="D583" i="12861"/>
  <c r="D582" i="12861"/>
  <c r="D581" i="12861"/>
  <c r="D580" i="12861"/>
  <c r="D579" i="12861"/>
  <c r="D578" i="12861"/>
  <c r="D577" i="12861"/>
  <c r="D576" i="12861"/>
  <c r="D575" i="12861"/>
  <c r="D574" i="12861"/>
  <c r="F574" i="12861" s="1"/>
  <c r="D573" i="12861"/>
  <c r="F573" i="12861" s="1"/>
  <c r="D572" i="12861"/>
  <c r="F572" i="12861" s="1"/>
  <c r="D571" i="12861"/>
  <c r="F571" i="12861" s="1"/>
  <c r="D569" i="12861"/>
  <c r="F569" i="12861" s="1"/>
  <c r="D567" i="12861"/>
  <c r="F567" i="12861" s="1"/>
  <c r="D566" i="12861"/>
  <c r="F566" i="12861" s="1"/>
  <c r="D564" i="12861"/>
  <c r="F564" i="12861" s="1"/>
  <c r="D563" i="12861"/>
  <c r="F563" i="12861" s="1"/>
  <c r="D562" i="12861"/>
  <c r="F562" i="12861" s="1"/>
  <c r="D553" i="12861"/>
  <c r="D552" i="12861"/>
  <c r="D551" i="12861"/>
  <c r="D550" i="12861"/>
  <c r="F550" i="12861" s="1"/>
  <c r="D549" i="12861"/>
  <c r="F549" i="12861" s="1"/>
  <c r="D548" i="12861"/>
  <c r="D547" i="12861"/>
  <c r="D546" i="12861"/>
  <c r="D545" i="12861"/>
  <c r="D544" i="12861"/>
  <c r="F544" i="12861" s="1"/>
  <c r="D543" i="12861"/>
  <c r="F543" i="12861" s="1"/>
  <c r="D542" i="12861"/>
  <c r="F542" i="12861" s="1"/>
  <c r="D541" i="12861"/>
  <c r="F541" i="12861" s="1"/>
  <c r="D540" i="12861"/>
  <c r="D539" i="12861"/>
  <c r="D538" i="12861"/>
  <c r="D537" i="12861"/>
  <c r="D536" i="12861"/>
  <c r="D535" i="12861"/>
  <c r="D534" i="12861"/>
  <c r="D533" i="12861"/>
  <c r="D532" i="12861"/>
  <c r="D529" i="12861"/>
  <c r="D528" i="12861"/>
  <c r="D527" i="12861"/>
  <c r="F527" i="12861" s="1"/>
  <c r="D518" i="12861"/>
  <c r="D517" i="12861"/>
  <c r="D516" i="12861"/>
  <c r="D515" i="12861"/>
  <c r="F515" i="12861" s="1"/>
  <c r="D514" i="12861"/>
  <c r="F514" i="12861" s="1"/>
  <c r="D513" i="12861"/>
  <c r="D512" i="12861"/>
  <c r="D511" i="12861"/>
  <c r="D510" i="12861"/>
  <c r="D509" i="12861"/>
  <c r="F509" i="12861" s="1"/>
  <c r="D508" i="12861"/>
  <c r="F508" i="12861" s="1"/>
  <c r="D507" i="12861"/>
  <c r="F507" i="12861" s="1"/>
  <c r="D506" i="12861"/>
  <c r="F506" i="12861" s="1"/>
  <c r="D505" i="12861"/>
  <c r="D504" i="12861"/>
  <c r="D503" i="12861"/>
  <c r="D502" i="12861"/>
  <c r="D501" i="12861"/>
  <c r="D500" i="12861"/>
  <c r="D499" i="12861"/>
  <c r="D498" i="12861"/>
  <c r="D497" i="12861"/>
  <c r="D494" i="12861"/>
  <c r="D493" i="12861"/>
  <c r="D492" i="12861"/>
  <c r="D483" i="12861"/>
  <c r="D482" i="12861"/>
  <c r="D481" i="12861"/>
  <c r="D480" i="12861"/>
  <c r="D479" i="12861"/>
  <c r="D478" i="12861"/>
  <c r="D477" i="12861"/>
  <c r="D476" i="12861"/>
  <c r="D475" i="12861"/>
  <c r="D474" i="12861"/>
  <c r="D473" i="12861"/>
  <c r="D472" i="12861"/>
  <c r="D471" i="12861"/>
  <c r="D470" i="12861"/>
  <c r="D469" i="12861"/>
  <c r="D468" i="12861"/>
  <c r="D467" i="12861"/>
  <c r="D466" i="12861"/>
  <c r="D465" i="12861"/>
  <c r="D464" i="12861"/>
  <c r="D463" i="12861"/>
  <c r="D462" i="12861"/>
  <c r="D459" i="12861"/>
  <c r="D458" i="12861"/>
  <c r="D457" i="12861"/>
  <c r="D447" i="12861"/>
  <c r="D446" i="12861"/>
  <c r="D445" i="12861"/>
  <c r="D444" i="12861"/>
  <c r="F444" i="12861" s="1"/>
  <c r="D443" i="12861"/>
  <c r="F443" i="12861" s="1"/>
  <c r="D442" i="12861"/>
  <c r="D441" i="12861"/>
  <c r="D440" i="12861"/>
  <c r="D439" i="12861"/>
  <c r="D438" i="12861"/>
  <c r="F438" i="12861" s="1"/>
  <c r="D437" i="12861"/>
  <c r="F437" i="12861" s="1"/>
  <c r="D436" i="12861"/>
  <c r="F436" i="12861" s="1"/>
  <c r="D435" i="12861"/>
  <c r="F435" i="12861" s="1"/>
  <c r="D434" i="12861"/>
  <c r="D433" i="12861"/>
  <c r="D432" i="12861"/>
  <c r="D431" i="12861"/>
  <c r="D430" i="12861"/>
  <c r="F430" i="12861" s="1"/>
  <c r="D429" i="12861"/>
  <c r="D428" i="12861"/>
  <c r="D427" i="12861"/>
  <c r="D426" i="12861"/>
  <c r="D423" i="12861"/>
  <c r="D422" i="12861"/>
  <c r="D421" i="12861"/>
  <c r="D412" i="12861"/>
  <c r="D411" i="12861"/>
  <c r="D410" i="12861"/>
  <c r="D409" i="12861"/>
  <c r="D408" i="12861"/>
  <c r="D407" i="12861"/>
  <c r="D406" i="12861"/>
  <c r="D405" i="12861"/>
  <c r="D404" i="12861"/>
  <c r="D403" i="12861"/>
  <c r="D402" i="12861"/>
  <c r="D401" i="12861"/>
  <c r="D400" i="12861"/>
  <c r="D399" i="12861"/>
  <c r="D398" i="12861"/>
  <c r="D397" i="12861"/>
  <c r="D396" i="12861"/>
  <c r="D395" i="12861"/>
  <c r="D394" i="12861"/>
  <c r="D393" i="12861"/>
  <c r="D392" i="12861"/>
  <c r="D391" i="12861"/>
  <c r="D388" i="12861"/>
  <c r="D387" i="12861"/>
  <c r="D386" i="12861"/>
  <c r="D377" i="12861"/>
  <c r="D376" i="12861"/>
  <c r="D375" i="12861"/>
  <c r="D374" i="12861"/>
  <c r="F374" i="12861" s="1"/>
  <c r="D373" i="12861"/>
  <c r="F373" i="12861" s="1"/>
  <c r="D372" i="12861"/>
  <c r="D371" i="12861"/>
  <c r="D370" i="12861"/>
  <c r="D369" i="12861"/>
  <c r="D368" i="12861"/>
  <c r="F368" i="12861" s="1"/>
  <c r="D367" i="12861"/>
  <c r="F367" i="12861" s="1"/>
  <c r="D366" i="12861"/>
  <c r="F366" i="12861" s="1"/>
  <c r="D365" i="12861"/>
  <c r="F365" i="12861" s="1"/>
  <c r="D364" i="12861"/>
  <c r="D363" i="12861"/>
  <c r="D362" i="12861"/>
  <c r="D361" i="12861"/>
  <c r="D360" i="12861"/>
  <c r="D359" i="12861"/>
  <c r="D358" i="12861"/>
  <c r="D357" i="12861"/>
  <c r="D356" i="12861"/>
  <c r="D353" i="12861"/>
  <c r="D352" i="12861"/>
  <c r="D351" i="12861"/>
  <c r="D342" i="12861"/>
  <c r="D341" i="12861"/>
  <c r="D340" i="12861"/>
  <c r="D339" i="12861"/>
  <c r="D338" i="12861"/>
  <c r="D337" i="12861"/>
  <c r="D336" i="12861"/>
  <c r="D335" i="12861"/>
  <c r="D334" i="12861"/>
  <c r="D333" i="12861"/>
  <c r="D332" i="12861"/>
  <c r="D331" i="12861"/>
  <c r="D330" i="12861"/>
  <c r="D329" i="12861"/>
  <c r="D328" i="12861"/>
  <c r="D327" i="12861"/>
  <c r="D326" i="12861"/>
  <c r="D325" i="12861"/>
  <c r="D324" i="12861"/>
  <c r="D323" i="12861"/>
  <c r="D322" i="12861"/>
  <c r="D321" i="12861"/>
  <c r="D319" i="12861"/>
  <c r="D318" i="12861"/>
  <c r="D317" i="12861"/>
  <c r="D308" i="12861"/>
  <c r="D307" i="12861"/>
  <c r="D306" i="12861"/>
  <c r="D305" i="12861"/>
  <c r="D304" i="12861"/>
  <c r="D303" i="12861"/>
  <c r="D302" i="12861"/>
  <c r="D301" i="12861"/>
  <c r="D300" i="12861"/>
  <c r="D299" i="12861"/>
  <c r="D298" i="12861"/>
  <c r="D297" i="12861"/>
  <c r="D296" i="12861"/>
  <c r="D295" i="12861"/>
  <c r="D294" i="12861"/>
  <c r="D293" i="12861"/>
  <c r="D292" i="12861"/>
  <c r="D291" i="12861"/>
  <c r="D290" i="12861"/>
  <c r="D289" i="12861"/>
  <c r="D288" i="12861"/>
  <c r="D287" i="12861"/>
  <c r="D285" i="12861"/>
  <c r="D284" i="12861"/>
  <c r="D283" i="12861"/>
  <c r="D273" i="12861"/>
  <c r="D272" i="12861"/>
  <c r="D271" i="12861"/>
  <c r="D270" i="12861"/>
  <c r="F270" i="12861" s="1"/>
  <c r="D269" i="12861"/>
  <c r="F269" i="12861" s="1"/>
  <c r="D268" i="12861"/>
  <c r="D267" i="12861"/>
  <c r="D266" i="12861"/>
  <c r="D265" i="12861"/>
  <c r="D264" i="12861"/>
  <c r="D263" i="12861"/>
  <c r="F263" i="12861" s="1"/>
  <c r="D262" i="12861"/>
  <c r="F262" i="12861" s="1"/>
  <c r="D261" i="12861"/>
  <c r="F261" i="12861" s="1"/>
  <c r="D260" i="12861"/>
  <c r="D259" i="12861"/>
  <c r="D258" i="12861"/>
  <c r="D257" i="12861"/>
  <c r="D256" i="12861"/>
  <c r="D255" i="12861"/>
  <c r="D254" i="12861"/>
  <c r="D253" i="12861"/>
  <c r="D252" i="12861"/>
  <c r="D250" i="12861"/>
  <c r="D249" i="12861"/>
  <c r="D248" i="12861"/>
  <c r="D239" i="12861"/>
  <c r="D238" i="12861"/>
  <c r="D237" i="12861"/>
  <c r="D236" i="12861"/>
  <c r="D235" i="12861"/>
  <c r="D234" i="12861"/>
  <c r="D233" i="12861"/>
  <c r="D232" i="12861"/>
  <c r="D231" i="12861"/>
  <c r="D230" i="12861"/>
  <c r="D229" i="12861"/>
  <c r="D228" i="12861"/>
  <c r="D227" i="12861"/>
  <c r="D226" i="12861"/>
  <c r="D225" i="12861"/>
  <c r="D224" i="12861"/>
  <c r="D223" i="12861"/>
  <c r="D222" i="12861"/>
  <c r="D221" i="12861"/>
  <c r="D220" i="12861"/>
  <c r="D219" i="12861"/>
  <c r="D218" i="12861"/>
  <c r="D216" i="12861"/>
  <c r="D215" i="12861"/>
  <c r="D214" i="12861"/>
  <c r="D202" i="12861"/>
  <c r="D201" i="12861"/>
  <c r="D200" i="12861"/>
  <c r="D199" i="12861"/>
  <c r="D198" i="12861"/>
  <c r="D197" i="12861"/>
  <c r="D196" i="12861"/>
  <c r="D195" i="12861"/>
  <c r="D194" i="12861"/>
  <c r="D193" i="12861"/>
  <c r="D192" i="12861"/>
  <c r="D191" i="12861"/>
  <c r="D190" i="12861"/>
  <c r="D189" i="12861"/>
  <c r="D188" i="12861"/>
  <c r="D187" i="12861"/>
  <c r="D186" i="12861"/>
  <c r="D185" i="12861"/>
  <c r="D184" i="12861"/>
  <c r="D183" i="12861"/>
  <c r="D182" i="12861"/>
  <c r="D181" i="12861"/>
  <c r="D180" i="12861"/>
  <c r="D179" i="12861"/>
  <c r="D178" i="12861"/>
  <c r="D175" i="12861"/>
  <c r="D174" i="12861"/>
  <c r="D173" i="12861"/>
  <c r="D171" i="12861"/>
  <c r="D170" i="12861"/>
  <c r="D169" i="12861"/>
  <c r="D160" i="12861"/>
  <c r="D159" i="12861"/>
  <c r="D158" i="12861"/>
  <c r="D157" i="12861"/>
  <c r="D156" i="12861"/>
  <c r="D155" i="12861"/>
  <c r="D154" i="12861"/>
  <c r="D153" i="12861"/>
  <c r="D145" i="12861"/>
  <c r="D144" i="12861"/>
  <c r="D143" i="12861"/>
  <c r="D142" i="12861"/>
  <c r="D141" i="12861"/>
  <c r="D140" i="12861"/>
  <c r="D139" i="12861"/>
  <c r="D138" i="12861"/>
  <c r="D130" i="12861"/>
  <c r="D129" i="12861"/>
  <c r="D128" i="12861"/>
  <c r="D127" i="12861"/>
  <c r="D126" i="12861"/>
  <c r="D125" i="12861"/>
  <c r="D124" i="12861"/>
  <c r="D123" i="12861"/>
  <c r="D115" i="12861"/>
  <c r="D114" i="12861"/>
  <c r="D113" i="12861"/>
  <c r="D112" i="12861"/>
  <c r="D111" i="12861"/>
  <c r="D110" i="12861"/>
  <c r="D109" i="12861"/>
  <c r="D108" i="12861"/>
  <c r="D98" i="12861"/>
  <c r="D97" i="12861"/>
  <c r="D96" i="12861"/>
  <c r="D95" i="12861"/>
  <c r="D94" i="12861"/>
  <c r="D93" i="12861"/>
  <c r="D92" i="12861"/>
  <c r="D91" i="12861"/>
  <c r="D90" i="12861"/>
  <c r="D89" i="12861"/>
  <c r="D80" i="12861"/>
  <c r="D79" i="12861"/>
  <c r="D78" i="12861"/>
  <c r="D77" i="12861"/>
  <c r="D76" i="12861"/>
  <c r="D74" i="12861"/>
  <c r="D73" i="12861"/>
  <c r="D72" i="12861"/>
  <c r="D62" i="12861"/>
  <c r="D61" i="12861"/>
  <c r="D60" i="12861"/>
  <c r="D59" i="12861"/>
  <c r="D58" i="12861"/>
  <c r="D56" i="12861"/>
  <c r="D55" i="12861"/>
  <c r="D54" i="12861"/>
  <c r="D44" i="12861"/>
  <c r="D43" i="12861"/>
  <c r="D42" i="12861"/>
  <c r="D41" i="12861"/>
  <c r="D40" i="12861"/>
  <c r="D38" i="12861"/>
  <c r="D37" i="12861"/>
  <c r="D36" i="12861"/>
  <c r="D23" i="12861"/>
  <c r="D22" i="12861"/>
  <c r="D21" i="12861"/>
  <c r="D20" i="12861"/>
  <c r="D19" i="12861"/>
  <c r="D17" i="12861"/>
  <c r="D16" i="12861"/>
  <c r="D15" i="12861"/>
  <c r="U1279" i="12861"/>
  <c r="O1269" i="12861"/>
  <c r="K1269" i="12861"/>
  <c r="C1267" i="12861"/>
  <c r="C1265" i="12861"/>
  <c r="C1261" i="12861"/>
  <c r="C1260" i="12861"/>
  <c r="C1258" i="12861"/>
  <c r="C1257" i="12861"/>
  <c r="C1256" i="12861"/>
  <c r="F1256" i="12861" s="1"/>
  <c r="C1253" i="12861"/>
  <c r="C1252" i="12861"/>
  <c r="C1250" i="12861"/>
  <c r="C1245" i="12861"/>
  <c r="C1242" i="12861"/>
  <c r="O1228" i="12861"/>
  <c r="K1228" i="12861"/>
  <c r="S1225" i="12861"/>
  <c r="O1225" i="12861"/>
  <c r="K1225" i="12861"/>
  <c r="S1224" i="12861"/>
  <c r="O1224" i="12861"/>
  <c r="K1224" i="12861"/>
  <c r="U1211" i="12861"/>
  <c r="Q1211" i="12861"/>
  <c r="M1211" i="12861"/>
  <c r="C1210" i="12861"/>
  <c r="I1209" i="12861"/>
  <c r="U1197" i="12861"/>
  <c r="Q1197" i="12861"/>
  <c r="M1197" i="12861"/>
  <c r="C1194" i="12861"/>
  <c r="C1193" i="12861"/>
  <c r="C1192" i="12861"/>
  <c r="C1191" i="12861"/>
  <c r="C1190" i="12861"/>
  <c r="U1180" i="12861"/>
  <c r="C1152" i="12861"/>
  <c r="U1150" i="12861"/>
  <c r="O1138" i="12861"/>
  <c r="K1138" i="12861"/>
  <c r="C1138" i="12861"/>
  <c r="I1138" i="12861" s="1"/>
  <c r="C1136" i="12861"/>
  <c r="C1135" i="12861"/>
  <c r="C1134" i="12861"/>
  <c r="C1133" i="12861"/>
  <c r="C1132" i="12861"/>
  <c r="C1131" i="12861"/>
  <c r="C1130" i="12861"/>
  <c r="C1118" i="12861"/>
  <c r="C1117" i="12861"/>
  <c r="C1115" i="12861"/>
  <c r="C1114" i="12861"/>
  <c r="O1100" i="12861"/>
  <c r="K1100" i="12861"/>
  <c r="K1099" i="12861"/>
  <c r="M1098" i="12861"/>
  <c r="K1098" i="12861"/>
  <c r="S1095" i="12861"/>
  <c r="O1095" i="12861"/>
  <c r="I1094" i="12861"/>
  <c r="F1094" i="12861"/>
  <c r="S1092" i="12861"/>
  <c r="O1092" i="12861"/>
  <c r="C1091" i="12861"/>
  <c r="O1040" i="12861"/>
  <c r="Q1040" i="12861" s="1"/>
  <c r="C1040" i="12861"/>
  <c r="C1037" i="12861"/>
  <c r="C1022" i="12861"/>
  <c r="C1019" i="12861"/>
  <c r="O1006" i="12861"/>
  <c r="K1006" i="12861"/>
  <c r="K1045" i="12861" s="1"/>
  <c r="K1005" i="12861"/>
  <c r="M1004" i="12861"/>
  <c r="K1004" i="12861"/>
  <c r="K1025" i="12861" s="1"/>
  <c r="S1001" i="12861"/>
  <c r="S1040" i="12861" s="1"/>
  <c r="O1001" i="12861"/>
  <c r="O1022" i="12861" s="1"/>
  <c r="Q1022" i="12861" s="1"/>
  <c r="C1001" i="12861"/>
  <c r="S1000" i="12861"/>
  <c r="O1000" i="12861"/>
  <c r="O1039" i="12861" s="1"/>
  <c r="S998" i="12861"/>
  <c r="S1019" i="12861" s="1"/>
  <c r="O998" i="12861"/>
  <c r="S997" i="12861"/>
  <c r="S1018" i="12861" s="1"/>
  <c r="O997" i="12861"/>
  <c r="O1036" i="12861" s="1"/>
  <c r="O982" i="12861"/>
  <c r="C982" i="12861"/>
  <c r="C979" i="12861"/>
  <c r="C964" i="12861"/>
  <c r="C961" i="12861"/>
  <c r="O949" i="12861"/>
  <c r="K949" i="12861"/>
  <c r="K969" i="12861" s="1"/>
  <c r="K948" i="12861"/>
  <c r="M947" i="12861"/>
  <c r="K947" i="12861"/>
  <c r="K967" i="12861" s="1"/>
  <c r="K888" i="12861" s="1"/>
  <c r="S944" i="12861"/>
  <c r="S982" i="12861" s="1"/>
  <c r="O944" i="12861"/>
  <c r="O964" i="12861" s="1"/>
  <c r="S943" i="12861"/>
  <c r="S963" i="12861" s="1"/>
  <c r="O943" i="12861"/>
  <c r="S941" i="12861"/>
  <c r="S961" i="12861" s="1"/>
  <c r="S882" i="12861" s="1"/>
  <c r="O941" i="12861"/>
  <c r="S940" i="12861"/>
  <c r="S960" i="12861" s="1"/>
  <c r="S881" i="12861" s="1"/>
  <c r="O940" i="12861"/>
  <c r="O978" i="12861" s="1"/>
  <c r="F931" i="12861"/>
  <c r="U924" i="12861"/>
  <c r="Q924" i="12861"/>
  <c r="M924" i="12861"/>
  <c r="I924" i="12861"/>
  <c r="F924" i="12861"/>
  <c r="C885" i="12861"/>
  <c r="S884" i="12861"/>
  <c r="S883" i="12861"/>
  <c r="O883" i="12861"/>
  <c r="K883" i="12861"/>
  <c r="G883" i="12861"/>
  <c r="C882" i="12861"/>
  <c r="C870" i="12861"/>
  <c r="C827" i="12861"/>
  <c r="C807" i="12861"/>
  <c r="C806" i="12861"/>
  <c r="C754" i="12861" s="1"/>
  <c r="C803" i="12861"/>
  <c r="C751" i="12861" s="1"/>
  <c r="C802" i="12861"/>
  <c r="O801" i="12861"/>
  <c r="C801" i="12861"/>
  <c r="C749" i="12861" s="1"/>
  <c r="C798" i="12861"/>
  <c r="C746" i="12861" s="1"/>
  <c r="S787" i="12861"/>
  <c r="G777" i="12861"/>
  <c r="G800" i="12861" s="1"/>
  <c r="S765" i="12861"/>
  <c r="S817" i="12861" s="1"/>
  <c r="O765" i="12861"/>
  <c r="G765" i="12861"/>
  <c r="G869" i="12861" s="1"/>
  <c r="I869" i="12861" s="1"/>
  <c r="K764" i="12861"/>
  <c r="K868" i="12861" s="1"/>
  <c r="M868" i="12861" s="1"/>
  <c r="G764" i="12861"/>
  <c r="G868" i="12861" s="1"/>
  <c r="I868" i="12861" s="1"/>
  <c r="C763" i="12861"/>
  <c r="C760" i="12861"/>
  <c r="C759" i="12861"/>
  <c r="C757" i="12861"/>
  <c r="C756" i="12861"/>
  <c r="C750" i="12861"/>
  <c r="O743" i="12861"/>
  <c r="O848" i="12861" s="1"/>
  <c r="K743" i="12861"/>
  <c r="K766" i="12861" s="1"/>
  <c r="K870" i="12861" s="1"/>
  <c r="K742" i="12861"/>
  <c r="K847" i="12861" s="1"/>
  <c r="K867" i="12861" s="1"/>
  <c r="M867" i="12861" s="1"/>
  <c r="C740" i="12861"/>
  <c r="S736" i="12861"/>
  <c r="S841" i="12861" s="1"/>
  <c r="O736" i="12861"/>
  <c r="S735" i="12861"/>
  <c r="S840" i="12861" s="1"/>
  <c r="S860" i="12861" s="1"/>
  <c r="U860" i="12861" s="1"/>
  <c r="O735" i="12861"/>
  <c r="O756" i="12861" s="1"/>
  <c r="S734" i="12861"/>
  <c r="S788" i="12861" s="1"/>
  <c r="O734" i="12861"/>
  <c r="S733" i="12861"/>
  <c r="S754" i="12861" s="1"/>
  <c r="O733" i="12861"/>
  <c r="S732" i="12861"/>
  <c r="S837" i="12861" s="1"/>
  <c r="S857" i="12861" s="1"/>
  <c r="U857" i="12861" s="1"/>
  <c r="O732" i="12861"/>
  <c r="O739" i="12861" s="1"/>
  <c r="O760" i="12861" s="1"/>
  <c r="S730" i="12861"/>
  <c r="S835" i="12861" s="1"/>
  <c r="O730" i="12861"/>
  <c r="O738" i="12861" s="1"/>
  <c r="O759" i="12861" s="1"/>
  <c r="O725" i="12861"/>
  <c r="O750" i="12861" s="1"/>
  <c r="O724" i="12861"/>
  <c r="O778" i="12861" s="1"/>
  <c r="S723" i="12861"/>
  <c r="O723" i="12861"/>
  <c r="G828" i="12861"/>
  <c r="O721" i="12861"/>
  <c r="O710" i="12861"/>
  <c r="C703" i="12861"/>
  <c r="C701" i="12861"/>
  <c r="C699" i="12861"/>
  <c r="O672" i="12861"/>
  <c r="G634" i="12861"/>
  <c r="S632" i="12861"/>
  <c r="S672" i="12861" s="1"/>
  <c r="K631" i="12861"/>
  <c r="O622" i="12861"/>
  <c r="O617" i="12861"/>
  <c r="K617" i="12861"/>
  <c r="K659" i="12861" s="1"/>
  <c r="O616" i="12861"/>
  <c r="O658" i="12861" s="1"/>
  <c r="K616" i="12861"/>
  <c r="K615" i="12861"/>
  <c r="K657" i="12861" s="1"/>
  <c r="K670" i="12861" s="1"/>
  <c r="K614" i="12861"/>
  <c r="K656" i="12861" s="1"/>
  <c r="K669" i="12861" s="1"/>
  <c r="K613" i="12861"/>
  <c r="K693" i="12861" s="1"/>
  <c r="K706" i="12861" s="1"/>
  <c r="S608" i="12861"/>
  <c r="S688" i="12861" s="1"/>
  <c r="O608" i="12861"/>
  <c r="O625" i="12861" s="1"/>
  <c r="S607" i="12861"/>
  <c r="S687" i="12861" s="1"/>
  <c r="O607" i="12861"/>
  <c r="S605" i="12861"/>
  <c r="O605" i="12861"/>
  <c r="O647" i="12861" s="1"/>
  <c r="O663" i="12861" s="1"/>
  <c r="S604" i="12861"/>
  <c r="O604" i="12861"/>
  <c r="O684" i="12861" s="1"/>
  <c r="S603" i="12861"/>
  <c r="O603" i="12861"/>
  <c r="O683" i="12861" s="1"/>
  <c r="C595" i="12861"/>
  <c r="C597" i="12861" s="1"/>
  <c r="G594" i="12861"/>
  <c r="C594" i="12861"/>
  <c r="C593" i="12861"/>
  <c r="I589" i="12861"/>
  <c r="I588" i="12861"/>
  <c r="S584" i="12861"/>
  <c r="O584" i="12861"/>
  <c r="K584" i="12861"/>
  <c r="I584" i="12861"/>
  <c r="G584" i="12861"/>
  <c r="O576" i="12861"/>
  <c r="K576" i="12861"/>
  <c r="C576" i="12861"/>
  <c r="O575" i="12861"/>
  <c r="C575" i="12861"/>
  <c r="C565" i="12861"/>
  <c r="C553" i="12861"/>
  <c r="C552" i="12861"/>
  <c r="C551" i="12861"/>
  <c r="U550" i="12861"/>
  <c r="S550" i="12861"/>
  <c r="O550" i="12861"/>
  <c r="Q550" i="12861" s="1"/>
  <c r="K549" i="12861"/>
  <c r="M549" i="12861" s="1"/>
  <c r="G537" i="12861"/>
  <c r="C536" i="12861"/>
  <c r="C535" i="12861"/>
  <c r="C527" i="12861"/>
  <c r="C518" i="12861"/>
  <c r="C517" i="12861"/>
  <c r="G516" i="12861"/>
  <c r="C516" i="12861"/>
  <c r="S515" i="12861"/>
  <c r="U515" i="12861" s="1"/>
  <c r="O515" i="12861"/>
  <c r="Q515" i="12861" s="1"/>
  <c r="K514" i="12861"/>
  <c r="M514" i="12861" s="1"/>
  <c r="C500" i="12861"/>
  <c r="C483" i="12861"/>
  <c r="C482" i="12861"/>
  <c r="C481" i="12861"/>
  <c r="S480" i="12861"/>
  <c r="O480" i="12861"/>
  <c r="K479" i="12861"/>
  <c r="C447" i="12861"/>
  <c r="C446" i="12861"/>
  <c r="C445" i="12861"/>
  <c r="S444" i="12861"/>
  <c r="U444" i="12861" s="1"/>
  <c r="O444" i="12861"/>
  <c r="Q444" i="12861" s="1"/>
  <c r="K443" i="12861"/>
  <c r="M443" i="12861" s="1"/>
  <c r="K431" i="12861"/>
  <c r="C430" i="12861"/>
  <c r="C429" i="12861"/>
  <c r="C433" i="12861" s="1"/>
  <c r="C428" i="12861"/>
  <c r="C432" i="12861" s="1"/>
  <c r="C426" i="12861"/>
  <c r="C423" i="12861"/>
  <c r="C422" i="12861"/>
  <c r="S409" i="12861"/>
  <c r="O409" i="12861"/>
  <c r="C409" i="12861"/>
  <c r="K408" i="12861"/>
  <c r="C408" i="12861"/>
  <c r="C407" i="12861"/>
  <c r="C406" i="12861"/>
  <c r="C412" i="12861" s="1"/>
  <c r="C405" i="12861"/>
  <c r="C411" i="12861" s="1"/>
  <c r="C404" i="12861"/>
  <c r="C403" i="12861"/>
  <c r="C362" i="12861" s="1"/>
  <c r="C402" i="12861"/>
  <c r="C401" i="12861"/>
  <c r="C400" i="12861"/>
  <c r="C395" i="12861"/>
  <c r="C391" i="12861"/>
  <c r="C388" i="12861"/>
  <c r="C387" i="12861"/>
  <c r="S374" i="12861"/>
  <c r="O374" i="12861"/>
  <c r="K373" i="12861"/>
  <c r="S339" i="12861"/>
  <c r="O339" i="12861"/>
  <c r="K338" i="12861"/>
  <c r="C330" i="12861"/>
  <c r="K306" i="12861"/>
  <c r="S305" i="12861"/>
  <c r="O305" i="12861"/>
  <c r="K304" i="12861"/>
  <c r="S270" i="12861"/>
  <c r="U270" i="12861" s="1"/>
  <c r="O270" i="12861"/>
  <c r="Q270" i="12861" s="1"/>
  <c r="K269" i="12861"/>
  <c r="M269" i="12861" s="1"/>
  <c r="C264" i="12861"/>
  <c r="K237" i="12861"/>
  <c r="S236" i="12861"/>
  <c r="O236" i="12861"/>
  <c r="K200" i="12861"/>
  <c r="G198" i="12861"/>
  <c r="O185" i="12861"/>
  <c r="K185" i="12861"/>
  <c r="O184" i="12861"/>
  <c r="O552" i="12861" s="1"/>
  <c r="Q552" i="12861" s="1"/>
  <c r="K184" i="12861"/>
  <c r="O183" i="12861"/>
  <c r="K183" i="12861"/>
  <c r="K445" i="12861" s="1"/>
  <c r="K182" i="12861"/>
  <c r="O175" i="12861"/>
  <c r="O174" i="12861"/>
  <c r="O173" i="12861"/>
  <c r="S171" i="12861"/>
  <c r="O171" i="12861"/>
  <c r="S170" i="12861"/>
  <c r="S528" i="12861" s="1"/>
  <c r="O170" i="12861"/>
  <c r="S169" i="12861"/>
  <c r="S492" i="12861" s="1"/>
  <c r="O169" i="12861"/>
  <c r="O158" i="12861"/>
  <c r="K158" i="12861"/>
  <c r="S153" i="12861"/>
  <c r="O153" i="12861"/>
  <c r="O143" i="12861"/>
  <c r="K143" i="12861"/>
  <c r="S138" i="12861"/>
  <c r="O138" i="12861"/>
  <c r="O128" i="12861"/>
  <c r="K128" i="12861"/>
  <c r="S123" i="12861"/>
  <c r="O123" i="12861"/>
  <c r="O115" i="12861"/>
  <c r="K115" i="12861"/>
  <c r="O114" i="12861"/>
  <c r="O130" i="12861" s="1"/>
  <c r="O145" i="12861" s="1"/>
  <c r="O160" i="12861" s="1"/>
  <c r="O113" i="12861"/>
  <c r="O129" i="12861" s="1"/>
  <c r="O144" i="12861" s="1"/>
  <c r="O112" i="12861"/>
  <c r="O111" i="12861"/>
  <c r="S108" i="12861"/>
  <c r="O108" i="12861"/>
  <c r="K96" i="12861"/>
  <c r="K114" i="12861" s="1"/>
  <c r="K130" i="12861" s="1"/>
  <c r="K145" i="12861" s="1"/>
  <c r="K95" i="12861"/>
  <c r="K113" i="12861" s="1"/>
  <c r="K129" i="12861" s="1"/>
  <c r="K144" i="12861" s="1"/>
  <c r="K159" i="12861" s="1"/>
  <c r="K93" i="12861"/>
  <c r="K92" i="12861"/>
  <c r="K111" i="12861" s="1"/>
  <c r="O80" i="12861"/>
  <c r="K80" i="12861"/>
  <c r="M80" i="12861" s="1"/>
  <c r="O62" i="12861"/>
  <c r="K62" i="12861"/>
  <c r="M62" i="12861" s="1"/>
  <c r="O44" i="12861"/>
  <c r="K44" i="12861"/>
  <c r="C38" i="12861"/>
  <c r="S22" i="12861"/>
  <c r="O22" i="12861"/>
  <c r="U1273" i="12860"/>
  <c r="C1263" i="12860"/>
  <c r="S1263" i="12860"/>
  <c r="G1261" i="12860"/>
  <c r="G1267" i="12861" s="1"/>
  <c r="F1261" i="12860"/>
  <c r="G1259" i="12860"/>
  <c r="I1259" i="12860" s="1"/>
  <c r="F1259" i="12860"/>
  <c r="G1258" i="12860"/>
  <c r="G1264" i="12861" s="1"/>
  <c r="F1258" i="12860"/>
  <c r="G1257" i="12860"/>
  <c r="F1257" i="12860"/>
  <c r="G1255" i="12860"/>
  <c r="G1261" i="12861" s="1"/>
  <c r="F1255" i="12860"/>
  <c r="G1254" i="12860"/>
  <c r="I1254" i="12860" s="1"/>
  <c r="F1254" i="12860"/>
  <c r="G1252" i="12860"/>
  <c r="G1258" i="12861" s="1"/>
  <c r="F1252" i="12860"/>
  <c r="G1251" i="12860"/>
  <c r="F1251" i="12860"/>
  <c r="G1250" i="12860"/>
  <c r="I1250" i="12860" s="1"/>
  <c r="F1250" i="12860"/>
  <c r="G1247" i="12860"/>
  <c r="F1247" i="12860"/>
  <c r="G1246" i="12860"/>
  <c r="I1246" i="12860" s="1"/>
  <c r="F1246" i="12860"/>
  <c r="G1244" i="12860"/>
  <c r="G1250" i="12861" s="1"/>
  <c r="F1244" i="12860"/>
  <c r="G1243" i="12860"/>
  <c r="F1243" i="12860"/>
  <c r="G1242" i="12860"/>
  <c r="G1248" i="12861" s="1"/>
  <c r="F1242" i="12860"/>
  <c r="G1239" i="12860"/>
  <c r="I1239" i="12860" s="1"/>
  <c r="F1239" i="12860"/>
  <c r="G1238" i="12860"/>
  <c r="G1244" i="12861" s="1"/>
  <c r="F1238" i="12860"/>
  <c r="G1236" i="12860"/>
  <c r="I1236" i="12860" s="1"/>
  <c r="F1236" i="12860"/>
  <c r="G1241" i="12861"/>
  <c r="F1235" i="12860"/>
  <c r="G1234" i="12860"/>
  <c r="G1240" i="12861" s="1"/>
  <c r="F1234" i="12860"/>
  <c r="G1223" i="12860"/>
  <c r="S1222" i="12860"/>
  <c r="I1221" i="12860"/>
  <c r="Q1219" i="12860"/>
  <c r="O1208" i="12860"/>
  <c r="K1208" i="12860"/>
  <c r="G1208" i="12860"/>
  <c r="C1209" i="12860"/>
  <c r="C1208" i="12860" s="1"/>
  <c r="G1205" i="12860"/>
  <c r="G1206" i="12860" s="1"/>
  <c r="F1205" i="12860"/>
  <c r="I1204" i="12860"/>
  <c r="G1196" i="12860"/>
  <c r="O1195" i="12860"/>
  <c r="K1195" i="12860"/>
  <c r="F1192" i="12860"/>
  <c r="G1190" i="12860"/>
  <c r="I1190" i="12860" s="1"/>
  <c r="F1190" i="12860"/>
  <c r="G1189" i="12860"/>
  <c r="G1193" i="12861" s="1"/>
  <c r="F1189" i="12860"/>
  <c r="G1188" i="12860"/>
  <c r="G1192" i="12861" s="1"/>
  <c r="F1188" i="12860"/>
  <c r="G1187" i="12860"/>
  <c r="I1187" i="12860" s="1"/>
  <c r="F1187" i="12860"/>
  <c r="G1186" i="12860"/>
  <c r="I1186" i="12860" s="1"/>
  <c r="F1186" i="12860"/>
  <c r="G1183" i="12860"/>
  <c r="F1183" i="12860"/>
  <c r="G1182" i="12860"/>
  <c r="F1182" i="12860"/>
  <c r="G1181" i="12860"/>
  <c r="G1185" i="12861" s="1"/>
  <c r="G1180" i="12860"/>
  <c r="G1184" i="12861" s="1"/>
  <c r="F1180" i="12860"/>
  <c r="G1179" i="12860"/>
  <c r="F1179" i="12860"/>
  <c r="G1178" i="12860"/>
  <c r="F1178" i="12860"/>
  <c r="U1176" i="12860"/>
  <c r="I1176" i="12860"/>
  <c r="M1176" i="12860" s="1"/>
  <c r="S1166" i="12860"/>
  <c r="S1208" i="12860" s="1"/>
  <c r="G1152" i="12860"/>
  <c r="S1151" i="12860"/>
  <c r="G1149" i="12860"/>
  <c r="F1149" i="12860"/>
  <c r="C1153" i="12860"/>
  <c r="U1147" i="12860"/>
  <c r="I1147" i="12860"/>
  <c r="C1136" i="12860"/>
  <c r="M1136" i="12860" s="1"/>
  <c r="S1136" i="12860"/>
  <c r="G1134" i="12860"/>
  <c r="G1136" i="12861" s="1"/>
  <c r="F1134" i="12860"/>
  <c r="G1133" i="12860"/>
  <c r="I1133" i="12860" s="1"/>
  <c r="F1133" i="12860"/>
  <c r="G1132" i="12860"/>
  <c r="F1132" i="12860"/>
  <c r="G1131" i="12860"/>
  <c r="G1133" i="12861" s="1"/>
  <c r="F1131" i="12860"/>
  <c r="G1130" i="12860"/>
  <c r="F1130" i="12860"/>
  <c r="G1129" i="12860"/>
  <c r="I1129" i="12860" s="1"/>
  <c r="F1129" i="12860"/>
  <c r="G1128" i="12860"/>
  <c r="F1128" i="12860"/>
  <c r="G1128" i="12861"/>
  <c r="F1126" i="12860"/>
  <c r="G1127" i="12861"/>
  <c r="G1125" i="12861"/>
  <c r="F1124" i="12860"/>
  <c r="G1124" i="12861"/>
  <c r="G1121" i="12861"/>
  <c r="F1121" i="12860"/>
  <c r="G1120" i="12861"/>
  <c r="G1119" i="12860"/>
  <c r="G1119" i="12861" s="1"/>
  <c r="F1119" i="12860"/>
  <c r="G1118" i="12860"/>
  <c r="I1118" i="12860" s="1"/>
  <c r="F1118" i="12860"/>
  <c r="G1117" i="12860"/>
  <c r="I1117" i="12860" s="1"/>
  <c r="F1117" i="12860"/>
  <c r="G1116" i="12860"/>
  <c r="G1116" i="12861" s="1"/>
  <c r="F1116" i="12860"/>
  <c r="G1115" i="12860"/>
  <c r="I1115" i="12860" s="1"/>
  <c r="F1115" i="12860"/>
  <c r="G1114" i="12860"/>
  <c r="I1114" i="12860" s="1"/>
  <c r="F1114" i="12860"/>
  <c r="G1113" i="12860"/>
  <c r="G1113" i="12861" s="1"/>
  <c r="F1113" i="12860"/>
  <c r="G1112" i="12860"/>
  <c r="G1112" i="12861" s="1"/>
  <c r="S1100" i="12860"/>
  <c r="M1099" i="12860"/>
  <c r="C1102" i="12860"/>
  <c r="F1096" i="12860"/>
  <c r="Q1095" i="12860"/>
  <c r="U1094" i="12860"/>
  <c r="Q1094" i="12860"/>
  <c r="M1094" i="12860"/>
  <c r="I1094" i="12860"/>
  <c r="F1094" i="12860"/>
  <c r="U1092" i="12860"/>
  <c r="U1091" i="12860"/>
  <c r="Q1091" i="12860"/>
  <c r="M1091" i="12860"/>
  <c r="I1091" i="12860"/>
  <c r="F1091" i="12860"/>
  <c r="C1077" i="12860"/>
  <c r="C1074" i="12860"/>
  <c r="C1058" i="12860"/>
  <c r="U1055" i="12860"/>
  <c r="C1055" i="12860"/>
  <c r="O1045" i="12860"/>
  <c r="K1045" i="12860"/>
  <c r="G1045" i="12860"/>
  <c r="K1044" i="12860"/>
  <c r="F1044" i="12860"/>
  <c r="K1043" i="12860"/>
  <c r="C1046" i="12860"/>
  <c r="F1041" i="12860"/>
  <c r="U1040" i="12860"/>
  <c r="S1040" i="12860"/>
  <c r="O1040" i="12860"/>
  <c r="Q1040" i="12860" s="1"/>
  <c r="Q1077" i="12860" s="1"/>
  <c r="F1040" i="12860"/>
  <c r="S1039" i="12860"/>
  <c r="O1039" i="12860"/>
  <c r="U1037" i="12860"/>
  <c r="S1037" i="12860"/>
  <c r="O1037" i="12860"/>
  <c r="Q1037" i="12860" s="1"/>
  <c r="F1037" i="12860"/>
  <c r="S1036" i="12860"/>
  <c r="O1036" i="12860"/>
  <c r="C1038" i="12860"/>
  <c r="O1027" i="12860"/>
  <c r="K1027" i="12860"/>
  <c r="G1027" i="12860"/>
  <c r="K1026" i="12860"/>
  <c r="K1025" i="12860"/>
  <c r="U1022" i="12860"/>
  <c r="S1022" i="12860"/>
  <c r="O1022" i="12860"/>
  <c r="Q1022" i="12860" s="1"/>
  <c r="F1022" i="12860"/>
  <c r="S1021" i="12860"/>
  <c r="U1021" i="12860" s="1"/>
  <c r="O1021" i="12860"/>
  <c r="S1019" i="12860"/>
  <c r="U1019" i="12860" s="1"/>
  <c r="O1019" i="12860"/>
  <c r="Q1019" i="12860" s="1"/>
  <c r="F1019" i="12860"/>
  <c r="S1018" i="12860"/>
  <c r="O1018" i="12860"/>
  <c r="Q1018" i="12860"/>
  <c r="S1006" i="12860"/>
  <c r="S1045" i="12860" s="1"/>
  <c r="C1001" i="12860"/>
  <c r="U1001" i="12860" s="1"/>
  <c r="C998" i="12860"/>
  <c r="O988" i="12860"/>
  <c r="K988" i="12860"/>
  <c r="G988" i="12860"/>
  <c r="K987" i="12860"/>
  <c r="M987" i="12860" s="1"/>
  <c r="K986" i="12860"/>
  <c r="C989" i="12860"/>
  <c r="F984" i="12860"/>
  <c r="S983" i="12860"/>
  <c r="U983" i="12860" s="1"/>
  <c r="O983" i="12860"/>
  <c r="Q983" i="12860" s="1"/>
  <c r="F983" i="12860"/>
  <c r="S982" i="12860"/>
  <c r="U982" i="12860" s="1"/>
  <c r="O982" i="12860"/>
  <c r="S980" i="12860"/>
  <c r="U980" i="12860" s="1"/>
  <c r="Q980" i="12860"/>
  <c r="O980" i="12860"/>
  <c r="F980" i="12860"/>
  <c r="S979" i="12860"/>
  <c r="O979" i="12860"/>
  <c r="C981" i="12860"/>
  <c r="O970" i="12860"/>
  <c r="K970" i="12860"/>
  <c r="G970" i="12860"/>
  <c r="K969" i="12860"/>
  <c r="F969" i="12860"/>
  <c r="K968" i="12860"/>
  <c r="F966" i="12860"/>
  <c r="S965" i="12860"/>
  <c r="O965" i="12860"/>
  <c r="O886" i="12860" s="1"/>
  <c r="F965" i="12860"/>
  <c r="S964" i="12860"/>
  <c r="O964" i="12860"/>
  <c r="S962" i="12860"/>
  <c r="U962" i="12860" s="1"/>
  <c r="Q962" i="12860"/>
  <c r="O962" i="12860"/>
  <c r="F962" i="12860"/>
  <c r="S961" i="12860"/>
  <c r="O961" i="12860"/>
  <c r="O882" i="12860" s="1"/>
  <c r="S950" i="12860"/>
  <c r="C945" i="12860"/>
  <c r="C942" i="12860"/>
  <c r="F932" i="12860"/>
  <c r="M930" i="12860"/>
  <c r="M911" i="12860" s="1"/>
  <c r="U929" i="12860"/>
  <c r="Q929" i="12860"/>
  <c r="M929" i="12860"/>
  <c r="I929" i="12860"/>
  <c r="F929" i="12860"/>
  <c r="C929" i="12860"/>
  <c r="U925" i="12860"/>
  <c r="Q925" i="12860"/>
  <c r="M925" i="12860"/>
  <c r="I925" i="12860"/>
  <c r="F925" i="12860"/>
  <c r="O895" i="12860"/>
  <c r="K895" i="12860"/>
  <c r="G895" i="12860"/>
  <c r="F894" i="12860"/>
  <c r="F893" i="12860"/>
  <c r="F892" i="12860"/>
  <c r="Q891" i="12860"/>
  <c r="K890" i="12860"/>
  <c r="F890" i="12860"/>
  <c r="C896" i="12860"/>
  <c r="F887" i="12860"/>
  <c r="Q886" i="12860"/>
  <c r="F886" i="12860"/>
  <c r="S885" i="12860"/>
  <c r="O885" i="12860"/>
  <c r="F885" i="12860"/>
  <c r="G884" i="12860"/>
  <c r="O883" i="12860"/>
  <c r="Q883" i="12860" s="1"/>
  <c r="F883" i="12860"/>
  <c r="C884" i="12860"/>
  <c r="C871" i="12860"/>
  <c r="Q871" i="12860" s="1"/>
  <c r="U870" i="12860"/>
  <c r="Q870" i="12860"/>
  <c r="F870" i="12860"/>
  <c r="M869" i="12860"/>
  <c r="G869" i="12860"/>
  <c r="I869" i="12860" s="1"/>
  <c r="F869" i="12860"/>
  <c r="F868" i="12860"/>
  <c r="F867" i="12860"/>
  <c r="F865" i="12860"/>
  <c r="F864" i="12860"/>
  <c r="F862" i="12860"/>
  <c r="F861" i="12860"/>
  <c r="F860" i="12860"/>
  <c r="F859" i="12860"/>
  <c r="F858" i="12860"/>
  <c r="F856" i="12860"/>
  <c r="F855" i="12860"/>
  <c r="F854" i="12860"/>
  <c r="F853" i="12860"/>
  <c r="F851" i="12860"/>
  <c r="O849" i="12860"/>
  <c r="K849" i="12860"/>
  <c r="G849" i="12860"/>
  <c r="K848" i="12860"/>
  <c r="C849" i="12860"/>
  <c r="S842" i="12860"/>
  <c r="O842" i="12860"/>
  <c r="F842" i="12860"/>
  <c r="S841" i="12860"/>
  <c r="O841" i="12860"/>
  <c r="S840" i="12860"/>
  <c r="O840" i="12860"/>
  <c r="S839" i="12860"/>
  <c r="O839" i="12860"/>
  <c r="S838" i="12860"/>
  <c r="O838" i="12860"/>
  <c r="O845" i="12860" s="1"/>
  <c r="F838" i="12860"/>
  <c r="S836" i="12860"/>
  <c r="S844" i="12860" s="1"/>
  <c r="O836" i="12860"/>
  <c r="O831" i="12860"/>
  <c r="O855" i="12860" s="1"/>
  <c r="Q855" i="12860" s="1"/>
  <c r="Q831" i="12860"/>
  <c r="O830" i="12860"/>
  <c r="S829" i="12860"/>
  <c r="U829" i="12860" s="1"/>
  <c r="O829" i="12860"/>
  <c r="O853" i="12860" s="1"/>
  <c r="Q853" i="12860" s="1"/>
  <c r="G829" i="12860"/>
  <c r="G853" i="12860" s="1"/>
  <c r="I853" i="12860" s="1"/>
  <c r="O827" i="12860"/>
  <c r="O851" i="12860" s="1"/>
  <c r="Q851" i="12860" s="1"/>
  <c r="G817" i="12860"/>
  <c r="Q817" i="12860"/>
  <c r="M816" i="12860"/>
  <c r="F815" i="12860"/>
  <c r="F812" i="12860"/>
  <c r="F759" i="12860" s="1"/>
  <c r="F811" i="12860"/>
  <c r="F809" i="12860"/>
  <c r="F808" i="12860"/>
  <c r="S807" i="12860"/>
  <c r="U807" i="12860" s="1"/>
  <c r="F807" i="12860"/>
  <c r="F754" i="12860" s="1"/>
  <c r="Q806" i="12860"/>
  <c r="F806" i="12860"/>
  <c r="O803" i="12860"/>
  <c r="Q803" i="12860" s="1"/>
  <c r="F803" i="12860"/>
  <c r="F802" i="12860"/>
  <c r="O801" i="12860"/>
  <c r="Q801" i="12860" s="1"/>
  <c r="F801" i="12860"/>
  <c r="C747" i="12860"/>
  <c r="F798" i="12860"/>
  <c r="O796" i="12860"/>
  <c r="K796" i="12860"/>
  <c r="G796" i="12860"/>
  <c r="K795" i="12860"/>
  <c r="K815" i="12860" s="1"/>
  <c r="M815" i="12860" s="1"/>
  <c r="M795" i="12860"/>
  <c r="C819" i="12860"/>
  <c r="F792" i="12860"/>
  <c r="S789" i="12860"/>
  <c r="U789" i="12860" s="1"/>
  <c r="O789" i="12860"/>
  <c r="O809" i="12860" s="1"/>
  <c r="Q809" i="12860" s="1"/>
  <c r="S788" i="12860"/>
  <c r="S808" i="12860" s="1"/>
  <c r="U808" i="12860" s="1"/>
  <c r="O788" i="12860"/>
  <c r="O808" i="12860" s="1"/>
  <c r="Q808" i="12860" s="1"/>
  <c r="Q788" i="12860"/>
  <c r="S787" i="12860"/>
  <c r="O787" i="12860"/>
  <c r="O807" i="12860" s="1"/>
  <c r="Q807" i="12860" s="1"/>
  <c r="U787" i="12860"/>
  <c r="S786" i="12860"/>
  <c r="S806" i="12860" s="1"/>
  <c r="U806" i="12860" s="1"/>
  <c r="O786" i="12860"/>
  <c r="O806" i="12860" s="1"/>
  <c r="Q786" i="12860"/>
  <c r="S785" i="12860"/>
  <c r="O785" i="12860"/>
  <c r="S783" i="12860"/>
  <c r="S791" i="12860" s="1"/>
  <c r="S811" i="12860" s="1"/>
  <c r="U811" i="12860" s="1"/>
  <c r="O783" i="12860"/>
  <c r="O791" i="12860" s="1"/>
  <c r="O811" i="12860" s="1"/>
  <c r="Q811" i="12860" s="1"/>
  <c r="Q783" i="12860"/>
  <c r="O778" i="12860"/>
  <c r="F778" i="12860"/>
  <c r="O777" i="12860"/>
  <c r="F777" i="12860"/>
  <c r="S776" i="12860"/>
  <c r="O776" i="12860"/>
  <c r="G776" i="12860"/>
  <c r="O774" i="12860"/>
  <c r="O765" i="12860"/>
  <c r="O871" i="12860" s="1"/>
  <c r="K765" i="12860"/>
  <c r="K871" i="12860" s="1"/>
  <c r="G765" i="12860"/>
  <c r="G871" i="12860" s="1"/>
  <c r="K764" i="12860"/>
  <c r="G764" i="12860"/>
  <c r="G870" i="12860" s="1"/>
  <c r="I870" i="12860" s="1"/>
  <c r="G763" i="12860"/>
  <c r="G816" i="12860" s="1"/>
  <c r="K762" i="12860"/>
  <c r="M762" i="12860" s="1"/>
  <c r="C762" i="12860"/>
  <c r="S759" i="12860"/>
  <c r="U759" i="12860" s="1"/>
  <c r="O759" i="12860"/>
  <c r="Q759" i="12860" s="1"/>
  <c r="C759" i="12860"/>
  <c r="S758" i="12860"/>
  <c r="U758" i="12860" s="1"/>
  <c r="Q758" i="12860"/>
  <c r="O758" i="12860"/>
  <c r="C758" i="12860"/>
  <c r="S756" i="12860"/>
  <c r="U756" i="12860" s="1"/>
  <c r="O756" i="12860"/>
  <c r="C756" i="12860"/>
  <c r="S755" i="12860"/>
  <c r="O755" i="12860"/>
  <c r="Q755" i="12860" s="1"/>
  <c r="C755" i="12860"/>
  <c r="U755" i="12860" s="1"/>
  <c r="S754" i="12860"/>
  <c r="U754" i="12860" s="1"/>
  <c r="O754" i="12860"/>
  <c r="Q754" i="12860" s="1"/>
  <c r="C754" i="12860"/>
  <c r="S753" i="12860"/>
  <c r="O753" i="12860"/>
  <c r="C753" i="12860"/>
  <c r="Q753" i="12860" s="1"/>
  <c r="S752" i="12860"/>
  <c r="O752" i="12860"/>
  <c r="S750" i="12860"/>
  <c r="U750" i="12860" s="1"/>
  <c r="Q750" i="12860"/>
  <c r="O750" i="12860"/>
  <c r="C750" i="12860"/>
  <c r="O749" i="12860"/>
  <c r="Q749" i="12860" s="1"/>
  <c r="C749" i="12860"/>
  <c r="O748" i="12860"/>
  <c r="C748" i="12860"/>
  <c r="S747" i="12860"/>
  <c r="O747" i="12860"/>
  <c r="G747" i="12860"/>
  <c r="O745" i="12860"/>
  <c r="Q745" i="12860" s="1"/>
  <c r="C745" i="12860"/>
  <c r="S742" i="12860"/>
  <c r="S765" i="12860" s="1"/>
  <c r="C739" i="12860"/>
  <c r="S724" i="12860"/>
  <c r="S831" i="12860" s="1"/>
  <c r="S855" i="12860" s="1"/>
  <c r="U855" i="12860" s="1"/>
  <c r="S723" i="12860"/>
  <c r="S830" i="12860" s="1"/>
  <c r="K722" i="12860"/>
  <c r="S720" i="12860"/>
  <c r="S827" i="12860" s="1"/>
  <c r="S851" i="12860" s="1"/>
  <c r="U851" i="12860" s="1"/>
  <c r="G720" i="12860"/>
  <c r="G721" i="12861" s="1"/>
  <c r="G775" i="12861" s="1"/>
  <c r="G709" i="12860"/>
  <c r="M708" i="12860"/>
  <c r="F707" i="12860"/>
  <c r="C710" i="12860"/>
  <c r="F704" i="12860"/>
  <c r="F703" i="12860"/>
  <c r="F702" i="12860"/>
  <c r="S701" i="12860"/>
  <c r="S700" i="12860"/>
  <c r="U700" i="12860" s="1"/>
  <c r="O700" i="12860"/>
  <c r="Q700" i="12860" s="1"/>
  <c r="F700" i="12860"/>
  <c r="F699" i="12860"/>
  <c r="U698" i="12860"/>
  <c r="F698" i="12860"/>
  <c r="O696" i="12860"/>
  <c r="K696" i="12860"/>
  <c r="K711" i="12860" s="1"/>
  <c r="G696" i="12860"/>
  <c r="G711" i="12860" s="1"/>
  <c r="O695" i="12860"/>
  <c r="O710" i="12860" s="1"/>
  <c r="K695" i="12860"/>
  <c r="K710" i="12860" s="1"/>
  <c r="G695" i="12860"/>
  <c r="G710" i="12860" s="1"/>
  <c r="K694" i="12860"/>
  <c r="F694" i="12860"/>
  <c r="K693" i="12860"/>
  <c r="K692" i="12860"/>
  <c r="F692" i="12860"/>
  <c r="F690" i="12860"/>
  <c r="F689" i="12860"/>
  <c r="S687" i="12860"/>
  <c r="O687" i="12860"/>
  <c r="F687" i="12860"/>
  <c r="S686" i="12860"/>
  <c r="O686" i="12860"/>
  <c r="F686" i="12860"/>
  <c r="S684" i="12860"/>
  <c r="O684" i="12860"/>
  <c r="Q684" i="12860"/>
  <c r="S683" i="12860"/>
  <c r="S699" i="12860" s="1"/>
  <c r="O683" i="12860"/>
  <c r="O699" i="12860" s="1"/>
  <c r="S682" i="12860"/>
  <c r="S698" i="12860" s="1"/>
  <c r="O682" i="12860"/>
  <c r="O698" i="12860" s="1"/>
  <c r="Q698" i="12860" s="1"/>
  <c r="K672" i="12860"/>
  <c r="G672" i="12860"/>
  <c r="Q671" i="12860"/>
  <c r="F670" i="12860"/>
  <c r="F669" i="12860"/>
  <c r="F668" i="12860"/>
  <c r="F666" i="12860"/>
  <c r="F665" i="12860"/>
  <c r="F664" i="12860"/>
  <c r="F663" i="12860"/>
  <c r="S662" i="12860"/>
  <c r="F662" i="12860"/>
  <c r="F661" i="12860"/>
  <c r="O660" i="12860"/>
  <c r="F660" i="12860"/>
  <c r="O658" i="12860"/>
  <c r="K658" i="12860"/>
  <c r="G658" i="12860"/>
  <c r="O657" i="12860"/>
  <c r="O672" i="12860" s="1"/>
  <c r="K657" i="12860"/>
  <c r="G657" i="12860"/>
  <c r="K656" i="12860"/>
  <c r="K669" i="12860" s="1"/>
  <c r="F656" i="12860"/>
  <c r="K655" i="12860"/>
  <c r="K668" i="12860" s="1"/>
  <c r="K654" i="12860"/>
  <c r="S651" i="12860"/>
  <c r="F651" i="12860"/>
  <c r="S649" i="12860"/>
  <c r="S664" i="12860" s="1"/>
  <c r="O649" i="12860"/>
  <c r="S648" i="12860"/>
  <c r="O648" i="12860"/>
  <c r="F648" i="12860"/>
  <c r="S646" i="12860"/>
  <c r="O646" i="12860"/>
  <c r="O662" i="12860" s="1"/>
  <c r="Q646" i="12860"/>
  <c r="S645" i="12860"/>
  <c r="O645" i="12860"/>
  <c r="O661" i="12860" s="1"/>
  <c r="S644" i="12860"/>
  <c r="S660" i="12860" s="1"/>
  <c r="O644" i="12860"/>
  <c r="K633" i="12860"/>
  <c r="G633" i="12860"/>
  <c r="K632" i="12860"/>
  <c r="G632" i="12860"/>
  <c r="G631" i="12860"/>
  <c r="K709" i="12860" s="1"/>
  <c r="G630" i="12860"/>
  <c r="K629" i="12860"/>
  <c r="K628" i="12860"/>
  <c r="K627" i="12860"/>
  <c r="S625" i="12860"/>
  <c r="S624" i="12860"/>
  <c r="O624" i="12860"/>
  <c r="S623" i="12860"/>
  <c r="O623" i="12860"/>
  <c r="S622" i="12860"/>
  <c r="O622" i="12860"/>
  <c r="S621" i="12860"/>
  <c r="O621" i="12860"/>
  <c r="S620" i="12860"/>
  <c r="O620" i="12860"/>
  <c r="K618" i="12860"/>
  <c r="K617" i="12860"/>
  <c r="S616" i="12860"/>
  <c r="S593" i="12860" s="1"/>
  <c r="S615" i="12860"/>
  <c r="S609" i="12860"/>
  <c r="O609" i="12860"/>
  <c r="C596" i="12860"/>
  <c r="C594" i="12860"/>
  <c r="O593" i="12860"/>
  <c r="K593" i="12860"/>
  <c r="G593" i="12860"/>
  <c r="C593" i="12860"/>
  <c r="O592" i="12860"/>
  <c r="K592" i="12860"/>
  <c r="M592" i="12860" s="1"/>
  <c r="G592" i="12860"/>
  <c r="C592" i="12860"/>
  <c r="K591" i="12860"/>
  <c r="M591" i="12860" s="1"/>
  <c r="F591" i="12860"/>
  <c r="U588" i="12860"/>
  <c r="Q588" i="12860"/>
  <c r="M588" i="12860"/>
  <c r="I588" i="12860"/>
  <c r="F588" i="12860"/>
  <c r="U587" i="12860"/>
  <c r="Q587" i="12860"/>
  <c r="M587" i="12860"/>
  <c r="I587" i="12860"/>
  <c r="F587" i="12860"/>
  <c r="G586" i="12860"/>
  <c r="I586" i="12860" s="1"/>
  <c r="F586" i="12860"/>
  <c r="F585" i="12860"/>
  <c r="K584" i="12860"/>
  <c r="M584" i="12860" s="1"/>
  <c r="F584" i="12860"/>
  <c r="S583" i="12860"/>
  <c r="U583" i="12860" s="1"/>
  <c r="O583" i="12860"/>
  <c r="Q583" i="12860" s="1"/>
  <c r="K583" i="12860"/>
  <c r="M583" i="12860" s="1"/>
  <c r="G583" i="12860"/>
  <c r="I583" i="12860" s="1"/>
  <c r="F583" i="12860"/>
  <c r="F582" i="12860"/>
  <c r="F581" i="12860"/>
  <c r="F580" i="12860"/>
  <c r="F579" i="12860"/>
  <c r="O578" i="12860"/>
  <c r="Q578" i="12860" s="1"/>
  <c r="F578" i="12860"/>
  <c r="F577" i="12860"/>
  <c r="S575" i="12860"/>
  <c r="G575" i="12860"/>
  <c r="C575" i="12860"/>
  <c r="M575" i="12860" s="1"/>
  <c r="K574" i="12860"/>
  <c r="G574" i="12860"/>
  <c r="C574" i="12860"/>
  <c r="K573" i="12860"/>
  <c r="I573" i="12860"/>
  <c r="F573" i="12860"/>
  <c r="K572" i="12860"/>
  <c r="M572" i="12860" s="1"/>
  <c r="F572" i="12860"/>
  <c r="M571" i="12860"/>
  <c r="K571" i="12860"/>
  <c r="F571" i="12860"/>
  <c r="K570" i="12860"/>
  <c r="M570" i="12860" s="1"/>
  <c r="F570" i="12860"/>
  <c r="F568" i="12860"/>
  <c r="S566" i="12860"/>
  <c r="O566" i="12860"/>
  <c r="F566" i="12860"/>
  <c r="S565" i="12860"/>
  <c r="O565" i="12860"/>
  <c r="F565" i="12860"/>
  <c r="C564" i="12860"/>
  <c r="S563" i="12860"/>
  <c r="U563" i="12860" s="1"/>
  <c r="U482" i="12860" s="1"/>
  <c r="Q563" i="12860"/>
  <c r="Q482" i="12860" s="1"/>
  <c r="O563" i="12860"/>
  <c r="O579" i="12860" s="1"/>
  <c r="Q579" i="12860" s="1"/>
  <c r="F563" i="12860"/>
  <c r="S562" i="12860"/>
  <c r="Q562" i="12860"/>
  <c r="Q481" i="12860" s="1"/>
  <c r="O562" i="12860"/>
  <c r="F562" i="12860"/>
  <c r="S561" i="12860"/>
  <c r="Q561" i="12860"/>
  <c r="O561" i="12860"/>
  <c r="O577" i="12860" s="1"/>
  <c r="Q577" i="12860" s="1"/>
  <c r="F561" i="12860"/>
  <c r="O552" i="12860"/>
  <c r="Q552" i="12860" s="1"/>
  <c r="K552" i="12860"/>
  <c r="G552" i="12860"/>
  <c r="C552" i="12860"/>
  <c r="O551" i="12860"/>
  <c r="K551" i="12860"/>
  <c r="G551" i="12860"/>
  <c r="C551" i="12860"/>
  <c r="O550" i="12860"/>
  <c r="K550" i="12860"/>
  <c r="M550" i="12860" s="1"/>
  <c r="G550" i="12860"/>
  <c r="I550" i="12860" s="1"/>
  <c r="C550" i="12860"/>
  <c r="U549" i="12860"/>
  <c r="Q549" i="12860"/>
  <c r="F549" i="12860"/>
  <c r="M548" i="12860"/>
  <c r="F548" i="12860"/>
  <c r="F547" i="12860"/>
  <c r="F546" i="12860"/>
  <c r="F545" i="12860"/>
  <c r="F544" i="12860"/>
  <c r="F543" i="12860"/>
  <c r="Q542" i="12860"/>
  <c r="F542" i="12860"/>
  <c r="F541" i="12860"/>
  <c r="F540" i="12860"/>
  <c r="O538" i="12860"/>
  <c r="K538" i="12860"/>
  <c r="M538" i="12860" s="1"/>
  <c r="G538" i="12860"/>
  <c r="C538" i="12860"/>
  <c r="O537" i="12860"/>
  <c r="K537" i="12860"/>
  <c r="G537" i="12860"/>
  <c r="O536" i="12860"/>
  <c r="K536" i="12860"/>
  <c r="G536" i="12860"/>
  <c r="K535" i="12860"/>
  <c r="K547" i="12860" s="1"/>
  <c r="M547" i="12860" s="1"/>
  <c r="F535" i="12860"/>
  <c r="F534" i="12860"/>
  <c r="F533" i="12860"/>
  <c r="C536" i="12860"/>
  <c r="Q536" i="12860" s="1"/>
  <c r="F531" i="12860"/>
  <c r="S528" i="12860"/>
  <c r="O528" i="12860"/>
  <c r="O542" i="12860" s="1"/>
  <c r="F528" i="12860"/>
  <c r="S527" i="12860"/>
  <c r="S541" i="12860" s="1"/>
  <c r="U541" i="12860" s="1"/>
  <c r="O527" i="12860"/>
  <c r="C529" i="12860"/>
  <c r="S526" i="12860"/>
  <c r="O526" i="12860"/>
  <c r="F526" i="12860"/>
  <c r="Q517" i="12860"/>
  <c r="O517" i="12860"/>
  <c r="K517" i="12860"/>
  <c r="G517" i="12860"/>
  <c r="I517" i="12860" s="1"/>
  <c r="C517" i="12860"/>
  <c r="O516" i="12860"/>
  <c r="Q516" i="12860" s="1"/>
  <c r="K516" i="12860"/>
  <c r="M516" i="12860" s="1"/>
  <c r="G516" i="12860"/>
  <c r="C516" i="12860"/>
  <c r="O515" i="12860"/>
  <c r="K515" i="12860"/>
  <c r="G515" i="12860"/>
  <c r="C515" i="12860"/>
  <c r="M515" i="12860" s="1"/>
  <c r="U514" i="12860"/>
  <c r="Q514" i="12860"/>
  <c r="F514" i="12860"/>
  <c r="M513" i="12860"/>
  <c r="M478" i="12860" s="1"/>
  <c r="F513" i="12860"/>
  <c r="K512" i="12860"/>
  <c r="M512" i="12860" s="1"/>
  <c r="F512" i="12860"/>
  <c r="F511" i="12860"/>
  <c r="F510" i="12860"/>
  <c r="F509" i="12860"/>
  <c r="F508" i="12860"/>
  <c r="F507" i="12860"/>
  <c r="Q506" i="12860"/>
  <c r="O506" i="12860"/>
  <c r="F506" i="12860"/>
  <c r="F505" i="12860"/>
  <c r="O503" i="12860"/>
  <c r="K503" i="12860"/>
  <c r="G503" i="12860"/>
  <c r="C503" i="12860"/>
  <c r="O502" i="12860"/>
  <c r="K502" i="12860"/>
  <c r="G502" i="12860"/>
  <c r="O501" i="12860"/>
  <c r="K501" i="12860"/>
  <c r="G501" i="12860"/>
  <c r="K500" i="12860"/>
  <c r="F499" i="12860"/>
  <c r="F497" i="12860"/>
  <c r="S493" i="12860"/>
  <c r="S507" i="12860" s="1"/>
  <c r="U507" i="12860" s="1"/>
  <c r="O493" i="12860"/>
  <c r="O507" i="12860" s="1"/>
  <c r="Q507" i="12860" s="1"/>
  <c r="Q472" i="12860" s="1"/>
  <c r="U493" i="12860"/>
  <c r="S492" i="12860"/>
  <c r="O492" i="12860"/>
  <c r="F492" i="12860"/>
  <c r="S491" i="12860"/>
  <c r="O491" i="12860"/>
  <c r="O505" i="12860" s="1"/>
  <c r="Q505" i="12860" s="1"/>
  <c r="O482" i="12860"/>
  <c r="K482" i="12860"/>
  <c r="G482" i="12860"/>
  <c r="C482" i="12860"/>
  <c r="O481" i="12860"/>
  <c r="K481" i="12860"/>
  <c r="G481" i="12860"/>
  <c r="C481" i="12860"/>
  <c r="O480" i="12860"/>
  <c r="K480" i="12860"/>
  <c r="G480" i="12860"/>
  <c r="C480" i="12860"/>
  <c r="U479" i="12860"/>
  <c r="Q479" i="12860"/>
  <c r="S470" i="12860"/>
  <c r="O468" i="12860"/>
  <c r="K468" i="12860"/>
  <c r="G468" i="12860"/>
  <c r="O467" i="12860"/>
  <c r="K467" i="12860"/>
  <c r="G467" i="12860"/>
  <c r="O466" i="12860"/>
  <c r="K466" i="12860"/>
  <c r="G466" i="12860"/>
  <c r="K465" i="12860"/>
  <c r="K477" i="12860" s="1"/>
  <c r="C464" i="12860"/>
  <c r="C468" i="12860" s="1"/>
  <c r="S458" i="12860"/>
  <c r="S472" i="12860" s="1"/>
  <c r="O458" i="12860"/>
  <c r="O472" i="12860" s="1"/>
  <c r="S457" i="12860"/>
  <c r="S471" i="12860" s="1"/>
  <c r="O457" i="12860"/>
  <c r="O471" i="12860" s="1"/>
  <c r="S456" i="12860"/>
  <c r="O456" i="12860"/>
  <c r="O470" i="12860" s="1"/>
  <c r="O446" i="12860"/>
  <c r="Q446" i="12860" s="1"/>
  <c r="K446" i="12860"/>
  <c r="I446" i="12860"/>
  <c r="G446" i="12860"/>
  <c r="C446" i="12860"/>
  <c r="O445" i="12860"/>
  <c r="K445" i="12860"/>
  <c r="M445" i="12860" s="1"/>
  <c r="G445" i="12860"/>
  <c r="C445" i="12860"/>
  <c r="O444" i="12860"/>
  <c r="K444" i="12860"/>
  <c r="G444" i="12860"/>
  <c r="C444" i="12860"/>
  <c r="U443" i="12860"/>
  <c r="Q443" i="12860"/>
  <c r="K443" i="12860"/>
  <c r="M443" i="12860" s="1"/>
  <c r="F443" i="12860"/>
  <c r="M442" i="12860"/>
  <c r="F442" i="12860"/>
  <c r="F441" i="12860"/>
  <c r="F440" i="12860"/>
  <c r="F439" i="12860"/>
  <c r="F438" i="12860"/>
  <c r="F437" i="12860"/>
  <c r="O436" i="12860"/>
  <c r="Q436" i="12860" s="1"/>
  <c r="F436" i="12860"/>
  <c r="F435" i="12860"/>
  <c r="F434" i="12860"/>
  <c r="O432" i="12860"/>
  <c r="K432" i="12860"/>
  <c r="G432" i="12860"/>
  <c r="C432" i="12860"/>
  <c r="O431" i="12860"/>
  <c r="K431" i="12860"/>
  <c r="G431" i="12860"/>
  <c r="C431" i="12860"/>
  <c r="O430" i="12860"/>
  <c r="K430" i="12860"/>
  <c r="G430" i="12860"/>
  <c r="K429" i="12860"/>
  <c r="F429" i="12860"/>
  <c r="F428" i="12860"/>
  <c r="F427" i="12860"/>
  <c r="F425" i="12860"/>
  <c r="S422" i="12860"/>
  <c r="Q422" i="12860"/>
  <c r="O422" i="12860"/>
  <c r="F422" i="12860"/>
  <c r="O421" i="12860"/>
  <c r="F421" i="12860"/>
  <c r="O420" i="12860"/>
  <c r="C423" i="12860"/>
  <c r="O411" i="12860"/>
  <c r="K411" i="12860"/>
  <c r="M411" i="12860" s="1"/>
  <c r="I411" i="12860"/>
  <c r="I376" i="12860" s="1"/>
  <c r="G411" i="12860"/>
  <c r="C411" i="12860"/>
  <c r="S410" i="12860"/>
  <c r="O410" i="12860"/>
  <c r="K410" i="12860"/>
  <c r="G410" i="12860"/>
  <c r="C410" i="12860"/>
  <c r="O409" i="12860"/>
  <c r="Q409" i="12860" s="1"/>
  <c r="K409" i="12860"/>
  <c r="G409" i="12860"/>
  <c r="C409" i="12860"/>
  <c r="U408" i="12860"/>
  <c r="Q408" i="12860"/>
  <c r="K408" i="12860"/>
  <c r="M408" i="12860" s="1"/>
  <c r="M373" i="12860" s="1"/>
  <c r="F408" i="12860"/>
  <c r="M407" i="12860"/>
  <c r="F407" i="12860"/>
  <c r="F406" i="12860"/>
  <c r="F405" i="12860"/>
  <c r="F404" i="12860"/>
  <c r="F403" i="12860"/>
  <c r="F402" i="12860"/>
  <c r="F401" i="12860"/>
  <c r="F400" i="12860"/>
  <c r="F399" i="12860"/>
  <c r="O397" i="12860"/>
  <c r="K397" i="12860"/>
  <c r="M397" i="12860" s="1"/>
  <c r="G397" i="12860"/>
  <c r="I397" i="12860" s="1"/>
  <c r="O396" i="12860"/>
  <c r="K396" i="12860"/>
  <c r="G396" i="12860"/>
  <c r="O395" i="12860"/>
  <c r="K395" i="12860"/>
  <c r="G395" i="12860"/>
  <c r="K394" i="12860"/>
  <c r="F394" i="12860"/>
  <c r="F393" i="12860"/>
  <c r="C393" i="12860"/>
  <c r="C397" i="12860" s="1"/>
  <c r="F390" i="12860"/>
  <c r="O387" i="12860"/>
  <c r="Q387" i="12860" s="1"/>
  <c r="Q352" i="12860" s="1"/>
  <c r="F387" i="12860"/>
  <c r="O386" i="12860"/>
  <c r="O400" i="12860" s="1"/>
  <c r="Q400" i="12860" s="1"/>
  <c r="F386" i="12860"/>
  <c r="O385" i="12860"/>
  <c r="O399" i="12860" s="1"/>
  <c r="Q399" i="12860" s="1"/>
  <c r="O376" i="12860"/>
  <c r="K376" i="12860"/>
  <c r="G376" i="12860"/>
  <c r="S375" i="12860"/>
  <c r="O375" i="12860"/>
  <c r="K375" i="12860"/>
  <c r="G375" i="12860"/>
  <c r="O374" i="12860"/>
  <c r="K374" i="12860"/>
  <c r="G374" i="12860"/>
  <c r="U373" i="12860"/>
  <c r="S373" i="12860"/>
  <c r="Q373" i="12860"/>
  <c r="K373" i="12860"/>
  <c r="F373" i="12860"/>
  <c r="O372" i="12860"/>
  <c r="M372" i="12860"/>
  <c r="F372" i="12860"/>
  <c r="F371" i="12860"/>
  <c r="F370" i="12860"/>
  <c r="F369" i="12860"/>
  <c r="F368" i="12860"/>
  <c r="F367" i="12860"/>
  <c r="F366" i="12860"/>
  <c r="F365" i="12860"/>
  <c r="F364" i="12860"/>
  <c r="O362" i="12860"/>
  <c r="K362" i="12860"/>
  <c r="G362" i="12860"/>
  <c r="O361" i="12860"/>
  <c r="K361" i="12860"/>
  <c r="G361" i="12860"/>
  <c r="C361" i="12860"/>
  <c r="O360" i="12860"/>
  <c r="K360" i="12860"/>
  <c r="G360" i="12860"/>
  <c r="C360" i="12860"/>
  <c r="K359" i="12860"/>
  <c r="K371" i="12860" s="1"/>
  <c r="C359" i="12860"/>
  <c r="F359" i="12860" s="1"/>
  <c r="C358" i="12860"/>
  <c r="F358" i="12860" s="1"/>
  <c r="C355" i="12860"/>
  <c r="F355" i="12860" s="1"/>
  <c r="O352" i="12860"/>
  <c r="O366" i="12860" s="1"/>
  <c r="C352" i="12860"/>
  <c r="F352" i="12860" s="1"/>
  <c r="O351" i="12860"/>
  <c r="O365" i="12860" s="1"/>
  <c r="C351" i="12860"/>
  <c r="F351" i="12860" s="1"/>
  <c r="O350" i="12860"/>
  <c r="O364" i="12860" s="1"/>
  <c r="O341" i="12860"/>
  <c r="K341" i="12860"/>
  <c r="G341" i="12860"/>
  <c r="O340" i="12860"/>
  <c r="K340" i="12860"/>
  <c r="G340" i="12860"/>
  <c r="O339" i="12860"/>
  <c r="K339" i="12860"/>
  <c r="G339" i="12860"/>
  <c r="U338" i="12860"/>
  <c r="K338" i="12860"/>
  <c r="Q338" i="12860"/>
  <c r="F337" i="12860"/>
  <c r="F336" i="12860"/>
  <c r="C340" i="12860"/>
  <c r="M340" i="12860" s="1"/>
  <c r="F332" i="12860"/>
  <c r="F331" i="12860"/>
  <c r="F330" i="12860"/>
  <c r="F329" i="12860"/>
  <c r="O327" i="12860"/>
  <c r="K327" i="12860"/>
  <c r="G327" i="12860"/>
  <c r="O326" i="12860"/>
  <c r="K326" i="12860"/>
  <c r="G326" i="12860"/>
  <c r="O325" i="12860"/>
  <c r="K325" i="12860"/>
  <c r="G325" i="12860"/>
  <c r="K324" i="12860"/>
  <c r="F324" i="12860"/>
  <c r="C325" i="12860"/>
  <c r="M325" i="12860" s="1"/>
  <c r="F320" i="12860"/>
  <c r="O318" i="12860"/>
  <c r="O331" i="12860" s="1"/>
  <c r="F318" i="12860"/>
  <c r="O317" i="12860"/>
  <c r="O330" i="12860" s="1"/>
  <c r="Q317" i="12860"/>
  <c r="O316" i="12860"/>
  <c r="O329" i="12860" s="1"/>
  <c r="Q329" i="12860" s="1"/>
  <c r="F316" i="12860"/>
  <c r="O307" i="12860"/>
  <c r="K307" i="12860"/>
  <c r="G307" i="12860"/>
  <c r="O306" i="12860"/>
  <c r="K306" i="12860"/>
  <c r="G306" i="12860"/>
  <c r="S305" i="12860"/>
  <c r="O305" i="12860"/>
  <c r="K305" i="12860"/>
  <c r="G305" i="12860"/>
  <c r="U304" i="12860"/>
  <c r="K304" i="12860"/>
  <c r="C235" i="12860"/>
  <c r="C198" i="12860" s="1"/>
  <c r="Q198" i="12860" s="1"/>
  <c r="F302" i="12860"/>
  <c r="F301" i="12860"/>
  <c r="C306" i="12860"/>
  <c r="I306" i="12860" s="1"/>
  <c r="F298" i="12860"/>
  <c r="F296" i="12860"/>
  <c r="C226" i="12860"/>
  <c r="C189" i="12860" s="1"/>
  <c r="O293" i="12860"/>
  <c r="K293" i="12860"/>
  <c r="G293" i="12860"/>
  <c r="O292" i="12860"/>
  <c r="K292" i="12860"/>
  <c r="G292" i="12860"/>
  <c r="O291" i="12860"/>
  <c r="K291" i="12860"/>
  <c r="G291" i="12860"/>
  <c r="K290" i="12860"/>
  <c r="K302" i="12860" s="1"/>
  <c r="F290" i="12860"/>
  <c r="F286" i="12860"/>
  <c r="O284" i="12860"/>
  <c r="O297" i="12860" s="1"/>
  <c r="F284" i="12860"/>
  <c r="O283" i="12860"/>
  <c r="O296" i="12860" s="1"/>
  <c r="F283" i="12860"/>
  <c r="O282" i="12860"/>
  <c r="O295" i="12860" s="1"/>
  <c r="F282" i="12860"/>
  <c r="O272" i="12860"/>
  <c r="K272" i="12860"/>
  <c r="G272" i="12860"/>
  <c r="O271" i="12860"/>
  <c r="K271" i="12860"/>
  <c r="G271" i="12860"/>
  <c r="O270" i="12860"/>
  <c r="K270" i="12860"/>
  <c r="G270" i="12860"/>
  <c r="U269" i="12860"/>
  <c r="Q269" i="12860"/>
  <c r="K269" i="12860"/>
  <c r="F269" i="12860"/>
  <c r="M268" i="12860"/>
  <c r="G268" i="12860"/>
  <c r="I268" i="12860" s="1"/>
  <c r="U268" i="12860" s="1"/>
  <c r="F268" i="12860"/>
  <c r="F267" i="12860"/>
  <c r="F266" i="12860"/>
  <c r="F265" i="12860"/>
  <c r="F264" i="12860"/>
  <c r="F263" i="12860"/>
  <c r="C263" i="12860"/>
  <c r="F262" i="12860"/>
  <c r="O261" i="12860"/>
  <c r="Q261" i="12860" s="1"/>
  <c r="F261" i="12860"/>
  <c r="F260" i="12860"/>
  <c r="O258" i="12860"/>
  <c r="K258" i="12860"/>
  <c r="G258" i="12860"/>
  <c r="S257" i="12860"/>
  <c r="O257" i="12860"/>
  <c r="K257" i="12860"/>
  <c r="G257" i="12860"/>
  <c r="O256" i="12860"/>
  <c r="K256" i="12860"/>
  <c r="G256" i="12860"/>
  <c r="K255" i="12860"/>
  <c r="K267" i="12860" s="1"/>
  <c r="M267" i="12860" s="1"/>
  <c r="F255" i="12860"/>
  <c r="F251" i="12860"/>
  <c r="O249" i="12860"/>
  <c r="F249" i="12860"/>
  <c r="O248" i="12860"/>
  <c r="F248" i="12860"/>
  <c r="O247" i="12860"/>
  <c r="O260" i="12860" s="1"/>
  <c r="Q260" i="12860" s="1"/>
  <c r="F247" i="12860"/>
  <c r="O238" i="12860"/>
  <c r="K238" i="12860"/>
  <c r="G238" i="12860"/>
  <c r="O237" i="12860"/>
  <c r="K237" i="12860"/>
  <c r="G237" i="12860"/>
  <c r="S236" i="12860"/>
  <c r="O236" i="12860"/>
  <c r="K236" i="12860"/>
  <c r="G236" i="12860"/>
  <c r="K235" i="12860"/>
  <c r="O224" i="12860"/>
  <c r="K224" i="12860"/>
  <c r="G224" i="12860"/>
  <c r="O223" i="12860"/>
  <c r="K223" i="12860"/>
  <c r="G223" i="12860"/>
  <c r="O222" i="12860"/>
  <c r="K222" i="12860"/>
  <c r="G222" i="12860"/>
  <c r="K221" i="12860"/>
  <c r="K233" i="12860" s="1"/>
  <c r="O215" i="12860"/>
  <c r="O228" i="12860" s="1"/>
  <c r="O214" i="12860"/>
  <c r="O227" i="12860" s="1"/>
  <c r="O213" i="12860"/>
  <c r="O226" i="12860" s="1"/>
  <c r="O201" i="12860"/>
  <c r="K201" i="12860"/>
  <c r="G201" i="12860"/>
  <c r="O200" i="12860"/>
  <c r="K200" i="12860"/>
  <c r="G200" i="12860"/>
  <c r="S199" i="12860"/>
  <c r="O199" i="12860"/>
  <c r="K199" i="12860"/>
  <c r="G199" i="12860"/>
  <c r="U198" i="12860"/>
  <c r="K198" i="12860"/>
  <c r="G198" i="12860"/>
  <c r="G197" i="12860"/>
  <c r="G407" i="12860" s="1"/>
  <c r="I407" i="12860" s="1"/>
  <c r="K196" i="12860"/>
  <c r="S191" i="12860"/>
  <c r="O191" i="12860"/>
  <c r="O190" i="12860"/>
  <c r="O189" i="12860"/>
  <c r="S184" i="12860"/>
  <c r="S362" i="12860" s="1"/>
  <c r="S183" i="12860"/>
  <c r="S361" i="12860" s="1"/>
  <c r="S182" i="12860"/>
  <c r="S174" i="12860"/>
  <c r="S284" i="12860" s="1"/>
  <c r="S297" i="12860" s="1"/>
  <c r="U297" i="12860" s="1"/>
  <c r="S173" i="12860"/>
  <c r="S172" i="12860"/>
  <c r="S189" i="12860" s="1"/>
  <c r="O157" i="12860"/>
  <c r="K157" i="12860"/>
  <c r="F157" i="12860"/>
  <c r="M156" i="12860"/>
  <c r="M155" i="12860"/>
  <c r="F153" i="12860"/>
  <c r="S152" i="12860"/>
  <c r="O152" i="12860"/>
  <c r="F152" i="12860"/>
  <c r="O142" i="12860"/>
  <c r="K142" i="12860"/>
  <c r="M141" i="12860"/>
  <c r="Q140" i="12860"/>
  <c r="S137" i="12860"/>
  <c r="O137" i="12860"/>
  <c r="F137" i="12860"/>
  <c r="O129" i="12860"/>
  <c r="O144" i="12860" s="1"/>
  <c r="O159" i="12860" s="1"/>
  <c r="O128" i="12860"/>
  <c r="O143" i="12860" s="1"/>
  <c r="O158" i="12860" s="1"/>
  <c r="O127" i="12860"/>
  <c r="Q127" i="12860" s="1"/>
  <c r="K127" i="12860"/>
  <c r="M127" i="12860" s="1"/>
  <c r="Q126" i="12860"/>
  <c r="M126" i="12860"/>
  <c r="Q125" i="12860"/>
  <c r="M125" i="12860"/>
  <c r="S122" i="12860"/>
  <c r="O122" i="12860"/>
  <c r="G122" i="12860"/>
  <c r="F122" i="12860"/>
  <c r="O114" i="12860"/>
  <c r="Q114" i="12860" s="1"/>
  <c r="K114" i="12860"/>
  <c r="M114" i="12860" s="1"/>
  <c r="K113" i="12860"/>
  <c r="G113" i="12860"/>
  <c r="S112" i="12860"/>
  <c r="S128" i="12860" s="1"/>
  <c r="K112" i="12860"/>
  <c r="G112" i="12860"/>
  <c r="G128" i="12860" s="1"/>
  <c r="G143" i="12860" s="1"/>
  <c r="G158" i="12860" s="1"/>
  <c r="Q111" i="12860"/>
  <c r="M111" i="12860"/>
  <c r="Q110" i="12860"/>
  <c r="M110" i="12860"/>
  <c r="S107" i="12860"/>
  <c r="U107" i="12860" s="1"/>
  <c r="O107" i="12860"/>
  <c r="Z95" i="12860"/>
  <c r="S95" i="12860"/>
  <c r="S94" i="12860"/>
  <c r="Y90" i="12860"/>
  <c r="Z89" i="12860"/>
  <c r="G88" i="12860"/>
  <c r="G107" i="12860" s="1"/>
  <c r="C79" i="12860"/>
  <c r="O79" i="12860"/>
  <c r="M79" i="12860"/>
  <c r="K79" i="12860"/>
  <c r="G79" i="12860"/>
  <c r="F78" i="12860"/>
  <c r="F76" i="12860"/>
  <c r="F73" i="12860"/>
  <c r="F71" i="12860"/>
  <c r="C61" i="12860"/>
  <c r="O61" i="12860"/>
  <c r="K61" i="12860"/>
  <c r="M61" i="12860" s="1"/>
  <c r="G61" i="12860"/>
  <c r="F60" i="12860"/>
  <c r="F59" i="12860"/>
  <c r="F58" i="12860"/>
  <c r="F57" i="12860"/>
  <c r="F55" i="12860"/>
  <c r="F54" i="12860"/>
  <c r="F53" i="12860"/>
  <c r="C43" i="12860"/>
  <c r="O43" i="12860"/>
  <c r="M43" i="12860"/>
  <c r="K43" i="12860"/>
  <c r="G43" i="12860"/>
  <c r="F41" i="12860"/>
  <c r="F40" i="12860"/>
  <c r="F39" i="12860"/>
  <c r="F37" i="12860"/>
  <c r="F36" i="12860"/>
  <c r="S23" i="12860"/>
  <c r="G22" i="12860"/>
  <c r="S60" i="12860" s="1"/>
  <c r="F426" i="12861" l="1"/>
  <c r="F982" i="12861"/>
  <c r="C465" i="12861"/>
  <c r="C469" i="12861" s="1"/>
  <c r="C356" i="12861"/>
  <c r="F356" i="12861" s="1"/>
  <c r="U982" i="12861"/>
  <c r="S1022" i="12861"/>
  <c r="U1022" i="12861" s="1"/>
  <c r="F1152" i="12861"/>
  <c r="S625" i="12861"/>
  <c r="K1027" i="12861"/>
  <c r="C360" i="12861"/>
  <c r="F360" i="12861" s="1"/>
  <c r="Q409" i="12861"/>
  <c r="Q374" i="12861" s="1"/>
  <c r="K629" i="12861"/>
  <c r="Q982" i="12861"/>
  <c r="Q1077" i="12861" s="1"/>
  <c r="F1267" i="12861"/>
  <c r="C352" i="12861"/>
  <c r="I575" i="12861"/>
  <c r="C944" i="12861"/>
  <c r="C926" i="12861" s="1"/>
  <c r="K985" i="12861"/>
  <c r="S421" i="12860"/>
  <c r="S386" i="12860"/>
  <c r="U386" i="12860" s="1"/>
  <c r="S272" i="12860"/>
  <c r="S505" i="12860"/>
  <c r="U505" i="12860" s="1"/>
  <c r="U491" i="12860"/>
  <c r="S503" i="12860"/>
  <c r="O580" i="12860"/>
  <c r="Q580" i="12860" s="1"/>
  <c r="Q565" i="12860"/>
  <c r="U753" i="12860"/>
  <c r="G201" i="12861"/>
  <c r="G327" i="12861"/>
  <c r="G238" i="12861"/>
  <c r="Q189" i="12860"/>
  <c r="U410" i="12860"/>
  <c r="M376" i="12860"/>
  <c r="M431" i="12860"/>
  <c r="Q431" i="12860"/>
  <c r="O540" i="12860"/>
  <c r="Q540" i="12860" s="1"/>
  <c r="Q526" i="12860"/>
  <c r="U575" i="12860"/>
  <c r="O610" i="12860"/>
  <c r="O626" i="12860" s="1"/>
  <c r="O689" i="12860"/>
  <c r="O690" i="12860" s="1"/>
  <c r="O651" i="12860"/>
  <c r="I871" i="12860"/>
  <c r="S774" i="12860"/>
  <c r="O792" i="12860"/>
  <c r="O812" i="12860" s="1"/>
  <c r="Q812" i="12860" s="1"/>
  <c r="O805" i="12860"/>
  <c r="Q805" i="12860" s="1"/>
  <c r="K447" i="12861"/>
  <c r="K483" i="12861"/>
  <c r="K239" i="12861"/>
  <c r="K202" i="12861"/>
  <c r="I594" i="12861"/>
  <c r="Q61" i="12860"/>
  <c r="G129" i="12860"/>
  <c r="G144" i="12860" s="1"/>
  <c r="G159" i="12860" s="1"/>
  <c r="S113" i="12860"/>
  <c r="S129" i="12860" s="1"/>
  <c r="S144" i="12860" s="1"/>
  <c r="S515" i="12860"/>
  <c r="U515" i="12860" s="1"/>
  <c r="S395" i="12860"/>
  <c r="S339" i="12860"/>
  <c r="S214" i="12860"/>
  <c r="S227" i="12860" s="1"/>
  <c r="S224" i="12860"/>
  <c r="Q268" i="12860"/>
  <c r="S291" i="12860"/>
  <c r="S351" i="12860"/>
  <c r="S365" i="12860" s="1"/>
  <c r="S360" i="12860"/>
  <c r="K406" i="12860"/>
  <c r="M406" i="12860" s="1"/>
  <c r="M394" i="12860"/>
  <c r="Q411" i="12860"/>
  <c r="Q376" i="12860" s="1"/>
  <c r="M432" i="12860"/>
  <c r="M444" i="12860"/>
  <c r="I552" i="12860"/>
  <c r="O568" i="12860"/>
  <c r="S661" i="12860"/>
  <c r="U661" i="12860" s="1"/>
  <c r="U645" i="12860"/>
  <c r="Q748" i="12860"/>
  <c r="S792" i="12860"/>
  <c r="S812" i="12860" s="1"/>
  <c r="U812" i="12860" s="1"/>
  <c r="U785" i="12860"/>
  <c r="U791" i="12860"/>
  <c r="S796" i="12860"/>
  <c r="S803" i="12860"/>
  <c r="U803" i="12860" s="1"/>
  <c r="S883" i="12860"/>
  <c r="U883" i="12860" s="1"/>
  <c r="Q965" i="12860"/>
  <c r="Q1058" i="12860" s="1"/>
  <c r="Q1074" i="12860"/>
  <c r="S1195" i="12860"/>
  <c r="G482" i="12861"/>
  <c r="G432" i="12861"/>
  <c r="I432" i="12861" s="1"/>
  <c r="G709" i="12861"/>
  <c r="O748" i="12861"/>
  <c r="O828" i="12861"/>
  <c r="O852" i="12861" s="1"/>
  <c r="Q852" i="12861" s="1"/>
  <c r="S844" i="12861"/>
  <c r="S864" i="12861" s="1"/>
  <c r="U864" i="12861" s="1"/>
  <c r="F1261" i="12861"/>
  <c r="I61" i="12860"/>
  <c r="G234" i="12860"/>
  <c r="S248" i="12860"/>
  <c r="S258" i="12860"/>
  <c r="S317" i="12860"/>
  <c r="S330" i="12860" s="1"/>
  <c r="U330" i="12860" s="1"/>
  <c r="S327" i="12860"/>
  <c r="G372" i="12860"/>
  <c r="S374" i="12860"/>
  <c r="S376" i="12860"/>
  <c r="Q386" i="12860"/>
  <c r="M409" i="12860"/>
  <c r="M374" i="12860" s="1"/>
  <c r="I431" i="12860"/>
  <c r="Q470" i="12860"/>
  <c r="I516" i="12860"/>
  <c r="M535" i="12860"/>
  <c r="I538" i="12860"/>
  <c r="M551" i="12860"/>
  <c r="M552" i="12860"/>
  <c r="O581" i="12860"/>
  <c r="Q581" i="12860" s="1"/>
  <c r="Q566" i="12860"/>
  <c r="I575" i="12860"/>
  <c r="S579" i="12860"/>
  <c r="U579" i="12860" s="1"/>
  <c r="U683" i="12860"/>
  <c r="Q756" i="12860"/>
  <c r="S777" i="12860"/>
  <c r="U777" i="12860" s="1"/>
  <c r="S805" i="12860"/>
  <c r="S809" i="12860"/>
  <c r="U809" i="12860" s="1"/>
  <c r="O854" i="12860"/>
  <c r="Q854" i="12860" s="1"/>
  <c r="Q830" i="12860"/>
  <c r="S853" i="12860"/>
  <c r="U853" i="12860" s="1"/>
  <c r="I1261" i="12861"/>
  <c r="I1267" i="12861"/>
  <c r="G80" i="12861"/>
  <c r="Q80" i="12861" s="1"/>
  <c r="G538" i="12861"/>
  <c r="K848" i="12861"/>
  <c r="O969" i="12861"/>
  <c r="O894" i="12861"/>
  <c r="F330" i="12861"/>
  <c r="F1250" i="12861"/>
  <c r="Q79" i="12860"/>
  <c r="S385" i="12860"/>
  <c r="S399" i="12860" s="1"/>
  <c r="U399" i="12860" s="1"/>
  <c r="M410" i="12860"/>
  <c r="M375" i="12860" s="1"/>
  <c r="Q444" i="12860"/>
  <c r="M446" i="12860"/>
  <c r="F472" i="12860"/>
  <c r="M517" i="12860"/>
  <c r="M574" i="12860"/>
  <c r="K585" i="12860"/>
  <c r="M585" i="12860" s="1"/>
  <c r="U593" i="12860"/>
  <c r="M871" i="12860"/>
  <c r="S778" i="12860"/>
  <c r="I1133" i="12861"/>
  <c r="K695" i="12861"/>
  <c r="K708" i="12861" s="1"/>
  <c r="O789" i="12861"/>
  <c r="O808" i="12861" s="1"/>
  <c r="Q808" i="12861" s="1"/>
  <c r="G816" i="12861"/>
  <c r="O840" i="12861"/>
  <c r="O860" i="12861" s="1"/>
  <c r="Q860" i="12861" s="1"/>
  <c r="C1077" i="12861"/>
  <c r="K223" i="12861"/>
  <c r="U409" i="12861"/>
  <c r="K619" i="12861"/>
  <c r="K816" i="12861"/>
  <c r="S838" i="12861"/>
  <c r="S858" i="12861" s="1"/>
  <c r="U858" i="12861" s="1"/>
  <c r="U1040" i="12861"/>
  <c r="U1077" i="12861" s="1"/>
  <c r="F264" i="12861"/>
  <c r="F391" i="12861"/>
  <c r="F395" i="12861"/>
  <c r="F403" i="12861"/>
  <c r="F429" i="12861"/>
  <c r="F536" i="12861"/>
  <c r="F1037" i="12861"/>
  <c r="F1114" i="12861"/>
  <c r="F1118" i="12861"/>
  <c r="F1130" i="12861"/>
  <c r="F1134" i="12861"/>
  <c r="F1191" i="12861"/>
  <c r="F1210" i="12861"/>
  <c r="Y10" i="12862"/>
  <c r="F749" i="12860"/>
  <c r="F758" i="12860"/>
  <c r="F756" i="12860"/>
  <c r="F762" i="12860"/>
  <c r="F745" i="12860"/>
  <c r="F1001" i="12861"/>
  <c r="F511" i="12861"/>
  <c r="F703" i="12861"/>
  <c r="C763" i="12860"/>
  <c r="M763" i="12860" s="1"/>
  <c r="F882" i="12860"/>
  <c r="I816" i="12860"/>
  <c r="I763" i="12860" s="1"/>
  <c r="Q763" i="12860" s="1"/>
  <c r="U137" i="12860"/>
  <c r="C88" i="12860"/>
  <c r="C91" i="12860"/>
  <c r="U60" i="12860"/>
  <c r="C1165" i="12860"/>
  <c r="C15" i="12860"/>
  <c r="Q527" i="12860"/>
  <c r="C624" i="12860"/>
  <c r="U624" i="12860" s="1"/>
  <c r="I1182" i="12860"/>
  <c r="C93" i="12860"/>
  <c r="I1206" i="12860"/>
  <c r="C463" i="12860"/>
  <c r="C467" i="12860" s="1"/>
  <c r="C621" i="12860"/>
  <c r="Q621" i="12860" s="1"/>
  <c r="F748" i="12860"/>
  <c r="F476" i="12860"/>
  <c r="F352" i="12861"/>
  <c r="Y90" i="12861"/>
  <c r="F441" i="12861"/>
  <c r="F808" i="12861"/>
  <c r="C24" i="12860"/>
  <c r="Q331" i="12860"/>
  <c r="C354" i="12860"/>
  <c r="C460" i="12860"/>
  <c r="Q792" i="12860"/>
  <c r="U792" i="12860"/>
  <c r="C229" i="12860"/>
  <c r="C192" i="12860" s="1"/>
  <c r="M290" i="12860"/>
  <c r="C356" i="12860"/>
  <c r="F356" i="12860" s="1"/>
  <c r="C456" i="12860"/>
  <c r="C461" i="12860"/>
  <c r="F606" i="12860"/>
  <c r="C946" i="12860"/>
  <c r="F946" i="12860" s="1"/>
  <c r="F987" i="12860"/>
  <c r="F1081" i="12860" s="1"/>
  <c r="M1043" i="12860"/>
  <c r="U189" i="12860"/>
  <c r="C168" i="12860"/>
  <c r="U168" i="12860" s="1"/>
  <c r="C228" i="12860"/>
  <c r="C191" i="12860" s="1"/>
  <c r="Q191" i="12860" s="1"/>
  <c r="C412" i="12860"/>
  <c r="C949" i="12860"/>
  <c r="F949" i="12860" s="1"/>
  <c r="M969" i="12860"/>
  <c r="C997" i="12860"/>
  <c r="U997" i="12860" s="1"/>
  <c r="C22" i="12860"/>
  <c r="U22" i="12860" s="1"/>
  <c r="Q330" i="12860"/>
  <c r="C620" i="12860"/>
  <c r="Q620" i="12860" s="1"/>
  <c r="C685" i="12860"/>
  <c r="Q699" i="12860"/>
  <c r="M140" i="12860"/>
  <c r="M91" i="12860" s="1"/>
  <c r="Q247" i="12860"/>
  <c r="C604" i="12860"/>
  <c r="U604" i="12860" s="1"/>
  <c r="C647" i="12860"/>
  <c r="Q683" i="12860"/>
  <c r="M693" i="12860"/>
  <c r="C695" i="12860"/>
  <c r="M695" i="12860" s="1"/>
  <c r="U699" i="12860"/>
  <c r="C731" i="12860"/>
  <c r="U731" i="12860" s="1"/>
  <c r="Q787" i="12860"/>
  <c r="M891" i="12860"/>
  <c r="Q1021" i="12860"/>
  <c r="C603" i="12860"/>
  <c r="U603" i="12860" s="1"/>
  <c r="I891" i="12860"/>
  <c r="C17" i="12860"/>
  <c r="Q122" i="12860"/>
  <c r="Q137" i="12860"/>
  <c r="C231" i="12860"/>
  <c r="C237" i="12860" s="1"/>
  <c r="C230" i="12860"/>
  <c r="C236" i="12860" s="1"/>
  <c r="F527" i="12860"/>
  <c r="F457" i="12860" s="1"/>
  <c r="F169" i="12860" s="1"/>
  <c r="C622" i="12860"/>
  <c r="Q622" i="12860" s="1"/>
  <c r="Q645" i="12860"/>
  <c r="Q785" i="12860"/>
  <c r="M890" i="12860"/>
  <c r="F1098" i="12860"/>
  <c r="I1183" i="12860"/>
  <c r="C1076" i="12860"/>
  <c r="C537" i="12860"/>
  <c r="M537" i="12860" s="1"/>
  <c r="C631" i="12860"/>
  <c r="Q631" i="12860" s="1"/>
  <c r="U1095" i="12860"/>
  <c r="C233" i="12860"/>
  <c r="C196" i="12860" s="1"/>
  <c r="M196" i="12860" s="1"/>
  <c r="M255" i="12860"/>
  <c r="F334" i="12860"/>
  <c r="F420" i="12860"/>
  <c r="C606" i="12860"/>
  <c r="U606" i="12860" s="1"/>
  <c r="C627" i="12860"/>
  <c r="C632" i="12860" s="1"/>
  <c r="Q632" i="12860" s="1"/>
  <c r="U664" i="12860"/>
  <c r="F785" i="12860"/>
  <c r="F731" i="12860" s="1"/>
  <c r="F787" i="12860"/>
  <c r="C832" i="12860"/>
  <c r="Q882" i="12860"/>
  <c r="F1162" i="12860"/>
  <c r="I1192" i="12860"/>
  <c r="I1163" i="12860" s="1"/>
  <c r="C726" i="12860"/>
  <c r="F35" i="12860"/>
  <c r="Q156" i="12860"/>
  <c r="C629" i="12860"/>
  <c r="M629" i="12860" s="1"/>
  <c r="F1039" i="12860"/>
  <c r="C19" i="12860"/>
  <c r="F140" i="12860"/>
  <c r="Q155" i="12860"/>
  <c r="Q91" i="12860" s="1"/>
  <c r="F321" i="12860"/>
  <c r="F335" i="12860"/>
  <c r="F232" i="12860" s="1"/>
  <c r="Q493" i="12860"/>
  <c r="C602" i="12860"/>
  <c r="Q602" i="12860" s="1"/>
  <c r="C625" i="12860"/>
  <c r="U625" i="12860" s="1"/>
  <c r="C630" i="12860"/>
  <c r="M630" i="12860" s="1"/>
  <c r="F609" i="12860"/>
  <c r="U660" i="12860"/>
  <c r="M668" i="12860"/>
  <c r="M670" i="12860"/>
  <c r="F629" i="12860"/>
  <c r="C740" i="12860"/>
  <c r="C742" i="12860" s="1"/>
  <c r="M742" i="12860" s="1"/>
  <c r="Q789" i="12860"/>
  <c r="F816" i="12860"/>
  <c r="F763" i="12860" s="1"/>
  <c r="C1000" i="12860"/>
  <c r="U1000" i="12860" s="1"/>
  <c r="F1021" i="12860"/>
  <c r="Q1039" i="12860"/>
  <c r="C1163" i="12860"/>
  <c r="F1193" i="12860"/>
  <c r="F1206" i="12860"/>
  <c r="F1163" i="12860" s="1"/>
  <c r="C1220" i="12860"/>
  <c r="Q22" i="12860"/>
  <c r="Q747" i="12860"/>
  <c r="U747" i="12860"/>
  <c r="C1075" i="12860"/>
  <c r="Q710" i="12860"/>
  <c r="I710" i="12860"/>
  <c r="C23" i="12860"/>
  <c r="F63" i="12860"/>
  <c r="U979" i="12860"/>
  <c r="C20" i="12860"/>
  <c r="C25" i="12860"/>
  <c r="F42" i="12860"/>
  <c r="F22" i="12860" s="1"/>
  <c r="C16" i="12860"/>
  <c r="U317" i="12860"/>
  <c r="C319" i="12860"/>
  <c r="F391" i="12860"/>
  <c r="F496" i="12860"/>
  <c r="F461" i="12860" s="1"/>
  <c r="F532" i="12860"/>
  <c r="F462" i="12860" s="1"/>
  <c r="C614" i="12860"/>
  <c r="M614" i="12860" s="1"/>
  <c r="F644" i="12860"/>
  <c r="U644" i="12860"/>
  <c r="F646" i="12860"/>
  <c r="U646" i="12860"/>
  <c r="U682" i="12860"/>
  <c r="F684" i="12860"/>
  <c r="U684" i="12860"/>
  <c r="F705" i="12860"/>
  <c r="I709" i="12860"/>
  <c r="F783" i="12860"/>
  <c r="F791" i="12860"/>
  <c r="F795" i="12860"/>
  <c r="F829" i="12860"/>
  <c r="F831" i="12860"/>
  <c r="F724" i="12860" s="1"/>
  <c r="F889" i="12860"/>
  <c r="C895" i="12860"/>
  <c r="M895" i="12860" s="1"/>
  <c r="F986" i="12860"/>
  <c r="F1001" i="12860"/>
  <c r="U1018" i="12860"/>
  <c r="C1078" i="12860"/>
  <c r="F1092" i="12860"/>
  <c r="I1257" i="12860"/>
  <c r="C92" i="12860"/>
  <c r="F142" i="12860"/>
  <c r="F93" i="12860" s="1"/>
  <c r="Q152" i="12860"/>
  <c r="F155" i="12860"/>
  <c r="F156" i="12860"/>
  <c r="C227" i="12860"/>
  <c r="C190" i="12860" s="1"/>
  <c r="Q190" i="12860" s="1"/>
  <c r="Q306" i="12860"/>
  <c r="F317" i="12860"/>
  <c r="F214" i="12860" s="1"/>
  <c r="F173" i="12860" s="1"/>
  <c r="Q325" i="12860"/>
  <c r="C458" i="12860"/>
  <c r="C170" i="12860" s="1"/>
  <c r="U170" i="12860" s="1"/>
  <c r="F491" i="12860"/>
  <c r="F456" i="12860" s="1"/>
  <c r="F168" i="12860" s="1"/>
  <c r="F493" i="12860"/>
  <c r="F458" i="12860" s="1"/>
  <c r="F170" i="12860" s="1"/>
  <c r="U527" i="12860"/>
  <c r="C626" i="12860"/>
  <c r="Q626" i="12860" s="1"/>
  <c r="M709" i="12860"/>
  <c r="Q661" i="12860"/>
  <c r="M669" i="12860"/>
  <c r="F671" i="12860"/>
  <c r="Q709" i="12860"/>
  <c r="C735" i="12860"/>
  <c r="U735" i="12860" s="1"/>
  <c r="F800" i="12860"/>
  <c r="F747" i="12860" s="1"/>
  <c r="I817" i="12860"/>
  <c r="I764" i="12860" s="1"/>
  <c r="M764" i="12860" s="1"/>
  <c r="U891" i="12860"/>
  <c r="Q979" i="12860"/>
  <c r="F982" i="12860"/>
  <c r="M986" i="12860"/>
  <c r="Q1001" i="12860"/>
  <c r="C1020" i="12860"/>
  <c r="C999" i="12860" s="1"/>
  <c r="Q1036" i="12860"/>
  <c r="F1043" i="12860"/>
  <c r="M1044" i="12860"/>
  <c r="M1081" i="12860" s="1"/>
  <c r="C1081" i="12860"/>
  <c r="Q1092" i="12860"/>
  <c r="F1095" i="12860"/>
  <c r="F1099" i="12860"/>
  <c r="M1218" i="12860"/>
  <c r="C502" i="12860"/>
  <c r="M502" i="12860" s="1"/>
  <c r="I536" i="12860"/>
  <c r="C553" i="12860"/>
  <c r="U1036" i="12860"/>
  <c r="C1073" i="12860"/>
  <c r="U1219" i="12860"/>
  <c r="U122" i="12860"/>
  <c r="F338" i="12860"/>
  <c r="F498" i="12860"/>
  <c r="F463" i="12860" s="1"/>
  <c r="C518" i="12860"/>
  <c r="Q651" i="12860"/>
  <c r="F682" i="12860"/>
  <c r="U783" i="12860"/>
  <c r="F786" i="12860"/>
  <c r="U786" i="12860"/>
  <c r="F788" i="12860"/>
  <c r="U788" i="12860"/>
  <c r="F827" i="12860"/>
  <c r="Q829" i="12860"/>
  <c r="F830" i="12860"/>
  <c r="F723" i="12860" s="1"/>
  <c r="Q885" i="12860"/>
  <c r="F979" i="12860"/>
  <c r="F1018" i="12860"/>
  <c r="F1036" i="12860"/>
  <c r="F1218" i="12860"/>
  <c r="F1219" i="12860"/>
  <c r="I43" i="12860"/>
  <c r="C21" i="12860"/>
  <c r="I122" i="12860"/>
  <c r="F141" i="12860"/>
  <c r="M142" i="12860"/>
  <c r="U152" i="12860"/>
  <c r="M157" i="12860"/>
  <c r="F233" i="12860"/>
  <c r="Q296" i="12860"/>
  <c r="M302" i="12860"/>
  <c r="F300" i="12860"/>
  <c r="Q340" i="12860"/>
  <c r="C609" i="12860"/>
  <c r="Q644" i="12860"/>
  <c r="F645" i="12860"/>
  <c r="U649" i="12860"/>
  <c r="U671" i="12860"/>
  <c r="C673" i="12860"/>
  <c r="Q682" i="12860"/>
  <c r="F683" i="12860"/>
  <c r="M710" i="12860"/>
  <c r="F708" i="12860"/>
  <c r="F630" i="12860" s="1"/>
  <c r="C724" i="12860"/>
  <c r="Q724" i="12860" s="1"/>
  <c r="C764" i="12860"/>
  <c r="U764" i="12860" s="1"/>
  <c r="C727" i="12860"/>
  <c r="F789" i="12860"/>
  <c r="F735" i="12860" s="1"/>
  <c r="F794" i="12860"/>
  <c r="Q827" i="12860"/>
  <c r="I829" i="12860"/>
  <c r="F891" i="12860"/>
  <c r="Q982" i="12860"/>
  <c r="C988" i="12860"/>
  <c r="M988" i="12860" s="1"/>
  <c r="U1039" i="12860"/>
  <c r="U1076" i="12860" s="1"/>
  <c r="C1093" i="12860"/>
  <c r="C1100" i="12860"/>
  <c r="M1100" i="12860" s="1"/>
  <c r="I1148" i="12860"/>
  <c r="I1178" i="12860"/>
  <c r="I1179" i="12860"/>
  <c r="U1218" i="12860"/>
  <c r="M1219" i="12860"/>
  <c r="F470" i="12860"/>
  <c r="F38" i="12861"/>
  <c r="F370" i="12861"/>
  <c r="F866" i="12861"/>
  <c r="G1191" i="12861"/>
  <c r="I1191" i="12861" s="1"/>
  <c r="F388" i="12861"/>
  <c r="F422" i="12861"/>
  <c r="F547" i="12861"/>
  <c r="F215" i="12860"/>
  <c r="F174" i="12860" s="1"/>
  <c r="F802" i="12861"/>
  <c r="F750" i="12861" s="1"/>
  <c r="F979" i="12861"/>
  <c r="F1190" i="12861"/>
  <c r="F442" i="12861"/>
  <c r="F699" i="12861"/>
  <c r="G22" i="12861"/>
  <c r="G61" i="12861" s="1"/>
  <c r="K22" i="12860"/>
  <c r="F464" i="12860"/>
  <c r="F474" i="12860"/>
  <c r="F473" i="12860"/>
  <c r="F477" i="12860"/>
  <c r="F753" i="12860"/>
  <c r="F750" i="12860"/>
  <c r="F755" i="12860"/>
  <c r="F1077" i="12860"/>
  <c r="F545" i="12861"/>
  <c r="F1117" i="12861"/>
  <c r="S685" i="12861"/>
  <c r="S701" i="12861" s="1"/>
  <c r="U701" i="12861" s="1"/>
  <c r="S647" i="12861"/>
  <c r="S623" i="12861"/>
  <c r="S702" i="12861"/>
  <c r="S649" i="12861"/>
  <c r="S664" i="12861" s="1"/>
  <c r="O753" i="12861"/>
  <c r="O869" i="12861"/>
  <c r="Q869" i="12861" s="1"/>
  <c r="O817" i="12861"/>
  <c r="S790" i="12861"/>
  <c r="S809" i="12861" s="1"/>
  <c r="U809" i="12861" s="1"/>
  <c r="O1021" i="12861"/>
  <c r="G894" i="12861"/>
  <c r="G969" i="12861"/>
  <c r="G987" i="12861"/>
  <c r="O446" i="12861"/>
  <c r="Q446" i="12861" s="1"/>
  <c r="O538" i="12861"/>
  <c r="O376" i="12861"/>
  <c r="O482" i="12861"/>
  <c r="O201" i="12861"/>
  <c r="U374" i="12861"/>
  <c r="K593" i="12861"/>
  <c r="K633" i="12861"/>
  <c r="S624" i="12861"/>
  <c r="Q801" i="12861"/>
  <c r="O979" i="12861"/>
  <c r="Q979" i="12861" s="1"/>
  <c r="O961" i="12861"/>
  <c r="G123" i="12861"/>
  <c r="Z96" i="12861"/>
  <c r="I1258" i="12861"/>
  <c r="S79" i="12861"/>
  <c r="S61" i="12861"/>
  <c r="K256" i="12861"/>
  <c r="K268" i="12861" s="1"/>
  <c r="M268" i="12861" s="1"/>
  <c r="K466" i="12861"/>
  <c r="K478" i="12861" s="1"/>
  <c r="O224" i="12861"/>
  <c r="C361" i="12861"/>
  <c r="F402" i="12861"/>
  <c r="K501" i="12861"/>
  <c r="K513" i="12861" s="1"/>
  <c r="M513" i="12861" s="1"/>
  <c r="O621" i="12861"/>
  <c r="G826" i="12861"/>
  <c r="G850" i="12861" s="1"/>
  <c r="I850" i="12861" s="1"/>
  <c r="O61" i="12861"/>
  <c r="O79" i="12861"/>
  <c r="F1257" i="12861"/>
  <c r="O398" i="12861"/>
  <c r="O294" i="12861"/>
  <c r="I1091" i="12861"/>
  <c r="F1091" i="12861"/>
  <c r="G480" i="12861"/>
  <c r="G236" i="12861"/>
  <c r="G696" i="12861"/>
  <c r="G711" i="12861" s="1"/>
  <c r="G658" i="12861"/>
  <c r="G673" i="12861" s="1"/>
  <c r="G305" i="12861"/>
  <c r="F423" i="12861"/>
  <c r="G710" i="12861"/>
  <c r="O645" i="12861"/>
  <c r="O661" i="12861" s="1"/>
  <c r="S755" i="12861"/>
  <c r="S756" i="12861"/>
  <c r="S806" i="12861"/>
  <c r="U806" i="12861" s="1"/>
  <c r="S861" i="12861"/>
  <c r="U861" i="12861" s="1"/>
  <c r="O960" i="12861"/>
  <c r="S964" i="12861"/>
  <c r="S885" i="12861" s="1"/>
  <c r="K225" i="12861"/>
  <c r="K481" i="12861"/>
  <c r="S493" i="12861"/>
  <c r="S507" i="12861" s="1"/>
  <c r="U507" i="12861" s="1"/>
  <c r="K551" i="12861"/>
  <c r="M551" i="12861" s="1"/>
  <c r="K553" i="12861"/>
  <c r="M553" i="12861" s="1"/>
  <c r="K628" i="12861"/>
  <c r="O700" i="12861"/>
  <c r="S751" i="12861"/>
  <c r="O766" i="12861"/>
  <c r="O870" i="12861" s="1"/>
  <c r="Q870" i="12861" s="1"/>
  <c r="O777" i="12861"/>
  <c r="O800" i="12861" s="1"/>
  <c r="S786" i="12861"/>
  <c r="S805" i="12861" s="1"/>
  <c r="G817" i="12861"/>
  <c r="S869" i="12861"/>
  <c r="U869" i="12861" s="1"/>
  <c r="O981" i="12861"/>
  <c r="O963" i="12861"/>
  <c r="M929" i="12861"/>
  <c r="M910" i="12861" s="1"/>
  <c r="O1018" i="12861"/>
  <c r="F1192" i="12861"/>
  <c r="M447" i="12861"/>
  <c r="K326" i="12861"/>
  <c r="F400" i="12861"/>
  <c r="F428" i="12861"/>
  <c r="K433" i="12861"/>
  <c r="M433" i="12861" s="1"/>
  <c r="S458" i="12861"/>
  <c r="S472" i="12861" s="1"/>
  <c r="I576" i="12861"/>
  <c r="O646" i="12861"/>
  <c r="S650" i="12861"/>
  <c r="S665" i="12861" s="1"/>
  <c r="O685" i="12861"/>
  <c r="O701" i="12861" s="1"/>
  <c r="Q701" i="12861" s="1"/>
  <c r="O749" i="12861"/>
  <c r="K796" i="12861"/>
  <c r="K815" i="12861" s="1"/>
  <c r="M815" i="12861" s="1"/>
  <c r="U961" i="12861"/>
  <c r="F1115" i="12861"/>
  <c r="F1131" i="12861"/>
  <c r="F1135" i="12861"/>
  <c r="F371" i="12861"/>
  <c r="F387" i="12861"/>
  <c r="F405" i="12861"/>
  <c r="F409" i="12861"/>
  <c r="F439" i="12861"/>
  <c r="F472" i="12861"/>
  <c r="F546" i="12861"/>
  <c r="F476" i="12861" s="1"/>
  <c r="F581" i="12861"/>
  <c r="F801" i="12861"/>
  <c r="F749" i="12861" s="1"/>
  <c r="F806" i="12861"/>
  <c r="F811" i="12861"/>
  <c r="F858" i="12861"/>
  <c r="F882" i="12861"/>
  <c r="F1022" i="12861"/>
  <c r="F1040" i="12861"/>
  <c r="F1077" i="12861" s="1"/>
  <c r="F1132" i="12861"/>
  <c r="F1136" i="12861"/>
  <c r="F1193" i="12861"/>
  <c r="F1253" i="12861"/>
  <c r="F1260" i="12861"/>
  <c r="F1265" i="12861"/>
  <c r="S978" i="12861"/>
  <c r="O987" i="12861"/>
  <c r="S1036" i="12861"/>
  <c r="K1043" i="12861"/>
  <c r="F369" i="12861"/>
  <c r="F372" i="12861"/>
  <c r="F406" i="12861"/>
  <c r="F513" i="12861"/>
  <c r="F861" i="12861"/>
  <c r="F859" i="12861"/>
  <c r="F1194" i="12861"/>
  <c r="I870" i="12861"/>
  <c r="I766" i="12861" s="1"/>
  <c r="M870" i="12861"/>
  <c r="Q480" i="12861"/>
  <c r="U480" i="12861"/>
  <c r="I516" i="12861"/>
  <c r="M479" i="12861"/>
  <c r="I1243" i="12860"/>
  <c r="I1244" i="12860"/>
  <c r="G1256" i="12861"/>
  <c r="I1256" i="12861" s="1"/>
  <c r="G1260" i="12861"/>
  <c r="I1260" i="12861" s="1"/>
  <c r="G1265" i="12861"/>
  <c r="I1265" i="12861" s="1"/>
  <c r="I1205" i="12860"/>
  <c r="I1192" i="12861"/>
  <c r="G1182" i="12861"/>
  <c r="I1180" i="12860"/>
  <c r="I1189" i="12860"/>
  <c r="G1183" i="12861"/>
  <c r="G1187" i="12861"/>
  <c r="G1210" i="12861"/>
  <c r="G1211" i="12861" s="1"/>
  <c r="G1186" i="12861"/>
  <c r="I1193" i="12861"/>
  <c r="G1190" i="12861"/>
  <c r="I1190" i="12861" s="1"/>
  <c r="G1194" i="12861"/>
  <c r="I1194" i="12861" s="1"/>
  <c r="G1118" i="12861"/>
  <c r="I1118" i="12861" s="1"/>
  <c r="G1117" i="12861"/>
  <c r="I1117" i="12861" s="1"/>
  <c r="G1114" i="12861"/>
  <c r="I1114" i="12861" s="1"/>
  <c r="I1128" i="12860"/>
  <c r="G1130" i="12861"/>
  <c r="I1130" i="12861" s="1"/>
  <c r="I1132" i="12860"/>
  <c r="G1134" i="12861"/>
  <c r="I1134" i="12861" s="1"/>
  <c r="I1149" i="12860"/>
  <c r="G1152" i="12861"/>
  <c r="I1152" i="12861" s="1"/>
  <c r="I1247" i="12860"/>
  <c r="G1253" i="12861"/>
  <c r="I1253" i="12861" s="1"/>
  <c r="I1130" i="12860"/>
  <c r="G1132" i="12861"/>
  <c r="I1132" i="12861" s="1"/>
  <c r="I1251" i="12860"/>
  <c r="G1257" i="12861"/>
  <c r="I1257" i="12861" s="1"/>
  <c r="I1250" i="12861"/>
  <c r="F622" i="12860"/>
  <c r="G1249" i="12861"/>
  <c r="O42" i="12860"/>
  <c r="Q42" i="12860" s="1"/>
  <c r="K60" i="12860"/>
  <c r="M60" i="12860" s="1"/>
  <c r="F471" i="12860"/>
  <c r="F478" i="12860"/>
  <c r="F475" i="12860"/>
  <c r="F407" i="12861"/>
  <c r="F474" i="12861"/>
  <c r="F548" i="12861"/>
  <c r="F579" i="12861"/>
  <c r="F798" i="12861"/>
  <c r="F746" i="12861" s="1"/>
  <c r="F860" i="12861"/>
  <c r="G89" i="12861"/>
  <c r="Y8" i="12862" s="1"/>
  <c r="G1115" i="12861"/>
  <c r="I1115" i="12861" s="1"/>
  <c r="G1131" i="12861"/>
  <c r="I1131" i="12861" s="1"/>
  <c r="G1135" i="12861"/>
  <c r="I1135" i="12861" s="1"/>
  <c r="G1263" i="12861"/>
  <c r="F480" i="12861"/>
  <c r="G1242" i="12861"/>
  <c r="I1242" i="12861" s="1"/>
  <c r="F227" i="12860"/>
  <c r="F229" i="12860"/>
  <c r="F625" i="12860"/>
  <c r="F1133" i="12861"/>
  <c r="G1245" i="12861"/>
  <c r="I1245" i="12861" s="1"/>
  <c r="G1252" i="12861"/>
  <c r="I1252" i="12861" s="1"/>
  <c r="G90" i="12861"/>
  <c r="I1235" i="12860"/>
  <c r="I1238" i="12860"/>
  <c r="I1119" i="12860"/>
  <c r="M1263" i="12860"/>
  <c r="Q1263" i="12860"/>
  <c r="I1263" i="12860"/>
  <c r="U1263" i="12860" s="1"/>
  <c r="I1136" i="12860"/>
  <c r="U1136" i="12860" s="1"/>
  <c r="Q1136" i="12860"/>
  <c r="I1242" i="12860"/>
  <c r="I1116" i="12860"/>
  <c r="I1121" i="12860"/>
  <c r="I1234" i="12860"/>
  <c r="I1113" i="12860"/>
  <c r="Q62" i="12861"/>
  <c r="G125" i="12861"/>
  <c r="G307" i="12861"/>
  <c r="G362" i="12861"/>
  <c r="G446" i="12861"/>
  <c r="I446" i="12861" s="1"/>
  <c r="G848" i="12861"/>
  <c r="I1136" i="12861"/>
  <c r="G97" i="12860"/>
  <c r="Z90" i="12860"/>
  <c r="G139" i="12860"/>
  <c r="F473" i="12861"/>
  <c r="F471" i="12861"/>
  <c r="F479" i="12861"/>
  <c r="F885" i="12861"/>
  <c r="G152" i="12860"/>
  <c r="I152" i="12860" s="1"/>
  <c r="F626" i="12860"/>
  <c r="F1264" i="12860"/>
  <c r="K88" i="12860"/>
  <c r="K137" i="12860" s="1"/>
  <c r="M137" i="12860" s="1"/>
  <c r="G108" i="12860"/>
  <c r="K122" i="12860"/>
  <c r="M122" i="12860" s="1"/>
  <c r="G123" i="12860"/>
  <c r="G154" i="12860"/>
  <c r="F620" i="12860"/>
  <c r="F624" i="12860"/>
  <c r="Y88" i="12860"/>
  <c r="F1078" i="12860"/>
  <c r="F17" i="12860"/>
  <c r="F20" i="12860"/>
  <c r="G78" i="12860"/>
  <c r="I78" i="12860" s="1"/>
  <c r="G96" i="12860"/>
  <c r="G137" i="12860"/>
  <c r="I137" i="12860" s="1"/>
  <c r="F221" i="12860"/>
  <c r="U235" i="12860"/>
  <c r="F479" i="12860"/>
  <c r="F614" i="12860"/>
  <c r="F621" i="12860"/>
  <c r="F1055" i="12860"/>
  <c r="K160" i="12861"/>
  <c r="O159" i="12861"/>
  <c r="O527" i="12861"/>
  <c r="O457" i="12861"/>
  <c r="O471" i="12861" s="1"/>
  <c r="O492" i="12861"/>
  <c r="O493" i="12861"/>
  <c r="O458" i="12861"/>
  <c r="O472" i="12861" s="1"/>
  <c r="O529" i="12861"/>
  <c r="O494" i="12861"/>
  <c r="O459" i="12861"/>
  <c r="O473" i="12861" s="1"/>
  <c r="O386" i="12861"/>
  <c r="O317" i="12861"/>
  <c r="O421" i="12861"/>
  <c r="O214" i="12861"/>
  <c r="O227" i="12861" s="1"/>
  <c r="O351" i="12861"/>
  <c r="O365" i="12861" s="1"/>
  <c r="O249" i="12861"/>
  <c r="O387" i="12861"/>
  <c r="O318" i="12861"/>
  <c r="O422" i="12861"/>
  <c r="O191" i="12861"/>
  <c r="O352" i="12861"/>
  <c r="O366" i="12861" s="1"/>
  <c r="O284" i="12861"/>
  <c r="O353" i="12861"/>
  <c r="O367" i="12861" s="1"/>
  <c r="O285" i="12861"/>
  <c r="O250" i="12861"/>
  <c r="O423" i="12861"/>
  <c r="O388" i="12861"/>
  <c r="O216" i="12861"/>
  <c r="O229" i="12861" s="1"/>
  <c r="O192" i="12861"/>
  <c r="K552" i="12861"/>
  <c r="M552" i="12861" s="1"/>
  <c r="K482" i="12861"/>
  <c r="K432" i="12861"/>
  <c r="M432" i="12861" s="1"/>
  <c r="K376" i="12861"/>
  <c r="K327" i="12861"/>
  <c r="K238" i="12861"/>
  <c r="K538" i="12861"/>
  <c r="K446" i="12861"/>
  <c r="M446" i="12861" s="1"/>
  <c r="K362" i="12861"/>
  <c r="K307" i="12861"/>
  <c r="K224" i="12861"/>
  <c r="K503" i="12861"/>
  <c r="K468" i="12861"/>
  <c r="K411" i="12861"/>
  <c r="M411" i="12861" s="1"/>
  <c r="K397" i="12861"/>
  <c r="K517" i="12861"/>
  <c r="M517" i="12861" s="1"/>
  <c r="K293" i="12861"/>
  <c r="K272" i="12861"/>
  <c r="K201" i="12861"/>
  <c r="G549" i="12861"/>
  <c r="I549" i="12861" s="1"/>
  <c r="G479" i="12861"/>
  <c r="G338" i="12861"/>
  <c r="G443" i="12861"/>
  <c r="I443" i="12861" s="1"/>
  <c r="G235" i="12861"/>
  <c r="K235" i="12861"/>
  <c r="G408" i="12861"/>
  <c r="I408" i="12861" s="1"/>
  <c r="G304" i="12861"/>
  <c r="G373" i="12861"/>
  <c r="K258" i="12861"/>
  <c r="G514" i="12861"/>
  <c r="I514" i="12861" s="1"/>
  <c r="K709" i="12861"/>
  <c r="K671" i="12861"/>
  <c r="O841" i="12861"/>
  <c r="O790" i="12861"/>
  <c r="O757" i="12861"/>
  <c r="O551" i="12861"/>
  <c r="Q551" i="12861" s="1"/>
  <c r="O481" i="12861"/>
  <c r="O431" i="12861"/>
  <c r="O326" i="12861"/>
  <c r="O237" i="12861"/>
  <c r="O445" i="12861"/>
  <c r="Q445" i="12861" s="1"/>
  <c r="O361" i="12861"/>
  <c r="O306" i="12861"/>
  <c r="O223" i="12861"/>
  <c r="O467" i="12861"/>
  <c r="O375" i="12861"/>
  <c r="O516" i="12861"/>
  <c r="Q516" i="12861" s="1"/>
  <c r="O502" i="12861"/>
  <c r="O271" i="12861"/>
  <c r="O200" i="12861"/>
  <c r="O537" i="12861"/>
  <c r="O396" i="12861"/>
  <c r="O553" i="12861"/>
  <c r="Q553" i="12861" s="1"/>
  <c r="O483" i="12861"/>
  <c r="O433" i="12861"/>
  <c r="Q433" i="12861" s="1"/>
  <c r="O328" i="12861"/>
  <c r="O239" i="12861"/>
  <c r="O447" i="12861"/>
  <c r="Q447" i="12861" s="1"/>
  <c r="O377" i="12861"/>
  <c r="O363" i="12861"/>
  <c r="O308" i="12861"/>
  <c r="O225" i="12861"/>
  <c r="O412" i="12861"/>
  <c r="Q412" i="12861" s="1"/>
  <c r="O342" i="12861"/>
  <c r="O259" i="12861"/>
  <c r="O504" i="12861"/>
  <c r="O518" i="12861"/>
  <c r="Q518" i="12861" s="1"/>
  <c r="O469" i="12861"/>
  <c r="O202" i="12861"/>
  <c r="O539" i="12861"/>
  <c r="O257" i="12861"/>
  <c r="F267" i="12861"/>
  <c r="F265" i="12861"/>
  <c r="F266" i="12861"/>
  <c r="O283" i="12861"/>
  <c r="K341" i="12861"/>
  <c r="O528" i="12861"/>
  <c r="K112" i="12861"/>
  <c r="G114" i="12861"/>
  <c r="G129" i="12861"/>
  <c r="G551" i="12861"/>
  <c r="I551" i="12861" s="1"/>
  <c r="G481" i="12861"/>
  <c r="G431" i="12861"/>
  <c r="G326" i="12861"/>
  <c r="G237" i="12861"/>
  <c r="G445" i="12861"/>
  <c r="I445" i="12861" s="1"/>
  <c r="G361" i="12861"/>
  <c r="G306" i="12861"/>
  <c r="G223" i="12861"/>
  <c r="G396" i="12861"/>
  <c r="G292" i="12861"/>
  <c r="G467" i="12861"/>
  <c r="G375" i="12861"/>
  <c r="G410" i="12861"/>
  <c r="G340" i="12861"/>
  <c r="G257" i="12861"/>
  <c r="G200" i="12861"/>
  <c r="G553" i="12861"/>
  <c r="I553" i="12861" s="1"/>
  <c r="G483" i="12861"/>
  <c r="G433" i="12861"/>
  <c r="I433" i="12861" s="1"/>
  <c r="G328" i="12861"/>
  <c r="G239" i="12861"/>
  <c r="G447" i="12861"/>
  <c r="I447" i="12861" s="1"/>
  <c r="G377" i="12861"/>
  <c r="G363" i="12861"/>
  <c r="G308" i="12861"/>
  <c r="G225" i="12861"/>
  <c r="G504" i="12861"/>
  <c r="G273" i="12861"/>
  <c r="G412" i="12861"/>
  <c r="I412" i="12861" s="1"/>
  <c r="G398" i="12861"/>
  <c r="G294" i="12861"/>
  <c r="G202" i="12861"/>
  <c r="G342" i="12861"/>
  <c r="O190" i="12861"/>
  <c r="O215" i="12861"/>
  <c r="O228" i="12861" s="1"/>
  <c r="F268" i="12861"/>
  <c r="G271" i="12861"/>
  <c r="O273" i="12861"/>
  <c r="O292" i="12861"/>
  <c r="O340" i="12861"/>
  <c r="G518" i="12861"/>
  <c r="I518" i="12861" s="1"/>
  <c r="G539" i="12861"/>
  <c r="G798" i="12861"/>
  <c r="I798" i="12861" s="1"/>
  <c r="S703" i="12861"/>
  <c r="U703" i="12861" s="1"/>
  <c r="X91" i="12861"/>
  <c r="O43" i="12861"/>
  <c r="S113" i="12861"/>
  <c r="S129" i="12861" s="1"/>
  <c r="S144" i="12861" s="1"/>
  <c r="K430" i="12861"/>
  <c r="K325" i="12861"/>
  <c r="K536" i="12861"/>
  <c r="K360" i="12861"/>
  <c r="K372" i="12861" s="1"/>
  <c r="K222" i="12861"/>
  <c r="K234" i="12861" s="1"/>
  <c r="K291" i="12861"/>
  <c r="K197" i="12861"/>
  <c r="K395" i="12861"/>
  <c r="M445" i="12861"/>
  <c r="O248" i="12861"/>
  <c r="G259" i="12861"/>
  <c r="G269" i="12861"/>
  <c r="I269" i="12861" s="1"/>
  <c r="O319" i="12861"/>
  <c r="O410" i="12861"/>
  <c r="G469" i="12861"/>
  <c r="G502" i="12861"/>
  <c r="O697" i="12861"/>
  <c r="O659" i="12861"/>
  <c r="O594" i="12861"/>
  <c r="O634" i="12861"/>
  <c r="C410" i="12861"/>
  <c r="F404" i="12861"/>
  <c r="S23" i="12861"/>
  <c r="S43" i="12861"/>
  <c r="G44" i="12861"/>
  <c r="G98" i="12861"/>
  <c r="G110" i="12861"/>
  <c r="G140" i="12861"/>
  <c r="G155" i="12861"/>
  <c r="S506" i="12861"/>
  <c r="U506" i="12861" s="1"/>
  <c r="S542" i="12861"/>
  <c r="U542" i="12861" s="1"/>
  <c r="S529" i="12861"/>
  <c r="S459" i="12861"/>
  <c r="S473" i="12861" s="1"/>
  <c r="G409" i="12861"/>
  <c r="I409" i="12861" s="1"/>
  <c r="G374" i="12861"/>
  <c r="G550" i="12861"/>
  <c r="I550" i="12861" s="1"/>
  <c r="G515" i="12861"/>
  <c r="I515" i="12861" s="1"/>
  <c r="G339" i="12861"/>
  <c r="G270" i="12861"/>
  <c r="I270" i="12861" s="1"/>
  <c r="G224" i="12861"/>
  <c r="O327" i="12861"/>
  <c r="K361" i="12861"/>
  <c r="O362" i="12861"/>
  <c r="K363" i="12861"/>
  <c r="G376" i="12861"/>
  <c r="F401" i="12861"/>
  <c r="G444" i="12861"/>
  <c r="I444" i="12861" s="1"/>
  <c r="G587" i="12861"/>
  <c r="I587" i="12861" s="1"/>
  <c r="I574" i="12861"/>
  <c r="F590" i="12861"/>
  <c r="F586" i="12861"/>
  <c r="F584" i="12861"/>
  <c r="F582" i="12861"/>
  <c r="F580" i="12861"/>
  <c r="F578" i="12861"/>
  <c r="F589" i="12861"/>
  <c r="F587" i="12861"/>
  <c r="F585" i="12861"/>
  <c r="F583" i="12861"/>
  <c r="O838" i="12861"/>
  <c r="O787" i="12861"/>
  <c r="O754" i="12861"/>
  <c r="S793" i="12861"/>
  <c r="F807" i="12861"/>
  <c r="C755" i="12861"/>
  <c r="S807" i="12861"/>
  <c r="U807" i="12861" s="1"/>
  <c r="K537" i="12861"/>
  <c r="K502" i="12861"/>
  <c r="K410" i="12861"/>
  <c r="K292" i="12861"/>
  <c r="K516" i="12861"/>
  <c r="M516" i="12861" s="1"/>
  <c r="K467" i="12861"/>
  <c r="K396" i="12861"/>
  <c r="K375" i="12861"/>
  <c r="K340" i="12861"/>
  <c r="K271" i="12861"/>
  <c r="K257" i="12861"/>
  <c r="G503" i="12861"/>
  <c r="G411" i="12861"/>
  <c r="I411" i="12861" s="1"/>
  <c r="G293" i="12861"/>
  <c r="G552" i="12861"/>
  <c r="I552" i="12861" s="1"/>
  <c r="G517" i="12861"/>
  <c r="I517" i="12861" s="1"/>
  <c r="G468" i="12861"/>
  <c r="G397" i="12861"/>
  <c r="G341" i="12861"/>
  <c r="G272" i="12861"/>
  <c r="G258" i="12861"/>
  <c r="O503" i="12861"/>
  <c r="O411" i="12861"/>
  <c r="Q411" i="12861" s="1"/>
  <c r="O293" i="12861"/>
  <c r="O517" i="12861"/>
  <c r="Q517" i="12861" s="1"/>
  <c r="O468" i="12861"/>
  <c r="O397" i="12861"/>
  <c r="O341" i="12861"/>
  <c r="O272" i="12861"/>
  <c r="O258" i="12861"/>
  <c r="K539" i="12861"/>
  <c r="K504" i="12861"/>
  <c r="K412" i="12861"/>
  <c r="M412" i="12861" s="1"/>
  <c r="K294" i="12861"/>
  <c r="K518" i="12861"/>
  <c r="M518" i="12861" s="1"/>
  <c r="K469" i="12861"/>
  <c r="K398" i="12861"/>
  <c r="K342" i="12861"/>
  <c r="K273" i="12861"/>
  <c r="K259" i="12861"/>
  <c r="O238" i="12861"/>
  <c r="O307" i="12861"/>
  <c r="K308" i="12861"/>
  <c r="K328" i="12861"/>
  <c r="C353" i="12861"/>
  <c r="K377" i="12861"/>
  <c r="M408" i="12861"/>
  <c r="M373" i="12861" s="1"/>
  <c r="F408" i="12861"/>
  <c r="O432" i="12861"/>
  <c r="Q432" i="12861" s="1"/>
  <c r="S457" i="12861"/>
  <c r="S471" i="12861" s="1"/>
  <c r="S494" i="12861"/>
  <c r="C504" i="12861"/>
  <c r="F500" i="12861"/>
  <c r="F512" i="12861"/>
  <c r="F510" i="12861"/>
  <c r="S527" i="12861"/>
  <c r="C539" i="12861"/>
  <c r="F535" i="12861"/>
  <c r="O687" i="12861"/>
  <c r="O649" i="12861"/>
  <c r="O624" i="12861"/>
  <c r="G697" i="12861"/>
  <c r="G659" i="12861"/>
  <c r="O826" i="12861"/>
  <c r="O746" i="12861"/>
  <c r="O775" i="12861"/>
  <c r="S748" i="12861"/>
  <c r="S828" i="12861"/>
  <c r="S777" i="12861"/>
  <c r="O835" i="12861"/>
  <c r="O751" i="12861"/>
  <c r="O784" i="12861"/>
  <c r="Q964" i="12861"/>
  <c r="Q1058" i="12861" s="1"/>
  <c r="O885" i="12861"/>
  <c r="K1026" i="12861"/>
  <c r="K1044" i="12861"/>
  <c r="F440" i="12861"/>
  <c r="S683" i="12861"/>
  <c r="S645" i="12861"/>
  <c r="S621" i="12861"/>
  <c r="S684" i="12861"/>
  <c r="S646" i="12861"/>
  <c r="S622" i="12861"/>
  <c r="O688" i="12861"/>
  <c r="O650" i="12861"/>
  <c r="K696" i="12861"/>
  <c r="K618" i="12861"/>
  <c r="K658" i="12861"/>
  <c r="K775" i="12861"/>
  <c r="G746" i="12861"/>
  <c r="G593" i="12861"/>
  <c r="I593" i="12861" s="1"/>
  <c r="O593" i="12861"/>
  <c r="K594" i="12861"/>
  <c r="K630" i="12861"/>
  <c r="K655" i="12861"/>
  <c r="K694" i="12861"/>
  <c r="F701" i="12861"/>
  <c r="S710" i="12861"/>
  <c r="O837" i="12861"/>
  <c r="O786" i="12861"/>
  <c r="O839" i="12861"/>
  <c r="O755" i="12861"/>
  <c r="O788" i="12861"/>
  <c r="F803" i="12861"/>
  <c r="F751" i="12861" s="1"/>
  <c r="K968" i="12861"/>
  <c r="K986" i="12861"/>
  <c r="C1058" i="12861"/>
  <c r="O699" i="12861"/>
  <c r="Q699" i="12861" s="1"/>
  <c r="O673" i="12861"/>
  <c r="K674" i="12861"/>
  <c r="O623" i="12861"/>
  <c r="G633" i="12861"/>
  <c r="O633" i="12861"/>
  <c r="K634" i="12861"/>
  <c r="O696" i="12861"/>
  <c r="K697" i="12861"/>
  <c r="G852" i="12861"/>
  <c r="I852" i="12861" s="1"/>
  <c r="S855" i="12861"/>
  <c r="U855" i="12861" s="1"/>
  <c r="S843" i="12861"/>
  <c r="O881" i="12861"/>
  <c r="O1027" i="12861"/>
  <c r="O1045" i="12861"/>
  <c r="C1055" i="12861"/>
  <c r="F1019" i="12861"/>
  <c r="C998" i="12861"/>
  <c r="F998" i="12861" s="1"/>
  <c r="U1019" i="12861"/>
  <c r="S739" i="12861"/>
  <c r="S760" i="12861" s="1"/>
  <c r="K777" i="12861"/>
  <c r="O779" i="12861"/>
  <c r="S784" i="12861"/>
  <c r="S789" i="12861"/>
  <c r="O829" i="12861"/>
  <c r="O830" i="12861"/>
  <c r="S839" i="12861"/>
  <c r="F857" i="12861"/>
  <c r="F863" i="12861"/>
  <c r="F867" i="12861"/>
  <c r="F763" i="12861" s="1"/>
  <c r="K987" i="12861"/>
  <c r="K894" i="12861"/>
  <c r="F964" i="12861"/>
  <c r="S738" i="12861"/>
  <c r="S759" i="12861" s="1"/>
  <c r="S753" i="12861"/>
  <c r="S757" i="12861"/>
  <c r="K763" i="12861"/>
  <c r="F809" i="12861"/>
  <c r="F812" i="12861"/>
  <c r="F864" i="12861"/>
  <c r="S981" i="12861"/>
  <c r="O1037" i="12861"/>
  <c r="Q1037" i="12861" s="1"/>
  <c r="O1019" i="12861"/>
  <c r="Q1019" i="12861" s="1"/>
  <c r="S1021" i="12861"/>
  <c r="S1039" i="12861"/>
  <c r="G1027" i="12861"/>
  <c r="G1045" i="12861"/>
  <c r="F961" i="12861"/>
  <c r="C941" i="12861"/>
  <c r="S979" i="12861"/>
  <c r="U979" i="12861" s="1"/>
  <c r="S1037" i="12861"/>
  <c r="U1037" i="12861" s="1"/>
  <c r="C1074" i="12861"/>
  <c r="G1200" i="12861"/>
  <c r="F1245" i="12861"/>
  <c r="F1252" i="12861"/>
  <c r="F1258" i="12861"/>
  <c r="C1269" i="12861"/>
  <c r="I1269" i="12861" s="1"/>
  <c r="S143" i="12860"/>
  <c r="C250" i="12860"/>
  <c r="Q385" i="12860"/>
  <c r="C350" i="12860"/>
  <c r="O434" i="12860"/>
  <c r="Q434" i="12860" s="1"/>
  <c r="Q364" i="12860" s="1"/>
  <c r="Q420" i="12860"/>
  <c r="Q432" i="12860"/>
  <c r="U651" i="12860"/>
  <c r="S665" i="12860"/>
  <c r="U665" i="12860" s="1"/>
  <c r="S652" i="12860"/>
  <c r="Q849" i="12860"/>
  <c r="I849" i="12860"/>
  <c r="M849" i="12860"/>
  <c r="S79" i="12860"/>
  <c r="U79" i="12860" s="1"/>
  <c r="S43" i="12860"/>
  <c r="U43" i="12860" s="1"/>
  <c r="Q107" i="12860"/>
  <c r="S261" i="12860"/>
  <c r="U261" i="12860" s="1"/>
  <c r="U248" i="12860"/>
  <c r="C234" i="12860"/>
  <c r="C197" i="12860" s="1"/>
  <c r="M197" i="12860" s="1"/>
  <c r="F385" i="12860"/>
  <c r="O401" i="12860"/>
  <c r="Q401" i="12860" s="1"/>
  <c r="Q366" i="12860" s="1"/>
  <c r="Q374" i="12860"/>
  <c r="S436" i="12860"/>
  <c r="U436" i="12860" s="1"/>
  <c r="U422" i="12860"/>
  <c r="Q491" i="12860"/>
  <c r="S577" i="12860"/>
  <c r="U577" i="12860" s="1"/>
  <c r="U561" i="12860"/>
  <c r="S689" i="12860"/>
  <c r="S610" i="12860"/>
  <c r="S568" i="12860"/>
  <c r="F701" i="12860"/>
  <c r="F623" i="12860" s="1"/>
  <c r="C623" i="12860"/>
  <c r="U623" i="12860" s="1"/>
  <c r="F774" i="12860"/>
  <c r="C720" i="12860"/>
  <c r="C779" i="12860"/>
  <c r="Q836" i="12860"/>
  <c r="O856" i="12860"/>
  <c r="Q856" i="12860" s="1"/>
  <c r="O844" i="12860"/>
  <c r="S858" i="12860"/>
  <c r="U858" i="12860" s="1"/>
  <c r="U838" i="12860"/>
  <c r="S845" i="12860"/>
  <c r="Q841" i="12860"/>
  <c r="O861" i="12860"/>
  <c r="Q861" i="12860" s="1"/>
  <c r="S862" i="12860"/>
  <c r="U862" i="12860" s="1"/>
  <c r="U842" i="12860"/>
  <c r="G42" i="12860"/>
  <c r="I42" i="12860" s="1"/>
  <c r="Q43" i="12860"/>
  <c r="F72" i="12860"/>
  <c r="F16" i="12860" s="1"/>
  <c r="F75" i="12860"/>
  <c r="F19" i="12860" s="1"/>
  <c r="F77" i="12860"/>
  <c r="F21" i="12860" s="1"/>
  <c r="I79" i="12860"/>
  <c r="F107" i="12860"/>
  <c r="K129" i="12860"/>
  <c r="Q141" i="12860"/>
  <c r="Q157" i="12860"/>
  <c r="S352" i="12860"/>
  <c r="S366" i="12860" s="1"/>
  <c r="S249" i="12860"/>
  <c r="S387" i="12860"/>
  <c r="S318" i="12860"/>
  <c r="S215" i="12860"/>
  <c r="S228" i="12860" s="1"/>
  <c r="S537" i="12860"/>
  <c r="S502" i="12860"/>
  <c r="S467" i="12860"/>
  <c r="S431" i="12860"/>
  <c r="U431" i="12860" s="1"/>
  <c r="S551" i="12860"/>
  <c r="U551" i="12860" s="1"/>
  <c r="S481" i="12860"/>
  <c r="S445" i="12860"/>
  <c r="U445" i="12860" s="1"/>
  <c r="S326" i="12860"/>
  <c r="S271" i="12860"/>
  <c r="S223" i="12860"/>
  <c r="S516" i="12860"/>
  <c r="U516" i="12860" s="1"/>
  <c r="S396" i="12860"/>
  <c r="S340" i="12860"/>
  <c r="U340" i="12860" s="1"/>
  <c r="S237" i="12860"/>
  <c r="S200" i="12860"/>
  <c r="G549" i="12860"/>
  <c r="I549" i="12860" s="1"/>
  <c r="G514" i="12860"/>
  <c r="I514" i="12860" s="1"/>
  <c r="G479" i="12860"/>
  <c r="K549" i="12860"/>
  <c r="M549" i="12860" s="1"/>
  <c r="G443" i="12860"/>
  <c r="I443" i="12860" s="1"/>
  <c r="K479" i="12860"/>
  <c r="G304" i="12860"/>
  <c r="I304" i="12860" s="1"/>
  <c r="K514" i="12860"/>
  <c r="M514" i="12860" s="1"/>
  <c r="M479" i="12860" s="1"/>
  <c r="G408" i="12860"/>
  <c r="I408" i="12860" s="1"/>
  <c r="I373" i="12860" s="1"/>
  <c r="O373" i="12860"/>
  <c r="G373" i="12860"/>
  <c r="O235" i="12860"/>
  <c r="G235" i="12860"/>
  <c r="S235" i="12860"/>
  <c r="O262" i="12860"/>
  <c r="Q262" i="12860" s="1"/>
  <c r="Q249" i="12860"/>
  <c r="Q282" i="12860"/>
  <c r="C285" i="12860"/>
  <c r="C213" i="12860"/>
  <c r="Q295" i="12860"/>
  <c r="Q226" i="12860" s="1"/>
  <c r="Q283" i="12860"/>
  <c r="F295" i="12860"/>
  <c r="F226" i="12860" s="1"/>
  <c r="F297" i="12860"/>
  <c r="F228" i="12860" s="1"/>
  <c r="F299" i="12860"/>
  <c r="F303" i="12860"/>
  <c r="F234" i="12860" s="1"/>
  <c r="Q304" i="12860"/>
  <c r="Q235" i="12860" s="1"/>
  <c r="F304" i="12860"/>
  <c r="C305" i="12860"/>
  <c r="S306" i="12860"/>
  <c r="U306" i="12860" s="1"/>
  <c r="Q318" i="12860"/>
  <c r="C339" i="12860"/>
  <c r="M339" i="12860" s="1"/>
  <c r="F333" i="12860"/>
  <c r="M337" i="12860"/>
  <c r="C388" i="12860"/>
  <c r="Q397" i="12860"/>
  <c r="I409" i="12860"/>
  <c r="C447" i="12860"/>
  <c r="C430" i="12860"/>
  <c r="M430" i="12860" s="1"/>
  <c r="F426" i="12860"/>
  <c r="I444" i="12860"/>
  <c r="M477" i="12860"/>
  <c r="G827" i="12860"/>
  <c r="G745" i="12860"/>
  <c r="K720" i="12860"/>
  <c r="G774" i="12860"/>
  <c r="C723" i="12860"/>
  <c r="U844" i="12860"/>
  <c r="S864" i="12860"/>
  <c r="U864" i="12860" s="1"/>
  <c r="C158" i="12860"/>
  <c r="I158" i="12860" s="1"/>
  <c r="C160" i="12860"/>
  <c r="Q248" i="12860"/>
  <c r="K441" i="12860"/>
  <c r="M441" i="12860" s="1"/>
  <c r="M371" i="12860" s="1"/>
  <c r="M429" i="12860"/>
  <c r="M359" i="12860" s="1"/>
  <c r="Q492" i="12860"/>
  <c r="Q457" i="12860" s="1"/>
  <c r="C457" i="12860"/>
  <c r="C169" i="12860" s="1"/>
  <c r="C494" i="12860"/>
  <c r="C459" i="12860" s="1"/>
  <c r="Q503" i="12860"/>
  <c r="I503" i="12860"/>
  <c r="I468" i="12860" s="1"/>
  <c r="M503" i="12860"/>
  <c r="M468" i="12860" s="1"/>
  <c r="U503" i="12860"/>
  <c r="O711" i="12860"/>
  <c r="S61" i="12860"/>
  <c r="U61" i="12860" s="1"/>
  <c r="M92" i="12860"/>
  <c r="U284" i="12860"/>
  <c r="C307" i="12860"/>
  <c r="Q316" i="12860"/>
  <c r="O673" i="12860"/>
  <c r="S78" i="12860"/>
  <c r="U78" i="12860" s="1"/>
  <c r="K78" i="12860"/>
  <c r="M78" i="12860" s="1"/>
  <c r="O60" i="12860"/>
  <c r="Q60" i="12860" s="1"/>
  <c r="G60" i="12860"/>
  <c r="I60" i="12860" s="1"/>
  <c r="S42" i="12860"/>
  <c r="U42" i="12860" s="1"/>
  <c r="K42" i="12860"/>
  <c r="M42" i="12860" s="1"/>
  <c r="O78" i="12860"/>
  <c r="Q78" i="12860" s="1"/>
  <c r="I107" i="12860"/>
  <c r="K128" i="12860"/>
  <c r="Q142" i="12860"/>
  <c r="S420" i="12860"/>
  <c r="S350" i="12860"/>
  <c r="S364" i="12860" s="1"/>
  <c r="S247" i="12860"/>
  <c r="S316" i="12860"/>
  <c r="S213" i="12860"/>
  <c r="S226" i="12860" s="1"/>
  <c r="C193" i="12860"/>
  <c r="C199" i="12860" s="1"/>
  <c r="C214" i="12860"/>
  <c r="C173" i="12860" s="1"/>
  <c r="Q173" i="12860" s="1"/>
  <c r="C217" i="12860"/>
  <c r="C177" i="12860" s="1"/>
  <c r="C221" i="12860"/>
  <c r="G269" i="12860"/>
  <c r="I269" i="12860" s="1"/>
  <c r="M269" i="12860" s="1"/>
  <c r="F213" i="12860"/>
  <c r="S282" i="12860"/>
  <c r="Q284" i="12860"/>
  <c r="C215" i="12860"/>
  <c r="C174" i="12860" s="1"/>
  <c r="Q297" i="12860"/>
  <c r="F217" i="12860"/>
  <c r="S292" i="12860"/>
  <c r="M303" i="12860"/>
  <c r="M306" i="12860"/>
  <c r="F322" i="12860"/>
  <c r="K336" i="12860"/>
  <c r="M336" i="12860" s="1"/>
  <c r="M324" i="12860"/>
  <c r="I325" i="12860"/>
  <c r="C326" i="12860"/>
  <c r="M326" i="12860" s="1"/>
  <c r="G338" i="12860"/>
  <c r="I338" i="12860" s="1"/>
  <c r="M338" i="12860" s="1"/>
  <c r="I340" i="12860"/>
  <c r="C396" i="12860"/>
  <c r="M396" i="12860" s="1"/>
  <c r="M361" i="12860" s="1"/>
  <c r="C357" i="12860"/>
  <c r="F357" i="12860" s="1"/>
  <c r="F392" i="12860"/>
  <c r="Q410" i="12860"/>
  <c r="I410" i="12860"/>
  <c r="S506" i="12860"/>
  <c r="U506" i="12860" s="1"/>
  <c r="U471" i="12860" s="1"/>
  <c r="U492" i="12860"/>
  <c r="F500" i="12860"/>
  <c r="F465" i="12860" s="1"/>
  <c r="C465" i="12860"/>
  <c r="Q515" i="12860"/>
  <c r="I515" i="12860"/>
  <c r="S580" i="12860"/>
  <c r="U580" i="12860" s="1"/>
  <c r="U565" i="12860"/>
  <c r="I574" i="12860"/>
  <c r="Q574" i="12860"/>
  <c r="G109" i="12860"/>
  <c r="G124" i="12860"/>
  <c r="G138" i="12860"/>
  <c r="G153" i="12860"/>
  <c r="I153" i="12860" s="1"/>
  <c r="S222" i="12860"/>
  <c r="K234" i="12860"/>
  <c r="S270" i="12860"/>
  <c r="S283" i="12860"/>
  <c r="S293" i="12860"/>
  <c r="G303" i="12860"/>
  <c r="I303" i="12860" s="1"/>
  <c r="S307" i="12860"/>
  <c r="S325" i="12860"/>
  <c r="U325" i="12860" s="1"/>
  <c r="C395" i="12860"/>
  <c r="U395" i="12860" s="1"/>
  <c r="O435" i="12860"/>
  <c r="Q435" i="12860" s="1"/>
  <c r="Q365" i="12860" s="1"/>
  <c r="Q421" i="12860"/>
  <c r="S430" i="12860"/>
  <c r="I432" i="12860"/>
  <c r="Q445" i="12860"/>
  <c r="I445" i="12860"/>
  <c r="M500" i="12860"/>
  <c r="M465" i="12860" s="1"/>
  <c r="S540" i="12860"/>
  <c r="U540" i="12860" s="1"/>
  <c r="U470" i="12860" s="1"/>
  <c r="U526" i="12860"/>
  <c r="Q528" i="12860"/>
  <c r="Q551" i="12860"/>
  <c r="I551" i="12860"/>
  <c r="S578" i="12860"/>
  <c r="U578" i="12860" s="1"/>
  <c r="U562" i="12860"/>
  <c r="U481" i="12860" s="1"/>
  <c r="U566" i="12860"/>
  <c r="S581" i="12860"/>
  <c r="U581" i="12860" s="1"/>
  <c r="Q592" i="12860"/>
  <c r="I592" i="12860"/>
  <c r="S695" i="12860"/>
  <c r="S657" i="12860"/>
  <c r="S632" i="12860"/>
  <c r="S592" i="12860"/>
  <c r="U592" i="12860" s="1"/>
  <c r="S574" i="12860"/>
  <c r="U574" i="12860" s="1"/>
  <c r="F649" i="12860"/>
  <c r="F607" i="12860" s="1"/>
  <c r="C607" i="12860"/>
  <c r="K667" i="12860"/>
  <c r="M667" i="12860" s="1"/>
  <c r="O665" i="12860"/>
  <c r="Q665" i="12860" s="1"/>
  <c r="Q686" i="12860"/>
  <c r="O701" i="12860"/>
  <c r="Q701" i="12860" s="1"/>
  <c r="O703" i="12860"/>
  <c r="Q703" i="12860" s="1"/>
  <c r="Q689" i="12860"/>
  <c r="S801" i="12860"/>
  <c r="U801" i="12860" s="1"/>
  <c r="F805" i="12860"/>
  <c r="F752" i="12860" s="1"/>
  <c r="C752" i="12860"/>
  <c r="Q839" i="12860"/>
  <c r="O859" i="12860"/>
  <c r="Q859" i="12860" s="1"/>
  <c r="S860" i="12860"/>
  <c r="U860" i="12860" s="1"/>
  <c r="U840" i="12860"/>
  <c r="S550" i="12860"/>
  <c r="U550" i="12860" s="1"/>
  <c r="S444" i="12860"/>
  <c r="U444" i="12860" s="1"/>
  <c r="S536" i="12860"/>
  <c r="U536" i="12860" s="1"/>
  <c r="S501" i="12860"/>
  <c r="S466" i="12860"/>
  <c r="S432" i="12860"/>
  <c r="U432" i="12860" s="1"/>
  <c r="S517" i="12860"/>
  <c r="U517" i="12860" s="1"/>
  <c r="S482" i="12860"/>
  <c r="S411" i="12860"/>
  <c r="U411" i="12860" s="1"/>
  <c r="S190" i="12860"/>
  <c r="G548" i="12860"/>
  <c r="I548" i="12860" s="1"/>
  <c r="G513" i="12860"/>
  <c r="I513" i="12860" s="1"/>
  <c r="G478" i="12860"/>
  <c r="G442" i="12860"/>
  <c r="I442" i="12860" s="1"/>
  <c r="I372" i="12860" s="1"/>
  <c r="S201" i="12860"/>
  <c r="S238" i="12860"/>
  <c r="S256" i="12860"/>
  <c r="G337" i="12860"/>
  <c r="I337" i="12860" s="1"/>
  <c r="S341" i="12860"/>
  <c r="K372" i="12860"/>
  <c r="S372" i="12860"/>
  <c r="S397" i="12860"/>
  <c r="U397" i="12860" s="1"/>
  <c r="S409" i="12860"/>
  <c r="U409" i="12860" s="1"/>
  <c r="U374" i="12860" s="1"/>
  <c r="S446" i="12860"/>
  <c r="U446" i="12860" s="1"/>
  <c r="S468" i="12860"/>
  <c r="S480" i="12860"/>
  <c r="C501" i="12860"/>
  <c r="M501" i="12860" s="1"/>
  <c r="C462" i="12860"/>
  <c r="C466" i="12860" s="1"/>
  <c r="S542" i="12860"/>
  <c r="U542" i="12860" s="1"/>
  <c r="U472" i="12860" s="1"/>
  <c r="U528" i="12860"/>
  <c r="U458" i="12860" s="1"/>
  <c r="S538" i="12860"/>
  <c r="U538" i="12860" s="1"/>
  <c r="O541" i="12860"/>
  <c r="Q541" i="12860" s="1"/>
  <c r="Q471" i="12860" s="1"/>
  <c r="S552" i="12860"/>
  <c r="U552" i="12860" s="1"/>
  <c r="Q480" i="12860"/>
  <c r="K586" i="12860"/>
  <c r="M586" i="12860" s="1"/>
  <c r="M573" i="12860"/>
  <c r="O652" i="12860"/>
  <c r="K829" i="12860"/>
  <c r="K747" i="12860"/>
  <c r="K776" i="12860"/>
  <c r="U774" i="12860"/>
  <c r="S798" i="12860"/>
  <c r="U798" i="12860" s="1"/>
  <c r="O865" i="12860"/>
  <c r="Q865" i="12860" s="1"/>
  <c r="Q845" i="12860"/>
  <c r="F845" i="12860"/>
  <c r="F738" i="12860" s="1"/>
  <c r="C738" i="12860"/>
  <c r="K868" i="12860"/>
  <c r="M868" i="12860" s="1"/>
  <c r="M848" i="12860"/>
  <c r="Q550" i="12860"/>
  <c r="Q575" i="12860"/>
  <c r="Q648" i="12860"/>
  <c r="F652" i="12860"/>
  <c r="F610" i="12860" s="1"/>
  <c r="C610" i="12860"/>
  <c r="Q610" i="12860" s="1"/>
  <c r="O663" i="12860"/>
  <c r="Q663" i="12860" s="1"/>
  <c r="S702" i="12860"/>
  <c r="U702" i="12860" s="1"/>
  <c r="U687" i="12860"/>
  <c r="K706" i="12860"/>
  <c r="I776" i="12860"/>
  <c r="G800" i="12860"/>
  <c r="I800" i="12860" s="1"/>
  <c r="I747" i="12860" s="1"/>
  <c r="M747" i="12860" s="1"/>
  <c r="F840" i="12860"/>
  <c r="C733" i="12860"/>
  <c r="M536" i="12860"/>
  <c r="Q538" i="12860"/>
  <c r="F594" i="12860"/>
  <c r="F596" i="12860" s="1"/>
  <c r="S658" i="12860"/>
  <c r="S633" i="12860"/>
  <c r="S696" i="12860"/>
  <c r="O625" i="12860"/>
  <c r="G708" i="12860"/>
  <c r="I708" i="12860" s="1"/>
  <c r="G670" i="12860"/>
  <c r="I670" i="12860" s="1"/>
  <c r="Q662" i="12860"/>
  <c r="S663" i="12860"/>
  <c r="U663" i="12860" s="1"/>
  <c r="U648" i="12860"/>
  <c r="O664" i="12860"/>
  <c r="Q664" i="12860" s="1"/>
  <c r="Q649" i="12860"/>
  <c r="G673" i="12860"/>
  <c r="U662" i="12860"/>
  <c r="U701" i="12860"/>
  <c r="S854" i="12860"/>
  <c r="U854" i="12860" s="1"/>
  <c r="U830" i="12860"/>
  <c r="Q776" i="12860"/>
  <c r="O800" i="12860"/>
  <c r="Q800" i="12860" s="1"/>
  <c r="O802" i="12860"/>
  <c r="Q802" i="12860" s="1"/>
  <c r="Q778" i="12860"/>
  <c r="U805" i="12860"/>
  <c r="C761" i="12860"/>
  <c r="C765" i="12860" s="1"/>
  <c r="U765" i="12860" s="1"/>
  <c r="F814" i="12860"/>
  <c r="F761" i="12860" s="1"/>
  <c r="C818" i="12860"/>
  <c r="U831" i="12860"/>
  <c r="F848" i="12860"/>
  <c r="C741" i="12860"/>
  <c r="M741" i="12860" s="1"/>
  <c r="F942" i="12860"/>
  <c r="U942" i="12860"/>
  <c r="C924" i="12860"/>
  <c r="C905" i="12860" s="1"/>
  <c r="Q942" i="12860"/>
  <c r="I593" i="12860"/>
  <c r="Q593" i="12860"/>
  <c r="K631" i="12860"/>
  <c r="M656" i="12860"/>
  <c r="K673" i="12860"/>
  <c r="M692" i="12860"/>
  <c r="K705" i="12860"/>
  <c r="M705" i="12860" s="1"/>
  <c r="S871" i="12860"/>
  <c r="U871" i="12860" s="1"/>
  <c r="S818" i="12860"/>
  <c r="U818" i="12860" s="1"/>
  <c r="F776" i="12860"/>
  <c r="C722" i="12860"/>
  <c r="S800" i="12860"/>
  <c r="U800" i="12860" s="1"/>
  <c r="U776" i="12860"/>
  <c r="Q777" i="12860"/>
  <c r="U817" i="12860"/>
  <c r="F817" i="12860"/>
  <c r="F764" i="12860" s="1"/>
  <c r="U827" i="12860"/>
  <c r="F839" i="12860"/>
  <c r="C732" i="12860"/>
  <c r="U839" i="12860"/>
  <c r="S859" i="12860"/>
  <c r="U859" i="12860" s="1"/>
  <c r="O860" i="12860"/>
  <c r="Q860" i="12860" s="1"/>
  <c r="Q840" i="12860"/>
  <c r="F844" i="12860"/>
  <c r="C737" i="12860"/>
  <c r="M593" i="12860"/>
  <c r="K671" i="12860"/>
  <c r="M671" i="12860" s="1"/>
  <c r="G671" i="12860"/>
  <c r="I671" i="12860" s="1"/>
  <c r="Q660" i="12860"/>
  <c r="C672" i="12860"/>
  <c r="I672" i="12860" s="1"/>
  <c r="F667" i="12860"/>
  <c r="U686" i="12860"/>
  <c r="Q687" i="12860"/>
  <c r="O702" i="12860"/>
  <c r="Q702" i="12860" s="1"/>
  <c r="M694" i="12860"/>
  <c r="K707" i="12860"/>
  <c r="M707" i="12860" s="1"/>
  <c r="U709" i="12860"/>
  <c r="F709" i="12860"/>
  <c r="O798" i="12860"/>
  <c r="Q798" i="12860" s="1"/>
  <c r="Q774" i="12860"/>
  <c r="S802" i="12860"/>
  <c r="U802" i="12860" s="1"/>
  <c r="U778" i="12860"/>
  <c r="Q791" i="12860"/>
  <c r="K817" i="12860"/>
  <c r="M817" i="12860" s="1"/>
  <c r="F836" i="12860"/>
  <c r="C729" i="12860"/>
  <c r="S856" i="12860"/>
  <c r="U856" i="12860" s="1"/>
  <c r="U836" i="12860"/>
  <c r="O858" i="12860"/>
  <c r="Q858" i="12860" s="1"/>
  <c r="Q838" i="12860"/>
  <c r="F841" i="12860"/>
  <c r="C734" i="12860"/>
  <c r="S861" i="12860"/>
  <c r="U861" i="12860" s="1"/>
  <c r="U841" i="12860"/>
  <c r="O862" i="12860"/>
  <c r="Q862" i="12860" s="1"/>
  <c r="Q842" i="12860"/>
  <c r="C872" i="12860"/>
  <c r="F847" i="12860"/>
  <c r="K870" i="12860"/>
  <c r="M870" i="12860" s="1"/>
  <c r="S988" i="12860"/>
  <c r="S970" i="12860"/>
  <c r="S895" i="12860"/>
  <c r="U965" i="12860"/>
  <c r="S886" i="12860"/>
  <c r="U886" i="12860" s="1"/>
  <c r="S749" i="12860"/>
  <c r="U749" i="12860" s="1"/>
  <c r="C796" i="12860"/>
  <c r="Q796" i="12860" s="1"/>
  <c r="G818" i="12860"/>
  <c r="O818" i="12860"/>
  <c r="S849" i="12860"/>
  <c r="U849" i="12860" s="1"/>
  <c r="C963" i="12860"/>
  <c r="C943" i="12860" s="1"/>
  <c r="F961" i="12860"/>
  <c r="C941" i="12860"/>
  <c r="S882" i="12860"/>
  <c r="U882" i="12860" s="1"/>
  <c r="U961" i="12860"/>
  <c r="C1059" i="12860"/>
  <c r="F1023" i="12860"/>
  <c r="F1059" i="12860" s="1"/>
  <c r="C1002" i="12860"/>
  <c r="F1002" i="12860" s="1"/>
  <c r="S745" i="12860"/>
  <c r="U745" i="12860" s="1"/>
  <c r="S748" i="12860"/>
  <c r="U748" i="12860" s="1"/>
  <c r="K818" i="12860"/>
  <c r="U885" i="12860"/>
  <c r="Q945" i="12860"/>
  <c r="C927" i="12860"/>
  <c r="C908" i="12860" s="1"/>
  <c r="U945" i="12860"/>
  <c r="U927" i="12860" s="1"/>
  <c r="F945" i="12860"/>
  <c r="F964" i="12860"/>
  <c r="C944" i="12860"/>
  <c r="U964" i="12860"/>
  <c r="U1057" i="12860" s="1"/>
  <c r="K889" i="12860"/>
  <c r="M889" i="12860" s="1"/>
  <c r="U998" i="12860"/>
  <c r="Q998" i="12860"/>
  <c r="F998" i="12860"/>
  <c r="C1062" i="12860"/>
  <c r="F1026" i="12860"/>
  <c r="F1062" i="12860" s="1"/>
  <c r="C1005" i="12860"/>
  <c r="F1074" i="12860"/>
  <c r="Q1055" i="12860"/>
  <c r="C1057" i="12860"/>
  <c r="M1026" i="12860"/>
  <c r="M894" i="12860"/>
  <c r="Q961" i="12860"/>
  <c r="Q964" i="12860"/>
  <c r="F1058" i="12860"/>
  <c r="U1077" i="12860"/>
  <c r="C1080" i="12860"/>
  <c r="I1261" i="12860"/>
  <c r="C1054" i="12860"/>
  <c r="U1058" i="12860"/>
  <c r="C1083" i="12860"/>
  <c r="F1112" i="12860"/>
  <c r="I1112" i="12860"/>
  <c r="I1124" i="12860"/>
  <c r="I1126" i="12860"/>
  <c r="Q1208" i="12860"/>
  <c r="I1208" i="12860"/>
  <c r="M1208" i="12860"/>
  <c r="U1208" i="12860"/>
  <c r="U1074" i="12860"/>
  <c r="F1120" i="12860"/>
  <c r="I1120" i="12860"/>
  <c r="F1123" i="12860"/>
  <c r="I1123" i="12860"/>
  <c r="F1125" i="12860"/>
  <c r="I1125" i="12860"/>
  <c r="C1151" i="12860"/>
  <c r="S1027" i="12860"/>
  <c r="I1181" i="12860"/>
  <c r="F1181" i="12860"/>
  <c r="F1164" i="12860" s="1"/>
  <c r="C1045" i="12860"/>
  <c r="I1045" i="12860" s="1"/>
  <c r="I1131" i="12860"/>
  <c r="M1204" i="12860"/>
  <c r="M1162" i="12860" s="1"/>
  <c r="I1162" i="12860"/>
  <c r="I1134" i="12860"/>
  <c r="I1188" i="12860"/>
  <c r="I1252" i="12860"/>
  <c r="I1255" i="12860"/>
  <c r="M1147" i="12860"/>
  <c r="I1258" i="12860"/>
  <c r="F1148" i="12860"/>
  <c r="F1153" i="12860" s="1"/>
  <c r="C1224" i="12860"/>
  <c r="F1221" i="12860"/>
  <c r="Q1218" i="12860"/>
  <c r="I589" i="12843"/>
  <c r="I588" i="12767"/>
  <c r="F588" i="12767"/>
  <c r="F586" i="12767"/>
  <c r="F585" i="12767"/>
  <c r="F584" i="12767"/>
  <c r="F583" i="12767"/>
  <c r="F582" i="12767"/>
  <c r="F581" i="12767"/>
  <c r="F580" i="12767"/>
  <c r="F579" i="12767"/>
  <c r="F578" i="12767"/>
  <c r="F577" i="12767"/>
  <c r="F591" i="12767"/>
  <c r="F587" i="12767"/>
  <c r="F573" i="12767"/>
  <c r="F572" i="12767"/>
  <c r="F571" i="12767"/>
  <c r="F570" i="12767"/>
  <c r="F568" i="12767"/>
  <c r="F566" i="12767"/>
  <c r="F565" i="12767"/>
  <c r="F562" i="12767"/>
  <c r="F563" i="12767"/>
  <c r="F561" i="12767"/>
  <c r="F944" i="12861" l="1"/>
  <c r="F926" i="12861" s="1"/>
  <c r="M504" i="12861"/>
  <c r="Q410" i="12861"/>
  <c r="Q375" i="12861" s="1"/>
  <c r="I479" i="12861"/>
  <c r="Q568" i="12860"/>
  <c r="O582" i="12860"/>
  <c r="Q351" i="12860"/>
  <c r="U385" i="12860"/>
  <c r="U1055" i="12861"/>
  <c r="U964" i="12861"/>
  <c r="U1058" i="12861" s="1"/>
  <c r="F92" i="12860"/>
  <c r="I374" i="12860"/>
  <c r="F191" i="12860"/>
  <c r="U375" i="12860"/>
  <c r="S400" i="12860"/>
  <c r="U400" i="12860" s="1"/>
  <c r="Q1074" i="12861"/>
  <c r="U472" i="12861"/>
  <c r="F1074" i="12861"/>
  <c r="U421" i="12860"/>
  <c r="U351" i="12860" s="1"/>
  <c r="S435" i="12860"/>
  <c r="U435" i="12860" s="1"/>
  <c r="Q624" i="12860"/>
  <c r="U763" i="12860"/>
  <c r="S763" i="12860" s="1"/>
  <c r="U602" i="12860"/>
  <c r="Q606" i="12860"/>
  <c r="M1080" i="12860"/>
  <c r="Q1057" i="12860"/>
  <c r="C377" i="12860"/>
  <c r="Q742" i="12860"/>
  <c r="F475" i="12861"/>
  <c r="F197" i="12860"/>
  <c r="F1057" i="12860"/>
  <c r="F733" i="12860"/>
  <c r="K152" i="12860"/>
  <c r="M152" i="12860" s="1"/>
  <c r="G108" i="12861"/>
  <c r="F756" i="12861"/>
  <c r="F478" i="12861"/>
  <c r="F1209" i="12860"/>
  <c r="F989" i="12860"/>
  <c r="F195" i="12860"/>
  <c r="F1054" i="12860"/>
  <c r="O763" i="12860"/>
  <c r="O869" i="12860" s="1"/>
  <c r="Q869" i="12860" s="1"/>
  <c r="F1046" i="12860"/>
  <c r="U620" i="12860"/>
  <c r="U190" i="12860"/>
  <c r="C341" i="12860"/>
  <c r="M341" i="12860" s="1"/>
  <c r="Q1100" i="12860"/>
  <c r="F896" i="12860"/>
  <c r="F235" i="12860"/>
  <c r="F198" i="12860" s="1"/>
  <c r="F997" i="12860"/>
  <c r="M949" i="12860"/>
  <c r="M221" i="12860"/>
  <c r="Q228" i="12860"/>
  <c r="U537" i="12860"/>
  <c r="M467" i="12860"/>
  <c r="C712" i="12860"/>
  <c r="M1062" i="12860"/>
  <c r="C931" i="12860"/>
  <c r="C912" i="12860" s="1"/>
  <c r="U621" i="12860"/>
  <c r="Q731" i="12860"/>
  <c r="F693" i="12860"/>
  <c r="Q227" i="12860"/>
  <c r="M93" i="12860"/>
  <c r="Q603" i="12860"/>
  <c r="Q168" i="12860"/>
  <c r="Q673" i="12860"/>
  <c r="U622" i="12860"/>
  <c r="M632" i="12860"/>
  <c r="F477" i="12861"/>
  <c r="F759" i="12861"/>
  <c r="F737" i="12860"/>
  <c r="F1224" i="12860"/>
  <c r="M818" i="12860"/>
  <c r="Q818" i="12860"/>
  <c r="U191" i="12860"/>
  <c r="C1164" i="12860"/>
  <c r="C1197" i="12860"/>
  <c r="C1195" i="12860" s="1"/>
  <c r="Q997" i="12860"/>
  <c r="M627" i="12860"/>
  <c r="F1102" i="12860"/>
  <c r="F734" i="12860"/>
  <c r="U502" i="12860"/>
  <c r="U467" i="12860" s="1"/>
  <c r="C725" i="12860"/>
  <c r="I502" i="12860"/>
  <c r="AB1193" i="12860"/>
  <c r="F1076" i="12860"/>
  <c r="F231" i="12860"/>
  <c r="F194" i="12860" s="1"/>
  <c r="U908" i="12860"/>
  <c r="C605" i="12860"/>
  <c r="C194" i="12860"/>
  <c r="C200" i="12860" s="1"/>
  <c r="Q92" i="12860"/>
  <c r="F1073" i="12860"/>
  <c r="Q458" i="12860"/>
  <c r="Q93" i="12860"/>
  <c r="F447" i="12860"/>
  <c r="I695" i="12860"/>
  <c r="C696" i="12860"/>
  <c r="Q696" i="12860" s="1"/>
  <c r="F553" i="12860"/>
  <c r="Q604" i="12860"/>
  <c r="U1073" i="12860"/>
  <c r="Q1000" i="12860"/>
  <c r="Q1073" i="12860"/>
  <c r="F602" i="12860"/>
  <c r="Q1076" i="12860"/>
  <c r="F729" i="12860"/>
  <c r="F45" i="12860"/>
  <c r="C928" i="12860"/>
  <c r="C909" i="12860" s="1"/>
  <c r="Q927" i="12860"/>
  <c r="Q908" i="12860" s="1"/>
  <c r="Q695" i="12860"/>
  <c r="F15" i="12860"/>
  <c r="F1000" i="12860"/>
  <c r="F91" i="12860"/>
  <c r="Q672" i="12860"/>
  <c r="U307" i="12860"/>
  <c r="U1100" i="12860"/>
  <c r="I988" i="12860"/>
  <c r="I1082" i="12860" s="1"/>
  <c r="F927" i="12860"/>
  <c r="F908" i="12860" s="1"/>
  <c r="Q895" i="12860"/>
  <c r="U895" i="12860"/>
  <c r="I631" i="12860"/>
  <c r="M631" i="12860" s="1"/>
  <c r="I1100" i="12860"/>
  <c r="M672" i="12860"/>
  <c r="Q764" i="12860"/>
  <c r="U724" i="12860"/>
  <c r="M233" i="12860"/>
  <c r="I537" i="12860"/>
  <c r="F603" i="12860"/>
  <c r="F740" i="12860"/>
  <c r="F627" i="12860"/>
  <c r="Q625" i="12860"/>
  <c r="M706" i="12860"/>
  <c r="Q502" i="12860"/>
  <c r="Q215" i="12860"/>
  <c r="C232" i="12860"/>
  <c r="C238" i="12860" s="1"/>
  <c r="U631" i="12860"/>
  <c r="U88" i="12860"/>
  <c r="F1080" i="12860"/>
  <c r="Q537" i="12860"/>
  <c r="F732" i="12860"/>
  <c r="M234" i="12860"/>
  <c r="I23" i="12860"/>
  <c r="U23" i="12860" s="1"/>
  <c r="I1209" i="12860"/>
  <c r="I895" i="12860"/>
  <c r="U988" i="12860"/>
  <c r="F722" i="12860"/>
  <c r="Q735" i="12860"/>
  <c r="I673" i="12860"/>
  <c r="Q623" i="12860"/>
  <c r="U430" i="12860"/>
  <c r="U360" i="12860" s="1"/>
  <c r="Q170" i="12860"/>
  <c r="M23" i="12860"/>
  <c r="Q23" i="12860"/>
  <c r="C1167" i="12860"/>
  <c r="C1166" i="12860" s="1"/>
  <c r="Q1166" i="12860" s="1"/>
  <c r="F631" i="12860"/>
  <c r="M673" i="12860"/>
  <c r="I632" i="12860"/>
  <c r="U632" i="12860" s="1"/>
  <c r="Q988" i="12860"/>
  <c r="C1056" i="12860"/>
  <c r="C925" i="12860" s="1"/>
  <c r="C906" i="12860" s="1"/>
  <c r="F741" i="12860"/>
  <c r="I722" i="12860"/>
  <c r="M722" i="12860" s="1"/>
  <c r="F181" i="12860"/>
  <c r="Q181" i="12860" s="1"/>
  <c r="Q501" i="12860"/>
  <c r="Q466" i="12860" s="1"/>
  <c r="F196" i="12860"/>
  <c r="C483" i="12860"/>
  <c r="C711" i="12860"/>
  <c r="Q711" i="12860" s="1"/>
  <c r="F706" i="12860"/>
  <c r="F628" i="12860" s="1"/>
  <c r="C628" i="12860"/>
  <c r="F604" i="12860"/>
  <c r="F755" i="12861"/>
  <c r="G79" i="12861"/>
  <c r="G43" i="12861"/>
  <c r="F189" i="12860"/>
  <c r="K123" i="12861"/>
  <c r="F754" i="12861"/>
  <c r="F757" i="12861"/>
  <c r="F1058" i="12861"/>
  <c r="F192" i="12860"/>
  <c r="F190" i="12860"/>
  <c r="F29" i="12862"/>
  <c r="F23" i="12862"/>
  <c r="F17" i="12862"/>
  <c r="F10" i="12862"/>
  <c r="F27" i="12862"/>
  <c r="F16" i="12862"/>
  <c r="F32" i="12862"/>
  <c r="F25" i="12862"/>
  <c r="F14" i="12862"/>
  <c r="F28" i="12862"/>
  <c r="F21" i="12862"/>
  <c r="F12" i="12862"/>
  <c r="F20" i="12862"/>
  <c r="F11" i="12862"/>
  <c r="F33" i="12862"/>
  <c r="F19" i="12862"/>
  <c r="F31" i="12862"/>
  <c r="F22" i="12862"/>
  <c r="F26" i="12862"/>
  <c r="F15" i="12862"/>
  <c r="Q376" i="12861"/>
  <c r="I504" i="12861"/>
  <c r="Q504" i="12861"/>
  <c r="Q469" i="12861" s="1"/>
  <c r="Q961" i="12861"/>
  <c r="Q1055" i="12861" s="1"/>
  <c r="O882" i="12861"/>
  <c r="F595" i="12861"/>
  <c r="F597" i="12861" s="1"/>
  <c r="X90" i="12861"/>
  <c r="Y9" i="12862"/>
  <c r="O662" i="12861"/>
  <c r="O884" i="12861"/>
  <c r="S663" i="12861"/>
  <c r="C923" i="12861"/>
  <c r="M377" i="12861"/>
  <c r="U1074" i="12861"/>
  <c r="F941" i="12861"/>
  <c r="F923" i="12861" s="1"/>
  <c r="Q539" i="12861"/>
  <c r="Q377" i="12861"/>
  <c r="I1210" i="12861"/>
  <c r="G153" i="12861"/>
  <c r="X89" i="12861"/>
  <c r="G138" i="12861"/>
  <c r="G139" i="12861"/>
  <c r="Y91" i="12861"/>
  <c r="G109" i="12861"/>
  <c r="G124" i="12861"/>
  <c r="G97" i="12861"/>
  <c r="Z98" i="12861" s="1"/>
  <c r="G154" i="12861"/>
  <c r="Z97" i="12860"/>
  <c r="I746" i="12861"/>
  <c r="I376" i="12861"/>
  <c r="I1164" i="12860"/>
  <c r="F1197" i="12860"/>
  <c r="F177" i="12860"/>
  <c r="K107" i="12860"/>
  <c r="M107" i="12860" s="1"/>
  <c r="O802" i="12861"/>
  <c r="Q802" i="12861" s="1"/>
  <c r="F1055" i="12861"/>
  <c r="O857" i="12861"/>
  <c r="Q857" i="12861" s="1"/>
  <c r="O844" i="12861"/>
  <c r="K707" i="12861"/>
  <c r="O263" i="12861"/>
  <c r="Q263" i="12861" s="1"/>
  <c r="O401" i="12861"/>
  <c r="Q401" i="12861" s="1"/>
  <c r="Q387" i="12861"/>
  <c r="O435" i="12861"/>
  <c r="Q435" i="12861" s="1"/>
  <c r="O508" i="12861"/>
  <c r="Q508" i="12861" s="1"/>
  <c r="O506" i="12861"/>
  <c r="Q506" i="12861" s="1"/>
  <c r="O853" i="12861"/>
  <c r="Q853" i="12861" s="1"/>
  <c r="K800" i="12861"/>
  <c r="K889" i="12861"/>
  <c r="K673" i="12861"/>
  <c r="O703" i="12861"/>
  <c r="Q703" i="12861" s="1"/>
  <c r="S662" i="12861"/>
  <c r="S699" i="12861"/>
  <c r="U699" i="12861" s="1"/>
  <c r="O843" i="12861"/>
  <c r="O855" i="12861"/>
  <c r="Q855" i="12861" s="1"/>
  <c r="O850" i="12861"/>
  <c r="Q850" i="12861" s="1"/>
  <c r="G674" i="12861"/>
  <c r="K548" i="12861"/>
  <c r="M548" i="12861" s="1"/>
  <c r="M536" i="12861"/>
  <c r="O711" i="12861"/>
  <c r="S508" i="12861"/>
  <c r="U508" i="12861" s="1"/>
  <c r="O712" i="12861"/>
  <c r="G144" i="12861"/>
  <c r="O809" i="12861"/>
  <c r="Q809" i="12861" s="1"/>
  <c r="O805" i="12861"/>
  <c r="O793" i="12861"/>
  <c r="O332" i="12861"/>
  <c r="S700" i="12861"/>
  <c r="S800" i="12861"/>
  <c r="G712" i="12861"/>
  <c r="O664" i="12861"/>
  <c r="S543" i="12861"/>
  <c r="U543" i="12861" s="1"/>
  <c r="S859" i="12861"/>
  <c r="U859" i="12861" s="1"/>
  <c r="S808" i="12861"/>
  <c r="U808" i="12861" s="1"/>
  <c r="O807" i="12861"/>
  <c r="Q807" i="12861" s="1"/>
  <c r="K668" i="12861"/>
  <c r="K711" i="12861"/>
  <c r="O803" i="12861"/>
  <c r="Q803" i="12861" s="1"/>
  <c r="O792" i="12861"/>
  <c r="S852" i="12861"/>
  <c r="U852" i="12861" s="1"/>
  <c r="O798" i="12861"/>
  <c r="Q798" i="12861" s="1"/>
  <c r="O702" i="12861"/>
  <c r="F465" i="12861"/>
  <c r="S812" i="12861"/>
  <c r="U812" i="12861" s="1"/>
  <c r="O806" i="12861"/>
  <c r="Q806" i="12861" s="1"/>
  <c r="I374" i="12861"/>
  <c r="K442" i="12861"/>
  <c r="M442" i="12861" s="1"/>
  <c r="M430" i="12861"/>
  <c r="I539" i="12861"/>
  <c r="M376" i="12861"/>
  <c r="O402" i="12861"/>
  <c r="Q402" i="12861" s="1"/>
  <c r="Q388" i="12861"/>
  <c r="Q422" i="12861"/>
  <c r="O436" i="12861"/>
  <c r="Q436" i="12861" s="1"/>
  <c r="O400" i="12861"/>
  <c r="Q400" i="12861" s="1"/>
  <c r="O541" i="12861"/>
  <c r="Q541" i="12861" s="1"/>
  <c r="Q527" i="12861"/>
  <c r="F760" i="12861"/>
  <c r="O854" i="12861"/>
  <c r="Q854" i="12861" s="1"/>
  <c r="S803" i="12861"/>
  <c r="U803" i="12861" s="1"/>
  <c r="S792" i="12861"/>
  <c r="S863" i="12861"/>
  <c r="U863" i="12861" s="1"/>
  <c r="K712" i="12861"/>
  <c r="O859" i="12861"/>
  <c r="Q859" i="12861" s="1"/>
  <c r="K798" i="12861"/>
  <c r="M798" i="12861" s="1"/>
  <c r="O665" i="12861"/>
  <c r="S661" i="12861"/>
  <c r="S541" i="12861"/>
  <c r="U541" i="12861" s="1"/>
  <c r="U471" i="12861" s="1"/>
  <c r="U527" i="12861"/>
  <c r="M539" i="12861"/>
  <c r="M469" i="12861" s="1"/>
  <c r="M410" i="12861"/>
  <c r="M375" i="12861" s="1"/>
  <c r="O858" i="12861"/>
  <c r="Q858" i="12861" s="1"/>
  <c r="I480" i="12861"/>
  <c r="O674" i="12861"/>
  <c r="K407" i="12861"/>
  <c r="M407" i="12861" s="1"/>
  <c r="M395" i="12861"/>
  <c r="I377" i="12861"/>
  <c r="I410" i="12861"/>
  <c r="I375" i="12861" s="1"/>
  <c r="O296" i="12861"/>
  <c r="O437" i="12861"/>
  <c r="Q437" i="12861" s="1"/>
  <c r="Q423" i="12861"/>
  <c r="O297" i="12861"/>
  <c r="O331" i="12861"/>
  <c r="O507" i="12861"/>
  <c r="Q507" i="12861" s="1"/>
  <c r="S62" i="12861"/>
  <c r="S80" i="12861"/>
  <c r="S44" i="12861"/>
  <c r="O261" i="12861"/>
  <c r="Q261" i="12861" s="1"/>
  <c r="K303" i="12861"/>
  <c r="K337" i="12861"/>
  <c r="S159" i="12861"/>
  <c r="M478" i="12861"/>
  <c r="F353" i="12861"/>
  <c r="G130" i="12861"/>
  <c r="S114" i="12861"/>
  <c r="S130" i="12861" s="1"/>
  <c r="S145" i="12861" s="1"/>
  <c r="O542" i="12861"/>
  <c r="Q542" i="12861" s="1"/>
  <c r="O861" i="12861"/>
  <c r="Q861" i="12861" s="1"/>
  <c r="I373" i="12861"/>
  <c r="O298" i="12861"/>
  <c r="O262" i="12861"/>
  <c r="Q262" i="12861" s="1"/>
  <c r="O330" i="12861"/>
  <c r="Q330" i="12861" s="1"/>
  <c r="O543" i="12861"/>
  <c r="Q543" i="12861" s="1"/>
  <c r="I796" i="12860"/>
  <c r="I742" i="12860" s="1"/>
  <c r="U742" i="12860" s="1"/>
  <c r="U733" i="12860"/>
  <c r="Q733" i="12860"/>
  <c r="K853" i="12860"/>
  <c r="M853" i="12860" s="1"/>
  <c r="M829" i="12860"/>
  <c r="U752" i="12860"/>
  <c r="Q752" i="12860"/>
  <c r="Q607" i="12860"/>
  <c r="U607" i="12860"/>
  <c r="Q395" i="12860"/>
  <c r="I395" i="12860"/>
  <c r="I375" i="12860"/>
  <c r="C181" i="12860"/>
  <c r="M181" i="12860" s="1"/>
  <c r="K143" i="12860"/>
  <c r="M395" i="12860"/>
  <c r="M360" i="12860" s="1"/>
  <c r="U1054" i="12860"/>
  <c r="U468" i="12860"/>
  <c r="U723" i="12860"/>
  <c r="Q723" i="12860"/>
  <c r="I827" i="12860"/>
  <c r="G851" i="12860"/>
  <c r="I851" i="12860" s="1"/>
  <c r="Q305" i="12860"/>
  <c r="I305" i="12860"/>
  <c r="U305" i="12860"/>
  <c r="F230" i="12860"/>
  <c r="F193" i="12860" s="1"/>
  <c r="U396" i="12860"/>
  <c r="U361" i="12860" s="1"/>
  <c r="U326" i="12860"/>
  <c r="K144" i="12860"/>
  <c r="Q844" i="12860"/>
  <c r="O864" i="12860"/>
  <c r="Q864" i="12860" s="1"/>
  <c r="U720" i="12860"/>
  <c r="Q720" i="12860"/>
  <c r="U689" i="12860"/>
  <c r="S703" i="12860"/>
  <c r="U703" i="12860" s="1"/>
  <c r="S690" i="12860"/>
  <c r="I326" i="12860"/>
  <c r="I1264" i="12860"/>
  <c r="I1137" i="12860"/>
  <c r="F928" i="12860"/>
  <c r="F909" i="12860" s="1"/>
  <c r="U944" i="12860"/>
  <c r="U926" i="12860" s="1"/>
  <c r="U907" i="12860" s="1"/>
  <c r="C926" i="12860"/>
  <c r="C907" i="12860" s="1"/>
  <c r="Q944" i="12860"/>
  <c r="F944" i="12860"/>
  <c r="I818" i="12860"/>
  <c r="I765" i="12860" s="1"/>
  <c r="Q734" i="12860"/>
  <c r="U734" i="12860"/>
  <c r="Q737" i="12860"/>
  <c r="U737" i="12860"/>
  <c r="M796" i="12860"/>
  <c r="U722" i="12860"/>
  <c r="Q722" i="12860"/>
  <c r="U924" i="12860"/>
  <c r="U905" i="12860" s="1"/>
  <c r="Q765" i="12860"/>
  <c r="M765" i="12860"/>
  <c r="S711" i="12860"/>
  <c r="Q652" i="12860"/>
  <c r="O666" i="12860"/>
  <c r="Q666" i="12860" s="1"/>
  <c r="Q337" i="12860"/>
  <c r="U337" i="12860"/>
  <c r="U283" i="12860"/>
  <c r="U214" i="12860" s="1"/>
  <c r="S296" i="12860"/>
  <c r="U296" i="12860" s="1"/>
  <c r="U227" i="12860" s="1"/>
  <c r="Q375" i="12860"/>
  <c r="Q326" i="12860"/>
  <c r="S295" i="12860"/>
  <c r="U295" i="12860" s="1"/>
  <c r="U282" i="12860"/>
  <c r="U420" i="12860"/>
  <c r="U350" i="12860" s="1"/>
  <c r="S434" i="12860"/>
  <c r="U434" i="12860" s="1"/>
  <c r="U364" i="12860" s="1"/>
  <c r="Q307" i="12860"/>
  <c r="I307" i="12860"/>
  <c r="U169" i="12860"/>
  <c r="Q169" i="12860"/>
  <c r="G798" i="12860"/>
  <c r="I798" i="12860" s="1"/>
  <c r="I774" i="12860"/>
  <c r="I430" i="12860"/>
  <c r="Q430" i="12860"/>
  <c r="Q214" i="12860"/>
  <c r="Q213" i="12860"/>
  <c r="U318" i="12860"/>
  <c r="S331" i="12860"/>
  <c r="U331" i="12860" s="1"/>
  <c r="S865" i="12860"/>
  <c r="U865" i="12860" s="1"/>
  <c r="U845" i="12860"/>
  <c r="F720" i="12860"/>
  <c r="F819" i="12860"/>
  <c r="U480" i="12860"/>
  <c r="U652" i="12860"/>
  <c r="S666" i="12860"/>
  <c r="U666" i="12860" s="1"/>
  <c r="I396" i="12860"/>
  <c r="I361" i="12860" s="1"/>
  <c r="F518" i="12860"/>
  <c r="F1137" i="12860"/>
  <c r="F1005" i="12860"/>
  <c r="M1005" i="12860"/>
  <c r="Q941" i="12860"/>
  <c r="U941" i="12860"/>
  <c r="F941" i="12860"/>
  <c r="C923" i="12860"/>
  <c r="C904" i="12860" s="1"/>
  <c r="U796" i="12860"/>
  <c r="F924" i="12860"/>
  <c r="F905" i="12860" s="1"/>
  <c r="K800" i="12860"/>
  <c r="M800" i="12860" s="1"/>
  <c r="M776" i="12860"/>
  <c r="U376" i="12860"/>
  <c r="S672" i="12860"/>
  <c r="U672" i="12860" s="1"/>
  <c r="U456" i="12860"/>
  <c r="U457" i="12860"/>
  <c r="U316" i="12860"/>
  <c r="S329" i="12860"/>
  <c r="U329" i="12860" s="1"/>
  <c r="S159" i="12860"/>
  <c r="I88" i="12860"/>
  <c r="M88" i="12860" s="1"/>
  <c r="C159" i="12860"/>
  <c r="Q159" i="12860" s="1"/>
  <c r="F154" i="12860"/>
  <c r="F160" i="12860" s="1"/>
  <c r="I154" i="12860"/>
  <c r="K827" i="12860"/>
  <c r="K745" i="12860"/>
  <c r="K774" i="12860"/>
  <c r="C362" i="12860"/>
  <c r="I235" i="12860"/>
  <c r="M304" i="12860"/>
  <c r="M235" i="12860" s="1"/>
  <c r="U387" i="12860"/>
  <c r="U352" i="12860" s="1"/>
  <c r="S401" i="12860"/>
  <c r="U401" i="12860" s="1"/>
  <c r="U366" i="12860" s="1"/>
  <c r="F88" i="12860"/>
  <c r="I22" i="12860"/>
  <c r="M22" i="12860" s="1"/>
  <c r="S582" i="12860"/>
  <c r="U568" i="12860"/>
  <c r="F412" i="12860"/>
  <c r="Q88" i="12860"/>
  <c r="C353" i="12860"/>
  <c r="F350" i="12860"/>
  <c r="F172" i="12860" s="1"/>
  <c r="Q396" i="12860"/>
  <c r="Q361" i="12860" s="1"/>
  <c r="M305" i="12860"/>
  <c r="C1222" i="12860"/>
  <c r="Q1204" i="12860"/>
  <c r="C1082" i="12860"/>
  <c r="M1045" i="12860"/>
  <c r="M1082" i="12860" s="1"/>
  <c r="Q1045" i="12860"/>
  <c r="M1151" i="12860"/>
  <c r="I1151" i="12860"/>
  <c r="Q1151" i="12860"/>
  <c r="U1045" i="12860"/>
  <c r="Q729" i="12860"/>
  <c r="U729" i="12860"/>
  <c r="C766" i="12860"/>
  <c r="Q732" i="12860"/>
  <c r="U732" i="12860"/>
  <c r="Q924" i="12860"/>
  <c r="Q905" i="12860" s="1"/>
  <c r="I630" i="12860"/>
  <c r="S673" i="12860"/>
  <c r="U673" i="12860" s="1"/>
  <c r="Q1054" i="12860"/>
  <c r="Q738" i="12860"/>
  <c r="U738" i="12860"/>
  <c r="F872" i="12860"/>
  <c r="M466" i="12860"/>
  <c r="I478" i="12860"/>
  <c r="U501" i="12860"/>
  <c r="U466" i="12860" s="1"/>
  <c r="U173" i="12860"/>
  <c r="Q690" i="12860"/>
  <c r="O704" i="12860"/>
  <c r="Q704" i="12860" s="1"/>
  <c r="S710" i="12860"/>
  <c r="U710" i="12860" s="1"/>
  <c r="U695" i="12860"/>
  <c r="Q303" i="12860"/>
  <c r="I234" i="12860"/>
  <c r="U303" i="12860"/>
  <c r="I501" i="12860"/>
  <c r="I466" i="12860" s="1"/>
  <c r="F323" i="12860"/>
  <c r="F342" i="12860" s="1"/>
  <c r="C342" i="12860"/>
  <c r="C327" i="12860"/>
  <c r="Q174" i="12860"/>
  <c r="U174" i="12860"/>
  <c r="S260" i="12860"/>
  <c r="U260" i="12860" s="1"/>
  <c r="U247" i="12860"/>
  <c r="Q468" i="12860"/>
  <c r="S869" i="12860"/>
  <c r="U869" i="12860" s="1"/>
  <c r="S816" i="12860"/>
  <c r="U816" i="12860" s="1"/>
  <c r="I339" i="12860"/>
  <c r="Q339" i="12860"/>
  <c r="C172" i="12860"/>
  <c r="C216" i="12860"/>
  <c r="I479" i="12860"/>
  <c r="U249" i="12860"/>
  <c r="S262" i="12860"/>
  <c r="U262" i="12860" s="1"/>
  <c r="U610" i="12860"/>
  <c r="S626" i="12860"/>
  <c r="U626" i="12860" s="1"/>
  <c r="Q456" i="12860"/>
  <c r="U339" i="12860"/>
  <c r="Q350" i="12860"/>
  <c r="F81" i="12860"/>
  <c r="S158" i="12860"/>
  <c r="U158" i="12860" s="1"/>
  <c r="Q158" i="12860"/>
  <c r="I469" i="12861" l="1"/>
  <c r="O816" i="12860"/>
  <c r="Q816" i="12860" s="1"/>
  <c r="Q582" i="12860"/>
  <c r="O590" i="12860"/>
  <c r="Q590" i="12860" s="1"/>
  <c r="O589" i="12860"/>
  <c r="Q589" i="12860" s="1"/>
  <c r="U228" i="12860"/>
  <c r="U365" i="12860"/>
  <c r="I341" i="12860"/>
  <c r="F1083" i="12860"/>
  <c r="F1167" i="12860"/>
  <c r="I467" i="12860"/>
  <c r="U181" i="12860"/>
  <c r="S181" i="12860" s="1"/>
  <c r="M931" i="12860"/>
  <c r="M912" i="12860" s="1"/>
  <c r="Q341" i="12860"/>
  <c r="U341" i="12860"/>
  <c r="U696" i="12860"/>
  <c r="Q926" i="12860"/>
  <c r="Q907" i="12860" s="1"/>
  <c r="U234" i="12860"/>
  <c r="Q1082" i="12860"/>
  <c r="C195" i="12860"/>
  <c r="C201" i="12860" s="1"/>
  <c r="M201" i="12860" s="1"/>
  <c r="F926" i="12860"/>
  <c r="F907" i="12860" s="1"/>
  <c r="I696" i="12860"/>
  <c r="M696" i="12860"/>
  <c r="U1082" i="12860"/>
  <c r="U711" i="12860"/>
  <c r="Q467" i="12860"/>
  <c r="I1166" i="12860"/>
  <c r="U1166" i="12860" s="1"/>
  <c r="U215" i="12860"/>
  <c r="Q360" i="12860"/>
  <c r="M1166" i="12860"/>
  <c r="M711" i="12860"/>
  <c r="I711" i="12860"/>
  <c r="I633" i="12860" s="1"/>
  <c r="U633" i="12860" s="1"/>
  <c r="F712" i="12860"/>
  <c r="C633" i="12860"/>
  <c r="M628" i="12860"/>
  <c r="I1195" i="12860"/>
  <c r="I1197" i="12860" s="1"/>
  <c r="Q1195" i="12860"/>
  <c r="U1195" i="12860"/>
  <c r="M1195" i="12860"/>
  <c r="I745" i="12860"/>
  <c r="M745" i="12860" s="1"/>
  <c r="L12" i="12862"/>
  <c r="L17" i="12862"/>
  <c r="L29" i="12862"/>
  <c r="L20" i="12862"/>
  <c r="L16" i="12862"/>
  <c r="L26" i="12862"/>
  <c r="L10" i="12862"/>
  <c r="L25" i="12862"/>
  <c r="L23" i="12862"/>
  <c r="L31" i="12862"/>
  <c r="L14" i="12862"/>
  <c r="L33" i="12862"/>
  <c r="L32" i="12862"/>
  <c r="L11" i="12862"/>
  <c r="L22" i="12862"/>
  <c r="L21" i="12862"/>
  <c r="L28" i="12862"/>
  <c r="L27" i="12862"/>
  <c r="L15" i="12862"/>
  <c r="L19" i="12862"/>
  <c r="M372" i="12861"/>
  <c r="M360" i="12861"/>
  <c r="Q473" i="12861"/>
  <c r="Q352" i="12861"/>
  <c r="O811" i="12861"/>
  <c r="Q811" i="12861" s="1"/>
  <c r="O812" i="12861"/>
  <c r="Q812" i="12861" s="1"/>
  <c r="U473" i="12861"/>
  <c r="Q366" i="12861"/>
  <c r="O864" i="12861"/>
  <c r="Q864" i="12861" s="1"/>
  <c r="S160" i="12861"/>
  <c r="Q353" i="12861"/>
  <c r="G159" i="12861"/>
  <c r="Q471" i="12861"/>
  <c r="G145" i="12861"/>
  <c r="Q472" i="12861"/>
  <c r="S811" i="12861"/>
  <c r="U811" i="12861" s="1"/>
  <c r="Q365" i="12861"/>
  <c r="Q367" i="12861"/>
  <c r="O863" i="12861"/>
  <c r="Q863" i="12861" s="1"/>
  <c r="C176" i="12860"/>
  <c r="C1284" i="12860" s="1"/>
  <c r="C1285" i="12860"/>
  <c r="Q327" i="12860"/>
  <c r="I327" i="12860"/>
  <c r="U327" i="12860"/>
  <c r="M327" i="12860"/>
  <c r="U1151" i="12860"/>
  <c r="I1153" i="12860"/>
  <c r="M1222" i="12860"/>
  <c r="I1222" i="12860"/>
  <c r="Q1222" i="12860"/>
  <c r="F377" i="12860"/>
  <c r="U159" i="12860"/>
  <c r="Q923" i="12860"/>
  <c r="Q904" i="12860" s="1"/>
  <c r="I159" i="12860"/>
  <c r="I720" i="12860"/>
  <c r="M720" i="12860" s="1"/>
  <c r="U226" i="12860"/>
  <c r="O181" i="12860"/>
  <c r="C175" i="12860"/>
  <c r="Q172" i="12860"/>
  <c r="U172" i="12860"/>
  <c r="M774" i="12860"/>
  <c r="K798" i="12860"/>
  <c r="M798" i="12860" s="1"/>
  <c r="F483" i="12860"/>
  <c r="F766" i="12860"/>
  <c r="F931" i="12860"/>
  <c r="F912" i="12860" s="1"/>
  <c r="S704" i="12860"/>
  <c r="U704" i="12860" s="1"/>
  <c r="U690" i="12860"/>
  <c r="K158" i="12860"/>
  <c r="M158" i="12860" s="1"/>
  <c r="I360" i="12860"/>
  <c r="I197" i="12860"/>
  <c r="Q234" i="12860"/>
  <c r="U630" i="12860"/>
  <c r="S630" i="12860" s="1"/>
  <c r="Q630" i="12860"/>
  <c r="O630" i="12860" s="1"/>
  <c r="U1204" i="12860"/>
  <c r="Q1162" i="12860"/>
  <c r="S590" i="12860"/>
  <c r="U590" i="12860" s="1"/>
  <c r="U582" i="12860"/>
  <c r="S589" i="12860"/>
  <c r="U589" i="12860" s="1"/>
  <c r="I198" i="12860"/>
  <c r="M198" i="12860" s="1"/>
  <c r="F923" i="12860"/>
  <c r="F904" i="12860" s="1"/>
  <c r="F25" i="12860"/>
  <c r="K851" i="12860"/>
  <c r="M851" i="12860" s="1"/>
  <c r="M827" i="12860"/>
  <c r="U923" i="12860"/>
  <c r="U904" i="12860" s="1"/>
  <c r="U213" i="12860"/>
  <c r="K159" i="12860"/>
  <c r="M159" i="12860" s="1"/>
  <c r="G1188" i="12767"/>
  <c r="G1186" i="12767"/>
  <c r="G1180" i="12767"/>
  <c r="G1179" i="12767"/>
  <c r="G88" i="12767"/>
  <c r="I1167" i="12860" l="1"/>
  <c r="Q633" i="12860"/>
  <c r="M633" i="12860"/>
  <c r="G160" i="12861"/>
  <c r="O670" i="12860"/>
  <c r="Q670" i="12860" s="1"/>
  <c r="O708" i="12860"/>
  <c r="Q708" i="12860" s="1"/>
  <c r="S535" i="12860"/>
  <c r="S429" i="12860"/>
  <c r="S359" i="12860"/>
  <c r="S371" i="12860" s="1"/>
  <c r="S290" i="12860"/>
  <c r="S196" i="12860"/>
  <c r="U196" i="12860" s="1"/>
  <c r="S465" i="12860"/>
  <c r="S477" i="12860" s="1"/>
  <c r="S255" i="12860"/>
  <c r="S221" i="12860"/>
  <c r="S233" i="12860" s="1"/>
  <c r="S324" i="12860"/>
  <c r="S500" i="12860"/>
  <c r="S394" i="12860"/>
  <c r="U1162" i="12860"/>
  <c r="S670" i="12860"/>
  <c r="U670" i="12860" s="1"/>
  <c r="S708" i="12860"/>
  <c r="U708" i="12860" s="1"/>
  <c r="O535" i="12860"/>
  <c r="O500" i="12860"/>
  <c r="O465" i="12860"/>
  <c r="O477" i="12860" s="1"/>
  <c r="O429" i="12860"/>
  <c r="O324" i="12860"/>
  <c r="O221" i="12860"/>
  <c r="O233" i="12860" s="1"/>
  <c r="O394" i="12860"/>
  <c r="O255" i="12860"/>
  <c r="O359" i="12860"/>
  <c r="O371" i="12860" s="1"/>
  <c r="O196" i="12860"/>
  <c r="O290" i="12860"/>
  <c r="Q197" i="12860"/>
  <c r="O197" i="12860" s="1"/>
  <c r="U197" i="12860"/>
  <c r="S197" i="12860" s="1"/>
  <c r="U1222" i="12860"/>
  <c r="S442" i="12860" l="1"/>
  <c r="U442" i="12860" s="1"/>
  <c r="S548" i="12860"/>
  <c r="U548" i="12860" s="1"/>
  <c r="S407" i="12860"/>
  <c r="U407" i="12860" s="1"/>
  <c r="S303" i="12860"/>
  <c r="S513" i="12860"/>
  <c r="U513" i="12860" s="1"/>
  <c r="S268" i="12860"/>
  <c r="S234" i="12860"/>
  <c r="S478" i="12860"/>
  <c r="S337" i="12860"/>
  <c r="Q290" i="12860"/>
  <c r="O302" i="12860"/>
  <c r="Q302" i="12860" s="1"/>
  <c r="Q394" i="12860"/>
  <c r="O406" i="12860"/>
  <c r="Q406" i="12860" s="1"/>
  <c r="S302" i="12860"/>
  <c r="U302" i="12860" s="1"/>
  <c r="U290" i="12860"/>
  <c r="O513" i="12860"/>
  <c r="Q513" i="12860" s="1"/>
  <c r="O478" i="12860"/>
  <c r="O548" i="12860"/>
  <c r="Q548" i="12860" s="1"/>
  <c r="O337" i="12860"/>
  <c r="O442" i="12860"/>
  <c r="Q442" i="12860" s="1"/>
  <c r="O407" i="12860"/>
  <c r="Q407" i="12860" s="1"/>
  <c r="O303" i="12860"/>
  <c r="O268" i="12860"/>
  <c r="O234" i="12860"/>
  <c r="Q196" i="12860"/>
  <c r="Q201" i="12860"/>
  <c r="O512" i="12860"/>
  <c r="Q512" i="12860" s="1"/>
  <c r="Q500" i="12860"/>
  <c r="S406" i="12860"/>
  <c r="U406" i="12860" s="1"/>
  <c r="U394" i="12860"/>
  <c r="U255" i="12860"/>
  <c r="S267" i="12860"/>
  <c r="U267" i="12860" s="1"/>
  <c r="Q324" i="12860"/>
  <c r="O336" i="12860"/>
  <c r="Q336" i="12860" s="1"/>
  <c r="O547" i="12860"/>
  <c r="Q547" i="12860" s="1"/>
  <c r="Q535" i="12860"/>
  <c r="U500" i="12860"/>
  <c r="S512" i="12860"/>
  <c r="U512" i="12860" s="1"/>
  <c r="S441" i="12860"/>
  <c r="U441" i="12860" s="1"/>
  <c r="U429" i="12860"/>
  <c r="O267" i="12860"/>
  <c r="Q267" i="12860" s="1"/>
  <c r="Q255" i="12860"/>
  <c r="Q429" i="12860"/>
  <c r="O441" i="12860"/>
  <c r="Q441" i="12860" s="1"/>
  <c r="S336" i="12860"/>
  <c r="U336" i="12860" s="1"/>
  <c r="U324" i="12860"/>
  <c r="S547" i="12860"/>
  <c r="U547" i="12860" s="1"/>
  <c r="U535" i="12860"/>
  <c r="V40" i="12859"/>
  <c r="K48" i="12859"/>
  <c r="L48" i="12859"/>
  <c r="M48" i="12859"/>
  <c r="N48" i="12859"/>
  <c r="O48" i="12859"/>
  <c r="P48" i="12859"/>
  <c r="Q48" i="12859"/>
  <c r="R48" i="12859"/>
  <c r="S48" i="12859"/>
  <c r="T48" i="12859"/>
  <c r="U48" i="12859"/>
  <c r="J48" i="12859"/>
  <c r="K47" i="12859"/>
  <c r="L47" i="12859"/>
  <c r="M47" i="12859"/>
  <c r="N47" i="12859"/>
  <c r="O47" i="12859"/>
  <c r="P47" i="12859"/>
  <c r="Q47" i="12859"/>
  <c r="R47" i="12859"/>
  <c r="S47" i="12859"/>
  <c r="T47" i="12859"/>
  <c r="U47" i="12859"/>
  <c r="J47" i="12859"/>
  <c r="V41" i="12859"/>
  <c r="V42" i="12859"/>
  <c r="V43" i="12859"/>
  <c r="V45" i="12859"/>
  <c r="Q478" i="12860" l="1"/>
  <c r="U372" i="12860"/>
  <c r="U359" i="12860"/>
  <c r="Q359" i="12860"/>
  <c r="U465" i="12860"/>
  <c r="Q477" i="12860"/>
  <c r="U233" i="12860"/>
  <c r="Q221" i="12860"/>
  <c r="U371" i="12860"/>
  <c r="Q372" i="12860"/>
  <c r="Q371" i="12860"/>
  <c r="U478" i="12860"/>
  <c r="U477" i="12860"/>
  <c r="Q465" i="12860"/>
  <c r="U221" i="12860"/>
  <c r="Q233" i="12860"/>
  <c r="V48" i="12859"/>
  <c r="V47" i="12859"/>
  <c r="J44" i="12859" l="1"/>
  <c r="K44" i="12859" l="1"/>
  <c r="L44" i="12859"/>
  <c r="L46" i="12859" s="1"/>
  <c r="L49" i="12859" s="1"/>
  <c r="M44" i="12859"/>
  <c r="M46" i="12859" s="1"/>
  <c r="M49" i="12859" s="1"/>
  <c r="N44" i="12859"/>
  <c r="N46" i="12859" s="1"/>
  <c r="N49" i="12859" s="1"/>
  <c r="O44" i="12859"/>
  <c r="O46" i="12859" s="1"/>
  <c r="O49" i="12859" s="1"/>
  <c r="P44" i="12859"/>
  <c r="P46" i="12859" s="1"/>
  <c r="P49" i="12859" s="1"/>
  <c r="Q44" i="12859"/>
  <c r="Q46" i="12859" s="1"/>
  <c r="Q49" i="12859" s="1"/>
  <c r="R44" i="12859"/>
  <c r="R46" i="12859" s="1"/>
  <c r="R49" i="12859" s="1"/>
  <c r="S44" i="12859"/>
  <c r="S46" i="12859" s="1"/>
  <c r="S49" i="12859" s="1"/>
  <c r="T44" i="12859"/>
  <c r="T46" i="12859" s="1"/>
  <c r="T49" i="12859" s="1"/>
  <c r="U44" i="12859"/>
  <c r="U46" i="12859" s="1"/>
  <c r="U49" i="12859" s="1"/>
  <c r="J46" i="12859"/>
  <c r="J49" i="12859" s="1"/>
  <c r="I33" i="12859"/>
  <c r="I32" i="12859"/>
  <c r="I31" i="12859"/>
  <c r="C108" i="12861"/>
  <c r="F33" i="12859"/>
  <c r="F32" i="12859"/>
  <c r="F31" i="12859"/>
  <c r="F108" i="12861" l="1"/>
  <c r="I108" i="12861"/>
  <c r="F13" i="12811"/>
  <c r="F28" i="12859"/>
  <c r="K46" i="12859"/>
  <c r="V44" i="12859"/>
  <c r="I29" i="12859"/>
  <c r="I28" i="12859"/>
  <c r="F29" i="12859"/>
  <c r="V46" i="12859" l="1"/>
  <c r="K49" i="12859"/>
  <c r="V49" i="12859" s="1"/>
  <c r="I30" i="12859"/>
  <c r="I34" i="12859" s="1"/>
  <c r="C34" i="12859"/>
  <c r="F30" i="12859"/>
  <c r="F34" i="12859" s="1"/>
  <c r="H49" i="12837" l="1"/>
  <c r="H51" i="12837"/>
  <c r="H50" i="12837"/>
  <c r="H35" i="12837"/>
  <c r="H34" i="12837"/>
  <c r="H23" i="12837"/>
  <c r="H26" i="12837"/>
  <c r="H17" i="12837"/>
  <c r="H15" i="12837"/>
  <c r="H40" i="12837" l="1"/>
  <c r="H32" i="12837"/>
  <c r="H52" i="12837"/>
  <c r="H31" i="12837"/>
  <c r="J17" i="12837"/>
  <c r="N17" i="12837" s="1"/>
  <c r="T17" i="12837" s="1"/>
  <c r="H25" i="12837"/>
  <c r="H33" i="12837"/>
  <c r="J52" i="12837"/>
  <c r="H16" i="12837"/>
  <c r="J49" i="12837"/>
  <c r="H22" i="12837"/>
  <c r="J23" i="12837"/>
  <c r="J50" i="12837"/>
  <c r="J51" i="12837" l="1"/>
  <c r="J26" i="12837"/>
  <c r="J22" i="12837"/>
  <c r="J24" i="12837"/>
  <c r="J25" i="12837"/>
  <c r="H24" i="12837"/>
  <c r="J16" i="12837"/>
  <c r="J40" i="12837" l="1"/>
  <c r="J15" i="12837" l="1"/>
  <c r="J35" i="12837" l="1"/>
  <c r="J32" i="12837"/>
  <c r="J34" i="12837" l="1"/>
  <c r="J33" i="12837"/>
  <c r="J31" i="12837" l="1"/>
  <c r="L50" i="12837" l="1"/>
  <c r="L49" i="12837"/>
  <c r="L23" i="12837"/>
  <c r="L52" i="12837"/>
  <c r="L51" i="12837"/>
  <c r="L56" i="12837" l="1"/>
  <c r="L31" i="12837" l="1"/>
  <c r="L22" i="12837"/>
  <c r="L17" i="12837" l="1"/>
  <c r="L16" i="12837"/>
  <c r="L15" i="12837"/>
  <c r="L32" i="12837" l="1"/>
  <c r="P17" i="12837"/>
  <c r="V17" i="12837" s="1"/>
  <c r="R17" i="12837"/>
  <c r="L24" i="12837" l="1"/>
  <c r="L34" i="12837"/>
  <c r="L35" i="12837" l="1"/>
  <c r="L26" i="12837"/>
  <c r="L40" i="12837" l="1"/>
  <c r="C500" i="12843" l="1"/>
  <c r="C504" i="12843" s="1"/>
  <c r="F1180" i="12861"/>
  <c r="C56" i="12861"/>
  <c r="C58" i="12861"/>
  <c r="F58" i="12861" s="1"/>
  <c r="F56" i="12861" l="1"/>
  <c r="F1165" i="12861"/>
  <c r="F1178" i="12843"/>
  <c r="C82" i="12861"/>
  <c r="C80" i="12861" s="1"/>
  <c r="C81" i="12861"/>
  <c r="C79" i="12861"/>
  <c r="C78" i="12861"/>
  <c r="F78" i="12861" s="1"/>
  <c r="C77" i="12861"/>
  <c r="F77" i="12861" s="1"/>
  <c r="C76" i="12861"/>
  <c r="C74" i="12861"/>
  <c r="F74" i="12861" s="1"/>
  <c r="C73" i="12861"/>
  <c r="F73" i="12861" s="1"/>
  <c r="C72" i="12861"/>
  <c r="F72" i="12861" s="1"/>
  <c r="C64" i="12861"/>
  <c r="C63" i="12861"/>
  <c r="C61" i="12861"/>
  <c r="C60" i="12861"/>
  <c r="F60" i="12861" s="1"/>
  <c r="C59" i="12861"/>
  <c r="F59" i="12861" s="1"/>
  <c r="C55" i="12861"/>
  <c r="F55" i="12861" s="1"/>
  <c r="C54" i="12861"/>
  <c r="F54" i="12861" s="1"/>
  <c r="C46" i="12861"/>
  <c r="C42" i="12861"/>
  <c r="C41" i="12861"/>
  <c r="C40" i="12861"/>
  <c r="F40" i="12861" s="1"/>
  <c r="C37" i="12861"/>
  <c r="C36" i="12861"/>
  <c r="C15" i="12861" l="1"/>
  <c r="F36" i="12861"/>
  <c r="F15" i="12861" s="1"/>
  <c r="C21" i="12861"/>
  <c r="F42" i="12861"/>
  <c r="F21" i="12861" s="1"/>
  <c r="C19" i="12861"/>
  <c r="F76" i="12861"/>
  <c r="F19" i="12861" s="1"/>
  <c r="C16" i="12861"/>
  <c r="F37" i="12861"/>
  <c r="F16" i="12861" s="1"/>
  <c r="C44" i="12861"/>
  <c r="C25" i="12861"/>
  <c r="I80" i="12861"/>
  <c r="U80" i="12861"/>
  <c r="F17" i="12861"/>
  <c r="F41" i="12861"/>
  <c r="F20" i="12861" s="1"/>
  <c r="C20" i="12861"/>
  <c r="F79" i="12861"/>
  <c r="U79" i="12861"/>
  <c r="Q79" i="12861"/>
  <c r="I79" i="12861"/>
  <c r="C62" i="12861"/>
  <c r="F61" i="12861"/>
  <c r="F64" i="12861" s="1"/>
  <c r="Q61" i="12861"/>
  <c r="U61" i="12861"/>
  <c r="I61" i="12861"/>
  <c r="C17" i="12861"/>
  <c r="C45" i="12861"/>
  <c r="C24" i="12861" s="1"/>
  <c r="C43" i="12861"/>
  <c r="C22" i="12861" s="1"/>
  <c r="F43" i="12861" l="1"/>
  <c r="F46" i="12861" s="1"/>
  <c r="Q43" i="12861"/>
  <c r="U43" i="12861"/>
  <c r="I43" i="12861"/>
  <c r="I22" i="12861" s="1"/>
  <c r="I62" i="12861"/>
  <c r="U62" i="12861"/>
  <c r="F82" i="12861"/>
  <c r="C23" i="12861"/>
  <c r="Q44" i="12861"/>
  <c r="M44" i="12861"/>
  <c r="I44" i="12861"/>
  <c r="U44" i="12861"/>
  <c r="C297" i="12861"/>
  <c r="C298" i="12861"/>
  <c r="C304" i="12861"/>
  <c r="C881" i="12861"/>
  <c r="C805" i="12861"/>
  <c r="C817" i="12861"/>
  <c r="C816" i="12861"/>
  <c r="C800" i="12861"/>
  <c r="C814" i="12861"/>
  <c r="C661" i="12861"/>
  <c r="C666" i="12861"/>
  <c r="C665" i="12861"/>
  <c r="C664" i="12861"/>
  <c r="C652" i="12861"/>
  <c r="C710" i="12861"/>
  <c r="C702" i="12861"/>
  <c r="C704" i="12861"/>
  <c r="C690" i="12861"/>
  <c r="F25" i="12861" l="1"/>
  <c r="Q710" i="12861"/>
  <c r="F710" i="12861"/>
  <c r="U710" i="12861"/>
  <c r="I710" i="12861"/>
  <c r="C764" i="12861"/>
  <c r="I816" i="12861"/>
  <c r="I764" i="12861" s="1"/>
  <c r="F816" i="12861"/>
  <c r="F764" i="12861" s="1"/>
  <c r="M816" i="12861"/>
  <c r="F297" i="12861"/>
  <c r="Q297" i="12861"/>
  <c r="F690" i="12861"/>
  <c r="F661" i="12861"/>
  <c r="F621" i="12861" s="1"/>
  <c r="C621" i="12861"/>
  <c r="Q661" i="12861"/>
  <c r="U661" i="12861"/>
  <c r="F664" i="12861"/>
  <c r="U664" i="12861"/>
  <c r="Q664" i="12861"/>
  <c r="C762" i="12861"/>
  <c r="C766" i="12861" s="1"/>
  <c r="F814" i="12861"/>
  <c r="F762" i="12861" s="1"/>
  <c r="C753" i="12861"/>
  <c r="F805" i="12861"/>
  <c r="F753" i="12861" s="1"/>
  <c r="U805" i="12861"/>
  <c r="Q805" i="12861"/>
  <c r="I23" i="12861"/>
  <c r="F22" i="12861"/>
  <c r="C626" i="12861"/>
  <c r="F666" i="12861"/>
  <c r="F304" i="12861"/>
  <c r="M304" i="12861"/>
  <c r="I304" i="12861"/>
  <c r="C610" i="12861"/>
  <c r="F652" i="12861"/>
  <c r="F817" i="12861"/>
  <c r="F765" i="12861" s="1"/>
  <c r="C765" i="12861"/>
  <c r="U817" i="12861"/>
  <c r="I817" i="12861"/>
  <c r="I765" i="12861" s="1"/>
  <c r="Q817" i="12861"/>
  <c r="F704" i="12861"/>
  <c r="C624" i="12861"/>
  <c r="F702" i="12861"/>
  <c r="U702" i="12861"/>
  <c r="Q702" i="12861"/>
  <c r="F665" i="12861"/>
  <c r="F625" i="12861" s="1"/>
  <c r="C625" i="12861"/>
  <c r="U665" i="12861"/>
  <c r="Q665" i="12861"/>
  <c r="C748" i="12861"/>
  <c r="I800" i="12861"/>
  <c r="I748" i="12861" s="1"/>
  <c r="F800" i="12861"/>
  <c r="F748" i="12861" s="1"/>
  <c r="Q800" i="12861"/>
  <c r="M800" i="12861"/>
  <c r="U800" i="12861"/>
  <c r="C883" i="12861"/>
  <c r="F881" i="12861"/>
  <c r="F298" i="12861"/>
  <c r="Q298" i="12861"/>
  <c r="C884" i="12861"/>
  <c r="F884" i="12861" s="1"/>
  <c r="C981" i="12861"/>
  <c r="C963" i="12861"/>
  <c r="F610" i="12861" l="1"/>
  <c r="F626" i="12861"/>
  <c r="F624" i="12861"/>
  <c r="C943" i="12861"/>
  <c r="F963" i="12861"/>
  <c r="U963" i="12861"/>
  <c r="Q963" i="12861"/>
  <c r="F981" i="12861"/>
  <c r="U981" i="12861"/>
  <c r="Q981" i="12861"/>
  <c r="C779" i="12861"/>
  <c r="C778" i="12861"/>
  <c r="C777" i="12861"/>
  <c r="C781" i="12861"/>
  <c r="F778" i="12861" l="1"/>
  <c r="Q778" i="12861"/>
  <c r="F943" i="12861"/>
  <c r="F779" i="12861"/>
  <c r="Q779" i="12861"/>
  <c r="Q777" i="12861"/>
  <c r="F777" i="12861"/>
  <c r="I777" i="12861"/>
  <c r="U777" i="12861"/>
  <c r="M777" i="12861"/>
  <c r="C305" i="12861"/>
  <c r="C303" i="12861"/>
  <c r="C302" i="12861"/>
  <c r="C301" i="12861"/>
  <c r="C300" i="12861"/>
  <c r="C299" i="12861"/>
  <c r="C308" i="12861" l="1"/>
  <c r="F302" i="12861"/>
  <c r="F299" i="12861"/>
  <c r="C306" i="12861"/>
  <c r="F300" i="12861"/>
  <c r="Q305" i="12861"/>
  <c r="U305" i="12861"/>
  <c r="F305" i="12861"/>
  <c r="I305" i="12861"/>
  <c r="F303" i="12861"/>
  <c r="M303" i="12861"/>
  <c r="F301" i="12861"/>
  <c r="C307" i="12861"/>
  <c r="I307" i="12861" l="1"/>
  <c r="M307" i="12861"/>
  <c r="Q307" i="12861"/>
  <c r="M306" i="12861"/>
  <c r="I306" i="12861"/>
  <c r="Q306" i="12861"/>
  <c r="I308" i="12861"/>
  <c r="Q308" i="12861"/>
  <c r="C285" i="12861"/>
  <c r="C296" i="12861"/>
  <c r="F303" i="12767"/>
  <c r="C287" i="12861"/>
  <c r="C284" i="12861"/>
  <c r="C227" i="12861" l="1"/>
  <c r="C190" i="12861" s="1"/>
  <c r="F296" i="12861"/>
  <c r="F227" i="12861" s="1"/>
  <c r="F190" i="12861" s="1"/>
  <c r="Q296" i="12861"/>
  <c r="Q227" i="12861" s="1"/>
  <c r="F287" i="12861"/>
  <c r="F284" i="12861"/>
  <c r="Q284" i="12861"/>
  <c r="F285" i="12861"/>
  <c r="Q285" i="12861"/>
  <c r="U96" i="12764"/>
  <c r="U108" i="12764"/>
  <c r="U97" i="12764"/>
  <c r="U93" i="12764"/>
  <c r="U85" i="12764"/>
  <c r="U81" i="12764"/>
  <c r="U80" i="12764"/>
  <c r="U71" i="12764"/>
  <c r="U74" i="12764"/>
  <c r="U73" i="12764"/>
  <c r="U78" i="12764" l="1"/>
  <c r="U77" i="12764"/>
  <c r="U79" i="12764"/>
  <c r="U84" i="12764"/>
  <c r="U86" i="12764" s="1"/>
  <c r="U75" i="12764"/>
  <c r="C1182" i="12861"/>
  <c r="C1187" i="12861"/>
  <c r="C1186" i="12861"/>
  <c r="C1185" i="12861"/>
  <c r="C1184" i="12861"/>
  <c r="C1183" i="12861"/>
  <c r="U104" i="12764"/>
  <c r="U105" i="12764"/>
  <c r="U110" i="12764"/>
  <c r="C1196" i="12861"/>
  <c r="U82" i="12764" l="1"/>
  <c r="F1182" i="12861"/>
  <c r="I1182" i="12861"/>
  <c r="I1185" i="12861"/>
  <c r="F1185" i="12861"/>
  <c r="F1186" i="12861"/>
  <c r="I1186" i="12861"/>
  <c r="I1184" i="12861"/>
  <c r="F1184" i="12861"/>
  <c r="F1196" i="12861"/>
  <c r="I1196" i="12861"/>
  <c r="F1183" i="12861"/>
  <c r="I1183" i="12861"/>
  <c r="F1187" i="12861"/>
  <c r="I1187" i="12861"/>
  <c r="U106" i="12764"/>
  <c r="F1150" i="12861"/>
  <c r="I1167" i="12861" l="1"/>
  <c r="F1167" i="12861"/>
  <c r="F1201" i="12861"/>
  <c r="F1148" i="12843"/>
  <c r="U100" i="12764"/>
  <c r="U95" i="12764"/>
  <c r="U98" i="12764" s="1"/>
  <c r="U89" i="12764"/>
  <c r="U90" i="12764"/>
  <c r="U102" i="12764"/>
  <c r="U68" i="12764"/>
  <c r="U67" i="12764"/>
  <c r="U63" i="12764" l="1"/>
  <c r="U69" i="12764"/>
  <c r="U64" i="12764"/>
  <c r="U91" i="12764"/>
  <c r="C392" i="12861"/>
  <c r="C291" i="12861"/>
  <c r="U56" i="12764"/>
  <c r="U47" i="12764"/>
  <c r="U41" i="12764"/>
  <c r="U28" i="12764"/>
  <c r="U14" i="12764"/>
  <c r="V21" i="12764"/>
  <c r="A126" i="12822"/>
  <c r="A125" i="12822"/>
  <c r="A124" i="12822"/>
  <c r="A123" i="12822"/>
  <c r="A122" i="12822"/>
  <c r="A121" i="12822"/>
  <c r="A120" i="12822"/>
  <c r="A119" i="12822"/>
  <c r="A118" i="12822"/>
  <c r="A117" i="12822"/>
  <c r="A116" i="12822"/>
  <c r="A115" i="12822"/>
  <c r="A109" i="12822"/>
  <c r="A108" i="12822"/>
  <c r="A107" i="12822"/>
  <c r="A106" i="12822"/>
  <c r="A105" i="12822"/>
  <c r="A104" i="12822"/>
  <c r="A103" i="12822"/>
  <c r="A102" i="12822"/>
  <c r="A101" i="12822"/>
  <c r="A100" i="12822"/>
  <c r="A99" i="12822"/>
  <c r="A98" i="12822"/>
  <c r="A91" i="12822"/>
  <c r="A90" i="12822"/>
  <c r="A89" i="12822"/>
  <c r="A88" i="12822"/>
  <c r="A87" i="12822"/>
  <c r="A86" i="12822"/>
  <c r="A85" i="12822"/>
  <c r="A84" i="12822"/>
  <c r="A83" i="12822"/>
  <c r="A82" i="12822"/>
  <c r="A81" i="12822"/>
  <c r="A80" i="12822"/>
  <c r="N74" i="12822"/>
  <c r="N73" i="12822"/>
  <c r="N72" i="12822"/>
  <c r="N71" i="12822"/>
  <c r="N70" i="12822"/>
  <c r="N69" i="12822"/>
  <c r="N68" i="12822"/>
  <c r="N67" i="12822"/>
  <c r="N66" i="12822"/>
  <c r="N65" i="12822"/>
  <c r="N64" i="12822"/>
  <c r="N63" i="12822"/>
  <c r="A74" i="12822"/>
  <c r="A73" i="12822"/>
  <c r="A72" i="12822"/>
  <c r="A71" i="12822"/>
  <c r="A70" i="12822"/>
  <c r="A69" i="12822"/>
  <c r="A68" i="12822"/>
  <c r="A67" i="12822"/>
  <c r="A66" i="12822"/>
  <c r="A65" i="12822"/>
  <c r="A64" i="12822"/>
  <c r="A63" i="12822"/>
  <c r="A57" i="12822"/>
  <c r="A56" i="12822"/>
  <c r="A55" i="12822"/>
  <c r="A54" i="12822"/>
  <c r="A53" i="12822"/>
  <c r="A52" i="12822"/>
  <c r="A51" i="12822"/>
  <c r="A50" i="12822"/>
  <c r="A49" i="12822"/>
  <c r="A48" i="12822"/>
  <c r="A47" i="12822"/>
  <c r="A46" i="12822"/>
  <c r="A39" i="12822"/>
  <c r="A38" i="12822"/>
  <c r="A37" i="12822"/>
  <c r="A36" i="12822"/>
  <c r="A35" i="12822"/>
  <c r="A34" i="12822"/>
  <c r="A33" i="12822"/>
  <c r="A32" i="12822"/>
  <c r="A31" i="12822"/>
  <c r="A30" i="12822"/>
  <c r="A29" i="12822"/>
  <c r="A28" i="12822"/>
  <c r="C396" i="12861" l="1"/>
  <c r="F392" i="12861"/>
  <c r="F291" i="12861"/>
  <c r="M291" i="12861"/>
  <c r="U65" i="12764"/>
  <c r="U112" i="12764" s="1"/>
  <c r="U58" i="12764"/>
  <c r="C534" i="12861"/>
  <c r="C533" i="12861"/>
  <c r="C532" i="12861"/>
  <c r="F532" i="12861" s="1"/>
  <c r="C531" i="12861"/>
  <c r="C529" i="12861"/>
  <c r="C528" i="12861"/>
  <c r="C501" i="12861"/>
  <c r="C499" i="12861"/>
  <c r="C498" i="12861"/>
  <c r="C497" i="12861"/>
  <c r="C494" i="12861"/>
  <c r="C493" i="12861"/>
  <c r="C492" i="12861"/>
  <c r="C427" i="12861"/>
  <c r="C425" i="12861"/>
  <c r="C421" i="12861"/>
  <c r="C393" i="12861"/>
  <c r="C390" i="12861"/>
  <c r="C386" i="12861"/>
  <c r="C339" i="12861"/>
  <c r="C338" i="12861"/>
  <c r="C337" i="12861"/>
  <c r="C335" i="12861"/>
  <c r="C334" i="12861"/>
  <c r="C333" i="12861"/>
  <c r="C332" i="12861"/>
  <c r="C331" i="12861"/>
  <c r="C325" i="12861"/>
  <c r="C323" i="12861"/>
  <c r="C322" i="12861"/>
  <c r="C321" i="12861"/>
  <c r="C319" i="12861"/>
  <c r="C318" i="12861"/>
  <c r="C317" i="12861"/>
  <c r="C709" i="12861"/>
  <c r="C708" i="12861"/>
  <c r="C700" i="12861"/>
  <c r="C706" i="12861"/>
  <c r="C705" i="12861"/>
  <c r="C695" i="12861"/>
  <c r="C693" i="12861"/>
  <c r="C691" i="12861"/>
  <c r="C688" i="12861"/>
  <c r="C685" i="12861"/>
  <c r="C687" i="12861"/>
  <c r="C684" i="12861"/>
  <c r="C683" i="12861"/>
  <c r="C672" i="12861"/>
  <c r="C671" i="12861"/>
  <c r="C670" i="12861"/>
  <c r="C668" i="12861"/>
  <c r="C667" i="12861"/>
  <c r="C663" i="12861"/>
  <c r="C662" i="12861"/>
  <c r="C645" i="12861"/>
  <c r="C646" i="12861"/>
  <c r="C647" i="12861"/>
  <c r="C649" i="12861"/>
  <c r="C650" i="12861"/>
  <c r="C355" i="12861" l="1"/>
  <c r="F662" i="12861"/>
  <c r="Q662" i="12861"/>
  <c r="U662" i="12861"/>
  <c r="F684" i="12861"/>
  <c r="Q684" i="12861"/>
  <c r="U684" i="12861"/>
  <c r="F317" i="12861"/>
  <c r="C320" i="12861"/>
  <c r="Q317" i="12861"/>
  <c r="F332" i="12861"/>
  <c r="F229" i="12861" s="1"/>
  <c r="F192" i="12861" s="1"/>
  <c r="Q332" i="12861"/>
  <c r="Q229" i="12861" s="1"/>
  <c r="C229" i="12861"/>
  <c r="C192" i="12861" s="1"/>
  <c r="F337" i="12861"/>
  <c r="F234" i="12861" s="1"/>
  <c r="F197" i="12861" s="1"/>
  <c r="M337" i="12861"/>
  <c r="M234" i="12861" s="1"/>
  <c r="C234" i="12861"/>
  <c r="C197" i="12861" s="1"/>
  <c r="C431" i="12861"/>
  <c r="F427" i="12861"/>
  <c r="C448" i="12861"/>
  <c r="C363" i="12861" s="1"/>
  <c r="C605" i="12861"/>
  <c r="Q647" i="12861"/>
  <c r="F647" i="12861"/>
  <c r="U647" i="12861"/>
  <c r="C623" i="12861"/>
  <c r="Q663" i="12861"/>
  <c r="F663" i="12861"/>
  <c r="F623" i="12861" s="1"/>
  <c r="U663" i="12861"/>
  <c r="C607" i="12861"/>
  <c r="U687" i="12861"/>
  <c r="F687" i="12861"/>
  <c r="Q687" i="12861"/>
  <c r="C622" i="12861"/>
  <c r="F700" i="12861"/>
  <c r="Q700" i="12861"/>
  <c r="U700" i="12861"/>
  <c r="F323" i="12861"/>
  <c r="C327" i="12861"/>
  <c r="F338" i="12861"/>
  <c r="F235" i="12861" s="1"/>
  <c r="F198" i="12861" s="1"/>
  <c r="M338" i="12861"/>
  <c r="M235" i="12861" s="1"/>
  <c r="I338" i="12861"/>
  <c r="I235" i="12861" s="1"/>
  <c r="I198" i="12861" s="1"/>
  <c r="C235" i="12861"/>
  <c r="C198" i="12861" s="1"/>
  <c r="C457" i="12861"/>
  <c r="C169" i="12861"/>
  <c r="U492" i="12861"/>
  <c r="U457" i="12861" s="1"/>
  <c r="F492" i="12861"/>
  <c r="Q492" i="12861"/>
  <c r="Q457" i="12861" s="1"/>
  <c r="C462" i="12861"/>
  <c r="F497" i="12861"/>
  <c r="F462" i="12861" s="1"/>
  <c r="C537" i="12861"/>
  <c r="C554" i="12861"/>
  <c r="F533" i="12861"/>
  <c r="C604" i="12861"/>
  <c r="F646" i="12861"/>
  <c r="U646" i="12861"/>
  <c r="Q646" i="12861"/>
  <c r="C627" i="12861"/>
  <c r="F667" i="12861"/>
  <c r="F672" i="12861"/>
  <c r="F632" i="12861" s="1"/>
  <c r="I672" i="12861"/>
  <c r="I632" i="12861" s="1"/>
  <c r="Q672" i="12861"/>
  <c r="C632" i="12861"/>
  <c r="U672" i="12861"/>
  <c r="Q685" i="12861"/>
  <c r="U685" i="12861"/>
  <c r="F685" i="12861"/>
  <c r="F695" i="12861"/>
  <c r="M695" i="12861"/>
  <c r="F708" i="12861"/>
  <c r="M708" i="12861"/>
  <c r="F319" i="12861"/>
  <c r="Q319" i="12861"/>
  <c r="F325" i="12861"/>
  <c r="M325" i="12861"/>
  <c r="C340" i="12861"/>
  <c r="F334" i="12861"/>
  <c r="F231" i="12861" s="1"/>
  <c r="F194" i="12861" s="1"/>
  <c r="C231" i="12861"/>
  <c r="Q339" i="12861"/>
  <c r="Q236" i="12861" s="1"/>
  <c r="F339" i="12861"/>
  <c r="F236" i="12861" s="1"/>
  <c r="F199" i="12861" s="1"/>
  <c r="U339" i="12861"/>
  <c r="U236" i="12861" s="1"/>
  <c r="I339" i="12861"/>
  <c r="I236" i="12861" s="1"/>
  <c r="I199" i="12861" s="1"/>
  <c r="C236" i="12861"/>
  <c r="C199" i="12861" s="1"/>
  <c r="C424" i="12861"/>
  <c r="F421" i="12861"/>
  <c r="Q421" i="12861"/>
  <c r="C458" i="12861"/>
  <c r="C170" i="12861" s="1"/>
  <c r="F493" i="12861"/>
  <c r="U493" i="12861"/>
  <c r="Q493" i="12861"/>
  <c r="C502" i="12861"/>
  <c r="C519" i="12861"/>
  <c r="C463" i="12861"/>
  <c r="C467" i="12861" s="1"/>
  <c r="F498" i="12861"/>
  <c r="F529" i="12861"/>
  <c r="U529" i="12861"/>
  <c r="Q529" i="12861"/>
  <c r="C538" i="12861"/>
  <c r="F534" i="12861"/>
  <c r="C357" i="12861"/>
  <c r="F357" i="12861" s="1"/>
  <c r="F649" i="12861"/>
  <c r="U649" i="12861"/>
  <c r="Q649" i="12861"/>
  <c r="M670" i="12861"/>
  <c r="F670" i="12861"/>
  <c r="C630" i="12861"/>
  <c r="F691" i="12861"/>
  <c r="C711" i="12861"/>
  <c r="F706" i="12861"/>
  <c r="M706" i="12861"/>
  <c r="F322" i="12861"/>
  <c r="C326" i="12861"/>
  <c r="C496" i="12843"/>
  <c r="C496" i="12861"/>
  <c r="C461" i="12861" s="1"/>
  <c r="C466" i="12861"/>
  <c r="F501" i="12861"/>
  <c r="F466" i="12861" s="1"/>
  <c r="M501" i="12861"/>
  <c r="M466" i="12861" s="1"/>
  <c r="F671" i="12861"/>
  <c r="I671" i="12861"/>
  <c r="C631" i="12861"/>
  <c r="M671" i="12861"/>
  <c r="C696" i="12861"/>
  <c r="M693" i="12861"/>
  <c r="F693" i="12861"/>
  <c r="F318" i="12861"/>
  <c r="Q318" i="12861"/>
  <c r="F333" i="12861"/>
  <c r="F230" i="12861" s="1"/>
  <c r="F193" i="12861" s="1"/>
  <c r="C230" i="12861"/>
  <c r="C193" i="12861" s="1"/>
  <c r="C397" i="12861"/>
  <c r="F393" i="12861"/>
  <c r="C358" i="12861"/>
  <c r="F358" i="12861" s="1"/>
  <c r="F528" i="12861"/>
  <c r="U528" i="12861"/>
  <c r="C530" i="12861"/>
  <c r="Q528" i="12861"/>
  <c r="C608" i="12861"/>
  <c r="F650" i="12861"/>
  <c r="U650" i="12861"/>
  <c r="Q650" i="12861"/>
  <c r="C603" i="12861"/>
  <c r="Q645" i="12861"/>
  <c r="F645" i="12861"/>
  <c r="C648" i="12861"/>
  <c r="U645" i="12861"/>
  <c r="C673" i="12861"/>
  <c r="F668" i="12861"/>
  <c r="F628" i="12861" s="1"/>
  <c r="C628" i="12861"/>
  <c r="C633" i="12861" s="1"/>
  <c r="M668" i="12861"/>
  <c r="Q683" i="12861"/>
  <c r="F683" i="12861"/>
  <c r="C686" i="12861"/>
  <c r="U683" i="12861"/>
  <c r="U688" i="12861"/>
  <c r="F688" i="12861"/>
  <c r="Q688" i="12861"/>
  <c r="F705" i="12861"/>
  <c r="I709" i="12861"/>
  <c r="F709" i="12861"/>
  <c r="M709" i="12861"/>
  <c r="F321" i="12861"/>
  <c r="F331" i="12861"/>
  <c r="F228" i="12861" s="1"/>
  <c r="F191" i="12861" s="1"/>
  <c r="Q331" i="12861"/>
  <c r="Q228" i="12861" s="1"/>
  <c r="C228" i="12861"/>
  <c r="C191" i="12861" s="1"/>
  <c r="C341" i="12861"/>
  <c r="F335" i="12861"/>
  <c r="F232" i="12861" s="1"/>
  <c r="F195" i="12861" s="1"/>
  <c r="C232" i="12861"/>
  <c r="F386" i="12861"/>
  <c r="C351" i="12861"/>
  <c r="C389" i="12861"/>
  <c r="Q386" i="12861"/>
  <c r="C459" i="12861"/>
  <c r="C171" i="12861" s="1"/>
  <c r="F494" i="12861"/>
  <c r="U494" i="12861"/>
  <c r="Q494" i="12861"/>
  <c r="C503" i="12861"/>
  <c r="C464" i="12861"/>
  <c r="C468" i="12861" s="1"/>
  <c r="F499" i="12861"/>
  <c r="M396" i="12861"/>
  <c r="Q396" i="12861"/>
  <c r="I396" i="12861"/>
  <c r="C494" i="12767"/>
  <c r="C707" i="12861"/>
  <c r="C499" i="12843"/>
  <c r="C503" i="12843" s="1"/>
  <c r="C493" i="12843"/>
  <c r="C497" i="12843"/>
  <c r="C694" i="12861"/>
  <c r="C713" i="12861" s="1"/>
  <c r="C492" i="12843"/>
  <c r="C501" i="12843"/>
  <c r="C669" i="12861"/>
  <c r="C494" i="12843"/>
  <c r="C498" i="12843"/>
  <c r="C502" i="12843" s="1"/>
  <c r="U113" i="12764"/>
  <c r="C324" i="12861"/>
  <c r="C336" i="12861"/>
  <c r="F459" i="12861" l="1"/>
  <c r="F171" i="12861" s="1"/>
  <c r="F630" i="12861"/>
  <c r="C606" i="12861"/>
  <c r="F627" i="12861"/>
  <c r="U459" i="12861"/>
  <c r="Q458" i="12861"/>
  <c r="F605" i="12861"/>
  <c r="Q459" i="12861"/>
  <c r="C328" i="12861"/>
  <c r="F324" i="12861"/>
  <c r="I503" i="12861"/>
  <c r="Q503" i="12861"/>
  <c r="M503" i="12861"/>
  <c r="U171" i="12861"/>
  <c r="Q171" i="12861"/>
  <c r="F351" i="12861"/>
  <c r="C354" i="12861"/>
  <c r="I341" i="12861"/>
  <c r="M341" i="12861"/>
  <c r="Q341" i="12861"/>
  <c r="Q538" i="12861"/>
  <c r="I538" i="12861"/>
  <c r="M538" i="12861"/>
  <c r="Q351" i="12861"/>
  <c r="U458" i="12861"/>
  <c r="F607" i="12861"/>
  <c r="C238" i="12861"/>
  <c r="C195" i="12861"/>
  <c r="C201" i="12861" s="1"/>
  <c r="F603" i="12861"/>
  <c r="I696" i="12861"/>
  <c r="M696" i="12861"/>
  <c r="Q696" i="12861"/>
  <c r="F631" i="12861"/>
  <c r="M326" i="12861"/>
  <c r="Q326" i="12861"/>
  <c r="I326" i="12861"/>
  <c r="C484" i="12861"/>
  <c r="F458" i="12861"/>
  <c r="F170" i="12861" s="1"/>
  <c r="F448" i="12861"/>
  <c r="C237" i="12861"/>
  <c r="C194" i="12861"/>
  <c r="C200" i="12861" s="1"/>
  <c r="F604" i="12861"/>
  <c r="I537" i="12861"/>
  <c r="Q537" i="12861"/>
  <c r="M537" i="12861"/>
  <c r="F457" i="12861"/>
  <c r="F169" i="12861" s="1"/>
  <c r="F519" i="12861"/>
  <c r="I327" i="12861"/>
  <c r="Q327" i="12861"/>
  <c r="M327" i="12861"/>
  <c r="M431" i="12861"/>
  <c r="M361" i="12861" s="1"/>
  <c r="Q431" i="12861"/>
  <c r="Q361" i="12861" s="1"/>
  <c r="I431" i="12861"/>
  <c r="I361" i="12861" s="1"/>
  <c r="C629" i="12861"/>
  <c r="C634" i="12861" s="1"/>
  <c r="M669" i="12861"/>
  <c r="F669" i="12861"/>
  <c r="C674" i="12861"/>
  <c r="C495" i="12843"/>
  <c r="C495" i="12861"/>
  <c r="I397" i="12861"/>
  <c r="I362" i="12861" s="1"/>
  <c r="M397" i="12861"/>
  <c r="M362" i="12861" s="1"/>
  <c r="Q397" i="12861"/>
  <c r="Q362" i="12861" s="1"/>
  <c r="Q340" i="12861"/>
  <c r="I340" i="12861"/>
  <c r="M340" i="12861"/>
  <c r="F463" i="12861"/>
  <c r="U169" i="12861"/>
  <c r="Q169" i="12861"/>
  <c r="F554" i="12861"/>
  <c r="I631" i="12861"/>
  <c r="C342" i="12861"/>
  <c r="F336" i="12861"/>
  <c r="F233" i="12861" s="1"/>
  <c r="F196" i="12861" s="1"/>
  <c r="C233" i="12861"/>
  <c r="F694" i="12861"/>
  <c r="C697" i="12861"/>
  <c r="M694" i="12861"/>
  <c r="C712" i="12861"/>
  <c r="F707" i="12861"/>
  <c r="M707" i="12861"/>
  <c r="I673" i="12861"/>
  <c r="Q673" i="12861"/>
  <c r="M673" i="12861"/>
  <c r="F608" i="12861"/>
  <c r="C460" i="12861"/>
  <c r="C343" i="12861"/>
  <c r="I711" i="12861"/>
  <c r="Q711" i="12861"/>
  <c r="M711" i="12861"/>
  <c r="F464" i="12861"/>
  <c r="I502" i="12861"/>
  <c r="M502" i="12861"/>
  <c r="Q502" i="12861"/>
  <c r="U170" i="12861"/>
  <c r="Q170" i="12861"/>
  <c r="F622" i="12861"/>
  <c r="C657" i="12861"/>
  <c r="C653" i="12861"/>
  <c r="C847" i="12861"/>
  <c r="C846" i="12861"/>
  <c r="C844" i="12861"/>
  <c r="C843" i="12861"/>
  <c r="C841" i="12861"/>
  <c r="C840" i="12861"/>
  <c r="C839" i="12861"/>
  <c r="C838" i="12861"/>
  <c r="C837" i="12861"/>
  <c r="C835" i="12861"/>
  <c r="C833" i="12861"/>
  <c r="C832" i="12861"/>
  <c r="C727" i="12861" s="1"/>
  <c r="C830" i="12861"/>
  <c r="C829" i="12861"/>
  <c r="C828" i="12861"/>
  <c r="C826" i="12861"/>
  <c r="C796" i="12861"/>
  <c r="C793" i="12861"/>
  <c r="C792" i="12861"/>
  <c r="C790" i="12861"/>
  <c r="C789" i="12861"/>
  <c r="C788" i="12861"/>
  <c r="C787" i="12861"/>
  <c r="C786" i="12861"/>
  <c r="C784" i="12861"/>
  <c r="C782" i="12861"/>
  <c r="C775" i="12861"/>
  <c r="C1268" i="12861"/>
  <c r="C1264" i="12861"/>
  <c r="C1263" i="12861"/>
  <c r="C1249" i="12861"/>
  <c r="C1248" i="12861"/>
  <c r="C1244" i="12861"/>
  <c r="C1241" i="12861"/>
  <c r="C1240" i="12861"/>
  <c r="C1227" i="12861"/>
  <c r="C1225" i="12861"/>
  <c r="C1224" i="12861"/>
  <c r="C1198" i="12861"/>
  <c r="C1197" i="12861"/>
  <c r="C1212" i="12861"/>
  <c r="C1211" i="12861"/>
  <c r="F1178" i="12767"/>
  <c r="C1128" i="12861"/>
  <c r="C1127" i="12861"/>
  <c r="C1125" i="12861"/>
  <c r="C1124" i="12861"/>
  <c r="C1119" i="12861"/>
  <c r="C1112" i="12861"/>
  <c r="F629" i="12861" l="1"/>
  <c r="I467" i="12861"/>
  <c r="Q467" i="12861"/>
  <c r="C1168" i="12861"/>
  <c r="F713" i="12861"/>
  <c r="I468" i="12861"/>
  <c r="F790" i="12861"/>
  <c r="C736" i="12861"/>
  <c r="U790" i="12861"/>
  <c r="Q790" i="12861"/>
  <c r="F843" i="12861"/>
  <c r="U843" i="12861"/>
  <c r="Q843" i="12861"/>
  <c r="C196" i="12861"/>
  <c r="C202" i="12861" s="1"/>
  <c r="C239" i="12861"/>
  <c r="C721" i="12861"/>
  <c r="I775" i="12861"/>
  <c r="C780" i="12861"/>
  <c r="F775" i="12861"/>
  <c r="Q775" i="12861"/>
  <c r="M775" i="12861"/>
  <c r="F828" i="12861"/>
  <c r="F723" i="12861" s="1"/>
  <c r="I828" i="12861"/>
  <c r="I723" i="12861" s="1"/>
  <c r="Q828" i="12861"/>
  <c r="U828" i="12861"/>
  <c r="C723" i="12861"/>
  <c r="U844" i="12861"/>
  <c r="F844" i="12861"/>
  <c r="Q844" i="12861"/>
  <c r="Q697" i="12861"/>
  <c r="I697" i="12861"/>
  <c r="M697" i="12861"/>
  <c r="C1214" i="12861"/>
  <c r="C1213" i="12861" s="1"/>
  <c r="F1211" i="12861"/>
  <c r="I1211" i="12861"/>
  <c r="C1166" i="12861"/>
  <c r="F1224" i="12861"/>
  <c r="C1226" i="12861"/>
  <c r="C728" i="12861"/>
  <c r="C734" i="12861"/>
  <c r="U788" i="12861"/>
  <c r="F788" i="12861"/>
  <c r="Q788" i="12861"/>
  <c r="C739" i="12861"/>
  <c r="F793" i="12861"/>
  <c r="U793" i="12861"/>
  <c r="Q793" i="12861"/>
  <c r="F829" i="12861"/>
  <c r="F724" i="12861" s="1"/>
  <c r="Q829" i="12861"/>
  <c r="C724" i="12861"/>
  <c r="U835" i="12861"/>
  <c r="F835" i="12861"/>
  <c r="Q835" i="12861"/>
  <c r="U840" i="12861"/>
  <c r="F840" i="12861"/>
  <c r="Q840" i="12861"/>
  <c r="C848" i="12861"/>
  <c r="C871" i="12861"/>
  <c r="F846" i="12861"/>
  <c r="I633" i="12861"/>
  <c r="Q342" i="12861"/>
  <c r="M342" i="12861"/>
  <c r="I342" i="12861"/>
  <c r="M467" i="12861"/>
  <c r="M468" i="12861"/>
  <c r="C1167" i="12861"/>
  <c r="C1201" i="12861"/>
  <c r="C1230" i="12861"/>
  <c r="I1227" i="12861"/>
  <c r="F1227" i="12861"/>
  <c r="C732" i="12861"/>
  <c r="F786" i="12861"/>
  <c r="Q786" i="12861"/>
  <c r="U786" i="12861"/>
  <c r="C831" i="12861"/>
  <c r="I826" i="12861"/>
  <c r="F826" i="12861"/>
  <c r="Q826" i="12861"/>
  <c r="F838" i="12861"/>
  <c r="U838" i="12861"/>
  <c r="Q838" i="12861"/>
  <c r="C611" i="12861"/>
  <c r="F653" i="12861"/>
  <c r="F484" i="12861"/>
  <c r="F787" i="12861"/>
  <c r="C733" i="12861"/>
  <c r="U787" i="12861"/>
  <c r="Q787" i="12861"/>
  <c r="C738" i="12861"/>
  <c r="F792" i="12861"/>
  <c r="Q792" i="12861"/>
  <c r="U792" i="12861"/>
  <c r="F839" i="12861"/>
  <c r="Q839" i="12861"/>
  <c r="U839" i="12861"/>
  <c r="C615" i="12861"/>
  <c r="F657" i="12861"/>
  <c r="F615" i="12861" s="1"/>
  <c r="M657" i="12861"/>
  <c r="F1225" i="12861"/>
  <c r="F784" i="12861"/>
  <c r="C730" i="12861"/>
  <c r="U784" i="12861"/>
  <c r="Q784" i="12861"/>
  <c r="Q789" i="12861"/>
  <c r="F789" i="12861"/>
  <c r="C735" i="12861"/>
  <c r="U789" i="12861"/>
  <c r="C742" i="12861"/>
  <c r="F796" i="12861"/>
  <c r="M796" i="12861"/>
  <c r="F830" i="12861"/>
  <c r="F725" i="12861" s="1"/>
  <c r="Q830" i="12861"/>
  <c r="C725" i="12861"/>
  <c r="F837" i="12861"/>
  <c r="U837" i="12861"/>
  <c r="Q837" i="12861"/>
  <c r="F841" i="12861"/>
  <c r="U841" i="12861"/>
  <c r="Q841" i="12861"/>
  <c r="F847" i="12861"/>
  <c r="M847" i="12861"/>
  <c r="I712" i="12861"/>
  <c r="M712" i="12861"/>
  <c r="Q712" i="12861"/>
  <c r="F343" i="12861"/>
  <c r="M674" i="12861"/>
  <c r="Q674" i="12861"/>
  <c r="I674" i="12861"/>
  <c r="Q468" i="12861"/>
  <c r="M328" i="12861"/>
  <c r="Q328" i="12861"/>
  <c r="I328" i="12861"/>
  <c r="F1125" i="12861"/>
  <c r="I1125" i="12861"/>
  <c r="F1241" i="12861"/>
  <c r="I1241" i="12861"/>
  <c r="I1263" i="12861"/>
  <c r="F1263" i="12861"/>
  <c r="F1112" i="12861"/>
  <c r="I1112" i="12861"/>
  <c r="I1127" i="12861"/>
  <c r="F1127" i="12861"/>
  <c r="I1244" i="12861"/>
  <c r="F1244" i="12861"/>
  <c r="F1264" i="12861"/>
  <c r="I1264" i="12861"/>
  <c r="F1119" i="12861"/>
  <c r="I1119" i="12861"/>
  <c r="F1128" i="12861"/>
  <c r="I1128" i="12861"/>
  <c r="I1248" i="12861"/>
  <c r="F1248" i="12861"/>
  <c r="I1124" i="12861"/>
  <c r="F1124" i="12861"/>
  <c r="F1240" i="12861"/>
  <c r="I1240" i="12861"/>
  <c r="F1249" i="12861"/>
  <c r="I1249" i="12861"/>
  <c r="C779" i="12767"/>
  <c r="F742" i="12861" l="1"/>
  <c r="F730" i="12861"/>
  <c r="F735" i="12861"/>
  <c r="I634" i="12861"/>
  <c r="F733" i="12861"/>
  <c r="C726" i="12861"/>
  <c r="I1166" i="12861"/>
  <c r="C1170" i="12861"/>
  <c r="C1169" i="12861" s="1"/>
  <c r="C1199" i="12861"/>
  <c r="I1199" i="12861" s="1"/>
  <c r="I721" i="12861"/>
  <c r="F732" i="12861"/>
  <c r="F734" i="12861"/>
  <c r="I1213" i="12861"/>
  <c r="I1214" i="12861" s="1"/>
  <c r="C1228" i="12861"/>
  <c r="I1228" i="12861" s="1"/>
  <c r="M848" i="12861"/>
  <c r="Q848" i="12861"/>
  <c r="Q743" i="12861" s="1"/>
  <c r="I848" i="12861"/>
  <c r="I743" i="12861" s="1"/>
  <c r="F739" i="12861"/>
  <c r="F1214" i="12861"/>
  <c r="F1166" i="12861"/>
  <c r="F1230" i="12861"/>
  <c r="F611" i="12861"/>
  <c r="F871" i="12861"/>
  <c r="F721" i="12861"/>
  <c r="F738" i="12861"/>
  <c r="F736" i="12861"/>
  <c r="I1270" i="12861"/>
  <c r="F1270" i="12861"/>
  <c r="M1169" i="12861" l="1"/>
  <c r="Q1169" i="12861"/>
  <c r="I1169" i="12861"/>
  <c r="U1169" i="12861" s="1"/>
  <c r="F1170" i="12861"/>
  <c r="C1137" i="12861"/>
  <c r="C1121" i="12861"/>
  <c r="C1120" i="12861"/>
  <c r="C1116" i="12861"/>
  <c r="C1113" i="12861"/>
  <c r="C1153" i="12861"/>
  <c r="C1151" i="12861"/>
  <c r="C1099" i="12861"/>
  <c r="F1099" i="12861" s="1"/>
  <c r="C1098" i="12861"/>
  <c r="C1096" i="12861"/>
  <c r="F1096" i="12861" s="1"/>
  <c r="C1095" i="12861"/>
  <c r="C1092" i="12861"/>
  <c r="C1044" i="12861"/>
  <c r="C1043" i="12861"/>
  <c r="C1041" i="12861"/>
  <c r="C1039" i="12861"/>
  <c r="C1036" i="12861"/>
  <c r="C1026" i="12861"/>
  <c r="C1023" i="12861"/>
  <c r="C1021" i="12861"/>
  <c r="C1018" i="12861"/>
  <c r="C986" i="12861"/>
  <c r="C985" i="12861"/>
  <c r="C983" i="12861"/>
  <c r="F983" i="12861" s="1"/>
  <c r="C978" i="12861"/>
  <c r="C968" i="12861"/>
  <c r="F1041" i="12861" l="1"/>
  <c r="F1078" i="12861" s="1"/>
  <c r="C1078" i="12861"/>
  <c r="C1062" i="12861"/>
  <c r="F1026" i="12861"/>
  <c r="C1005" i="12861"/>
  <c r="F1005" i="12861" s="1"/>
  <c r="M1026" i="12861"/>
  <c r="C1046" i="12861"/>
  <c r="C1080" i="12861"/>
  <c r="C1045" i="12861"/>
  <c r="F1043" i="12861"/>
  <c r="M1043" i="12861"/>
  <c r="C987" i="12861"/>
  <c r="F985" i="12861"/>
  <c r="M985" i="12861"/>
  <c r="C988" i="12861"/>
  <c r="F1018" i="12861"/>
  <c r="U1018" i="12861"/>
  <c r="C997" i="12861"/>
  <c r="F997" i="12861" s="1"/>
  <c r="C1020" i="12861"/>
  <c r="Q1018" i="12861"/>
  <c r="F1036" i="12861"/>
  <c r="C1038" i="12861"/>
  <c r="U1036" i="12861"/>
  <c r="C1073" i="12861"/>
  <c r="Q1036" i="12861"/>
  <c r="C1081" i="12861"/>
  <c r="F1044" i="12861"/>
  <c r="M1044" i="12861"/>
  <c r="C1102" i="12861"/>
  <c r="F1098" i="12861"/>
  <c r="C1100" i="12861"/>
  <c r="I1100" i="12861" s="1"/>
  <c r="U978" i="12861"/>
  <c r="Q978" i="12861"/>
  <c r="C980" i="12861"/>
  <c r="F978" i="12861"/>
  <c r="F1023" i="12861"/>
  <c r="C1002" i="12861"/>
  <c r="F1002" i="12861" s="1"/>
  <c r="F1095" i="12861"/>
  <c r="F907" i="12861" s="1"/>
  <c r="C907" i="12861"/>
  <c r="F1151" i="12861"/>
  <c r="F1156" i="12861" s="1"/>
  <c r="C1156" i="12861"/>
  <c r="C1154" i="12861" s="1"/>
  <c r="I1154" i="12861" s="1"/>
  <c r="I1151" i="12861"/>
  <c r="C948" i="12861"/>
  <c r="F968" i="12861"/>
  <c r="M968" i="12861"/>
  <c r="F986" i="12861"/>
  <c r="M986" i="12861"/>
  <c r="C1000" i="12861"/>
  <c r="C1057" i="12861"/>
  <c r="F1021" i="12861"/>
  <c r="F1057" i="12861" s="1"/>
  <c r="Q1021" i="12861"/>
  <c r="Q1057" i="12861" s="1"/>
  <c r="U1021" i="12861"/>
  <c r="U1057" i="12861" s="1"/>
  <c r="F1039" i="12861"/>
  <c r="F1076" i="12861" s="1"/>
  <c r="Q1039" i="12861"/>
  <c r="Q1076" i="12861" s="1"/>
  <c r="C1076" i="12861"/>
  <c r="U1039" i="12861"/>
  <c r="U1076" i="12861" s="1"/>
  <c r="C1093" i="12861"/>
  <c r="F1092" i="12861"/>
  <c r="C904" i="12861"/>
  <c r="F1116" i="12861"/>
  <c r="I1116" i="12861"/>
  <c r="F1120" i="12861"/>
  <c r="I1120" i="12861"/>
  <c r="F1121" i="12861"/>
  <c r="I1121" i="12861"/>
  <c r="F1113" i="12861"/>
  <c r="I1113" i="12861"/>
  <c r="F1148" i="12767"/>
  <c r="M1080" i="12861" l="1"/>
  <c r="F1080" i="12861"/>
  <c r="F1062" i="12861"/>
  <c r="U1073" i="12861"/>
  <c r="F988" i="12861"/>
  <c r="F1081" i="12861"/>
  <c r="M987" i="12861"/>
  <c r="Q987" i="12861"/>
  <c r="I987" i="12861"/>
  <c r="F1000" i="12861"/>
  <c r="F925" i="12861" s="1"/>
  <c r="F906" i="12861" s="1"/>
  <c r="C925" i="12861"/>
  <c r="C906" i="12861" s="1"/>
  <c r="Q1073" i="12861"/>
  <c r="F1073" i="12861"/>
  <c r="F1046" i="12861"/>
  <c r="M1062" i="12861"/>
  <c r="F1102" i="12861"/>
  <c r="F904" i="12861"/>
  <c r="C999" i="12861"/>
  <c r="C1075" i="12861"/>
  <c r="C1083" i="12861"/>
  <c r="C930" i="12861"/>
  <c r="C911" i="12861" s="1"/>
  <c r="F948" i="12861"/>
  <c r="F930" i="12861" s="1"/>
  <c r="F911" i="12861" s="1"/>
  <c r="M1081" i="12861"/>
  <c r="C1082" i="12861"/>
  <c r="Q1045" i="12861"/>
  <c r="M1045" i="12861"/>
  <c r="I1045" i="12861"/>
  <c r="I1139" i="12861"/>
  <c r="F1139" i="12861"/>
  <c r="T12" i="12851"/>
  <c r="F1083" i="12861" l="1"/>
  <c r="Q1082" i="12861"/>
  <c r="I1082" i="12861"/>
  <c r="M1082" i="12861"/>
  <c r="N28" i="12851"/>
  <c r="C965" i="12861" l="1"/>
  <c r="C960" i="12861"/>
  <c r="C893" i="12861"/>
  <c r="F893" i="12861" s="1"/>
  <c r="C892" i="12861"/>
  <c r="F892" i="12861" s="1"/>
  <c r="C891" i="12861"/>
  <c r="F891" i="12861" s="1"/>
  <c r="C890" i="12861"/>
  <c r="C889" i="12861"/>
  <c r="F889" i="12861" s="1"/>
  <c r="C888" i="12861"/>
  <c r="C886" i="12861"/>
  <c r="F886" i="12861" s="1"/>
  <c r="I890" i="12861" l="1"/>
  <c r="F890" i="12861"/>
  <c r="C962" i="12861"/>
  <c r="F960" i="12861"/>
  <c r="Q960" i="12861"/>
  <c r="Q1054" i="12861" s="1"/>
  <c r="C940" i="12861"/>
  <c r="U960" i="12861"/>
  <c r="U1054" i="12861" s="1"/>
  <c r="C1054" i="12861"/>
  <c r="C894" i="12861"/>
  <c r="F888" i="12861"/>
  <c r="F895" i="12861" s="1"/>
  <c r="C945" i="12861"/>
  <c r="F965" i="12861"/>
  <c r="F1059" i="12861" s="1"/>
  <c r="C1059" i="12861"/>
  <c r="C896" i="12767"/>
  <c r="G22" i="12767"/>
  <c r="G42" i="12767" s="1"/>
  <c r="G43" i="12767"/>
  <c r="G61" i="12767"/>
  <c r="G79" i="12767"/>
  <c r="G137" i="12767"/>
  <c r="G108" i="12767"/>
  <c r="G109" i="12767"/>
  <c r="G107" i="12767"/>
  <c r="G112" i="12767"/>
  <c r="G128" i="12767" s="1"/>
  <c r="G143" i="12767" s="1"/>
  <c r="G158" i="12767" s="1"/>
  <c r="G113" i="12767"/>
  <c r="G129" i="12767" s="1"/>
  <c r="G144" i="12767" s="1"/>
  <c r="G159" i="12767" s="1"/>
  <c r="G122" i="12767"/>
  <c r="G197" i="12767"/>
  <c r="G198" i="12767"/>
  <c r="G199" i="12767"/>
  <c r="G200" i="12767"/>
  <c r="G201" i="12767"/>
  <c r="G222" i="12767"/>
  <c r="G223" i="12767"/>
  <c r="G224" i="12767"/>
  <c r="G234" i="12767"/>
  <c r="G235" i="12767"/>
  <c r="G236" i="12767"/>
  <c r="G237" i="12767"/>
  <c r="G238" i="12767"/>
  <c r="G256" i="12767"/>
  <c r="G257" i="12767"/>
  <c r="G258" i="12767"/>
  <c r="G268" i="12767"/>
  <c r="G269" i="12767"/>
  <c r="G270" i="12767"/>
  <c r="G271" i="12767"/>
  <c r="G272" i="12767"/>
  <c r="G291" i="12767"/>
  <c r="G292" i="12767"/>
  <c r="G293" i="12767"/>
  <c r="G303" i="12767"/>
  <c r="G304" i="12767"/>
  <c r="G305" i="12767"/>
  <c r="G306" i="12767"/>
  <c r="G307" i="12767"/>
  <c r="G325" i="12767"/>
  <c r="G326" i="12767"/>
  <c r="G327" i="12767"/>
  <c r="G337" i="12767"/>
  <c r="G338" i="12767"/>
  <c r="G339" i="12767"/>
  <c r="G340" i="12767"/>
  <c r="G341" i="12767"/>
  <c r="G360" i="12767"/>
  <c r="G361" i="12767"/>
  <c r="G362" i="12767"/>
  <c r="G372" i="12767"/>
  <c r="G373" i="12767"/>
  <c r="G374" i="12767"/>
  <c r="G375" i="12767"/>
  <c r="G376" i="12767"/>
  <c r="G395" i="12767"/>
  <c r="G396" i="12767"/>
  <c r="G397" i="12767"/>
  <c r="G407" i="12767"/>
  <c r="G408" i="12767"/>
  <c r="G409" i="12767"/>
  <c r="G410" i="12767"/>
  <c r="G411" i="12767"/>
  <c r="G430" i="12767"/>
  <c r="G431" i="12767"/>
  <c r="G432" i="12767"/>
  <c r="G442" i="12767"/>
  <c r="G443" i="12767"/>
  <c r="G444" i="12767"/>
  <c r="G445" i="12767"/>
  <c r="G446" i="12767"/>
  <c r="G466" i="12767"/>
  <c r="G467" i="12767"/>
  <c r="G468" i="12767"/>
  <c r="G478" i="12767"/>
  <c r="G479" i="12767"/>
  <c r="G480" i="12767"/>
  <c r="G481" i="12767"/>
  <c r="G482" i="12767"/>
  <c r="C927" i="12861" l="1"/>
  <c r="C908" i="12861" s="1"/>
  <c r="F945" i="12861"/>
  <c r="F927" i="12861" s="1"/>
  <c r="F908" i="12861" s="1"/>
  <c r="F1054" i="12861"/>
  <c r="C1056" i="12861"/>
  <c r="C924" i="12861" s="1"/>
  <c r="C905" i="12861" s="1"/>
  <c r="C942" i="12861"/>
  <c r="C922" i="12861"/>
  <c r="C903" i="12861" s="1"/>
  <c r="F940" i="12861"/>
  <c r="C895" i="12861"/>
  <c r="I894" i="12861"/>
  <c r="G154" i="12767"/>
  <c r="G124" i="12767"/>
  <c r="G139" i="12767"/>
  <c r="G97" i="12767"/>
  <c r="G153" i="12767"/>
  <c r="G152" i="12767"/>
  <c r="G138" i="12767"/>
  <c r="G96" i="12767"/>
  <c r="G123" i="12767"/>
  <c r="G78" i="12767"/>
  <c r="G60" i="12767"/>
  <c r="F922" i="12861" l="1"/>
  <c r="F903" i="12861" s="1"/>
  <c r="C252" i="12861"/>
  <c r="C283" i="12861"/>
  <c r="F252" i="12861" l="1"/>
  <c r="F218" i="12861" s="1"/>
  <c r="F178" i="12861" s="1"/>
  <c r="C218" i="12861"/>
  <c r="C178" i="12861" s="1"/>
  <c r="C286" i="12861"/>
  <c r="F283" i="12861"/>
  <c r="Q283" i="12861"/>
  <c r="F297" i="12767"/>
  <c r="F296" i="12767"/>
  <c r="F295" i="12767"/>
  <c r="C256" i="12861"/>
  <c r="C250" i="12861"/>
  <c r="F250" i="12861" l="1"/>
  <c r="F216" i="12861" s="1"/>
  <c r="F175" i="12861" s="1"/>
  <c r="Q250" i="12861"/>
  <c r="Q216" i="12861" s="1"/>
  <c r="C216" i="12861"/>
  <c r="C175" i="12861" s="1"/>
  <c r="F256" i="12861"/>
  <c r="F222" i="12861" s="1"/>
  <c r="F182" i="12861" s="1"/>
  <c r="M256" i="12861"/>
  <c r="M222" i="12861" s="1"/>
  <c r="C222" i="12861"/>
  <c r="C182" i="12861" s="1"/>
  <c r="M182" i="12861" s="1"/>
  <c r="C249" i="12861"/>
  <c r="C248" i="12861"/>
  <c r="E98" i="12763"/>
  <c r="C95" i="12763"/>
  <c r="E95" i="12763"/>
  <c r="I95" i="12763"/>
  <c r="E84" i="12763"/>
  <c r="E77" i="12763"/>
  <c r="E108" i="12763"/>
  <c r="E102" i="12763"/>
  <c r="E100" i="12763"/>
  <c r="E73" i="12763"/>
  <c r="E69" i="12763"/>
  <c r="D112" i="12763"/>
  <c r="F112" i="12763"/>
  <c r="H112" i="12763"/>
  <c r="M39" i="12764"/>
  <c r="T39" i="12764"/>
  <c r="V39" i="12764" s="1"/>
  <c r="V96" i="12764" s="1"/>
  <c r="S39" i="12764"/>
  <c r="S21" i="12764"/>
  <c r="I64" i="12763" l="1"/>
  <c r="Q175" i="12861"/>
  <c r="F249" i="12861"/>
  <c r="F215" i="12861" s="1"/>
  <c r="F174" i="12861" s="1"/>
  <c r="Q249" i="12861"/>
  <c r="Q215" i="12861" s="1"/>
  <c r="C215" i="12861"/>
  <c r="C174" i="12861" s="1"/>
  <c r="F248" i="12861"/>
  <c r="Q248" i="12861"/>
  <c r="Q214" i="12861" s="1"/>
  <c r="C214" i="12861"/>
  <c r="C250" i="12767"/>
  <c r="C251" i="12861" s="1"/>
  <c r="E83" i="12763"/>
  <c r="E85" i="12763" s="1"/>
  <c r="E94" i="12763"/>
  <c r="E96" i="12763" s="1"/>
  <c r="E63" i="12763"/>
  <c r="D113" i="12764"/>
  <c r="F113" i="12764"/>
  <c r="H113" i="12764"/>
  <c r="J113" i="12764"/>
  <c r="L113" i="12764"/>
  <c r="N113" i="12764"/>
  <c r="P113" i="12764"/>
  <c r="Y113" i="12764"/>
  <c r="AC113" i="12764"/>
  <c r="T27" i="12764"/>
  <c r="T26" i="12764"/>
  <c r="T11" i="12764"/>
  <c r="F214" i="12861" l="1"/>
  <c r="F173" i="12861" s="1"/>
  <c r="C173" i="12861"/>
  <c r="C217" i="12861"/>
  <c r="C177" i="12861" s="1"/>
  <c r="Q174" i="12861"/>
  <c r="C176" i="12861" l="1"/>
  <c r="Q173" i="12861"/>
  <c r="E89" i="12763"/>
  <c r="E47" i="12763" l="1"/>
  <c r="E88" i="12763"/>
  <c r="E90" i="12763" s="1"/>
  <c r="E106" i="12763"/>
  <c r="E92" i="12763"/>
  <c r="E80" i="12763" l="1"/>
  <c r="E76" i="12763" l="1"/>
  <c r="E79" i="12763"/>
  <c r="C1265" i="12843"/>
  <c r="C1263" i="12843"/>
  <c r="C1259" i="12843"/>
  <c r="C1258" i="12843"/>
  <c r="C1256" i="12843"/>
  <c r="C1255" i="12843"/>
  <c r="C1254" i="12843"/>
  <c r="C1251" i="12843"/>
  <c r="C1250" i="12843"/>
  <c r="C1248" i="12843"/>
  <c r="C1243" i="12843"/>
  <c r="C1240" i="12843"/>
  <c r="C1208" i="12843"/>
  <c r="C1188" i="12843"/>
  <c r="C1189" i="12843"/>
  <c r="C1190" i="12843"/>
  <c r="C1191" i="12843"/>
  <c r="C1192" i="12843"/>
  <c r="C1150" i="12843"/>
  <c r="C1134" i="12843"/>
  <c r="C1133" i="12843"/>
  <c r="C1132" i="12843"/>
  <c r="C1131" i="12843"/>
  <c r="C1130" i="12843"/>
  <c r="C1129" i="12843"/>
  <c r="C1128" i="12843"/>
  <c r="C1126" i="12843"/>
  <c r="C1125" i="12843"/>
  <c r="C1124" i="12843"/>
  <c r="C1123" i="12843"/>
  <c r="C1118" i="12843"/>
  <c r="C1117" i="12843"/>
  <c r="C1115" i="12843"/>
  <c r="C1114" i="12843"/>
  <c r="C1091" i="12843"/>
  <c r="C1040" i="12843"/>
  <c r="C1037" i="12843"/>
  <c r="C1022" i="12843"/>
  <c r="C1019" i="12843"/>
  <c r="C982" i="12843"/>
  <c r="C979" i="12843"/>
  <c r="C964" i="12843"/>
  <c r="C961" i="12843"/>
  <c r="C890" i="12843"/>
  <c r="C885" i="12843"/>
  <c r="C882" i="12843"/>
  <c r="C827" i="12843"/>
  <c r="C817" i="12843"/>
  <c r="C807" i="12843"/>
  <c r="C806" i="12843"/>
  <c r="C801" i="12843"/>
  <c r="C802" i="12843"/>
  <c r="C803" i="12843"/>
  <c r="C798" i="12843"/>
  <c r="C703" i="12843"/>
  <c r="C701" i="12843"/>
  <c r="C699" i="12843"/>
  <c r="C535" i="12843"/>
  <c r="C536" i="12843"/>
  <c r="C527" i="12843"/>
  <c r="C426" i="12843"/>
  <c r="C428" i="12843"/>
  <c r="C429" i="12843"/>
  <c r="C430" i="12843"/>
  <c r="C422" i="12843"/>
  <c r="C423" i="12843"/>
  <c r="C401" i="12843"/>
  <c r="C402" i="12843"/>
  <c r="C403" i="12843"/>
  <c r="C404" i="12843"/>
  <c r="C405" i="12843"/>
  <c r="C406" i="12843"/>
  <c r="C407" i="12843"/>
  <c r="C408" i="12843"/>
  <c r="C409" i="12843"/>
  <c r="C400" i="12843"/>
  <c r="C391" i="12843"/>
  <c r="C395" i="12843"/>
  <c r="C388" i="12843"/>
  <c r="C387" i="12843"/>
  <c r="C337" i="12843"/>
  <c r="C330" i="12843"/>
  <c r="C38" i="12843"/>
  <c r="C158" i="12861"/>
  <c r="C157" i="12861"/>
  <c r="C156" i="12861"/>
  <c r="C154" i="12861"/>
  <c r="C153" i="12861"/>
  <c r="C143" i="12861"/>
  <c r="C142" i="12861"/>
  <c r="C141" i="12861"/>
  <c r="C138" i="12861"/>
  <c r="C123" i="12861"/>
  <c r="C82" i="12843"/>
  <c r="C81" i="12843"/>
  <c r="C79" i="12843"/>
  <c r="C78" i="12843"/>
  <c r="C77" i="12843"/>
  <c r="C76" i="12843"/>
  <c r="C74" i="12843"/>
  <c r="C73" i="12843"/>
  <c r="C72" i="12843"/>
  <c r="C64" i="12843"/>
  <c r="C63" i="12843"/>
  <c r="C61" i="12843"/>
  <c r="C60" i="12843"/>
  <c r="C59" i="12843"/>
  <c r="C58" i="12843"/>
  <c r="C56" i="12843"/>
  <c r="C55" i="12843"/>
  <c r="C54" i="12843"/>
  <c r="C45" i="12843"/>
  <c r="C43" i="12843"/>
  <c r="C42" i="12843"/>
  <c r="C41" i="12843"/>
  <c r="C40" i="12843"/>
  <c r="C37" i="12843"/>
  <c r="C36" i="12843"/>
  <c r="C108" i="12843"/>
  <c r="Q156" i="12861" l="1"/>
  <c r="M156" i="12861"/>
  <c r="F156" i="12861"/>
  <c r="C89" i="12861"/>
  <c r="F123" i="12861"/>
  <c r="I123" i="12861"/>
  <c r="Q157" i="12861"/>
  <c r="M157" i="12861"/>
  <c r="F157" i="12861"/>
  <c r="Q138" i="12861"/>
  <c r="F138" i="12861"/>
  <c r="U138" i="12861"/>
  <c r="I138" i="12861"/>
  <c r="U153" i="12861"/>
  <c r="F153" i="12861"/>
  <c r="Q153" i="12861"/>
  <c r="I153" i="12861"/>
  <c r="Q158" i="12861"/>
  <c r="F158" i="12861"/>
  <c r="M158" i="12861"/>
  <c r="M142" i="12861"/>
  <c r="Q142" i="12861"/>
  <c r="C93" i="12861"/>
  <c r="F142" i="12861"/>
  <c r="F93" i="12861" s="1"/>
  <c r="M143" i="12861"/>
  <c r="F143" i="12861"/>
  <c r="C94" i="12861"/>
  <c r="Q143" i="12861"/>
  <c r="C92" i="12861"/>
  <c r="M141" i="12861"/>
  <c r="Q141" i="12861"/>
  <c r="F141" i="12861"/>
  <c r="F154" i="12861"/>
  <c r="C159" i="12861"/>
  <c r="I154" i="12861"/>
  <c r="C142" i="12843"/>
  <c r="C156" i="12843"/>
  <c r="C123" i="12843"/>
  <c r="C143" i="12843"/>
  <c r="C157" i="12843"/>
  <c r="C138" i="12843"/>
  <c r="C153" i="12843"/>
  <c r="C158" i="12843"/>
  <c r="C141" i="12843"/>
  <c r="C46" i="12843"/>
  <c r="C43" i="12767"/>
  <c r="C155" i="12861"/>
  <c r="C161" i="12861" s="1"/>
  <c r="C154" i="12843"/>
  <c r="D1239" i="12843"/>
  <c r="D1240" i="12843"/>
  <c r="D1242" i="12843"/>
  <c r="D1243" i="12843"/>
  <c r="D1246" i="12843"/>
  <c r="D1247" i="12843"/>
  <c r="D1248" i="12843"/>
  <c r="D1250" i="12843"/>
  <c r="D1251" i="12843"/>
  <c r="D1254" i="12843"/>
  <c r="D1255" i="12843"/>
  <c r="D1256" i="12843"/>
  <c r="D1258" i="12843"/>
  <c r="D1259" i="12843"/>
  <c r="D1261" i="12843"/>
  <c r="D1262" i="12843"/>
  <c r="D1263" i="12843"/>
  <c r="D1265" i="12843"/>
  <c r="D1238" i="12843"/>
  <c r="D1223" i="12843"/>
  <c r="D1225" i="12843"/>
  <c r="D1226" i="12843"/>
  <c r="D1227" i="12843"/>
  <c r="D1222" i="12843"/>
  <c r="D1209" i="12843"/>
  <c r="D1211" i="12843"/>
  <c r="D1208" i="12843"/>
  <c r="D1181" i="12843"/>
  <c r="D1182" i="12843"/>
  <c r="D1183" i="12843"/>
  <c r="D1184" i="12843"/>
  <c r="D1185" i="12843"/>
  <c r="D1188" i="12843"/>
  <c r="D1189" i="12843"/>
  <c r="D1190" i="12843"/>
  <c r="D1191" i="12843"/>
  <c r="D1192" i="12843"/>
  <c r="D1193" i="12843"/>
  <c r="D1194" i="12843"/>
  <c r="D1197" i="12843"/>
  <c r="D1198" i="12843"/>
  <c r="D1180" i="12843"/>
  <c r="D1167" i="12843"/>
  <c r="D1150" i="12843"/>
  <c r="D1152" i="12843"/>
  <c r="D1153" i="12843"/>
  <c r="D1149" i="12843"/>
  <c r="D1113" i="12843"/>
  <c r="D1114" i="12843"/>
  <c r="D1115" i="12843"/>
  <c r="D1116" i="12843"/>
  <c r="D1117" i="12843"/>
  <c r="D1118" i="12843"/>
  <c r="D1119" i="12843"/>
  <c r="D1120" i="12843"/>
  <c r="D1121" i="12843"/>
  <c r="D1123" i="12843"/>
  <c r="D1124" i="12843"/>
  <c r="D1125" i="12843"/>
  <c r="D1126" i="12843"/>
  <c r="D1128" i="12843"/>
  <c r="D1129" i="12843"/>
  <c r="D1130" i="12843"/>
  <c r="D1131" i="12843"/>
  <c r="D1132" i="12843"/>
  <c r="D1133" i="12843"/>
  <c r="D1134" i="12843"/>
  <c r="D1136" i="12843"/>
  <c r="D1112" i="12843"/>
  <c r="D1095" i="12843"/>
  <c r="D1096" i="12843"/>
  <c r="D1098" i="12843"/>
  <c r="D1099" i="12843"/>
  <c r="D1100" i="12843"/>
  <c r="D1101" i="12843"/>
  <c r="D1092" i="12843"/>
  <c r="D1037" i="12843"/>
  <c r="D1039" i="12843"/>
  <c r="D1040" i="12843"/>
  <c r="D1041" i="12843"/>
  <c r="D1043" i="12843"/>
  <c r="D1044" i="12843"/>
  <c r="D1045" i="12843"/>
  <c r="D1036" i="12843"/>
  <c r="D1019" i="12843"/>
  <c r="D1021" i="12843"/>
  <c r="D1022" i="12843"/>
  <c r="D1023" i="12843"/>
  <c r="D1025" i="12843"/>
  <c r="D1026" i="12843"/>
  <c r="D1027" i="12843"/>
  <c r="D1018" i="12843"/>
  <c r="D998" i="12843"/>
  <c r="D1000" i="12843"/>
  <c r="D1001" i="12843"/>
  <c r="D1002" i="12843"/>
  <c r="D1004" i="12843"/>
  <c r="D1005" i="12843"/>
  <c r="D1006" i="12843"/>
  <c r="D1007" i="12843"/>
  <c r="D997" i="12843"/>
  <c r="D979" i="12843"/>
  <c r="D981" i="12843"/>
  <c r="D982" i="12843"/>
  <c r="D983" i="12843"/>
  <c r="D985" i="12843"/>
  <c r="D986" i="12843"/>
  <c r="D987" i="12843"/>
  <c r="D978" i="12843"/>
  <c r="D961" i="12843"/>
  <c r="D963" i="12843"/>
  <c r="D964" i="12843"/>
  <c r="D965" i="12843"/>
  <c r="D967" i="12843"/>
  <c r="D968" i="12843"/>
  <c r="D969" i="12843"/>
  <c r="D960" i="12843"/>
  <c r="D941" i="12843"/>
  <c r="D943" i="12843"/>
  <c r="D944" i="12843"/>
  <c r="D945" i="12843"/>
  <c r="D947" i="12843"/>
  <c r="D948" i="12843"/>
  <c r="D949" i="12843"/>
  <c r="D950" i="12843"/>
  <c r="D940" i="12843"/>
  <c r="D882" i="12843"/>
  <c r="D884" i="12843"/>
  <c r="D885" i="12843"/>
  <c r="D886" i="12843"/>
  <c r="D888" i="12843"/>
  <c r="D889" i="12843"/>
  <c r="D890" i="12843"/>
  <c r="D891" i="12843"/>
  <c r="D892" i="12843"/>
  <c r="D893" i="12843"/>
  <c r="D894" i="12843"/>
  <c r="D881" i="12843"/>
  <c r="D867" i="12843"/>
  <c r="D868" i="12843"/>
  <c r="D869" i="12843"/>
  <c r="D870" i="12843"/>
  <c r="D866" i="12843"/>
  <c r="D864" i="12843"/>
  <c r="D863" i="12843"/>
  <c r="D858" i="12843"/>
  <c r="D859" i="12843"/>
  <c r="D860" i="12843"/>
  <c r="D861" i="12843"/>
  <c r="D857" i="12843"/>
  <c r="D853" i="12843"/>
  <c r="D854" i="12843"/>
  <c r="D855" i="12843"/>
  <c r="D852" i="12843"/>
  <c r="D847" i="12843"/>
  <c r="D848" i="12843"/>
  <c r="D849" i="12843"/>
  <c r="D850" i="12843"/>
  <c r="D846" i="12843"/>
  <c r="D844" i="12843"/>
  <c r="D843" i="12843"/>
  <c r="D841" i="12843"/>
  <c r="D840" i="12843"/>
  <c r="D839" i="12843"/>
  <c r="D838" i="12843"/>
  <c r="D837" i="12843"/>
  <c r="D835" i="12843"/>
  <c r="D830" i="12843"/>
  <c r="D829" i="12843"/>
  <c r="D828" i="12843"/>
  <c r="D826" i="12843"/>
  <c r="D815" i="12843"/>
  <c r="D816" i="12843"/>
  <c r="D817" i="12843"/>
  <c r="D814" i="12843"/>
  <c r="D812" i="12843"/>
  <c r="D811" i="12843"/>
  <c r="D806" i="12843"/>
  <c r="D807" i="12843"/>
  <c r="D808" i="12843"/>
  <c r="D809" i="12843"/>
  <c r="D805" i="12843"/>
  <c r="D801" i="12843"/>
  <c r="D802" i="12843"/>
  <c r="D803" i="12843"/>
  <c r="D800" i="12843"/>
  <c r="D796" i="12843"/>
  <c r="D797" i="12843"/>
  <c r="D798" i="12843"/>
  <c r="D795" i="12843"/>
  <c r="D793" i="12843"/>
  <c r="D792" i="12843"/>
  <c r="D787" i="12843"/>
  <c r="D788" i="12843"/>
  <c r="D789" i="12843"/>
  <c r="D790" i="12843"/>
  <c r="D786" i="12843"/>
  <c r="D784" i="12843"/>
  <c r="D778" i="12843"/>
  <c r="D779" i="12843"/>
  <c r="D777" i="12843"/>
  <c r="D775" i="12843"/>
  <c r="D766" i="12843"/>
  <c r="D765" i="12843"/>
  <c r="D764" i="12843"/>
  <c r="D763" i="12843"/>
  <c r="D762" i="12843"/>
  <c r="D760" i="12843"/>
  <c r="D759" i="12843"/>
  <c r="D757" i="12843"/>
  <c r="D756" i="12843"/>
  <c r="D755" i="12843"/>
  <c r="D754" i="12843"/>
  <c r="D753" i="12843"/>
  <c r="D751" i="12843"/>
  <c r="D750" i="12843"/>
  <c r="D749" i="12843"/>
  <c r="D748" i="12843"/>
  <c r="D746" i="12843"/>
  <c r="D745" i="12843"/>
  <c r="D744" i="12843"/>
  <c r="D743" i="12843"/>
  <c r="D742" i="12843"/>
  <c r="D741" i="12843"/>
  <c r="D739" i="12843"/>
  <c r="D738" i="12843"/>
  <c r="D736" i="12843"/>
  <c r="D735" i="12843"/>
  <c r="D734" i="12843"/>
  <c r="D733" i="12843"/>
  <c r="D732" i="12843"/>
  <c r="D730" i="12843"/>
  <c r="D725" i="12843"/>
  <c r="D724" i="12843"/>
  <c r="D723" i="12843"/>
  <c r="D721" i="12843"/>
  <c r="D684" i="12843"/>
  <c r="D685" i="12843"/>
  <c r="D687" i="12843"/>
  <c r="D688" i="12843"/>
  <c r="D690" i="12843"/>
  <c r="D691" i="12843"/>
  <c r="D693" i="12843"/>
  <c r="D694" i="12843"/>
  <c r="D695" i="12843"/>
  <c r="D696" i="12843"/>
  <c r="D697" i="12843"/>
  <c r="D698" i="12843"/>
  <c r="D699" i="12843"/>
  <c r="D700" i="12843"/>
  <c r="D701" i="12843"/>
  <c r="D702" i="12843"/>
  <c r="D703" i="12843"/>
  <c r="D704" i="12843"/>
  <c r="D705" i="12843"/>
  <c r="D706" i="12843"/>
  <c r="D707" i="12843"/>
  <c r="D708" i="12843"/>
  <c r="D709" i="12843"/>
  <c r="D710" i="12843"/>
  <c r="D711" i="12843"/>
  <c r="D712" i="12843"/>
  <c r="D683" i="12843"/>
  <c r="D646" i="12843"/>
  <c r="D647" i="12843"/>
  <c r="D649" i="12843"/>
  <c r="D650" i="12843"/>
  <c r="D652" i="12843"/>
  <c r="D653" i="12843"/>
  <c r="D655" i="12843"/>
  <c r="D656" i="12843"/>
  <c r="D657" i="12843"/>
  <c r="D658" i="12843"/>
  <c r="D659" i="12843"/>
  <c r="D660" i="12843"/>
  <c r="D661" i="12843"/>
  <c r="D662" i="12843"/>
  <c r="D663" i="12843"/>
  <c r="D664" i="12843"/>
  <c r="D665" i="12843"/>
  <c r="D666" i="12843"/>
  <c r="D667" i="12843"/>
  <c r="D668" i="12843"/>
  <c r="D669" i="12843"/>
  <c r="D670" i="12843"/>
  <c r="D671" i="12843"/>
  <c r="D672" i="12843"/>
  <c r="D673" i="12843"/>
  <c r="D674" i="12843"/>
  <c r="D645" i="12843"/>
  <c r="D604" i="12843"/>
  <c r="D605" i="12843"/>
  <c r="D607" i="12843"/>
  <c r="D608" i="12843"/>
  <c r="D610" i="12843"/>
  <c r="D611" i="12843"/>
  <c r="D613" i="12843"/>
  <c r="D614" i="12843"/>
  <c r="D615" i="12843"/>
  <c r="D616" i="12843"/>
  <c r="D617" i="12843"/>
  <c r="D618" i="12843"/>
  <c r="D619" i="12843"/>
  <c r="D620" i="12843"/>
  <c r="D621" i="12843"/>
  <c r="D622" i="12843"/>
  <c r="D623" i="12843"/>
  <c r="D624" i="12843"/>
  <c r="D625" i="12843"/>
  <c r="D626" i="12843"/>
  <c r="D627" i="12843"/>
  <c r="D628" i="12843"/>
  <c r="D629" i="12843"/>
  <c r="D630" i="12843"/>
  <c r="D631" i="12843"/>
  <c r="D632" i="12843"/>
  <c r="D633" i="12843"/>
  <c r="D634" i="12843"/>
  <c r="D603" i="12843"/>
  <c r="D562" i="12843"/>
  <c r="F562" i="12843" s="1"/>
  <c r="D563" i="12843"/>
  <c r="F563" i="12843" s="1"/>
  <c r="D564" i="12843"/>
  <c r="F564" i="12843" s="1"/>
  <c r="D566" i="12843"/>
  <c r="F566" i="12843" s="1"/>
  <c r="D567" i="12843"/>
  <c r="F567" i="12843" s="1"/>
  <c r="D569" i="12843"/>
  <c r="F569" i="12843" s="1"/>
  <c r="D571" i="12843"/>
  <c r="F571" i="12843" s="1"/>
  <c r="D572" i="12843"/>
  <c r="F572" i="12843" s="1"/>
  <c r="D573" i="12843"/>
  <c r="F573" i="12843" s="1"/>
  <c r="D574" i="12843"/>
  <c r="F574" i="12843" s="1"/>
  <c r="D575" i="12843"/>
  <c r="D576" i="12843"/>
  <c r="D577" i="12843"/>
  <c r="D578" i="12843"/>
  <c r="F578" i="12843" s="1"/>
  <c r="D579" i="12843"/>
  <c r="D580" i="12843"/>
  <c r="D581" i="12843"/>
  <c r="D582" i="12843"/>
  <c r="F582" i="12843" s="1"/>
  <c r="D583" i="12843"/>
  <c r="D584" i="12843"/>
  <c r="D585" i="12843"/>
  <c r="F585" i="12843" s="1"/>
  <c r="D586" i="12843"/>
  <c r="F586" i="12843" s="1"/>
  <c r="D587" i="12843"/>
  <c r="D588" i="12843"/>
  <c r="F588" i="12843" s="1"/>
  <c r="D589" i="12843"/>
  <c r="F589" i="12843" s="1"/>
  <c r="D590" i="12843"/>
  <c r="F590" i="12843" s="1"/>
  <c r="D591" i="12843"/>
  <c r="F591" i="12843" s="1"/>
  <c r="D592" i="12843"/>
  <c r="F592" i="12843" s="1"/>
  <c r="D593" i="12843"/>
  <c r="D594" i="12843"/>
  <c r="D528" i="12843"/>
  <c r="D529" i="12843"/>
  <c r="D532" i="12843"/>
  <c r="D533" i="12843"/>
  <c r="D534" i="12843"/>
  <c r="D535" i="12843"/>
  <c r="D536" i="12843"/>
  <c r="D537" i="12843"/>
  <c r="D538" i="12843"/>
  <c r="D539" i="12843"/>
  <c r="D540" i="12843"/>
  <c r="D541" i="12843"/>
  <c r="D542" i="12843"/>
  <c r="D543" i="12843"/>
  <c r="D544" i="12843"/>
  <c r="D545" i="12843"/>
  <c r="D546" i="12843"/>
  <c r="D547" i="12843"/>
  <c r="D548" i="12843"/>
  <c r="D549" i="12843"/>
  <c r="D550" i="12843"/>
  <c r="D551" i="12843"/>
  <c r="D552" i="12843"/>
  <c r="D553" i="12843"/>
  <c r="D527" i="12843"/>
  <c r="D493" i="12843"/>
  <c r="D494" i="12843"/>
  <c r="D497" i="12843"/>
  <c r="D498" i="12843"/>
  <c r="D499" i="12843"/>
  <c r="D500" i="12843"/>
  <c r="D501" i="12843"/>
  <c r="D502" i="12843"/>
  <c r="D503" i="12843"/>
  <c r="D504" i="12843"/>
  <c r="D505" i="12843"/>
  <c r="D506" i="12843"/>
  <c r="D507" i="12843"/>
  <c r="D508" i="12843"/>
  <c r="D509" i="12843"/>
  <c r="D510" i="12843"/>
  <c r="D511" i="12843"/>
  <c r="D512" i="12843"/>
  <c r="D513" i="12843"/>
  <c r="D514" i="12843"/>
  <c r="D515" i="12843"/>
  <c r="D516" i="12843"/>
  <c r="D517" i="12843"/>
  <c r="D518" i="12843"/>
  <c r="D492" i="12843"/>
  <c r="D458" i="12843"/>
  <c r="D459" i="12843"/>
  <c r="D462" i="12843"/>
  <c r="D463" i="12843"/>
  <c r="D464" i="12843"/>
  <c r="D465" i="12843"/>
  <c r="D466" i="12843"/>
  <c r="D467" i="12843"/>
  <c r="D468" i="12843"/>
  <c r="D469" i="12843"/>
  <c r="D470" i="12843"/>
  <c r="D471" i="12843"/>
  <c r="D472" i="12843"/>
  <c r="D473" i="12843"/>
  <c r="D474" i="12843"/>
  <c r="D475" i="12843"/>
  <c r="D476" i="12843"/>
  <c r="D477" i="12843"/>
  <c r="D478" i="12843"/>
  <c r="D479" i="12843"/>
  <c r="D480" i="12843"/>
  <c r="D481" i="12843"/>
  <c r="D482" i="12843"/>
  <c r="D483" i="12843"/>
  <c r="D457" i="12843"/>
  <c r="D422" i="12843"/>
  <c r="D423" i="12843"/>
  <c r="D426" i="12843"/>
  <c r="D427" i="12843"/>
  <c r="D428" i="12843"/>
  <c r="D429" i="12843"/>
  <c r="D430" i="12843"/>
  <c r="D431" i="12843"/>
  <c r="D432" i="12843"/>
  <c r="D433" i="12843"/>
  <c r="D434" i="12843"/>
  <c r="D435" i="12843"/>
  <c r="D436" i="12843"/>
  <c r="D437" i="12843"/>
  <c r="D438" i="12843"/>
  <c r="D439" i="12843"/>
  <c r="D440" i="12843"/>
  <c r="D441" i="12843"/>
  <c r="D442" i="12843"/>
  <c r="D443" i="12843"/>
  <c r="D444" i="12843"/>
  <c r="D445" i="12843"/>
  <c r="D446" i="12843"/>
  <c r="D447" i="12843"/>
  <c r="D421" i="12843"/>
  <c r="D387" i="12843"/>
  <c r="D388" i="12843"/>
  <c r="D391" i="12843"/>
  <c r="D392" i="12843"/>
  <c r="D393" i="12843"/>
  <c r="D394" i="12843"/>
  <c r="D395" i="12843"/>
  <c r="D396" i="12843"/>
  <c r="D397" i="12843"/>
  <c r="D398" i="12843"/>
  <c r="D399" i="12843"/>
  <c r="D400" i="12843"/>
  <c r="D401" i="12843"/>
  <c r="D402" i="12843"/>
  <c r="D403" i="12843"/>
  <c r="D404" i="12843"/>
  <c r="D405" i="12843"/>
  <c r="D406" i="12843"/>
  <c r="D407" i="12843"/>
  <c r="D408" i="12843"/>
  <c r="D409" i="12843"/>
  <c r="D410" i="12843"/>
  <c r="D411" i="12843"/>
  <c r="D412" i="12843"/>
  <c r="D386" i="12843"/>
  <c r="D351" i="12843"/>
  <c r="D352" i="12843"/>
  <c r="D353" i="12843"/>
  <c r="D356" i="12843"/>
  <c r="D357" i="12843"/>
  <c r="D358" i="12843"/>
  <c r="D359" i="12843"/>
  <c r="D360" i="12843"/>
  <c r="D361" i="12843"/>
  <c r="D362" i="12843"/>
  <c r="D363" i="12843"/>
  <c r="D364" i="12843"/>
  <c r="D365" i="12843"/>
  <c r="D366" i="12843"/>
  <c r="D367" i="12843"/>
  <c r="D368" i="12843"/>
  <c r="D369" i="12843"/>
  <c r="D370" i="12843"/>
  <c r="D371" i="12843"/>
  <c r="D372" i="12843"/>
  <c r="D373" i="12843"/>
  <c r="D374" i="12843"/>
  <c r="D375" i="12843"/>
  <c r="D376" i="12843"/>
  <c r="D377" i="12843"/>
  <c r="D318" i="12843"/>
  <c r="D319" i="12843"/>
  <c r="D321" i="12843"/>
  <c r="D322" i="12843"/>
  <c r="D323" i="12843"/>
  <c r="D324" i="12843"/>
  <c r="D325" i="12843"/>
  <c r="D326" i="12843"/>
  <c r="D327" i="12843"/>
  <c r="D328" i="12843"/>
  <c r="D329" i="12843"/>
  <c r="D330" i="12843"/>
  <c r="D331" i="12843"/>
  <c r="D332" i="12843"/>
  <c r="D333" i="12843"/>
  <c r="D334" i="12843"/>
  <c r="D335" i="12843"/>
  <c r="D336" i="12843"/>
  <c r="D337" i="12843"/>
  <c r="D338" i="12843"/>
  <c r="D339" i="12843"/>
  <c r="D340" i="12843"/>
  <c r="D341" i="12843"/>
  <c r="D342" i="12843"/>
  <c r="D317" i="12843"/>
  <c r="D284" i="12843"/>
  <c r="D285" i="12843"/>
  <c r="D287" i="12843"/>
  <c r="D288" i="12843"/>
  <c r="D289" i="12843"/>
  <c r="D290" i="12843"/>
  <c r="D291" i="12843"/>
  <c r="D292" i="12843"/>
  <c r="D293" i="12843"/>
  <c r="D294" i="12843"/>
  <c r="D295" i="12843"/>
  <c r="D296" i="12843"/>
  <c r="D297" i="12843"/>
  <c r="D298" i="12843"/>
  <c r="D299" i="12843"/>
  <c r="D300" i="12843"/>
  <c r="D301" i="12843"/>
  <c r="D302" i="12843"/>
  <c r="D303" i="12843"/>
  <c r="D304" i="12843"/>
  <c r="D305" i="12843"/>
  <c r="D306" i="12843"/>
  <c r="D307" i="12843"/>
  <c r="D308" i="12843"/>
  <c r="D283" i="12843"/>
  <c r="D249" i="12843"/>
  <c r="D250" i="12843"/>
  <c r="D252" i="12843"/>
  <c r="D253" i="12843"/>
  <c r="D254" i="12843"/>
  <c r="D255" i="12843"/>
  <c r="D256" i="12843"/>
  <c r="D257" i="12843"/>
  <c r="D258" i="12843"/>
  <c r="D259" i="12843"/>
  <c r="D260" i="12843"/>
  <c r="D261" i="12843"/>
  <c r="D262" i="12843"/>
  <c r="D263" i="12843"/>
  <c r="D264" i="12843"/>
  <c r="D265" i="12843"/>
  <c r="D266" i="12843"/>
  <c r="D267" i="12843"/>
  <c r="D268" i="12843"/>
  <c r="D269" i="12843"/>
  <c r="D270" i="12843"/>
  <c r="D271" i="12843"/>
  <c r="D272" i="12843"/>
  <c r="D273" i="12843"/>
  <c r="D248" i="12843"/>
  <c r="D215" i="12843"/>
  <c r="D216" i="12843"/>
  <c r="D218" i="12843"/>
  <c r="D219" i="12843"/>
  <c r="D220" i="12843"/>
  <c r="D221" i="12843"/>
  <c r="D222" i="12843"/>
  <c r="D223" i="12843"/>
  <c r="D224" i="12843"/>
  <c r="D225" i="12843"/>
  <c r="D226" i="12843"/>
  <c r="D227" i="12843"/>
  <c r="D228" i="12843"/>
  <c r="D229" i="12843"/>
  <c r="D230" i="12843"/>
  <c r="D231" i="12843"/>
  <c r="D232" i="12843"/>
  <c r="D233" i="12843"/>
  <c r="D234" i="12843"/>
  <c r="D235" i="12843"/>
  <c r="D236" i="12843"/>
  <c r="D237" i="12843"/>
  <c r="D238" i="12843"/>
  <c r="D239" i="12843"/>
  <c r="D214" i="12843"/>
  <c r="D170" i="12843"/>
  <c r="D171" i="12843"/>
  <c r="D173" i="12843"/>
  <c r="D174" i="12843"/>
  <c r="D175" i="12843"/>
  <c r="D178" i="12843"/>
  <c r="D179" i="12843"/>
  <c r="D180" i="12843"/>
  <c r="D181" i="12843"/>
  <c r="D182" i="12843"/>
  <c r="D183" i="12843"/>
  <c r="D184" i="12843"/>
  <c r="D185" i="12843"/>
  <c r="D186" i="12843"/>
  <c r="D187" i="12843"/>
  <c r="D188" i="12843"/>
  <c r="D189" i="12843"/>
  <c r="D190" i="12843"/>
  <c r="D191" i="12843"/>
  <c r="D192" i="12843"/>
  <c r="D193" i="12843"/>
  <c r="D194" i="12843"/>
  <c r="D195" i="12843"/>
  <c r="D196" i="12843"/>
  <c r="D197" i="12843"/>
  <c r="D198" i="12843"/>
  <c r="D199" i="12843"/>
  <c r="D200" i="12843"/>
  <c r="D201" i="12843"/>
  <c r="D202" i="12843"/>
  <c r="D169" i="12843"/>
  <c r="D154" i="12843"/>
  <c r="D155" i="12843"/>
  <c r="D156" i="12843"/>
  <c r="D157" i="12843"/>
  <c r="D158" i="12843"/>
  <c r="D159" i="12843"/>
  <c r="D160" i="12843"/>
  <c r="D153" i="12843"/>
  <c r="D139" i="12843"/>
  <c r="D140" i="12843"/>
  <c r="D141" i="12843"/>
  <c r="D142" i="12843"/>
  <c r="D143" i="12843"/>
  <c r="D144" i="12843"/>
  <c r="D145" i="12843"/>
  <c r="D138" i="12843"/>
  <c r="D124" i="12843"/>
  <c r="D125" i="12843"/>
  <c r="D126" i="12843"/>
  <c r="D127" i="12843"/>
  <c r="D128" i="12843"/>
  <c r="D129" i="12843"/>
  <c r="D130" i="12843"/>
  <c r="D123" i="12843"/>
  <c r="D109" i="12843"/>
  <c r="D110" i="12843"/>
  <c r="D111" i="12843"/>
  <c r="D112" i="12843"/>
  <c r="D113" i="12843"/>
  <c r="D114" i="12843"/>
  <c r="D115" i="12843"/>
  <c r="D93" i="12843"/>
  <c r="D94" i="12843"/>
  <c r="D95" i="12843"/>
  <c r="D96" i="12843"/>
  <c r="D97" i="12843"/>
  <c r="D98" i="12843"/>
  <c r="D90" i="12843"/>
  <c r="D91" i="12843"/>
  <c r="D92" i="12843"/>
  <c r="D89" i="12843"/>
  <c r="D80" i="12843"/>
  <c r="D79" i="12843"/>
  <c r="D78" i="12843"/>
  <c r="D77" i="12843"/>
  <c r="D76" i="12843"/>
  <c r="D74" i="12843"/>
  <c r="D73" i="12843"/>
  <c r="D72" i="12843"/>
  <c r="D62" i="12843"/>
  <c r="D61" i="12843"/>
  <c r="D60" i="12843"/>
  <c r="D59" i="12843"/>
  <c r="D58" i="12843"/>
  <c r="D56" i="12843"/>
  <c r="D55" i="12843"/>
  <c r="F94" i="12861" l="1"/>
  <c r="F581" i="12843"/>
  <c r="F584" i="12843"/>
  <c r="F580" i="12843"/>
  <c r="F587" i="12843"/>
  <c r="F583" i="12843"/>
  <c r="F579" i="12843"/>
  <c r="U89" i="12861"/>
  <c r="Q89" i="12861"/>
  <c r="M92" i="12861"/>
  <c r="Q92" i="12861"/>
  <c r="C160" i="12861"/>
  <c r="F155" i="12861"/>
  <c r="F161" i="12861" s="1"/>
  <c r="I155" i="12861"/>
  <c r="F92" i="12861"/>
  <c r="I89" i="12861"/>
  <c r="M159" i="12861"/>
  <c r="Q159" i="12861"/>
  <c r="U159" i="12861"/>
  <c r="I159" i="12861"/>
  <c r="M94" i="12861"/>
  <c r="Q94" i="12861"/>
  <c r="Q93" i="12861"/>
  <c r="M93" i="12861"/>
  <c r="F89" i="12861"/>
  <c r="C89" i="12843"/>
  <c r="C155" i="12843"/>
  <c r="D54" i="12843"/>
  <c r="D23" i="12843"/>
  <c r="D37" i="12843"/>
  <c r="F37" i="12843" s="1"/>
  <c r="D38" i="12843"/>
  <c r="F38" i="12843" s="1"/>
  <c r="D40" i="12843"/>
  <c r="D41" i="12843"/>
  <c r="D42" i="12843"/>
  <c r="D43" i="12843"/>
  <c r="D44" i="12843"/>
  <c r="D36" i="12843"/>
  <c r="F36" i="12843" s="1"/>
  <c r="D108" i="12843"/>
  <c r="D20" i="12843"/>
  <c r="D21" i="12843"/>
  <c r="D22" i="12843"/>
  <c r="D19" i="12843"/>
  <c r="D16" i="12843"/>
  <c r="D17" i="12843"/>
  <c r="D15" i="12843"/>
  <c r="E68" i="12763"/>
  <c r="Q160" i="12861" l="1"/>
  <c r="M160" i="12861"/>
  <c r="U160" i="12861"/>
  <c r="I160" i="12861"/>
  <c r="E96" i="12764" l="1"/>
  <c r="M21" i="12764" l="1"/>
  <c r="E67" i="12763" l="1"/>
  <c r="E70" i="12763" s="1"/>
  <c r="E14" i="12763"/>
  <c r="E35" i="12764"/>
  <c r="E36" i="12764"/>
  <c r="E93" i="12764" s="1"/>
  <c r="E55" i="12764" l="1"/>
  <c r="E110" i="12764" s="1"/>
  <c r="E54" i="12764"/>
  <c r="E100" i="12764" s="1"/>
  <c r="E51" i="12764"/>
  <c r="E102" i="12764" s="1"/>
  <c r="E40" i="12764"/>
  <c r="E38" i="12764"/>
  <c r="E97" i="12764" s="1"/>
  <c r="E37" i="12764"/>
  <c r="E25" i="12764"/>
  <c r="E108" i="12764" s="1"/>
  <c r="E24" i="12764"/>
  <c r="E64" i="12764" s="1"/>
  <c r="E23" i="12764"/>
  <c r="E12" i="12764"/>
  <c r="E63" i="12764" s="1"/>
  <c r="E8" i="12764"/>
  <c r="E68" i="12764" s="1"/>
  <c r="AE28" i="12852"/>
  <c r="AC28" i="12852"/>
  <c r="AA28" i="12852"/>
  <c r="Y28" i="12852"/>
  <c r="AL26" i="12852"/>
  <c r="AK26" i="12852"/>
  <c r="AJ26" i="12852"/>
  <c r="AI26" i="12852"/>
  <c r="AH26" i="12852"/>
  <c r="Z26" i="12852"/>
  <c r="X26" i="12852"/>
  <c r="W26" i="12852"/>
  <c r="AG26" i="12852"/>
  <c r="L26" i="12852"/>
  <c r="J26" i="12852"/>
  <c r="I26" i="12852"/>
  <c r="AB26" i="12852" s="1"/>
  <c r="H26" i="12852"/>
  <c r="X25" i="12852"/>
  <c r="W25" i="12852"/>
  <c r="Z25" i="12852"/>
  <c r="X24" i="12852"/>
  <c r="W24" i="12852"/>
  <c r="Z24" i="12852"/>
  <c r="X23" i="12852"/>
  <c r="W23" i="12852"/>
  <c r="Z23" i="12852"/>
  <c r="X22" i="12852"/>
  <c r="W22" i="12852"/>
  <c r="Z22" i="12852"/>
  <c r="X21" i="12852"/>
  <c r="W21" i="12852"/>
  <c r="Z21" i="12852"/>
  <c r="X20" i="12852"/>
  <c r="W20" i="12852"/>
  <c r="Z20" i="12852"/>
  <c r="X19" i="12852"/>
  <c r="W19" i="12852"/>
  <c r="Z19" i="12852"/>
  <c r="X18" i="12852"/>
  <c r="W18" i="12852"/>
  <c r="Z18" i="12852"/>
  <c r="X17" i="12852"/>
  <c r="W17" i="12852"/>
  <c r="Z17" i="12852"/>
  <c r="X16" i="12852"/>
  <c r="W16" i="12852"/>
  <c r="Z16" i="12852"/>
  <c r="X15" i="12852"/>
  <c r="W15" i="12852"/>
  <c r="Z15" i="12852"/>
  <c r="X14" i="12852"/>
  <c r="W14" i="12852"/>
  <c r="Z14" i="12852"/>
  <c r="X13" i="12852"/>
  <c r="W13" i="12852"/>
  <c r="Z13" i="12852"/>
  <c r="X12" i="12852"/>
  <c r="W12" i="12852"/>
  <c r="T6" i="12852"/>
  <c r="AE28" i="12851"/>
  <c r="AC28" i="12851"/>
  <c r="AA28" i="12851"/>
  <c r="Y28" i="12851"/>
  <c r="AL26" i="12851"/>
  <c r="AK26" i="12851"/>
  <c r="AJ26" i="12851"/>
  <c r="AI26" i="12851"/>
  <c r="AH26" i="12851"/>
  <c r="AB26" i="12851"/>
  <c r="Z26" i="12851"/>
  <c r="X26" i="12851"/>
  <c r="W26" i="12851"/>
  <c r="AG26" i="12851"/>
  <c r="AF26" i="12851"/>
  <c r="K26" i="12852"/>
  <c r="X25" i="12851"/>
  <c r="W25" i="12851"/>
  <c r="M25" i="12852"/>
  <c r="AF25" i="12852" s="1"/>
  <c r="L25" i="12852"/>
  <c r="K25" i="12852"/>
  <c r="AD25" i="12852" s="1"/>
  <c r="J25" i="12852"/>
  <c r="H25" i="12852"/>
  <c r="Z25" i="12851"/>
  <c r="X24" i="12851"/>
  <c r="W24" i="12851"/>
  <c r="L24" i="12852"/>
  <c r="K24" i="12852"/>
  <c r="AD24" i="12852" s="1"/>
  <c r="J24" i="12852"/>
  <c r="I24" i="12852"/>
  <c r="AB24" i="12852" s="1"/>
  <c r="H24" i="12852"/>
  <c r="Z24" i="12851"/>
  <c r="X23" i="12851"/>
  <c r="W23" i="12851"/>
  <c r="AF23" i="12851"/>
  <c r="L23" i="12852"/>
  <c r="K23" i="12852"/>
  <c r="AD23" i="12852" s="1"/>
  <c r="J23" i="12852"/>
  <c r="I23" i="12852"/>
  <c r="AB23" i="12852" s="1"/>
  <c r="H23" i="12852"/>
  <c r="Z23" i="12851"/>
  <c r="X22" i="12851"/>
  <c r="W22" i="12851"/>
  <c r="AF22" i="12851"/>
  <c r="L22" i="12852"/>
  <c r="J22" i="12852"/>
  <c r="I22" i="12852"/>
  <c r="AB22" i="12852" s="1"/>
  <c r="H22" i="12852"/>
  <c r="Z22" i="12851"/>
  <c r="X21" i="12851"/>
  <c r="W21" i="12851"/>
  <c r="M21" i="12852"/>
  <c r="AF21" i="12852" s="1"/>
  <c r="L21" i="12852"/>
  <c r="J21" i="12852"/>
  <c r="I21" i="12852"/>
  <c r="AB21" i="12852" s="1"/>
  <c r="H21" i="12852"/>
  <c r="Z21" i="12851"/>
  <c r="X20" i="12851"/>
  <c r="W20" i="12851"/>
  <c r="L20" i="12852"/>
  <c r="J20" i="12852"/>
  <c r="I20" i="12852"/>
  <c r="AB20" i="12852" s="1"/>
  <c r="H20" i="12852"/>
  <c r="Z20" i="12851"/>
  <c r="X19" i="12851"/>
  <c r="W19" i="12851"/>
  <c r="M19" i="12852"/>
  <c r="AF19" i="12852" s="1"/>
  <c r="L19" i="12852"/>
  <c r="J19" i="12852"/>
  <c r="I19" i="12852"/>
  <c r="AB19" i="12852" s="1"/>
  <c r="H19" i="12852"/>
  <c r="Z19" i="12851"/>
  <c r="X18" i="12851"/>
  <c r="W18" i="12851"/>
  <c r="AF18" i="12851"/>
  <c r="L18" i="12852"/>
  <c r="J18" i="12852"/>
  <c r="I18" i="12852"/>
  <c r="AB18" i="12852" s="1"/>
  <c r="H18" i="12852"/>
  <c r="Z18" i="12851"/>
  <c r="X17" i="12851"/>
  <c r="W17" i="12851"/>
  <c r="M17" i="12852"/>
  <c r="AF17" i="12852" s="1"/>
  <c r="L17" i="12852"/>
  <c r="J17" i="12852"/>
  <c r="I17" i="12852"/>
  <c r="AB17" i="12852" s="1"/>
  <c r="H17" i="12852"/>
  <c r="Z17" i="12851"/>
  <c r="X16" i="12851"/>
  <c r="W16" i="12851"/>
  <c r="M16" i="12852"/>
  <c r="AF16" i="12852" s="1"/>
  <c r="L16" i="12852"/>
  <c r="J16" i="12852"/>
  <c r="I16" i="12852"/>
  <c r="AB16" i="12852" s="1"/>
  <c r="H16" i="12852"/>
  <c r="Z16" i="12851"/>
  <c r="X15" i="12851"/>
  <c r="W15" i="12851"/>
  <c r="M15" i="12852"/>
  <c r="AF15" i="12852" s="1"/>
  <c r="L15" i="12852"/>
  <c r="J15" i="12852"/>
  <c r="I15" i="12852"/>
  <c r="AB15" i="12852" s="1"/>
  <c r="H15" i="12852"/>
  <c r="Z15" i="12851"/>
  <c r="X14" i="12851"/>
  <c r="W14" i="12851"/>
  <c r="M14" i="12852"/>
  <c r="AF14" i="12852" s="1"/>
  <c r="L14" i="12852"/>
  <c r="J14" i="12852"/>
  <c r="I14" i="12852"/>
  <c r="AB14" i="12852" s="1"/>
  <c r="H14" i="12852"/>
  <c r="Z14" i="12851"/>
  <c r="X13" i="12851"/>
  <c r="W13" i="12851"/>
  <c r="M13" i="12852"/>
  <c r="AF13" i="12852" s="1"/>
  <c r="L13" i="12852"/>
  <c r="J13" i="12852"/>
  <c r="I13" i="12852"/>
  <c r="AB13" i="12852" s="1"/>
  <c r="H13" i="12852"/>
  <c r="Z13" i="12851"/>
  <c r="X12" i="12851"/>
  <c r="W12" i="12851"/>
  <c r="M12" i="12852"/>
  <c r="L12" i="12852"/>
  <c r="AD12" i="12851"/>
  <c r="H12" i="12852"/>
  <c r="Z12" i="12851"/>
  <c r="AM6" i="12851"/>
  <c r="AM16" i="12852" l="1"/>
  <c r="AM20" i="12852"/>
  <c r="AM25" i="12851"/>
  <c r="AM26" i="12851"/>
  <c r="AM22" i="12852"/>
  <c r="AM25" i="12852"/>
  <c r="E95" i="12764"/>
  <c r="E98" i="12764" s="1"/>
  <c r="E65" i="12764"/>
  <c r="X28" i="12852"/>
  <c r="F28" i="12852"/>
  <c r="AD20" i="12851"/>
  <c r="AF15" i="12851"/>
  <c r="AF19" i="12851"/>
  <c r="M20" i="12852"/>
  <c r="AF20" i="12852" s="1"/>
  <c r="M26" i="12852"/>
  <c r="AF26" i="12852" s="1"/>
  <c r="M18" i="12852"/>
  <c r="AF18" i="12852" s="1"/>
  <c r="AF16" i="12851"/>
  <c r="AF17" i="12851"/>
  <c r="T26" i="12851"/>
  <c r="AB23" i="12851"/>
  <c r="AM23" i="12851" s="1"/>
  <c r="AD24" i="12851"/>
  <c r="M22" i="12852"/>
  <c r="AF22" i="12852" s="1"/>
  <c r="AD25" i="12851"/>
  <c r="AF13" i="12851"/>
  <c r="AM13" i="12851" s="1"/>
  <c r="AF14" i="12851"/>
  <c r="AM14" i="12851" s="1"/>
  <c r="AF20" i="12851"/>
  <c r="AF21" i="12851"/>
  <c r="AD23" i="12851"/>
  <c r="H28" i="12852"/>
  <c r="AF12" i="12852"/>
  <c r="K20" i="12852"/>
  <c r="AD20" i="12852" s="1"/>
  <c r="M24" i="12852"/>
  <c r="AF24" i="12852" s="1"/>
  <c r="AM24" i="12852" s="1"/>
  <c r="AF24" i="12851"/>
  <c r="E7" i="12851"/>
  <c r="J12" i="12852"/>
  <c r="J28" i="12852" s="1"/>
  <c r="J28" i="12851"/>
  <c r="K15" i="12852"/>
  <c r="AD15" i="12852" s="1"/>
  <c r="AM15" i="12852" s="1"/>
  <c r="AD15" i="12851"/>
  <c r="K19" i="12852"/>
  <c r="AD19" i="12852" s="1"/>
  <c r="AM19" i="12852" s="1"/>
  <c r="AD19" i="12851"/>
  <c r="W28" i="12852"/>
  <c r="T6" i="12851"/>
  <c r="G28" i="12851"/>
  <c r="K12" i="12852"/>
  <c r="AF12" i="12851"/>
  <c r="K14" i="12852"/>
  <c r="AD14" i="12852" s="1"/>
  <c r="AM14" i="12852" s="1"/>
  <c r="AD14" i="12851"/>
  <c r="K18" i="12852"/>
  <c r="AD18" i="12852" s="1"/>
  <c r="AM18" i="12852" s="1"/>
  <c r="AD18" i="12851"/>
  <c r="AM18" i="12851" s="1"/>
  <c r="K22" i="12852"/>
  <c r="AD22" i="12852" s="1"/>
  <c r="AD22" i="12851"/>
  <c r="AB24" i="12851"/>
  <c r="AM24" i="12851" s="1"/>
  <c r="W28" i="12851"/>
  <c r="I12" i="12852"/>
  <c r="I28" i="12851"/>
  <c r="AB12" i="12851"/>
  <c r="AM12" i="12851" s="1"/>
  <c r="Z28" i="12851"/>
  <c r="K16" i="12852"/>
  <c r="AD16" i="12852" s="1"/>
  <c r="AD16" i="12851"/>
  <c r="G28" i="12852"/>
  <c r="Z12" i="12852"/>
  <c r="Z28" i="12852" s="1"/>
  <c r="F28" i="12851"/>
  <c r="W6" i="12851"/>
  <c r="X28" i="12851"/>
  <c r="K13" i="12852"/>
  <c r="AD13" i="12852" s="1"/>
  <c r="AM13" i="12852" s="1"/>
  <c r="AD13" i="12851"/>
  <c r="K17" i="12852"/>
  <c r="AD17" i="12852" s="1"/>
  <c r="AM17" i="12852" s="1"/>
  <c r="AD17" i="12851"/>
  <c r="AM17" i="12851" s="1"/>
  <c r="K21" i="12852"/>
  <c r="AD21" i="12852" s="1"/>
  <c r="AM21" i="12852" s="1"/>
  <c r="AD21" i="12851"/>
  <c r="H28" i="12851"/>
  <c r="M23" i="12852"/>
  <c r="AF23" i="12852" s="1"/>
  <c r="AM23" i="12852" s="1"/>
  <c r="L28" i="12852"/>
  <c r="AB13" i="12851"/>
  <c r="AB14" i="12851"/>
  <c r="AB15" i="12851"/>
  <c r="AM15" i="12851" s="1"/>
  <c r="AB16" i="12851"/>
  <c r="AM16" i="12851" s="1"/>
  <c r="AB17" i="12851"/>
  <c r="AB18" i="12851"/>
  <c r="AB19" i="12851"/>
  <c r="AM19" i="12851" s="1"/>
  <c r="AB20" i="12851"/>
  <c r="AM20" i="12851" s="1"/>
  <c r="AB21" i="12851"/>
  <c r="AM21" i="12851" s="1"/>
  <c r="AB22" i="12851"/>
  <c r="AM22" i="12851" s="1"/>
  <c r="AF25" i="12851"/>
  <c r="AD26" i="12852"/>
  <c r="AM26" i="12852" s="1"/>
  <c r="AD26" i="12851"/>
  <c r="AB25" i="12851"/>
  <c r="I25" i="12852"/>
  <c r="AB25" i="12852" s="1"/>
  <c r="L28" i="12851"/>
  <c r="AM6" i="12852"/>
  <c r="W6" i="12852"/>
  <c r="E7" i="12852"/>
  <c r="G38" i="12764" l="1"/>
  <c r="G97" i="12764" s="1"/>
  <c r="I38" i="12764"/>
  <c r="I97" i="12764" s="1"/>
  <c r="K28" i="12851"/>
  <c r="M28" i="12851"/>
  <c r="T26" i="12852"/>
  <c r="AD28" i="12851"/>
  <c r="J30" i="12852"/>
  <c r="L30" i="12852"/>
  <c r="AB12" i="12852"/>
  <c r="I28" i="12852"/>
  <c r="I30" i="12852" s="1"/>
  <c r="K28" i="12852"/>
  <c r="K30" i="12852" s="1"/>
  <c r="AD12" i="12852"/>
  <c r="AD28" i="12852" s="1"/>
  <c r="AF28" i="12851"/>
  <c r="AF28" i="12852"/>
  <c r="H30" i="12852"/>
  <c r="G7" i="12852"/>
  <c r="X6" i="12852"/>
  <c r="F7" i="12852"/>
  <c r="G7" i="12851"/>
  <c r="F7" i="12851"/>
  <c r="X6" i="12851"/>
  <c r="AB28" i="12851"/>
  <c r="M28" i="12852"/>
  <c r="AM12" i="12852" l="1"/>
  <c r="M30" i="12852"/>
  <c r="AB28" i="12852"/>
  <c r="Y6" i="12851"/>
  <c r="Z6" i="12851" s="1"/>
  <c r="H7" i="12851"/>
  <c r="Y6" i="12852"/>
  <c r="Z6" i="12852" s="1"/>
  <c r="H7" i="12852"/>
  <c r="AA6" i="12851" l="1"/>
  <c r="I7" i="12851"/>
  <c r="AA6" i="12852"/>
  <c r="I7" i="12852"/>
  <c r="J7" i="12852" l="1"/>
  <c r="AB6" i="12852"/>
  <c r="AB6" i="12851"/>
  <c r="J7" i="12851"/>
  <c r="K7" i="12851" l="1"/>
  <c r="AC6" i="12851"/>
  <c r="K7" i="12852"/>
  <c r="AC6" i="12852"/>
  <c r="L7" i="12851" l="1"/>
  <c r="N7" i="12851" s="1"/>
  <c r="AD6" i="12851"/>
  <c r="L7" i="12852"/>
  <c r="AD6" i="12852"/>
  <c r="AE6" i="12851" l="1"/>
  <c r="M7" i="12851"/>
  <c r="AF6" i="12851" s="1"/>
  <c r="AE6" i="12852"/>
  <c r="M7" i="12852"/>
  <c r="AF6" i="12852" s="1"/>
  <c r="N7" i="12852"/>
  <c r="O7" i="12852" l="1"/>
  <c r="AG6" i="12852"/>
  <c r="O7" i="12851"/>
  <c r="AG6" i="12851"/>
  <c r="AG12" i="12851" l="1"/>
  <c r="AH25" i="12851"/>
  <c r="AH24" i="12851"/>
  <c r="AH23" i="12851"/>
  <c r="AH21" i="12851"/>
  <c r="AH17" i="12851"/>
  <c r="AH13" i="12851"/>
  <c r="AH19" i="12851"/>
  <c r="AH15" i="12851"/>
  <c r="AH20" i="12851"/>
  <c r="AH22" i="12851"/>
  <c r="AH18" i="12851"/>
  <c r="AH14" i="12851"/>
  <c r="AH6" i="12851"/>
  <c r="AH16" i="12851"/>
  <c r="P7" i="12851"/>
  <c r="AG13" i="12852"/>
  <c r="AG21" i="12852"/>
  <c r="AG18" i="12851"/>
  <c r="AG14" i="12851"/>
  <c r="AG16" i="12851"/>
  <c r="AG14" i="12852"/>
  <c r="AG18" i="12852"/>
  <c r="AG22" i="12852"/>
  <c r="AH6" i="12852"/>
  <c r="AH24" i="12852"/>
  <c r="AH20" i="12852"/>
  <c r="AH16" i="12852"/>
  <c r="AH15" i="12852"/>
  <c r="AH14" i="12852"/>
  <c r="AH13" i="12852"/>
  <c r="P7" i="12852"/>
  <c r="AH23" i="12852"/>
  <c r="AH19" i="12852"/>
  <c r="AH25" i="12852"/>
  <c r="AH21" i="12852"/>
  <c r="AH17" i="12852"/>
  <c r="AH18" i="12852"/>
  <c r="AH22" i="12852"/>
  <c r="AG13" i="12851"/>
  <c r="AG15" i="12851"/>
  <c r="AG22" i="12851"/>
  <c r="AG20" i="12851"/>
  <c r="AG15" i="12852"/>
  <c r="AG19" i="12852"/>
  <c r="AG23" i="12852"/>
  <c r="AG21" i="12851"/>
  <c r="AG17" i="12852"/>
  <c r="AG25" i="12852"/>
  <c r="AG25" i="12851"/>
  <c r="AG17" i="12851"/>
  <c r="AG19" i="12851"/>
  <c r="AG24" i="12851"/>
  <c r="AG23" i="12851"/>
  <c r="N28" i="12852"/>
  <c r="AG12" i="12852"/>
  <c r="AG16" i="12852"/>
  <c r="AG20" i="12852"/>
  <c r="AG24" i="12852"/>
  <c r="AI22" i="12852" l="1"/>
  <c r="AI21" i="12852"/>
  <c r="AI16" i="12852"/>
  <c r="AI15" i="12852"/>
  <c r="AI14" i="12852"/>
  <c r="AI6" i="12852"/>
  <c r="Q7" i="12852"/>
  <c r="AG28" i="12851"/>
  <c r="AG28" i="12852"/>
  <c r="AI24" i="12851"/>
  <c r="AI22" i="12851"/>
  <c r="AI13" i="12851"/>
  <c r="AI6" i="12851"/>
  <c r="Q7" i="12851"/>
  <c r="O28" i="12852"/>
  <c r="AH12" i="12852"/>
  <c r="AH28" i="12852" s="1"/>
  <c r="O28" i="12851"/>
  <c r="AH12" i="12851"/>
  <c r="AH28" i="12851" s="1"/>
  <c r="AJ25" i="12852" l="1"/>
  <c r="AJ24" i="12852"/>
  <c r="AJ23" i="12852"/>
  <c r="AJ20" i="12852"/>
  <c r="AJ19" i="12852"/>
  <c r="AJ18" i="12852"/>
  <c r="AJ17" i="12852"/>
  <c r="AJ16" i="12852"/>
  <c r="AJ15" i="12852"/>
  <c r="AJ13" i="12852"/>
  <c r="R7" i="12852"/>
  <c r="AJ6" i="12852"/>
  <c r="AI18" i="12852"/>
  <c r="AI12" i="12851"/>
  <c r="P28" i="12851"/>
  <c r="AI16" i="12851"/>
  <c r="AI23" i="12851"/>
  <c r="AI17" i="12851"/>
  <c r="AI21" i="12851"/>
  <c r="AI25" i="12851"/>
  <c r="AJ24" i="12851"/>
  <c r="AJ21" i="12851"/>
  <c r="AJ20" i="12851"/>
  <c r="AJ19" i="12851"/>
  <c r="AJ18" i="12851"/>
  <c r="AJ17" i="12851"/>
  <c r="AJ16" i="12851"/>
  <c r="AJ15" i="12851"/>
  <c r="AJ14" i="12851"/>
  <c r="AJ25" i="12851"/>
  <c r="R7" i="12851"/>
  <c r="AJ23" i="12851"/>
  <c r="AJ6" i="12851"/>
  <c r="AI14" i="12851"/>
  <c r="AI18" i="12851"/>
  <c r="AI19" i="12852"/>
  <c r="AI23" i="12852"/>
  <c r="AI20" i="12851"/>
  <c r="AI15" i="12851"/>
  <c r="AI19" i="12851"/>
  <c r="AI12" i="12852"/>
  <c r="P28" i="12852"/>
  <c r="AI20" i="12852"/>
  <c r="AI24" i="12852"/>
  <c r="AI13" i="12852"/>
  <c r="AI17" i="12852"/>
  <c r="AI25" i="12852"/>
  <c r="Q28" i="12851" l="1"/>
  <c r="AJ12" i="12851"/>
  <c r="AJ14" i="12852"/>
  <c r="AJ22" i="12852"/>
  <c r="AI28" i="12852"/>
  <c r="AI28" i="12851"/>
  <c r="S7" i="12852"/>
  <c r="AK25" i="12852"/>
  <c r="AK24" i="12852"/>
  <c r="AK22" i="12852"/>
  <c r="AK21" i="12852"/>
  <c r="AK19" i="12852"/>
  <c r="AK18" i="12852"/>
  <c r="AK17" i="12852"/>
  <c r="AK16" i="12852"/>
  <c r="AK15" i="12852"/>
  <c r="AK14" i="12852"/>
  <c r="AK13" i="12852"/>
  <c r="AK6" i="12852"/>
  <c r="AK25" i="12851"/>
  <c r="AK22" i="12851"/>
  <c r="AK18" i="12851"/>
  <c r="AK14" i="12851"/>
  <c r="S7" i="12851"/>
  <c r="AK6" i="12851"/>
  <c r="AK17" i="12851"/>
  <c r="AK13" i="12851"/>
  <c r="AK24" i="12851"/>
  <c r="AK15" i="12851"/>
  <c r="AK16" i="12851"/>
  <c r="AJ13" i="12851"/>
  <c r="Q28" i="12852"/>
  <c r="AJ12" i="12852"/>
  <c r="AJ22" i="12851"/>
  <c r="AJ21" i="12852"/>
  <c r="R28" i="12851" l="1"/>
  <c r="AK12" i="12851"/>
  <c r="AK20" i="12851"/>
  <c r="AJ28" i="12852"/>
  <c r="AK23" i="12851"/>
  <c r="AL23" i="12851"/>
  <c r="AL19" i="12851"/>
  <c r="AL21" i="12851"/>
  <c r="AL20" i="12851"/>
  <c r="AL6" i="12851"/>
  <c r="AL23" i="12852"/>
  <c r="AL20" i="12852"/>
  <c r="AL6" i="12852"/>
  <c r="AJ28" i="12851"/>
  <c r="AK23" i="12852"/>
  <c r="T23" i="12852"/>
  <c r="AK21" i="12851"/>
  <c r="AK19" i="12851"/>
  <c r="T19" i="12851"/>
  <c r="AK12" i="12852"/>
  <c r="R28" i="12852"/>
  <c r="AK20" i="12852"/>
  <c r="AK28" i="12852" l="1"/>
  <c r="T20" i="12851"/>
  <c r="T21" i="12851"/>
  <c r="S28" i="12852"/>
  <c r="AL12" i="12852"/>
  <c r="T12" i="12852"/>
  <c r="AL24" i="12852"/>
  <c r="I25" i="12764" s="1"/>
  <c r="I108" i="12764" s="1"/>
  <c r="T24" i="12852"/>
  <c r="AL22" i="12851"/>
  <c r="G51" i="12764" s="1"/>
  <c r="G102" i="12764" s="1"/>
  <c r="T22" i="12851"/>
  <c r="AL16" i="12851"/>
  <c r="T16" i="12851"/>
  <c r="AL13" i="12851"/>
  <c r="T13" i="12851"/>
  <c r="AL13" i="12852"/>
  <c r="T13" i="12852"/>
  <c r="AL17" i="12852"/>
  <c r="T17" i="12852"/>
  <c r="AL21" i="12852"/>
  <c r="I54" i="12764" s="1"/>
  <c r="I100" i="12764" s="1"/>
  <c r="T21" i="12852"/>
  <c r="AL25" i="12852"/>
  <c r="I55" i="12764" s="1"/>
  <c r="I110" i="12764" s="1"/>
  <c r="T25" i="12852"/>
  <c r="S28" i="12851"/>
  <c r="AL12" i="12851"/>
  <c r="G54" i="12764"/>
  <c r="G100" i="12764" s="1"/>
  <c r="AL24" i="12851"/>
  <c r="G25" i="12764" s="1"/>
  <c r="G108" i="12764" s="1"/>
  <c r="T24" i="12851"/>
  <c r="AL16" i="12852"/>
  <c r="T16" i="12852"/>
  <c r="T20" i="12852"/>
  <c r="AL14" i="12852"/>
  <c r="I8" i="12764" s="1"/>
  <c r="I68" i="12764" s="1"/>
  <c r="T14" i="12852"/>
  <c r="AL18" i="12852"/>
  <c r="T18" i="12852"/>
  <c r="AL22" i="12852"/>
  <c r="I51" i="12764" s="1"/>
  <c r="I102" i="12764" s="1"/>
  <c r="T22" i="12852"/>
  <c r="AL17" i="12851"/>
  <c r="T17" i="12851"/>
  <c r="AL14" i="12851"/>
  <c r="G8" i="12764" s="1"/>
  <c r="G68" i="12764" s="1"/>
  <c r="T14" i="12851"/>
  <c r="AL15" i="12851"/>
  <c r="T15" i="12851"/>
  <c r="AL25" i="12851"/>
  <c r="G55" i="12764" s="1"/>
  <c r="G110" i="12764" s="1"/>
  <c r="T25" i="12851"/>
  <c r="AK28" i="12851"/>
  <c r="AL15" i="12852"/>
  <c r="T15" i="12852"/>
  <c r="AL19" i="12852"/>
  <c r="I36" i="12764" s="1"/>
  <c r="I93" i="12764" s="1"/>
  <c r="T19" i="12852"/>
  <c r="AL18" i="12851"/>
  <c r="T18" i="12851"/>
  <c r="G36" i="12764"/>
  <c r="G93" i="12764" s="1"/>
  <c r="T23" i="12851"/>
  <c r="T28" i="12852" l="1"/>
  <c r="T28" i="12851"/>
  <c r="AL28" i="12852"/>
  <c r="AN9" i="12852" s="1"/>
  <c r="AL28" i="12851"/>
  <c r="AN9" i="12851" s="1"/>
  <c r="AM28" i="12852" l="1"/>
  <c r="F148" i="12812" s="1"/>
  <c r="AM28" i="12851"/>
  <c r="G101" i="12811"/>
  <c r="G102" i="12811"/>
  <c r="H100" i="12813"/>
  <c r="H74" i="12813"/>
  <c r="E97" i="12813" l="1"/>
  <c r="E86" i="12813"/>
  <c r="G102" i="12812"/>
  <c r="G101" i="12812"/>
  <c r="D101" i="12812"/>
  <c r="D102" i="12812"/>
  <c r="I100" i="12813" l="1"/>
  <c r="I74" i="12813"/>
  <c r="I47" i="12813"/>
  <c r="I146" i="12813"/>
  <c r="J146" i="12813" l="1"/>
  <c r="J115" i="12813"/>
  <c r="J100" i="12813"/>
  <c r="J47" i="12813"/>
  <c r="J74" i="12813"/>
  <c r="H146" i="12813"/>
  <c r="H115" i="12813"/>
  <c r="H47" i="12813"/>
  <c r="J152" i="12813" l="1"/>
  <c r="I115" i="12813" l="1"/>
  <c r="I152" i="12813" s="1"/>
  <c r="I155" i="12813" s="1"/>
  <c r="D121" i="12812"/>
  <c r="E144" i="12813"/>
  <c r="E45" i="12813"/>
  <c r="E98" i="12813"/>
  <c r="E96" i="12813"/>
  <c r="E91" i="12813"/>
  <c r="E85" i="12813"/>
  <c r="H156" i="12813" l="1"/>
  <c r="E114" i="12813"/>
  <c r="G23" i="12843" l="1"/>
  <c r="S23" i="12843" s="1"/>
  <c r="S94" i="12767"/>
  <c r="S95" i="12861" s="1"/>
  <c r="S95" i="12767"/>
  <c r="S96" i="12861" s="1"/>
  <c r="G123" i="12843" l="1"/>
  <c r="M1004" i="12843" l="1"/>
  <c r="U1209" i="12843" l="1"/>
  <c r="Q1209" i="12843"/>
  <c r="M1209" i="12843"/>
  <c r="U1195" i="12843"/>
  <c r="Q1195" i="12843"/>
  <c r="M1195" i="12843"/>
  <c r="M1098" i="12843"/>
  <c r="M947" i="12843"/>
  <c r="K574" i="12767" l="1"/>
  <c r="K575" i="12861" s="1"/>
  <c r="L43" i="12828" l="1"/>
  <c r="L42" i="12828"/>
  <c r="L44" i="12828" l="1"/>
  <c r="K43" i="12828" s="1"/>
  <c r="E43" i="12828" l="1"/>
  <c r="I43" i="12828"/>
  <c r="F43" i="12828"/>
  <c r="J43" i="12828"/>
  <c r="D43" i="12828"/>
  <c r="G43" i="12828"/>
  <c r="H43" i="12828"/>
  <c r="K42" i="12828"/>
  <c r="G42" i="12828" l="1"/>
  <c r="J42" i="12828"/>
  <c r="J44" i="12828" s="1"/>
  <c r="H42" i="12828"/>
  <c r="H44" i="12828" s="1"/>
  <c r="F42" i="12828"/>
  <c r="F44" i="12828" s="1"/>
  <c r="E42" i="12828"/>
  <c r="E44" i="12828" s="1"/>
  <c r="I42" i="12828"/>
  <c r="I44" i="12828" s="1"/>
  <c r="D42" i="12828"/>
  <c r="D44" i="12828" s="1"/>
  <c r="G44" i="12828"/>
  <c r="K44" i="12828"/>
  <c r="G1124" i="12767" l="1"/>
  <c r="I1124" i="12767" s="1"/>
  <c r="G1125" i="12767"/>
  <c r="G1125" i="12843" s="1"/>
  <c r="G1126" i="12767"/>
  <c r="G1126" i="12843" s="1"/>
  <c r="I1126" i="12843" s="1"/>
  <c r="G1123" i="12767"/>
  <c r="I1123" i="12767" s="1"/>
  <c r="F1126" i="12767"/>
  <c r="F1125" i="12767"/>
  <c r="F1124" i="12767"/>
  <c r="F1123" i="12767"/>
  <c r="F1126" i="12843"/>
  <c r="F1125" i="12843"/>
  <c r="F1123" i="12843"/>
  <c r="I1126" i="12767" l="1"/>
  <c r="I1125" i="12767"/>
  <c r="G1123" i="12843"/>
  <c r="I1123" i="12843" s="1"/>
  <c r="G1124" i="12843"/>
  <c r="I1124" i="12843" s="1"/>
  <c r="I1125" i="12843"/>
  <c r="F1124" i="12843"/>
  <c r="S842" i="12767" l="1"/>
  <c r="S841" i="12767"/>
  <c r="S840" i="12767"/>
  <c r="S839" i="12767"/>
  <c r="S838" i="12767"/>
  <c r="S836" i="12767"/>
  <c r="S829" i="12767"/>
  <c r="O842" i="12767"/>
  <c r="O841" i="12767"/>
  <c r="O840" i="12767"/>
  <c r="O839" i="12767"/>
  <c r="O838" i="12767"/>
  <c r="O836" i="12767"/>
  <c r="O831" i="12767"/>
  <c r="O830" i="12767"/>
  <c r="O829" i="12767"/>
  <c r="O827" i="12767"/>
  <c r="K848" i="12767"/>
  <c r="S789" i="12767"/>
  <c r="S788" i="12767"/>
  <c r="S787" i="12767"/>
  <c r="S786" i="12767"/>
  <c r="S785" i="12767"/>
  <c r="S776" i="12767"/>
  <c r="S783" i="12767"/>
  <c r="O789" i="12767"/>
  <c r="O788" i="12767"/>
  <c r="O787" i="12767"/>
  <c r="O786" i="12767"/>
  <c r="O785" i="12767"/>
  <c r="O783" i="12767"/>
  <c r="O778" i="12767"/>
  <c r="O777" i="12767"/>
  <c r="O776" i="12767"/>
  <c r="O774" i="12767"/>
  <c r="K795" i="12767"/>
  <c r="S687" i="12767"/>
  <c r="S686" i="12767"/>
  <c r="S684" i="12767"/>
  <c r="S683" i="12767"/>
  <c r="S682" i="12767"/>
  <c r="O687" i="12767"/>
  <c r="O686" i="12767"/>
  <c r="O684" i="12767"/>
  <c r="O683" i="12767"/>
  <c r="O682" i="12767"/>
  <c r="K694" i="12767"/>
  <c r="K693" i="12767"/>
  <c r="K692" i="12767"/>
  <c r="S649" i="12767"/>
  <c r="S648" i="12767"/>
  <c r="S646" i="12767"/>
  <c r="S645" i="12767"/>
  <c r="S644" i="12767"/>
  <c r="O649" i="12767"/>
  <c r="O648" i="12767"/>
  <c r="O646" i="12767"/>
  <c r="O645" i="12767"/>
  <c r="O644" i="12767"/>
  <c r="K656" i="12767"/>
  <c r="K655" i="12767"/>
  <c r="K654" i="12767"/>
  <c r="S493" i="12767"/>
  <c r="S492" i="12767"/>
  <c r="S491" i="12767"/>
  <c r="O493" i="12767"/>
  <c r="O492" i="12767"/>
  <c r="O491" i="12767"/>
  <c r="K500" i="12767"/>
  <c r="S528" i="12767"/>
  <c r="S527" i="12767"/>
  <c r="S526" i="12767"/>
  <c r="O528" i="12767"/>
  <c r="O527" i="12767"/>
  <c r="O526" i="12767"/>
  <c r="K535" i="12767"/>
  <c r="S458" i="12767"/>
  <c r="S457" i="12767"/>
  <c r="S456" i="12767"/>
  <c r="O458" i="12767"/>
  <c r="O457" i="12767"/>
  <c r="O456" i="12767"/>
  <c r="K465" i="12767"/>
  <c r="O422" i="12767"/>
  <c r="O421" i="12767"/>
  <c r="O420" i="12767"/>
  <c r="K429" i="12767"/>
  <c r="O387" i="12767"/>
  <c r="O386" i="12767"/>
  <c r="O385" i="12767"/>
  <c r="K394" i="12767"/>
  <c r="O352" i="12767"/>
  <c r="O351" i="12767"/>
  <c r="O350" i="12767"/>
  <c r="K359" i="12767"/>
  <c r="O318" i="12767"/>
  <c r="O317" i="12767"/>
  <c r="O316" i="12767"/>
  <c r="K324" i="12767"/>
  <c r="U338" i="12767"/>
  <c r="K338" i="12767"/>
  <c r="U304" i="12767"/>
  <c r="K304" i="12767"/>
  <c r="U269" i="12767"/>
  <c r="Q269" i="12767"/>
  <c r="K269" i="12767"/>
  <c r="M268" i="12767"/>
  <c r="O284" i="12767"/>
  <c r="O283" i="12767"/>
  <c r="O282" i="12767"/>
  <c r="K290" i="12767"/>
  <c r="O249" i="12767"/>
  <c r="O248" i="12767"/>
  <c r="O247" i="12767"/>
  <c r="K255" i="12767"/>
  <c r="K221" i="12767"/>
  <c r="O215" i="12767"/>
  <c r="O214" i="12767"/>
  <c r="O213" i="12767"/>
  <c r="K123" i="12843"/>
  <c r="G1167" i="12843" l="1"/>
  <c r="G1208" i="12767" l="1"/>
  <c r="D40" i="12826" l="1"/>
  <c r="K122" i="12767" l="1"/>
  <c r="K88" i="12767" l="1"/>
  <c r="K89" i="12861" s="1"/>
  <c r="K153" i="12861" l="1"/>
  <c r="M153" i="12861" s="1"/>
  <c r="K138" i="12861"/>
  <c r="M138" i="12861" s="1"/>
  <c r="K108" i="12861"/>
  <c r="N44" i="12831"/>
  <c r="K44" i="12831"/>
  <c r="N34" i="12831"/>
  <c r="K34" i="12831"/>
  <c r="N21" i="12831"/>
  <c r="K21" i="12831"/>
  <c r="K46" i="12831" l="1"/>
  <c r="K50" i="12831" s="1"/>
  <c r="N46" i="12831"/>
  <c r="N50" i="12831" s="1"/>
  <c r="F10" i="12844" l="1"/>
  <c r="E9" i="12844"/>
  <c r="F9" i="12844" s="1"/>
  <c r="F8" i="12844"/>
  <c r="F7" i="12844"/>
  <c r="C12" i="12844" l="1"/>
  <c r="D15" i="12844" s="1"/>
  <c r="C21" i="12844" l="1"/>
  <c r="D19" i="12844"/>
  <c r="D18" i="12844"/>
  <c r="D20" i="12844"/>
  <c r="F10" i="12870" l="1"/>
  <c r="C10" i="12870" s="1"/>
  <c r="D10" i="12870" s="1"/>
  <c r="F8" i="12870"/>
  <c r="F9" i="12870"/>
  <c r="C9" i="12870" s="1"/>
  <c r="D9" i="12870" s="1"/>
  <c r="D21" i="12844"/>
  <c r="F11" i="12870" l="1"/>
  <c r="C8" i="12870"/>
  <c r="D8" i="12870" l="1"/>
  <c r="C11" i="12870"/>
  <c r="O1267" i="12843"/>
  <c r="K1267" i="12843"/>
  <c r="S1223" i="12843"/>
  <c r="S1222" i="12843"/>
  <c r="O1226" i="12843"/>
  <c r="O1223" i="12843"/>
  <c r="O1222" i="12843"/>
  <c r="K1226" i="12843"/>
  <c r="K1223" i="12843"/>
  <c r="K1222" i="12843"/>
  <c r="G1225" i="12843"/>
  <c r="G1194" i="12843"/>
  <c r="G1149" i="12843"/>
  <c r="O1136" i="12843"/>
  <c r="K1136" i="12843"/>
  <c r="E11" i="12870" l="1"/>
  <c r="D11" i="12870"/>
  <c r="S1095" i="12843"/>
  <c r="S1092" i="12843"/>
  <c r="O1100" i="12843"/>
  <c r="O1095" i="12843"/>
  <c r="O1092" i="12843"/>
  <c r="K1100" i="12843"/>
  <c r="K1099" i="12843"/>
  <c r="K1098" i="12843"/>
  <c r="S1001" i="12843"/>
  <c r="S1000" i="12843"/>
  <c r="S998" i="12843"/>
  <c r="S997" i="12843"/>
  <c r="O1006" i="12843"/>
  <c r="O1001" i="12843"/>
  <c r="O1000" i="12843"/>
  <c r="O998" i="12843"/>
  <c r="O997" i="12843"/>
  <c r="K1006" i="12843"/>
  <c r="K1005" i="12843"/>
  <c r="K1004" i="12843"/>
  <c r="S944" i="12843"/>
  <c r="S943" i="12843"/>
  <c r="S941" i="12843"/>
  <c r="S940" i="12843"/>
  <c r="O949" i="12843"/>
  <c r="O944" i="12843"/>
  <c r="O943" i="12843"/>
  <c r="O941" i="12843"/>
  <c r="O940" i="12843"/>
  <c r="K949" i="12843"/>
  <c r="K948" i="12843"/>
  <c r="K947" i="12843"/>
  <c r="F931" i="12843"/>
  <c r="M929" i="12843"/>
  <c r="U924" i="12843"/>
  <c r="Q924" i="12843"/>
  <c r="M924" i="12843"/>
  <c r="I924" i="12843"/>
  <c r="F924" i="12843"/>
  <c r="U929" i="12767"/>
  <c r="U925" i="12767"/>
  <c r="Q929" i="12767"/>
  <c r="Q925" i="12767"/>
  <c r="M930" i="12767"/>
  <c r="M929" i="12767"/>
  <c r="M925" i="12767"/>
  <c r="I929" i="12767"/>
  <c r="I925" i="12767"/>
  <c r="F932" i="12767"/>
  <c r="F929" i="12767"/>
  <c r="F925" i="12767"/>
  <c r="K764" i="12843" l="1"/>
  <c r="K868" i="12843" s="1"/>
  <c r="M868" i="12843" s="1"/>
  <c r="S765" i="12843"/>
  <c r="S869" i="12843" s="1"/>
  <c r="U869" i="12843" s="1"/>
  <c r="S736" i="12843"/>
  <c r="S757" i="12843" s="1"/>
  <c r="S735" i="12843"/>
  <c r="S756" i="12843" s="1"/>
  <c r="S734" i="12843"/>
  <c r="S755" i="12843" s="1"/>
  <c r="S733" i="12843"/>
  <c r="S754" i="12843" s="1"/>
  <c r="S732" i="12843"/>
  <c r="S739" i="12843" s="1"/>
  <c r="S760" i="12843" s="1"/>
  <c r="S730" i="12843"/>
  <c r="S751" i="12843" s="1"/>
  <c r="S723" i="12843"/>
  <c r="S748" i="12843" s="1"/>
  <c r="O765" i="12843"/>
  <c r="O817" i="12843" s="1"/>
  <c r="Q817" i="12843" s="1"/>
  <c r="O743" i="12843"/>
  <c r="O766" i="12843" s="1"/>
  <c r="O736" i="12843"/>
  <c r="O757" i="12843" s="1"/>
  <c r="O735" i="12843"/>
  <c r="O756" i="12843" s="1"/>
  <c r="O734" i="12843"/>
  <c r="O755" i="12843" s="1"/>
  <c r="O733" i="12843"/>
  <c r="O754" i="12843" s="1"/>
  <c r="O732" i="12843"/>
  <c r="O753" i="12843" s="1"/>
  <c r="O730" i="12843"/>
  <c r="O751" i="12843" s="1"/>
  <c r="O725" i="12843"/>
  <c r="O750" i="12843" s="1"/>
  <c r="O724" i="12843"/>
  <c r="O749" i="12843" s="1"/>
  <c r="O723" i="12843"/>
  <c r="O748" i="12843" s="1"/>
  <c r="O721" i="12843"/>
  <c r="O746" i="12843" s="1"/>
  <c r="K743" i="12843"/>
  <c r="K766" i="12843" s="1"/>
  <c r="K742" i="12843"/>
  <c r="K763" i="12843" s="1"/>
  <c r="G723" i="12843"/>
  <c r="G828" i="12843" s="1"/>
  <c r="O710" i="12843"/>
  <c r="O672" i="12843"/>
  <c r="K631" i="12843"/>
  <c r="K709" i="12843" s="1"/>
  <c r="S632" i="12843"/>
  <c r="S710" i="12843" s="1"/>
  <c r="S608" i="12843"/>
  <c r="S625" i="12843" s="1"/>
  <c r="S607" i="12843"/>
  <c r="S687" i="12843" s="1"/>
  <c r="S605" i="12843"/>
  <c r="S647" i="12843" s="1"/>
  <c r="S604" i="12843"/>
  <c r="S622" i="12843" s="1"/>
  <c r="S603" i="12843"/>
  <c r="S621" i="12843" s="1"/>
  <c r="O617" i="12843"/>
  <c r="O634" i="12843" s="1"/>
  <c r="O616" i="12843"/>
  <c r="O633" i="12843" s="1"/>
  <c r="O608" i="12843"/>
  <c r="O625" i="12843" s="1"/>
  <c r="O607" i="12843"/>
  <c r="O687" i="12843" s="1"/>
  <c r="O605" i="12843"/>
  <c r="O647" i="12843" s="1"/>
  <c r="O604" i="12843"/>
  <c r="O622" i="12843" s="1"/>
  <c r="O603" i="12843"/>
  <c r="O621" i="12843" s="1"/>
  <c r="K617" i="12843"/>
  <c r="K634" i="12843" s="1"/>
  <c r="K616" i="12843"/>
  <c r="K633" i="12843" s="1"/>
  <c r="K615" i="12843"/>
  <c r="K630" i="12843" s="1"/>
  <c r="K614" i="12843"/>
  <c r="K613" i="12843"/>
  <c r="K655" i="12843" s="1"/>
  <c r="S584" i="12843"/>
  <c r="O584" i="12843"/>
  <c r="K584" i="12843"/>
  <c r="G574" i="12843"/>
  <c r="S550" i="12843"/>
  <c r="S515" i="12843"/>
  <c r="S480" i="12843"/>
  <c r="O550" i="12843"/>
  <c r="O515" i="12843"/>
  <c r="O480" i="12843"/>
  <c r="K549" i="12843"/>
  <c r="K514" i="12843"/>
  <c r="K479" i="12843"/>
  <c r="S444" i="12843"/>
  <c r="S409" i="12843"/>
  <c r="S374" i="12843"/>
  <c r="S339" i="12843"/>
  <c r="S305" i="12843"/>
  <c r="S270" i="12843"/>
  <c r="O444" i="12843"/>
  <c r="O409" i="12843"/>
  <c r="O374" i="12843"/>
  <c r="O339" i="12843"/>
  <c r="O305" i="12843"/>
  <c r="O270" i="12843"/>
  <c r="K443" i="12843"/>
  <c r="K408" i="12843"/>
  <c r="K373" i="12843"/>
  <c r="K338" i="12843"/>
  <c r="K304" i="12843"/>
  <c r="K269" i="12843"/>
  <c r="S236" i="12843"/>
  <c r="O236" i="12843"/>
  <c r="S171" i="12843"/>
  <c r="S459" i="12843" s="1"/>
  <c r="S170" i="12843"/>
  <c r="S528" i="12843" s="1"/>
  <c r="S169" i="12843"/>
  <c r="S527" i="12843" s="1"/>
  <c r="O185" i="12843"/>
  <c r="O553" i="12843" s="1"/>
  <c r="O184" i="12843"/>
  <c r="O432" i="12843" s="1"/>
  <c r="O183" i="12843"/>
  <c r="O537" i="12843" s="1"/>
  <c r="O175" i="12843"/>
  <c r="O192" i="12843" s="1"/>
  <c r="O174" i="12843"/>
  <c r="O422" i="12843" s="1"/>
  <c r="O173" i="12843"/>
  <c r="O421" i="12843" s="1"/>
  <c r="O171" i="12843"/>
  <c r="O459" i="12843" s="1"/>
  <c r="O170" i="12843"/>
  <c r="O528" i="12843" s="1"/>
  <c r="O169" i="12843"/>
  <c r="O527" i="12843" s="1"/>
  <c r="K185" i="12843"/>
  <c r="K539" i="12843" s="1"/>
  <c r="K184" i="12843"/>
  <c r="K538" i="12843" s="1"/>
  <c r="K183" i="12843"/>
  <c r="K551" i="12843" s="1"/>
  <c r="K182" i="12843"/>
  <c r="K430" i="12843" s="1"/>
  <c r="O112" i="12843"/>
  <c r="O113" i="12843"/>
  <c r="O129" i="12843" s="1"/>
  <c r="O114" i="12843"/>
  <c r="O130" i="12843" s="1"/>
  <c r="O145" i="12843" s="1"/>
  <c r="O115" i="12843"/>
  <c r="O111" i="12843"/>
  <c r="K115" i="12843"/>
  <c r="O108" i="12843"/>
  <c r="K96" i="12843"/>
  <c r="K114" i="12843" s="1"/>
  <c r="K95" i="12843"/>
  <c r="K113" i="12843" s="1"/>
  <c r="K129" i="12843" s="1"/>
  <c r="K93" i="12843"/>
  <c r="K112" i="12843" s="1"/>
  <c r="K92" i="12843"/>
  <c r="K111" i="12843" s="1"/>
  <c r="K89" i="12843"/>
  <c r="K138" i="12843" s="1"/>
  <c r="G89" i="12843"/>
  <c r="S22" i="12843"/>
  <c r="S43" i="12843" s="1"/>
  <c r="O22" i="12843"/>
  <c r="O79" i="12843" s="1"/>
  <c r="U1277" i="12843"/>
  <c r="C1267" i="12843"/>
  <c r="F1265" i="12843"/>
  <c r="F1263" i="12843"/>
  <c r="F1259" i="12843"/>
  <c r="F1258" i="12843"/>
  <c r="F1256" i="12843"/>
  <c r="F1255" i="12843"/>
  <c r="F1254" i="12843"/>
  <c r="F1251" i="12843"/>
  <c r="F1250" i="12843"/>
  <c r="F1248" i="12843"/>
  <c r="F1243" i="12843"/>
  <c r="F1240" i="12843"/>
  <c r="F1208" i="12843"/>
  <c r="I1207" i="12843"/>
  <c r="F1192" i="12843"/>
  <c r="F1191" i="12843"/>
  <c r="F1190" i="12843"/>
  <c r="F1189" i="12843"/>
  <c r="F1188" i="12843"/>
  <c r="U1178" i="12843"/>
  <c r="F1150" i="12843"/>
  <c r="U1148" i="12843"/>
  <c r="F1134" i="12843"/>
  <c r="F1133" i="12843"/>
  <c r="F1132" i="12843"/>
  <c r="F1131" i="12843"/>
  <c r="F1130" i="12843"/>
  <c r="F1129" i="12843"/>
  <c r="F1128" i="12843"/>
  <c r="F1118" i="12843"/>
  <c r="F1117" i="12843"/>
  <c r="F1115" i="12843"/>
  <c r="F1114" i="12843"/>
  <c r="I1094" i="12843"/>
  <c r="F1094" i="12843"/>
  <c r="I1091" i="12843"/>
  <c r="F1091" i="12843"/>
  <c r="C1077" i="12843"/>
  <c r="C1074" i="12843"/>
  <c r="C1058" i="12843"/>
  <c r="C1055" i="12843"/>
  <c r="O1045" i="12843"/>
  <c r="K1045" i="12843"/>
  <c r="K1044" i="12843"/>
  <c r="K1043" i="12843"/>
  <c r="S1040" i="12843"/>
  <c r="U1040" i="12843" s="1"/>
  <c r="O1040" i="12843"/>
  <c r="Q1040" i="12843" s="1"/>
  <c r="F1040" i="12843"/>
  <c r="S1039" i="12843"/>
  <c r="O1039" i="12843"/>
  <c r="S1037" i="12843"/>
  <c r="U1037" i="12843" s="1"/>
  <c r="O1037" i="12843"/>
  <c r="Q1037" i="12843" s="1"/>
  <c r="F1037" i="12843"/>
  <c r="S1036" i="12843"/>
  <c r="O1036" i="12843"/>
  <c r="O1027" i="12843"/>
  <c r="K1027" i="12843"/>
  <c r="K1026" i="12843"/>
  <c r="K1025" i="12843"/>
  <c r="S1022" i="12843"/>
  <c r="U1022" i="12843" s="1"/>
  <c r="O1022" i="12843"/>
  <c r="Q1022" i="12843" s="1"/>
  <c r="F1022" i="12843"/>
  <c r="S1021" i="12843"/>
  <c r="O1021" i="12843"/>
  <c r="S1019" i="12843"/>
  <c r="U1019" i="12843" s="1"/>
  <c r="O1019" i="12843"/>
  <c r="Q1019" i="12843" s="1"/>
  <c r="F1019" i="12843"/>
  <c r="S1018" i="12843"/>
  <c r="O1018" i="12843"/>
  <c r="C1001" i="12843"/>
  <c r="C998" i="12843"/>
  <c r="O987" i="12843"/>
  <c r="K987" i="12843"/>
  <c r="K986" i="12843"/>
  <c r="K985" i="12843"/>
  <c r="S982" i="12843"/>
  <c r="U982" i="12843" s="1"/>
  <c r="O982" i="12843"/>
  <c r="Q982" i="12843" s="1"/>
  <c r="F982" i="12843"/>
  <c r="S981" i="12843"/>
  <c r="O981" i="12843"/>
  <c r="S979" i="12843"/>
  <c r="U979" i="12843" s="1"/>
  <c r="O979" i="12843"/>
  <c r="Q979" i="12843" s="1"/>
  <c r="F979" i="12843"/>
  <c r="S978" i="12843"/>
  <c r="O978" i="12843"/>
  <c r="O969" i="12843"/>
  <c r="K969" i="12843"/>
  <c r="K968" i="12843"/>
  <c r="K889" i="12843" s="1"/>
  <c r="K967" i="12843"/>
  <c r="S964" i="12843"/>
  <c r="U964" i="12843" s="1"/>
  <c r="O964" i="12843"/>
  <c r="Q964" i="12843" s="1"/>
  <c r="F964" i="12843"/>
  <c r="S963" i="12843"/>
  <c r="S884" i="12843" s="1"/>
  <c r="O963" i="12843"/>
  <c r="S961" i="12843"/>
  <c r="O961" i="12843"/>
  <c r="Q961" i="12843" s="1"/>
  <c r="F961" i="12843"/>
  <c r="S960" i="12843"/>
  <c r="O960" i="12843"/>
  <c r="C944" i="12843"/>
  <c r="C941" i="12843"/>
  <c r="O894" i="12843"/>
  <c r="K894" i="12843"/>
  <c r="I890" i="12843"/>
  <c r="F890" i="12843"/>
  <c r="F885" i="12843"/>
  <c r="S883" i="12843"/>
  <c r="O883" i="12843"/>
  <c r="K883" i="12843"/>
  <c r="G883" i="12843"/>
  <c r="F882" i="12843"/>
  <c r="C870" i="12843"/>
  <c r="F869" i="12843"/>
  <c r="F868" i="12843"/>
  <c r="F867" i="12843"/>
  <c r="F866" i="12843"/>
  <c r="F864" i="12843"/>
  <c r="F863" i="12843"/>
  <c r="F861" i="12843"/>
  <c r="F860" i="12843"/>
  <c r="F859" i="12843"/>
  <c r="F858" i="12843"/>
  <c r="F857" i="12843"/>
  <c r="F855" i="12843"/>
  <c r="F854" i="12843"/>
  <c r="F853" i="12843"/>
  <c r="F852" i="12843"/>
  <c r="F850" i="12843"/>
  <c r="F817" i="12843"/>
  <c r="F815" i="12843"/>
  <c r="F812" i="12843"/>
  <c r="F811" i="12843"/>
  <c r="F809" i="12843"/>
  <c r="F808" i="12843"/>
  <c r="F807" i="12843"/>
  <c r="F806" i="12843"/>
  <c r="F803" i="12843"/>
  <c r="F802" i="12843"/>
  <c r="F801" i="12843"/>
  <c r="F798" i="12843"/>
  <c r="G765" i="12843"/>
  <c r="G817" i="12843" s="1"/>
  <c r="I817" i="12843" s="1"/>
  <c r="C765" i="12843"/>
  <c r="G764" i="12843"/>
  <c r="G816" i="12843" s="1"/>
  <c r="C763" i="12843"/>
  <c r="C760" i="12843"/>
  <c r="C759" i="12843"/>
  <c r="C757" i="12843"/>
  <c r="C756" i="12843"/>
  <c r="C755" i="12843"/>
  <c r="C754" i="12843"/>
  <c r="C751" i="12843"/>
  <c r="C750" i="12843"/>
  <c r="C749" i="12843"/>
  <c r="C746" i="12843"/>
  <c r="C740" i="12843"/>
  <c r="F703" i="12843"/>
  <c r="F701" i="12843"/>
  <c r="F699" i="12843"/>
  <c r="C595" i="12843"/>
  <c r="C597" i="12843" s="1"/>
  <c r="C594" i="12843"/>
  <c r="C593" i="12843"/>
  <c r="I588" i="12843"/>
  <c r="G584" i="12843"/>
  <c r="I584" i="12843" s="1"/>
  <c r="C576" i="12843"/>
  <c r="C575" i="12843"/>
  <c r="I574" i="12843"/>
  <c r="C565" i="12843"/>
  <c r="C553" i="12843"/>
  <c r="C552" i="12843"/>
  <c r="C551" i="12843"/>
  <c r="F550" i="12843"/>
  <c r="F549" i="12843"/>
  <c r="F548" i="12843"/>
  <c r="F547" i="12843"/>
  <c r="F546" i="12843"/>
  <c r="F545" i="12843"/>
  <c r="F544" i="12843"/>
  <c r="F543" i="12843"/>
  <c r="F542" i="12843"/>
  <c r="F541" i="12843"/>
  <c r="C539" i="12843"/>
  <c r="F536" i="12843"/>
  <c r="F535" i="12843"/>
  <c r="F527" i="12843"/>
  <c r="C518" i="12843"/>
  <c r="C517" i="12843"/>
  <c r="C516" i="12843"/>
  <c r="F515" i="12843"/>
  <c r="F514" i="12843"/>
  <c r="F513" i="12843"/>
  <c r="F512" i="12843"/>
  <c r="F511" i="12843"/>
  <c r="F510" i="12843"/>
  <c r="F509" i="12843"/>
  <c r="F508" i="12843"/>
  <c r="F507" i="12843"/>
  <c r="F506" i="12843"/>
  <c r="C483" i="12843"/>
  <c r="C482" i="12843"/>
  <c r="C481" i="12843"/>
  <c r="C447" i="12843"/>
  <c r="C446" i="12843"/>
  <c r="C445" i="12843"/>
  <c r="F444" i="12843"/>
  <c r="F443" i="12843"/>
  <c r="F442" i="12843"/>
  <c r="F441" i="12843"/>
  <c r="F440" i="12843"/>
  <c r="F439" i="12843"/>
  <c r="F438" i="12843"/>
  <c r="F437" i="12843"/>
  <c r="F436" i="12843"/>
  <c r="F435" i="12843"/>
  <c r="C433" i="12843"/>
  <c r="C432" i="12843"/>
  <c r="F430" i="12843"/>
  <c r="F429" i="12843"/>
  <c r="F428" i="12843"/>
  <c r="F426" i="12843"/>
  <c r="F423" i="12843"/>
  <c r="F422" i="12843"/>
  <c r="C412" i="12843"/>
  <c r="C411" i="12843"/>
  <c r="C410" i="12843"/>
  <c r="F409" i="12843"/>
  <c r="F408" i="12843"/>
  <c r="F407" i="12843"/>
  <c r="F406" i="12843"/>
  <c r="F405" i="12843"/>
  <c r="F404" i="12843"/>
  <c r="F403" i="12843"/>
  <c r="F402" i="12843"/>
  <c r="F401" i="12843"/>
  <c r="F400" i="12843"/>
  <c r="F395" i="12843"/>
  <c r="F391" i="12843"/>
  <c r="F388" i="12843"/>
  <c r="F387" i="12843"/>
  <c r="F374" i="12843"/>
  <c r="F373" i="12843"/>
  <c r="F372" i="12843"/>
  <c r="F371" i="12843"/>
  <c r="F370" i="12843"/>
  <c r="F369" i="12843"/>
  <c r="F368" i="12843"/>
  <c r="F367" i="12843"/>
  <c r="F366" i="12843"/>
  <c r="F365" i="12843"/>
  <c r="C362" i="12843"/>
  <c r="K361" i="12843"/>
  <c r="C361" i="12843"/>
  <c r="C360" i="12843"/>
  <c r="F360" i="12843" s="1"/>
  <c r="C356" i="12843"/>
  <c r="F356" i="12843" s="1"/>
  <c r="C353" i="12843"/>
  <c r="F353" i="12843" s="1"/>
  <c r="C352" i="12843"/>
  <c r="F352" i="12843" s="1"/>
  <c r="F337" i="12843"/>
  <c r="F330" i="12843"/>
  <c r="F270" i="12843"/>
  <c r="F269" i="12843"/>
  <c r="F268" i="12843"/>
  <c r="F267" i="12843"/>
  <c r="F266" i="12843"/>
  <c r="F265" i="12843"/>
  <c r="C264" i="12843"/>
  <c r="F263" i="12843"/>
  <c r="F262" i="12843"/>
  <c r="F261" i="12843"/>
  <c r="G198" i="12843"/>
  <c r="K235" i="12843" s="1"/>
  <c r="O158" i="12843"/>
  <c r="K158" i="12843"/>
  <c r="F157" i="12843"/>
  <c r="F156" i="12843"/>
  <c r="S153" i="12843"/>
  <c r="F153" i="12843"/>
  <c r="O143" i="12843"/>
  <c r="K143" i="12843"/>
  <c r="Q141" i="12843"/>
  <c r="S138" i="12843"/>
  <c r="O128" i="12843"/>
  <c r="K128" i="12843"/>
  <c r="S123" i="12843"/>
  <c r="F123" i="12843"/>
  <c r="S108" i="12843"/>
  <c r="Y90" i="12843"/>
  <c r="C80" i="12843"/>
  <c r="O80" i="12843"/>
  <c r="K80" i="12843"/>
  <c r="M80" i="12843" s="1"/>
  <c r="F79" i="12843"/>
  <c r="F77" i="12843"/>
  <c r="F74" i="12843"/>
  <c r="F72" i="12843"/>
  <c r="C62" i="12843"/>
  <c r="O62" i="12843"/>
  <c r="K62" i="12843"/>
  <c r="M62" i="12843" s="1"/>
  <c r="F61" i="12843"/>
  <c r="F59" i="12843"/>
  <c r="F56" i="12843"/>
  <c r="F54" i="12843"/>
  <c r="O44" i="12843"/>
  <c r="K44" i="12843"/>
  <c r="C44" i="12843"/>
  <c r="F43" i="12843"/>
  <c r="F42" i="12843"/>
  <c r="F41" i="12843"/>
  <c r="F40" i="12843"/>
  <c r="W8" i="12862" l="1"/>
  <c r="O238" i="12843"/>
  <c r="F478" i="12843"/>
  <c r="C23" i="12843"/>
  <c r="F763" i="12843"/>
  <c r="K447" i="12843"/>
  <c r="M447" i="12843" s="1"/>
  <c r="K238" i="12843"/>
  <c r="K411" i="12843"/>
  <c r="M411" i="12843" s="1"/>
  <c r="O362" i="12843"/>
  <c r="K398" i="12843"/>
  <c r="O411" i="12843"/>
  <c r="Q411" i="12843" s="1"/>
  <c r="K553" i="12843"/>
  <c r="M553" i="12843" s="1"/>
  <c r="G108" i="12843"/>
  <c r="I108" i="12843" s="1"/>
  <c r="K293" i="12843"/>
  <c r="O431" i="12843"/>
  <c r="G869" i="12843"/>
  <c r="I869" i="12843" s="1"/>
  <c r="I765" i="12843" s="1"/>
  <c r="O259" i="12843"/>
  <c r="O273" i="12843"/>
  <c r="K445" i="12843"/>
  <c r="M445" i="12843" s="1"/>
  <c r="K658" i="12843"/>
  <c r="K673" i="12843" s="1"/>
  <c r="K696" i="12843"/>
  <c r="K711" i="12843" s="1"/>
  <c r="G868" i="12843"/>
  <c r="I868" i="12843" s="1"/>
  <c r="F941" i="12843"/>
  <c r="O504" i="12843"/>
  <c r="O43" i="12843"/>
  <c r="Q43" i="12843" s="1"/>
  <c r="S624" i="12843"/>
  <c r="O828" i="12843"/>
  <c r="F757" i="12843"/>
  <c r="F751" i="12843"/>
  <c r="F765" i="12843"/>
  <c r="F756" i="12843"/>
  <c r="F749" i="12843"/>
  <c r="F754" i="12843"/>
  <c r="F759" i="12843"/>
  <c r="Q44" i="12843"/>
  <c r="F746" i="12843"/>
  <c r="C926" i="12843"/>
  <c r="Q432" i="12843"/>
  <c r="K777" i="12843"/>
  <c r="K800" i="12843" s="1"/>
  <c r="S672" i="12843"/>
  <c r="O869" i="12843"/>
  <c r="Q869" i="12843" s="1"/>
  <c r="O201" i="12843"/>
  <c r="O271" i="12843"/>
  <c r="K307" i="12843"/>
  <c r="O326" i="12843"/>
  <c r="K468" i="12843"/>
  <c r="K482" i="12843"/>
  <c r="O502" i="12843"/>
  <c r="K517" i="12843"/>
  <c r="M517" i="12843" s="1"/>
  <c r="O848" i="12843"/>
  <c r="F750" i="12843"/>
  <c r="S458" i="12843"/>
  <c r="S817" i="12843"/>
  <c r="U817" i="12843" s="1"/>
  <c r="K201" i="12843"/>
  <c r="K258" i="12843"/>
  <c r="O445" i="12843"/>
  <c r="Q445" i="12843" s="1"/>
  <c r="K272" i="12843"/>
  <c r="K327" i="12843"/>
  <c r="O340" i="12843"/>
  <c r="O361" i="12843"/>
  <c r="O482" i="12843"/>
  <c r="O517" i="12843"/>
  <c r="Q517" i="12843" s="1"/>
  <c r="F595" i="12843"/>
  <c r="F597" i="12843" s="1"/>
  <c r="S623" i="12843"/>
  <c r="F1058" i="12843"/>
  <c r="F1074" i="12843"/>
  <c r="F471" i="12843"/>
  <c r="F475" i="12843"/>
  <c r="F479" i="12843"/>
  <c r="M551" i="12843"/>
  <c r="O190" i="12843"/>
  <c r="K202" i="12843"/>
  <c r="K239" i="12843"/>
  <c r="O341" i="12843"/>
  <c r="K363" i="12843"/>
  <c r="K433" i="12843"/>
  <c r="M433" i="12843" s="1"/>
  <c r="O538" i="12843"/>
  <c r="O214" i="12843"/>
  <c r="O227" i="12843" s="1"/>
  <c r="S529" i="12843"/>
  <c r="O224" i="12843"/>
  <c r="O258" i="12843"/>
  <c r="O272" i="12843"/>
  <c r="K294" i="12843"/>
  <c r="O307" i="12843"/>
  <c r="O327" i="12843"/>
  <c r="K342" i="12843"/>
  <c r="O376" i="12843"/>
  <c r="K412" i="12843"/>
  <c r="M412" i="12843" s="1"/>
  <c r="O446" i="12843"/>
  <c r="Q446" i="12843" s="1"/>
  <c r="K469" i="12843"/>
  <c r="K483" i="12843"/>
  <c r="O503" i="12843"/>
  <c r="K518" i="12843"/>
  <c r="M518" i="12843" s="1"/>
  <c r="O552" i="12843"/>
  <c r="Q552" i="12843" s="1"/>
  <c r="O696" i="12843"/>
  <c r="O711" i="12843" s="1"/>
  <c r="S493" i="12843"/>
  <c r="O841" i="12843"/>
  <c r="S840" i="12843"/>
  <c r="O293" i="12843"/>
  <c r="O468" i="12843"/>
  <c r="K225" i="12843"/>
  <c r="K259" i="12843"/>
  <c r="K273" i="12843"/>
  <c r="K308" i="12843"/>
  <c r="K328" i="12843"/>
  <c r="K377" i="12843"/>
  <c r="O397" i="12843"/>
  <c r="K504" i="12843"/>
  <c r="O658" i="12843"/>
  <c r="O673" i="12843" s="1"/>
  <c r="S885" i="12843"/>
  <c r="S494" i="12843"/>
  <c r="K693" i="12843"/>
  <c r="S650" i="12843"/>
  <c r="S738" i="12843"/>
  <c r="S759" i="12843" s="1"/>
  <c r="K816" i="12843"/>
  <c r="K360" i="12843"/>
  <c r="K372" i="12843" s="1"/>
  <c r="K796" i="12843"/>
  <c r="O308" i="12843"/>
  <c r="O377" i="12843"/>
  <c r="K256" i="12843"/>
  <c r="K197" i="12843"/>
  <c r="O202" i="12843"/>
  <c r="O225" i="12843"/>
  <c r="O328" i="12843"/>
  <c r="O342" i="12843"/>
  <c r="O363" i="12843"/>
  <c r="O412" i="12843"/>
  <c r="Q412" i="12843" s="1"/>
  <c r="O433" i="12843"/>
  <c r="Q433" i="12843" s="1"/>
  <c r="O447" i="12843"/>
  <c r="Q447" i="12843" s="1"/>
  <c r="O483" i="12843"/>
  <c r="K659" i="12843"/>
  <c r="K674" i="12843" s="1"/>
  <c r="K697" i="12843"/>
  <c r="K712" i="12843" s="1"/>
  <c r="S61" i="12843"/>
  <c r="U61" i="12843" s="1"/>
  <c r="K594" i="12843"/>
  <c r="K619" i="12843"/>
  <c r="K618" i="12843"/>
  <c r="O645" i="12843"/>
  <c r="O683" i="12843"/>
  <c r="S645" i="12843"/>
  <c r="O829" i="12843"/>
  <c r="S835" i="12843"/>
  <c r="K501" i="12843"/>
  <c r="O650" i="12843"/>
  <c r="O688" i="12843"/>
  <c r="O703" i="12843" s="1"/>
  <c r="Q703" i="12843" s="1"/>
  <c r="O838" i="12843"/>
  <c r="O191" i="12843"/>
  <c r="O239" i="12843"/>
  <c r="O469" i="12843"/>
  <c r="O539" i="12843"/>
  <c r="Q539" i="12843" s="1"/>
  <c r="O61" i="12843"/>
  <c r="Q61" i="12843" s="1"/>
  <c r="O215" i="12843"/>
  <c r="O228" i="12843" s="1"/>
  <c r="K593" i="12843"/>
  <c r="O294" i="12843"/>
  <c r="O398" i="12843"/>
  <c r="O518" i="12843"/>
  <c r="Q518" i="12843" s="1"/>
  <c r="G777" i="12843"/>
  <c r="G800" i="12843" s="1"/>
  <c r="K848" i="12843"/>
  <c r="S79" i="12843"/>
  <c r="U79" i="12843" s="1"/>
  <c r="K395" i="12843"/>
  <c r="K536" i="12843"/>
  <c r="O593" i="12843"/>
  <c r="K628" i="12843"/>
  <c r="O649" i="12843"/>
  <c r="O684" i="12843"/>
  <c r="S649" i="12843"/>
  <c r="K847" i="12843"/>
  <c r="O837" i="12843"/>
  <c r="S839" i="12843"/>
  <c r="S777" i="12843"/>
  <c r="O250" i="12843"/>
  <c r="O319" i="12843"/>
  <c r="K656" i="12843"/>
  <c r="S684" i="12843"/>
  <c r="O775" i="12843"/>
  <c r="O697" i="12843"/>
  <c r="O712" i="12843" s="1"/>
  <c r="O494" i="12843"/>
  <c r="O529" i="12843"/>
  <c r="K694" i="12843"/>
  <c r="O685" i="12843"/>
  <c r="O701" i="12843" s="1"/>
  <c r="Q701" i="12843" s="1"/>
  <c r="S685" i="12843"/>
  <c r="O786" i="12843"/>
  <c r="O790" i="12843"/>
  <c r="S788" i="12843"/>
  <c r="K224" i="12843"/>
  <c r="K306" i="12843"/>
  <c r="K341" i="12843"/>
  <c r="K397" i="12843"/>
  <c r="K432" i="12843"/>
  <c r="M432" i="12843" s="1"/>
  <c r="K503" i="12843"/>
  <c r="K552" i="12843"/>
  <c r="M552" i="12843" s="1"/>
  <c r="O659" i="12843"/>
  <c r="O674" i="12843" s="1"/>
  <c r="K222" i="12843"/>
  <c r="K234" i="12843" s="1"/>
  <c r="O216" i="12843"/>
  <c r="O229" i="12843" s="1"/>
  <c r="K325" i="12843"/>
  <c r="O248" i="12843"/>
  <c r="O283" i="12843"/>
  <c r="O317" i="12843"/>
  <c r="O351" i="12843"/>
  <c r="O365" i="12843" s="1"/>
  <c r="O386" i="12843"/>
  <c r="K466" i="12843"/>
  <c r="K478" i="12843" s="1"/>
  <c r="O624" i="12843"/>
  <c r="K671" i="12843"/>
  <c r="K695" i="12843"/>
  <c r="K708" i="12843" s="1"/>
  <c r="O646" i="12843"/>
  <c r="S646" i="12843"/>
  <c r="O738" i="12843"/>
  <c r="O759" i="12843" s="1"/>
  <c r="O787" i="12843"/>
  <c r="O830" i="12843"/>
  <c r="O839" i="12843"/>
  <c r="S784" i="12843"/>
  <c r="S789" i="12843"/>
  <c r="S828" i="12843"/>
  <c r="S837" i="12843"/>
  <c r="S841" i="12843"/>
  <c r="O778" i="12843"/>
  <c r="O285" i="12843"/>
  <c r="O353" i="12843"/>
  <c r="O367" i="12843" s="1"/>
  <c r="O388" i="12843"/>
  <c r="O423" i="12843"/>
  <c r="O458" i="12843"/>
  <c r="O493" i="12843"/>
  <c r="O784" i="12843"/>
  <c r="O789" i="12843"/>
  <c r="S787" i="12843"/>
  <c r="K223" i="12843"/>
  <c r="O594" i="12843"/>
  <c r="O623" i="12843"/>
  <c r="K657" i="12843"/>
  <c r="O777" i="12843"/>
  <c r="O800" i="12843" s="1"/>
  <c r="O200" i="12843"/>
  <c r="K271" i="12843"/>
  <c r="O306" i="12843"/>
  <c r="K362" i="12843"/>
  <c r="K376" i="12843"/>
  <c r="O410" i="12843"/>
  <c r="Q410" i="12843" s="1"/>
  <c r="K446" i="12843"/>
  <c r="M446" i="12843" s="1"/>
  <c r="O467" i="12843"/>
  <c r="K481" i="12843"/>
  <c r="K291" i="12843"/>
  <c r="O249" i="12843"/>
  <c r="O284" i="12843"/>
  <c r="O318" i="12843"/>
  <c r="O352" i="12843"/>
  <c r="O366" i="12843" s="1"/>
  <c r="O387" i="12843"/>
  <c r="O457" i="12843"/>
  <c r="O471" i="12843" s="1"/>
  <c r="O492" i="12843"/>
  <c r="S457" i="12843"/>
  <c r="S492" i="12843"/>
  <c r="S683" i="12843"/>
  <c r="S699" i="12843" s="1"/>
  <c r="U699" i="12843" s="1"/>
  <c r="S688" i="12843"/>
  <c r="O788" i="12843"/>
  <c r="O826" i="12843"/>
  <c r="O835" i="12843"/>
  <c r="O840" i="12843"/>
  <c r="S786" i="12843"/>
  <c r="S790" i="12843"/>
  <c r="S838" i="12843"/>
  <c r="O779" i="12843"/>
  <c r="C923" i="12843"/>
  <c r="G153" i="12843"/>
  <c r="I153" i="12843" s="1"/>
  <c r="Q158" i="12843"/>
  <c r="F15" i="12843"/>
  <c r="U153" i="12843"/>
  <c r="Q79" i="12843"/>
  <c r="C17" i="12843"/>
  <c r="M141" i="12843"/>
  <c r="F143" i="12843"/>
  <c r="C15" i="12843"/>
  <c r="C24" i="12843"/>
  <c r="H36" i="12783" s="1"/>
  <c r="M44" i="12843"/>
  <c r="F17" i="12843"/>
  <c r="F22" i="12843"/>
  <c r="C94" i="12843"/>
  <c r="Q94" i="12843" s="1"/>
  <c r="M157" i="12843"/>
  <c r="K108" i="12843"/>
  <c r="G138" i="12843"/>
  <c r="I138" i="12843" s="1"/>
  <c r="X89" i="12843"/>
  <c r="F108" i="12843"/>
  <c r="C20" i="12843"/>
  <c r="C25" i="12843"/>
  <c r="F73" i="12843"/>
  <c r="F76" i="12843"/>
  <c r="M143" i="12843"/>
  <c r="Q157" i="12843"/>
  <c r="C22" i="12843"/>
  <c r="I123" i="12843"/>
  <c r="Q143" i="12843"/>
  <c r="U43" i="12843"/>
  <c r="K888" i="12843"/>
  <c r="S753" i="12843"/>
  <c r="O739" i="12843"/>
  <c r="O760" i="12843" s="1"/>
  <c r="G748" i="12843"/>
  <c r="K629" i="12843"/>
  <c r="O223" i="12843"/>
  <c r="O292" i="12843"/>
  <c r="O396" i="12843"/>
  <c r="O551" i="12843"/>
  <c r="Q551" i="12843" s="1"/>
  <c r="O237" i="12843"/>
  <c r="O257" i="12843"/>
  <c r="O375" i="12843"/>
  <c r="O481" i="12843"/>
  <c r="O516" i="12843"/>
  <c r="Q516" i="12843" s="1"/>
  <c r="K200" i="12843"/>
  <c r="K237" i="12843"/>
  <c r="K467" i="12843"/>
  <c r="K502" i="12843"/>
  <c r="K516" i="12843"/>
  <c r="M516" i="12843" s="1"/>
  <c r="K257" i="12843"/>
  <c r="K292" i="12843"/>
  <c r="K326" i="12843"/>
  <c r="K340" i="12843"/>
  <c r="K375" i="12843"/>
  <c r="K396" i="12843"/>
  <c r="K410" i="12843"/>
  <c r="M410" i="12843" s="1"/>
  <c r="K431" i="12843"/>
  <c r="K537" i="12843"/>
  <c r="O123" i="12843"/>
  <c r="O153" i="12843"/>
  <c r="Q153" i="12843" s="1"/>
  <c r="O138" i="12843"/>
  <c r="Q138" i="12843" s="1"/>
  <c r="K153" i="12843"/>
  <c r="M153" i="12843" s="1"/>
  <c r="G587" i="12843"/>
  <c r="I587" i="12843" s="1"/>
  <c r="O881" i="12843"/>
  <c r="F755" i="12843"/>
  <c r="F760" i="12843"/>
  <c r="O882" i="12843"/>
  <c r="F20" i="12843"/>
  <c r="M539" i="12843"/>
  <c r="U1077" i="12843"/>
  <c r="F1055" i="12843"/>
  <c r="F1077" i="12843"/>
  <c r="Q553" i="12843"/>
  <c r="U1058" i="12843"/>
  <c r="K144" i="12843"/>
  <c r="C16" i="12843"/>
  <c r="M142" i="12843"/>
  <c r="C159" i="12843"/>
  <c r="M158" i="12843"/>
  <c r="Q550" i="12843"/>
  <c r="U515" i="12843"/>
  <c r="Q444" i="12843"/>
  <c r="U550" i="12843"/>
  <c r="Q515" i="12843"/>
  <c r="U444" i="12843"/>
  <c r="U409" i="12843"/>
  <c r="Q270" i="12843"/>
  <c r="U270" i="12843"/>
  <c r="Q409" i="12843"/>
  <c r="C19" i="12843"/>
  <c r="C21" i="12843"/>
  <c r="F55" i="12843"/>
  <c r="F58" i="12843"/>
  <c r="F60" i="12843"/>
  <c r="F78" i="12843"/>
  <c r="F138" i="12843"/>
  <c r="M138" i="12843"/>
  <c r="U138" i="12843"/>
  <c r="F142" i="12843"/>
  <c r="F93" i="12843" s="1"/>
  <c r="F154" i="12843"/>
  <c r="F158" i="12843"/>
  <c r="O144" i="12843"/>
  <c r="F264" i="12843"/>
  <c r="C93" i="12843"/>
  <c r="K130" i="12843"/>
  <c r="Q142" i="12843"/>
  <c r="O160" i="12843"/>
  <c r="M156" i="12843"/>
  <c r="C92" i="12843"/>
  <c r="Q156" i="12843"/>
  <c r="M549" i="12843"/>
  <c r="G514" i="12843"/>
  <c r="I514" i="12843" s="1"/>
  <c r="M443" i="12843"/>
  <c r="G549" i="12843"/>
  <c r="I549" i="12843" s="1"/>
  <c r="M514" i="12843"/>
  <c r="G443" i="12843"/>
  <c r="I443" i="12843" s="1"/>
  <c r="M408" i="12843"/>
  <c r="M269" i="12843"/>
  <c r="G304" i="12843"/>
  <c r="G269" i="12843"/>
  <c r="I269" i="12843" s="1"/>
  <c r="G408" i="12843"/>
  <c r="I408" i="12843" s="1"/>
  <c r="G479" i="12843"/>
  <c r="G373" i="12843"/>
  <c r="G338" i="12843"/>
  <c r="G235" i="12843"/>
  <c r="F141" i="12843"/>
  <c r="F92" i="12843" s="1"/>
  <c r="F474" i="12843"/>
  <c r="S663" i="12843"/>
  <c r="S473" i="12843"/>
  <c r="O473" i="12843"/>
  <c r="F472" i="12843"/>
  <c r="F476" i="12843"/>
  <c r="F480" i="12843"/>
  <c r="F1001" i="12843"/>
  <c r="F473" i="12843"/>
  <c r="F477" i="12843"/>
  <c r="K870" i="12843"/>
  <c r="M870" i="12843" s="1"/>
  <c r="G852" i="12843"/>
  <c r="I852" i="12843" s="1"/>
  <c r="C1136" i="12843"/>
  <c r="S881" i="12843"/>
  <c r="O884" i="12843"/>
  <c r="O870" i="12843"/>
  <c r="Q870" i="12843" s="1"/>
  <c r="O885" i="12843"/>
  <c r="U961" i="12843"/>
  <c r="U1055" i="12843" s="1"/>
  <c r="S882" i="12843"/>
  <c r="Q1058" i="12843"/>
  <c r="F944" i="12843"/>
  <c r="Q1055" i="12843"/>
  <c r="U1074" i="12843"/>
  <c r="Q1077" i="12843"/>
  <c r="Q1074" i="12843"/>
  <c r="F998" i="12843"/>
  <c r="F1163" i="12843"/>
  <c r="D14" i="12862" l="1"/>
  <c r="H14" i="12862" s="1"/>
  <c r="D23" i="12862"/>
  <c r="H23" i="12862" s="1"/>
  <c r="D19" i="12862"/>
  <c r="H19" i="12862" s="1"/>
  <c r="D31" i="12862"/>
  <c r="H31" i="12862" s="1"/>
  <c r="D17" i="12862"/>
  <c r="H17" i="12862" s="1"/>
  <c r="D12" i="12862"/>
  <c r="H12" i="12862" s="1"/>
  <c r="D20" i="12862"/>
  <c r="H20" i="12862" s="1"/>
  <c r="D16" i="12862"/>
  <c r="H16" i="12862" s="1"/>
  <c r="D26" i="12862"/>
  <c r="H26" i="12862" s="1"/>
  <c r="D29" i="12862"/>
  <c r="H29" i="12862" s="1"/>
  <c r="D33" i="12862"/>
  <c r="H33" i="12862" s="1"/>
  <c r="D32" i="12862"/>
  <c r="H32" i="12862" s="1"/>
  <c r="D11" i="12862"/>
  <c r="H11" i="12862" s="1"/>
  <c r="D22" i="12862"/>
  <c r="H22" i="12862" s="1"/>
  <c r="D21" i="12862"/>
  <c r="H21" i="12862" s="1"/>
  <c r="D28" i="12862"/>
  <c r="H28" i="12862" s="1"/>
  <c r="D27" i="12862"/>
  <c r="H27" i="12862" s="1"/>
  <c r="D10" i="12862"/>
  <c r="H10" i="12862" s="1"/>
  <c r="D15" i="12862"/>
  <c r="H15" i="12862" s="1"/>
  <c r="D25" i="12862"/>
  <c r="H25" i="12862" s="1"/>
  <c r="Q480" i="12843"/>
  <c r="S664" i="12843"/>
  <c r="O852" i="12843"/>
  <c r="Q852" i="12843" s="1"/>
  <c r="F923" i="12843"/>
  <c r="F926" i="12843"/>
  <c r="O661" i="12843"/>
  <c r="M377" i="12843"/>
  <c r="O858" i="12843"/>
  <c r="Q858" i="12843" s="1"/>
  <c r="Q376" i="12843"/>
  <c r="I373" i="12843"/>
  <c r="O261" i="12843"/>
  <c r="Q261" i="12843" s="1"/>
  <c r="Q377" i="12843"/>
  <c r="I37" i="12831"/>
  <c r="F46" i="12843"/>
  <c r="S800" i="12843"/>
  <c r="O262" i="12843"/>
  <c r="Q262" i="12843" s="1"/>
  <c r="K670" i="12843"/>
  <c r="O332" i="12843"/>
  <c r="F94" i="12843"/>
  <c r="F89" i="12843"/>
  <c r="M94" i="12843"/>
  <c r="M93" i="12843"/>
  <c r="Q93" i="12843"/>
  <c r="F19" i="12843"/>
  <c r="I18" i="12831"/>
  <c r="I21" i="12831" s="1"/>
  <c r="M92" i="12843"/>
  <c r="Q92" i="12843"/>
  <c r="F82" i="12843"/>
  <c r="H17" i="12783"/>
  <c r="U89" i="12843"/>
  <c r="Q89" i="12843"/>
  <c r="S852" i="12843"/>
  <c r="U852" i="12843" s="1"/>
  <c r="M479" i="12843"/>
  <c r="Q374" i="12843"/>
  <c r="Q375" i="12843"/>
  <c r="M375" i="12843"/>
  <c r="S471" i="12843"/>
  <c r="F21" i="12843"/>
  <c r="M376" i="12843"/>
  <c r="O665" i="12843"/>
  <c r="F64" i="12843"/>
  <c r="O854" i="12843"/>
  <c r="Q854" i="12843" s="1"/>
  <c r="O793" i="12843"/>
  <c r="O805" i="12843"/>
  <c r="O802" i="12843"/>
  <c r="Q802" i="12843" s="1"/>
  <c r="S807" i="12843"/>
  <c r="U807" i="12843" s="1"/>
  <c r="O859" i="12843"/>
  <c r="Q859" i="12843" s="1"/>
  <c r="S858" i="12843"/>
  <c r="U858" i="12843" s="1"/>
  <c r="S701" i="12843"/>
  <c r="U701" i="12843" s="1"/>
  <c r="K303" i="12843"/>
  <c r="K337" i="12843"/>
  <c r="M337" i="12843" s="1"/>
  <c r="M395" i="12843"/>
  <c r="K407" i="12843"/>
  <c r="M407" i="12843" s="1"/>
  <c r="S661" i="12843"/>
  <c r="S702" i="12843"/>
  <c r="Q388" i="12843"/>
  <c r="O402" i="12843"/>
  <c r="Q402" i="12843" s="1"/>
  <c r="O330" i="12843"/>
  <c r="Q330" i="12843" s="1"/>
  <c r="S543" i="12843"/>
  <c r="U543" i="12843" s="1"/>
  <c r="O506" i="12843"/>
  <c r="Q506" i="12843" s="1"/>
  <c r="O400" i="12843"/>
  <c r="Q400" i="12843" s="1"/>
  <c r="M430" i="12843"/>
  <c r="K442" i="12843"/>
  <c r="M442" i="12843" s="1"/>
  <c r="Q387" i="12843"/>
  <c r="O401" i="12843"/>
  <c r="Q401" i="12843" s="1"/>
  <c r="O801" i="12843"/>
  <c r="Q801" i="12843" s="1"/>
  <c r="O807" i="12843"/>
  <c r="Q807" i="12843" s="1"/>
  <c r="S859" i="12843"/>
  <c r="U859" i="12843" s="1"/>
  <c r="O700" i="12843"/>
  <c r="S700" i="12843"/>
  <c r="O663" i="12843"/>
  <c r="O699" i="12843"/>
  <c r="Q699" i="12843" s="1"/>
  <c r="O664" i="12843"/>
  <c r="O803" i="12843"/>
  <c r="Q803" i="12843" s="1"/>
  <c r="O792" i="12843"/>
  <c r="O435" i="12843"/>
  <c r="Q435" i="12843" s="1"/>
  <c r="M373" i="12843"/>
  <c r="I479" i="12843"/>
  <c r="K268" i="12843"/>
  <c r="M268" i="12843" s="1"/>
  <c r="K513" i="12843"/>
  <c r="M513" i="12843" s="1"/>
  <c r="K145" i="12843"/>
  <c r="O159" i="12843"/>
  <c r="Q159" i="12843" s="1"/>
  <c r="O436" i="12843"/>
  <c r="Q436" i="12843" s="1"/>
  <c r="Q422" i="12843"/>
  <c r="F16" i="12843"/>
  <c r="K159" i="12843"/>
  <c r="M159" i="12843" s="1"/>
  <c r="O853" i="12843"/>
  <c r="Q853" i="12843" s="1"/>
  <c r="S703" i="12843"/>
  <c r="U703" i="12843" s="1"/>
  <c r="O662" i="12843"/>
  <c r="S662" i="12843"/>
  <c r="O263" i="12843"/>
  <c r="Q263" i="12843" s="1"/>
  <c r="S803" i="12843"/>
  <c r="U803" i="12843" s="1"/>
  <c r="S792" i="12843"/>
  <c r="O298" i="12843"/>
  <c r="S472" i="12843"/>
  <c r="O472" i="12843"/>
  <c r="O297" i="12843"/>
  <c r="O331" i="12843"/>
  <c r="U480" i="12843"/>
  <c r="F155" i="12843"/>
  <c r="F161" i="12843" s="1"/>
  <c r="C160" i="12843"/>
  <c r="Q160" i="12843" s="1"/>
  <c r="O850" i="12843"/>
  <c r="Q850" i="12843" s="1"/>
  <c r="K815" i="12843"/>
  <c r="M815" i="12843" s="1"/>
  <c r="S844" i="12843"/>
  <c r="S857" i="12843"/>
  <c r="U857" i="12843" s="1"/>
  <c r="S806" i="12843"/>
  <c r="U806" i="12843" s="1"/>
  <c r="O809" i="12843"/>
  <c r="Q809" i="12843" s="1"/>
  <c r="S861" i="12843"/>
  <c r="U861" i="12843" s="1"/>
  <c r="O543" i="12843"/>
  <c r="Q543" i="12843" s="1"/>
  <c r="S506" i="12843"/>
  <c r="U506" i="12843" s="1"/>
  <c r="O855" i="12843"/>
  <c r="Q855" i="12843" s="1"/>
  <c r="O843" i="12843"/>
  <c r="O798" i="12843"/>
  <c r="Q798" i="12843" s="1"/>
  <c r="K867" i="12843"/>
  <c r="M867" i="12843" s="1"/>
  <c r="S665" i="12843"/>
  <c r="S793" i="12843"/>
  <c r="S805" i="12843"/>
  <c r="O844" i="12843"/>
  <c r="O857" i="12843"/>
  <c r="Q857" i="12843" s="1"/>
  <c r="O806" i="12843"/>
  <c r="Q806" i="12843" s="1"/>
  <c r="O702" i="12843"/>
  <c r="S809" i="12843"/>
  <c r="U809" i="12843" s="1"/>
  <c r="O861" i="12843"/>
  <c r="Q861" i="12843" s="1"/>
  <c r="O437" i="12843"/>
  <c r="Q437" i="12843" s="1"/>
  <c r="Q423" i="12843"/>
  <c r="O508" i="12843"/>
  <c r="Q508" i="12843" s="1"/>
  <c r="S508" i="12843"/>
  <c r="U508" i="12843" s="1"/>
  <c r="S541" i="12843"/>
  <c r="U541" i="12843" s="1"/>
  <c r="U527" i="12843"/>
  <c r="O541" i="12843"/>
  <c r="Q541" i="12843" s="1"/>
  <c r="Q527" i="12843"/>
  <c r="S855" i="12843"/>
  <c r="U855" i="12843" s="1"/>
  <c r="S843" i="12843"/>
  <c r="O296" i="12843"/>
  <c r="M536" i="12843"/>
  <c r="K548" i="12843"/>
  <c r="M548" i="12843" s="1"/>
  <c r="U374" i="12843"/>
  <c r="C161" i="12843"/>
  <c r="I89" i="12843"/>
  <c r="K1195" i="12767"/>
  <c r="O1195" i="12767"/>
  <c r="K1197" i="12843" l="1"/>
  <c r="K1199" i="12861"/>
  <c r="O1197" i="12843"/>
  <c r="O1199" i="12861"/>
  <c r="H14" i="12826"/>
  <c r="H14" i="12869"/>
  <c r="F25" i="12843"/>
  <c r="Q473" i="12843"/>
  <c r="M360" i="12843"/>
  <c r="S808" i="12843"/>
  <c r="U808" i="12843" s="1"/>
  <c r="O507" i="12843"/>
  <c r="Q507" i="12843" s="1"/>
  <c r="Q352" i="12843"/>
  <c r="O863" i="12843"/>
  <c r="Q863" i="12843" s="1"/>
  <c r="M478" i="12843"/>
  <c r="O812" i="12843"/>
  <c r="Q812" i="12843" s="1"/>
  <c r="S860" i="12843"/>
  <c r="U860" i="12843" s="1"/>
  <c r="O860" i="12843"/>
  <c r="Q860" i="12843" s="1"/>
  <c r="U473" i="12843"/>
  <c r="S812" i="12843"/>
  <c r="U812" i="12843" s="1"/>
  <c r="S864" i="12843"/>
  <c r="U864" i="12843" s="1"/>
  <c r="O811" i="12843"/>
  <c r="Q811" i="12843" s="1"/>
  <c r="Q365" i="12843"/>
  <c r="Q367" i="12843"/>
  <c r="S863" i="12843"/>
  <c r="U863" i="12843" s="1"/>
  <c r="O808" i="12843"/>
  <c r="Q808" i="12843" s="1"/>
  <c r="S507" i="12843"/>
  <c r="U507" i="12843" s="1"/>
  <c r="O542" i="12843"/>
  <c r="Q542" i="12843" s="1"/>
  <c r="S811" i="12843"/>
  <c r="U811" i="12843" s="1"/>
  <c r="O864" i="12843"/>
  <c r="Q864" i="12843" s="1"/>
  <c r="U471" i="12843"/>
  <c r="S542" i="12843"/>
  <c r="U542" i="12843" s="1"/>
  <c r="K160" i="12843"/>
  <c r="M160" i="12843" s="1"/>
  <c r="Q366" i="12843"/>
  <c r="Q471" i="12843"/>
  <c r="Q353" i="12843"/>
  <c r="M372" i="12843"/>
  <c r="T14" i="12869" l="1"/>
  <c r="J14" i="12869"/>
  <c r="U472" i="12843"/>
  <c r="Q472" i="12843"/>
  <c r="K722" i="12767"/>
  <c r="K723" i="12861" s="1"/>
  <c r="K828" i="12861" l="1"/>
  <c r="K748" i="12861"/>
  <c r="K776" i="12767"/>
  <c r="K829" i="12767"/>
  <c r="K723" i="12843"/>
  <c r="K668" i="12843"/>
  <c r="K706" i="12843"/>
  <c r="K852" i="12861" l="1"/>
  <c r="M852" i="12861" s="1"/>
  <c r="M828" i="12861"/>
  <c r="K748" i="12843"/>
  <c r="K828" i="12843"/>
  <c r="K669" i="12843"/>
  <c r="K707" i="12843"/>
  <c r="K852" i="12843" l="1"/>
  <c r="M852" i="12843" s="1"/>
  <c r="U198" i="12767"/>
  <c r="U199" i="12843" l="1"/>
  <c r="U199" i="12861"/>
  <c r="U1094" i="12767"/>
  <c r="Q1094" i="12767"/>
  <c r="M1094" i="12767"/>
  <c r="U1091" i="12767"/>
  <c r="Q1091" i="12767"/>
  <c r="M1091" i="12767"/>
  <c r="M1091" i="12843" l="1"/>
  <c r="M1091" i="12861"/>
  <c r="Q1094" i="12843"/>
  <c r="Q1094" i="12861"/>
  <c r="Q1091" i="12843"/>
  <c r="Q1091" i="12861"/>
  <c r="U1094" i="12843"/>
  <c r="U1094" i="12861"/>
  <c r="U1091" i="12843"/>
  <c r="U1091" i="12861"/>
  <c r="M1094" i="12843"/>
  <c r="M1094" i="12861"/>
  <c r="S152" i="12767"/>
  <c r="O152" i="12767"/>
  <c r="K152" i="12767"/>
  <c r="S137" i="12767"/>
  <c r="O137" i="12767"/>
  <c r="K137" i="12767"/>
  <c r="S122" i="12767"/>
  <c r="O122" i="12767"/>
  <c r="S107" i="12767"/>
  <c r="O107" i="12767"/>
  <c r="K107" i="12767"/>
  <c r="U891" i="12767" l="1"/>
  <c r="S800" i="12767"/>
  <c r="S747" i="12767"/>
  <c r="U588" i="12767"/>
  <c r="U587" i="12767"/>
  <c r="S583" i="12767"/>
  <c r="U583" i="12767" s="1"/>
  <c r="Q891" i="12767"/>
  <c r="O853" i="12767"/>
  <c r="Q853" i="12767" s="1"/>
  <c r="O800" i="12767"/>
  <c r="O747" i="12767"/>
  <c r="Q588" i="12767"/>
  <c r="Q587" i="12767"/>
  <c r="O583" i="12767"/>
  <c r="Q583" i="12767" s="1"/>
  <c r="O576" i="12843"/>
  <c r="O575" i="12843"/>
  <c r="O157" i="12767"/>
  <c r="O142" i="12767"/>
  <c r="Q126" i="12767"/>
  <c r="Q125" i="12767"/>
  <c r="O127" i="12767"/>
  <c r="Q127" i="12767" s="1"/>
  <c r="Q111" i="12767"/>
  <c r="Q110" i="12767"/>
  <c r="O114" i="12767"/>
  <c r="Q114" i="12767" s="1"/>
  <c r="M891" i="12767"/>
  <c r="K853" i="12767"/>
  <c r="M853" i="12767" s="1"/>
  <c r="K800" i="12767"/>
  <c r="K747" i="12767"/>
  <c r="K849" i="12767"/>
  <c r="M588" i="12767"/>
  <c r="M587" i="12767"/>
  <c r="K583" i="12767"/>
  <c r="M583" i="12767" s="1"/>
  <c r="K576" i="12843"/>
  <c r="K575" i="12843"/>
  <c r="K198" i="12767"/>
  <c r="K157" i="12767"/>
  <c r="K142" i="12767"/>
  <c r="M126" i="12767"/>
  <c r="M125" i="12767"/>
  <c r="K127" i="12767"/>
  <c r="M127" i="12767" s="1"/>
  <c r="M111" i="12767"/>
  <c r="K114" i="12767"/>
  <c r="M114" i="12767" s="1"/>
  <c r="M112" i="12843" l="1"/>
  <c r="M112" i="12861"/>
  <c r="Q128" i="12843"/>
  <c r="Q128" i="12861"/>
  <c r="Q588" i="12843"/>
  <c r="Q588" i="12861"/>
  <c r="U589" i="12843"/>
  <c r="U589" i="12861"/>
  <c r="M128" i="12843"/>
  <c r="M128" i="12861"/>
  <c r="M584" i="12843"/>
  <c r="M584" i="12861"/>
  <c r="Q115" i="12843"/>
  <c r="Q115" i="12861"/>
  <c r="Q126" i="12843"/>
  <c r="Q126" i="12861"/>
  <c r="Q589" i="12843"/>
  <c r="Q589" i="12861"/>
  <c r="M126" i="12843"/>
  <c r="M126" i="12861"/>
  <c r="K199" i="12843"/>
  <c r="K199" i="12861"/>
  <c r="M588" i="12843"/>
  <c r="M588" i="12861"/>
  <c r="Q111" i="12843"/>
  <c r="Q111" i="12861"/>
  <c r="Q127" i="12843"/>
  <c r="Q127" i="12861"/>
  <c r="U584" i="12843"/>
  <c r="U584" i="12861"/>
  <c r="M115" i="12843"/>
  <c r="M115" i="12861"/>
  <c r="M127" i="12843"/>
  <c r="M127" i="12861"/>
  <c r="M589" i="12843"/>
  <c r="M589" i="12861"/>
  <c r="Q112" i="12843"/>
  <c r="Q112" i="12861"/>
  <c r="Q584" i="12843"/>
  <c r="Q584" i="12861"/>
  <c r="U588" i="12843"/>
  <c r="U588" i="12861"/>
  <c r="U890" i="12843"/>
  <c r="U890" i="12861"/>
  <c r="M890" i="12843"/>
  <c r="M890" i="12861"/>
  <c r="Q890" i="12843"/>
  <c r="Q890" i="12861"/>
  <c r="K550" i="12843"/>
  <c r="M550" i="12843" s="1"/>
  <c r="K480" i="12843"/>
  <c r="K409" i="12843"/>
  <c r="M409" i="12843" s="1"/>
  <c r="K339" i="12843"/>
  <c r="K270" i="12843"/>
  <c r="M270" i="12843" s="1"/>
  <c r="K236" i="12843"/>
  <c r="K515" i="12843"/>
  <c r="M515" i="12843" s="1"/>
  <c r="M480" i="12843" s="1"/>
  <c r="K444" i="12843"/>
  <c r="M444" i="12843" s="1"/>
  <c r="K305" i="12843"/>
  <c r="K374" i="12843"/>
  <c r="K765" i="12767"/>
  <c r="K818" i="12767" s="1"/>
  <c r="K796" i="12767"/>
  <c r="K1208" i="12767"/>
  <c r="K43" i="12767"/>
  <c r="M43" i="12767" s="1"/>
  <c r="K1045" i="12767"/>
  <c r="S853" i="12767"/>
  <c r="U853" i="12767" s="1"/>
  <c r="M110" i="12767"/>
  <c r="K61" i="12767"/>
  <c r="M61" i="12767" s="1"/>
  <c r="K79" i="12767"/>
  <c r="M79" i="12767" s="1"/>
  <c r="K1027" i="12767"/>
  <c r="K515" i="12861" l="1"/>
  <c r="M515" i="12861" s="1"/>
  <c r="K550" i="12861"/>
  <c r="M550" i="12861" s="1"/>
  <c r="K305" i="12861"/>
  <c r="M305" i="12861" s="1"/>
  <c r="K374" i="12861"/>
  <c r="K480" i="12861"/>
  <c r="K409" i="12861"/>
  <c r="M409" i="12861" s="1"/>
  <c r="K236" i="12861"/>
  <c r="K270" i="12861"/>
  <c r="M270" i="12861" s="1"/>
  <c r="K444" i="12861"/>
  <c r="M444" i="12861" s="1"/>
  <c r="K339" i="12861"/>
  <c r="M339" i="12861" s="1"/>
  <c r="M111" i="12843"/>
  <c r="M111" i="12861"/>
  <c r="K1211" i="12843"/>
  <c r="K1213" i="12861"/>
  <c r="M374" i="12843"/>
  <c r="K871" i="12767"/>
  <c r="M374" i="12861" l="1"/>
  <c r="M480" i="12861"/>
  <c r="M236" i="12861"/>
  <c r="C871" i="12767"/>
  <c r="C593" i="12767"/>
  <c r="C592" i="12767"/>
  <c r="C575" i="12767"/>
  <c r="C574" i="12767"/>
  <c r="C552" i="12767"/>
  <c r="C551" i="12767"/>
  <c r="C550" i="12767"/>
  <c r="C538" i="12767"/>
  <c r="C517" i="12767"/>
  <c r="C516" i="12767"/>
  <c r="C515" i="12767"/>
  <c r="C482" i="12767"/>
  <c r="C481" i="12767"/>
  <c r="C480" i="12767"/>
  <c r="C446" i="12767"/>
  <c r="C445" i="12767"/>
  <c r="C444" i="12767"/>
  <c r="C432" i="12767"/>
  <c r="C431" i="12767"/>
  <c r="C411" i="12767"/>
  <c r="C410" i="12767"/>
  <c r="C409" i="12767"/>
  <c r="C361" i="12767"/>
  <c r="C360" i="12767"/>
  <c r="M575" i="12767" l="1"/>
  <c r="Q575" i="12767"/>
  <c r="M871" i="12767"/>
  <c r="Q574" i="12767"/>
  <c r="M574" i="12767"/>
  <c r="Q576" i="12843" l="1"/>
  <c r="Q576" i="12861"/>
  <c r="Q575" i="12843"/>
  <c r="Q575" i="12861"/>
  <c r="M575" i="12843"/>
  <c r="M575" i="12861"/>
  <c r="M576" i="12843"/>
  <c r="M576" i="12861"/>
  <c r="L117" i="12822"/>
  <c r="F116" i="12822" s="1"/>
  <c r="H116" i="12822" s="1"/>
  <c r="F115" i="12822" l="1"/>
  <c r="H115" i="12822" s="1"/>
  <c r="B115" i="12822"/>
  <c r="F123" i="12822"/>
  <c r="H123" i="12822" s="1"/>
  <c r="B123" i="12822"/>
  <c r="F119" i="12822"/>
  <c r="H119" i="12822" s="1"/>
  <c r="B119" i="12822"/>
  <c r="B126" i="12822"/>
  <c r="B122" i="12822"/>
  <c r="B118" i="12822"/>
  <c r="F126" i="12822"/>
  <c r="H126" i="12822" s="1"/>
  <c r="F122" i="12822"/>
  <c r="H122" i="12822" s="1"/>
  <c r="F118" i="12822"/>
  <c r="H118" i="12822" s="1"/>
  <c r="B125" i="12822"/>
  <c r="B121" i="12822"/>
  <c r="B117" i="12822"/>
  <c r="F125" i="12822"/>
  <c r="H125" i="12822" s="1"/>
  <c r="F121" i="12822"/>
  <c r="H121" i="12822" s="1"/>
  <c r="F117" i="12822"/>
  <c r="H117" i="12822" s="1"/>
  <c r="B124" i="12822"/>
  <c r="B120" i="12822"/>
  <c r="B116" i="12822"/>
  <c r="F124" i="12822"/>
  <c r="H124" i="12822" s="1"/>
  <c r="F120" i="12822"/>
  <c r="H120" i="12822" s="1"/>
  <c r="F127" i="12822" l="1"/>
  <c r="H127" i="12822"/>
  <c r="D117" i="12822"/>
  <c r="D121" i="12822"/>
  <c r="D125" i="12822"/>
  <c r="D126" i="12822"/>
  <c r="D124" i="12822"/>
  <c r="D123" i="12822"/>
  <c r="D122" i="12822"/>
  <c r="D120" i="12822"/>
  <c r="D119" i="12822"/>
  <c r="D118" i="12822"/>
  <c r="D116" i="12822"/>
  <c r="D115" i="12822"/>
  <c r="C1025" i="12861" l="1"/>
  <c r="D127" i="12822"/>
  <c r="H49" i="12812" s="1"/>
  <c r="B127" i="12822"/>
  <c r="C1027" i="12860" l="1"/>
  <c r="C1028" i="12860"/>
  <c r="C1004" i="12860"/>
  <c r="M1025" i="12860"/>
  <c r="F1025" i="12860"/>
  <c r="F1028" i="12860" s="1"/>
  <c r="C967" i="12861"/>
  <c r="C1028" i="12861"/>
  <c r="M1025" i="12861"/>
  <c r="F1025" i="12861"/>
  <c r="C1004" i="12861"/>
  <c r="C1027" i="12861"/>
  <c r="C1027" i="12767"/>
  <c r="M1027" i="12767" s="1"/>
  <c r="C1025" i="12843"/>
  <c r="M1025" i="12843" s="1"/>
  <c r="AD19" i="12774"/>
  <c r="AD19" i="12775"/>
  <c r="J49" i="12811"/>
  <c r="I1204" i="12767"/>
  <c r="M1204" i="12767" s="1"/>
  <c r="Q1204" i="12767" s="1"/>
  <c r="U1204" i="12767" s="1"/>
  <c r="M1027" i="12861" l="1"/>
  <c r="Q1027" i="12861"/>
  <c r="I1027" i="12861"/>
  <c r="M1027" i="12860"/>
  <c r="I1027" i="12860"/>
  <c r="Q1027" i="12860"/>
  <c r="U1027" i="12860"/>
  <c r="F1004" i="12861"/>
  <c r="F1008" i="12861" s="1"/>
  <c r="C1008" i="12861"/>
  <c r="C1006" i="12861"/>
  <c r="I1006" i="12861" s="1"/>
  <c r="C1061" i="12861"/>
  <c r="M967" i="12861"/>
  <c r="M1061" i="12861" s="1"/>
  <c r="C969" i="12861"/>
  <c r="C947" i="12861"/>
  <c r="C970" i="12861"/>
  <c r="C1064" i="12861" s="1"/>
  <c r="F967" i="12861"/>
  <c r="F970" i="12861" s="1"/>
  <c r="F1028" i="12861"/>
  <c r="F968" i="12860"/>
  <c r="C970" i="12860"/>
  <c r="C1063" i="12860" s="1"/>
  <c r="C948" i="12860"/>
  <c r="M968" i="12860"/>
  <c r="M1061" i="12860" s="1"/>
  <c r="C971" i="12860"/>
  <c r="C1006" i="12860"/>
  <c r="C1008" i="12860"/>
  <c r="F1004" i="12860"/>
  <c r="F1008" i="12860" s="1"/>
  <c r="C1061" i="12860"/>
  <c r="C1027" i="12843"/>
  <c r="Q1027" i="12843" s="1"/>
  <c r="F1025" i="12843"/>
  <c r="C970" i="12767"/>
  <c r="C1063" i="12767" s="1"/>
  <c r="C967" i="12843"/>
  <c r="C1028" i="12843"/>
  <c r="C1026" i="12843"/>
  <c r="C1023" i="12843"/>
  <c r="C1021" i="12843"/>
  <c r="C1018" i="12843"/>
  <c r="C950" i="12860" l="1"/>
  <c r="F1061" i="12860"/>
  <c r="F971" i="12860"/>
  <c r="C1064" i="12860"/>
  <c r="F1064" i="12861"/>
  <c r="C949" i="12861"/>
  <c r="C930" i="12860"/>
  <c r="C911" i="12860" s="1"/>
  <c r="C952" i="12860"/>
  <c r="C933" i="12860" s="1"/>
  <c r="F948" i="12860"/>
  <c r="F1061" i="12861"/>
  <c r="F947" i="12861"/>
  <c r="C951" i="12861"/>
  <c r="C932" i="12861" s="1"/>
  <c r="C929" i="12861"/>
  <c r="C910" i="12861" s="1"/>
  <c r="U1006" i="12860"/>
  <c r="M1006" i="12860"/>
  <c r="Q1006" i="12860"/>
  <c r="I1006" i="12860"/>
  <c r="Q970" i="12860"/>
  <c r="Q1063" i="12860" s="1"/>
  <c r="I970" i="12860"/>
  <c r="I1063" i="12860" s="1"/>
  <c r="U970" i="12860"/>
  <c r="U1063" i="12860" s="1"/>
  <c r="M970" i="12860"/>
  <c r="M1063" i="12860" s="1"/>
  <c r="C1063" i="12861"/>
  <c r="Q969" i="12861"/>
  <c r="Q1063" i="12861" s="1"/>
  <c r="I969" i="12861"/>
  <c r="I1063" i="12861" s="1"/>
  <c r="M969" i="12861"/>
  <c r="M1063" i="12861" s="1"/>
  <c r="M1027" i="12843"/>
  <c r="Q1021" i="12843"/>
  <c r="F1021" i="12843"/>
  <c r="U1021" i="12843"/>
  <c r="F1023" i="12843"/>
  <c r="M967" i="12843"/>
  <c r="M1061" i="12843" s="1"/>
  <c r="M910" i="12843" s="1"/>
  <c r="C970" i="12843"/>
  <c r="C969" i="12843"/>
  <c r="F967" i="12843"/>
  <c r="F1026" i="12843"/>
  <c r="M1026" i="12843"/>
  <c r="Q1018" i="12843"/>
  <c r="F1018" i="12843"/>
  <c r="C1020" i="12843"/>
  <c r="U1018" i="12843"/>
  <c r="C1061" i="12843"/>
  <c r="F930" i="12860" l="1"/>
  <c r="F911" i="12860" s="1"/>
  <c r="F952" i="12860"/>
  <c r="F933" i="12860" s="1"/>
  <c r="F914" i="12860" s="1"/>
  <c r="M950" i="12860"/>
  <c r="M932" i="12860" s="1"/>
  <c r="U950" i="12860"/>
  <c r="U932" i="12860" s="1"/>
  <c r="I950" i="12860"/>
  <c r="I932" i="12860" s="1"/>
  <c r="Q950" i="12860"/>
  <c r="Q932" i="12860" s="1"/>
  <c r="C932" i="12860"/>
  <c r="C912" i="12861"/>
  <c r="C913" i="12861"/>
  <c r="C914" i="12860"/>
  <c r="C913" i="12860"/>
  <c r="F1064" i="12860"/>
  <c r="F929" i="12861"/>
  <c r="F910" i="12861" s="1"/>
  <c r="F951" i="12861"/>
  <c r="F932" i="12861" s="1"/>
  <c r="F913" i="12861" s="1"/>
  <c r="I949" i="12861"/>
  <c r="I931" i="12861" s="1"/>
  <c r="C931" i="12861"/>
  <c r="F1028" i="12843"/>
  <c r="M969" i="12843"/>
  <c r="M1063" i="12843" s="1"/>
  <c r="Q969" i="12843"/>
  <c r="Q1063" i="12843" s="1"/>
  <c r="C1063" i="12843"/>
  <c r="F1061" i="12843"/>
  <c r="C1064" i="12843"/>
  <c r="B99" i="12822" l="1"/>
  <c r="B100" i="12822"/>
  <c r="B101" i="12822"/>
  <c r="B102" i="12822"/>
  <c r="B103" i="12822"/>
  <c r="B104" i="12822"/>
  <c r="B105" i="12822"/>
  <c r="B106" i="12822"/>
  <c r="B107" i="12822"/>
  <c r="B108" i="12822"/>
  <c r="B109" i="12822"/>
  <c r="B98" i="12822"/>
  <c r="L100" i="12822"/>
  <c r="B81" i="12822"/>
  <c r="B82" i="12822"/>
  <c r="B83" i="12822"/>
  <c r="B84" i="12822"/>
  <c r="B85" i="12822"/>
  <c r="B86" i="12822"/>
  <c r="B87" i="12822"/>
  <c r="B88" i="12822"/>
  <c r="B89" i="12822"/>
  <c r="B90" i="12822"/>
  <c r="B91" i="12822"/>
  <c r="B80" i="12822"/>
  <c r="B47" i="12822"/>
  <c r="K63" i="12859" s="1"/>
  <c r="B48" i="12822"/>
  <c r="L63" i="12859" s="1"/>
  <c r="B49" i="12822"/>
  <c r="M63" i="12859" s="1"/>
  <c r="B50" i="12822"/>
  <c r="N63" i="12859" s="1"/>
  <c r="B51" i="12822"/>
  <c r="O63" i="12859" s="1"/>
  <c r="B52" i="12822"/>
  <c r="P63" i="12859" s="1"/>
  <c r="B53" i="12822"/>
  <c r="Q63" i="12859" s="1"/>
  <c r="B54" i="12822"/>
  <c r="R63" i="12859" s="1"/>
  <c r="B55" i="12822"/>
  <c r="S63" i="12859" s="1"/>
  <c r="B56" i="12822"/>
  <c r="T63" i="12859" s="1"/>
  <c r="B57" i="12822"/>
  <c r="U63" i="12859" s="1"/>
  <c r="B46" i="12822"/>
  <c r="J63" i="12859" s="1"/>
  <c r="B29" i="12822"/>
  <c r="K62" i="12859" s="1"/>
  <c r="B30" i="12822"/>
  <c r="L62" i="12859" s="1"/>
  <c r="B31" i="12822"/>
  <c r="M62" i="12859" s="1"/>
  <c r="B32" i="12822"/>
  <c r="N62" i="12859" s="1"/>
  <c r="B33" i="12822"/>
  <c r="O62" i="12859" s="1"/>
  <c r="B34" i="12822"/>
  <c r="P62" i="12859" s="1"/>
  <c r="B35" i="12822"/>
  <c r="Q62" i="12859" s="1"/>
  <c r="B36" i="12822"/>
  <c r="R62" i="12859" s="1"/>
  <c r="B37" i="12822"/>
  <c r="S62" i="12859" s="1"/>
  <c r="B38" i="12822"/>
  <c r="T62" i="12859" s="1"/>
  <c r="B39" i="12822"/>
  <c r="U62" i="12859" s="1"/>
  <c r="B28" i="12822"/>
  <c r="J62" i="12859" s="1"/>
  <c r="B11" i="12822"/>
  <c r="K61" i="12859" s="1"/>
  <c r="B12" i="12822"/>
  <c r="L61" i="12859" s="1"/>
  <c r="B13" i="12822"/>
  <c r="M61" i="12859" s="1"/>
  <c r="B14" i="12822"/>
  <c r="N61" i="12859" s="1"/>
  <c r="B15" i="12822"/>
  <c r="O61" i="12859" s="1"/>
  <c r="B16" i="12822"/>
  <c r="P61" i="12859" s="1"/>
  <c r="B17" i="12822"/>
  <c r="Q61" i="12859" s="1"/>
  <c r="B18" i="12822"/>
  <c r="R61" i="12859" s="1"/>
  <c r="B19" i="12822"/>
  <c r="S61" i="12859" s="1"/>
  <c r="B20" i="12822"/>
  <c r="T61" i="12859" s="1"/>
  <c r="B21" i="12822"/>
  <c r="U61" i="12859" s="1"/>
  <c r="B10" i="12822"/>
  <c r="J61" i="12859" s="1"/>
  <c r="V62" i="12859" l="1"/>
  <c r="V63" i="12859"/>
  <c r="V61" i="12859"/>
  <c r="B110" i="12822"/>
  <c r="AD18" i="12775" l="1"/>
  <c r="J46" i="12811"/>
  <c r="H42" i="12837" l="1"/>
  <c r="N26" i="12837"/>
  <c r="T26" i="12837" s="1"/>
  <c r="N25" i="12837"/>
  <c r="T25" i="12837" s="1"/>
  <c r="N24" i="12837"/>
  <c r="T24" i="12837" s="1"/>
  <c r="N23" i="12837"/>
  <c r="T23" i="12837" s="1"/>
  <c r="B16" i="12837"/>
  <c r="B17" i="12837" s="1"/>
  <c r="F12" i="12837"/>
  <c r="H28" i="12837" l="1"/>
  <c r="H19" i="12837"/>
  <c r="J28" i="12837"/>
  <c r="H37" i="12837"/>
  <c r="H44" i="12837" s="1"/>
  <c r="H54" i="12837"/>
  <c r="H12" i="12837"/>
  <c r="J12" i="12837" s="1"/>
  <c r="N22" i="12837"/>
  <c r="B18" i="12837"/>
  <c r="B19" i="12837" s="1"/>
  <c r="H46" i="12837" l="1"/>
  <c r="H58" i="12837"/>
  <c r="N28" i="12837"/>
  <c r="T22" i="12837"/>
  <c r="B22" i="12837"/>
  <c r="B23" i="12837" s="1"/>
  <c r="L12" i="12837"/>
  <c r="B24" i="12837" l="1"/>
  <c r="B25" i="12837" s="1"/>
  <c r="N12" i="12837"/>
  <c r="P12" i="12837" s="1"/>
  <c r="T28" i="12837"/>
  <c r="R12" i="12837" l="1"/>
  <c r="T12" i="12837" s="1"/>
  <c r="V12" i="12837" s="1"/>
  <c r="B26" i="12837"/>
  <c r="B27" i="12837" l="1"/>
  <c r="B28" i="12837" s="1"/>
  <c r="B31" i="12837" l="1"/>
  <c r="B32" i="12837"/>
  <c r="B33" i="12837" s="1"/>
  <c r="B34" i="12837" l="1"/>
  <c r="B35" i="12837" s="1"/>
  <c r="B36" i="12837" s="1"/>
  <c r="B40" i="12837" s="1"/>
  <c r="B41" i="12837" s="1"/>
  <c r="B44" i="12837" s="1"/>
  <c r="B46" i="12837" s="1"/>
  <c r="B49" i="12837" s="1"/>
  <c r="B50" i="12837" s="1"/>
  <c r="B51" i="12837" s="1"/>
  <c r="B52" i="12837" s="1"/>
  <c r="B53" i="12837" s="1"/>
  <c r="B54" i="12837" s="1"/>
  <c r="B56" i="12837" s="1"/>
  <c r="B58" i="12837" s="1"/>
  <c r="P18" i="12837" l="1"/>
  <c r="P56" i="12837"/>
  <c r="P41" i="12837" l="1"/>
  <c r="P53" i="12837"/>
  <c r="P36" i="12837"/>
  <c r="P27" i="12837"/>
  <c r="N51" i="12837" l="1"/>
  <c r="T51" i="12837" s="1"/>
  <c r="N50" i="12837"/>
  <c r="T50" i="12837" s="1"/>
  <c r="N34" i="12837"/>
  <c r="T34" i="12837" s="1"/>
  <c r="J42" i="12837" l="1"/>
  <c r="N40" i="12837"/>
  <c r="N52" i="12837"/>
  <c r="T52" i="12837" s="1"/>
  <c r="N35" i="12837"/>
  <c r="T35" i="12837" s="1"/>
  <c r="N49" i="12837"/>
  <c r="N33" i="12837"/>
  <c r="T33" i="12837" s="1"/>
  <c r="J54" i="12837" l="1"/>
  <c r="N31" i="12837"/>
  <c r="N32" i="12837"/>
  <c r="T32" i="12837" s="1"/>
  <c r="N42" i="12837"/>
  <c r="T42" i="12837" s="1"/>
  <c r="T40" i="12837"/>
  <c r="N16" i="12837"/>
  <c r="T16" i="12837" s="1"/>
  <c r="T49" i="12837"/>
  <c r="N54" i="12837"/>
  <c r="T54" i="12837" l="1"/>
  <c r="T31" i="12837"/>
  <c r="N37" i="12837"/>
  <c r="J19" i="12837"/>
  <c r="N15" i="12837"/>
  <c r="J37" i="12837"/>
  <c r="J44" i="12837" l="1"/>
  <c r="J46" i="12837"/>
  <c r="J58" i="12837"/>
  <c r="N19" i="12837"/>
  <c r="T15" i="12837"/>
  <c r="T37" i="12837"/>
  <c r="N44" i="12837"/>
  <c r="N46" i="12837"/>
  <c r="T46" i="12837" l="1"/>
  <c r="T44" i="12837"/>
  <c r="N58" i="12837"/>
  <c r="T58" i="12837" s="1"/>
  <c r="T19" i="12837"/>
  <c r="R26" i="12837" l="1"/>
  <c r="P26" i="12837"/>
  <c r="V26" i="12837" s="1"/>
  <c r="P34" i="12774" l="1"/>
  <c r="C1044" i="12843" l="1"/>
  <c r="C1041" i="12843"/>
  <c r="C1039" i="12843"/>
  <c r="C1036" i="12843"/>
  <c r="C986" i="12843"/>
  <c r="C978" i="12843"/>
  <c r="C983" i="12843"/>
  <c r="C981" i="12843"/>
  <c r="F981" i="12843" l="1"/>
  <c r="Q981" i="12843"/>
  <c r="U981" i="12843"/>
  <c r="F1036" i="12843"/>
  <c r="Q1036" i="12843"/>
  <c r="C1073" i="12843"/>
  <c r="U1036" i="12843"/>
  <c r="C1038" i="12843"/>
  <c r="C997" i="12843"/>
  <c r="F983" i="12843"/>
  <c r="Q1039" i="12843"/>
  <c r="C1076" i="12843"/>
  <c r="F1039" i="12843"/>
  <c r="U1039" i="12843"/>
  <c r="C1000" i="12843"/>
  <c r="F978" i="12843"/>
  <c r="Q978" i="12843"/>
  <c r="C980" i="12843"/>
  <c r="U978" i="12843"/>
  <c r="F1041" i="12843"/>
  <c r="F1078" i="12843" s="1"/>
  <c r="C1078" i="12843"/>
  <c r="C1002" i="12843"/>
  <c r="F986" i="12843"/>
  <c r="M986" i="12843"/>
  <c r="M1044" i="12843"/>
  <c r="C1081" i="12843"/>
  <c r="F1044" i="12843"/>
  <c r="C1005" i="12843"/>
  <c r="C1136" i="12767"/>
  <c r="C786" i="12843"/>
  <c r="C784" i="12843"/>
  <c r="C775" i="12843"/>
  <c r="C303" i="12843"/>
  <c r="C299" i="12843"/>
  <c r="C298" i="12843"/>
  <c r="C297" i="12843"/>
  <c r="C296" i="12843"/>
  <c r="C284" i="12843"/>
  <c r="C291" i="12843"/>
  <c r="C287" i="12843"/>
  <c r="C285" i="12843"/>
  <c r="C283" i="12843"/>
  <c r="C248" i="12843"/>
  <c r="C256" i="12843"/>
  <c r="C252" i="12843"/>
  <c r="C250" i="12843"/>
  <c r="C249" i="12843"/>
  <c r="C318" i="12843"/>
  <c r="C317" i="12843"/>
  <c r="C333" i="12843"/>
  <c r="C332" i="12843"/>
  <c r="C331" i="12843"/>
  <c r="C325" i="12843"/>
  <c r="C322" i="12843"/>
  <c r="C321" i="12843"/>
  <c r="C319" i="12843"/>
  <c r="C390" i="12843"/>
  <c r="C386" i="12843"/>
  <c r="C425" i="12843"/>
  <c r="C421" i="12843"/>
  <c r="C503" i="12767"/>
  <c r="C502" i="12767"/>
  <c r="C501" i="12767"/>
  <c r="F43" i="12811"/>
  <c r="C532" i="12843"/>
  <c r="C528" i="12843"/>
  <c r="C529" i="12843"/>
  <c r="C657" i="12843"/>
  <c r="C653" i="12843"/>
  <c r="C652" i="12843"/>
  <c r="C710" i="12843"/>
  <c r="C709" i="12843"/>
  <c r="C708" i="12843"/>
  <c r="C706" i="12843"/>
  <c r="C705" i="12843"/>
  <c r="C704" i="12843"/>
  <c r="C702" i="12843"/>
  <c r="C700" i="12843"/>
  <c r="C695" i="12843"/>
  <c r="C693" i="12843"/>
  <c r="C691" i="12843"/>
  <c r="C690" i="12843"/>
  <c r="C688" i="12843"/>
  <c r="C687" i="12843"/>
  <c r="C685" i="12843"/>
  <c r="C684" i="12843"/>
  <c r="C683" i="12843"/>
  <c r="C672" i="12843"/>
  <c r="C671" i="12843"/>
  <c r="C670" i="12843"/>
  <c r="C668" i="12843"/>
  <c r="C667" i="12843"/>
  <c r="C666" i="12843"/>
  <c r="C665" i="12843"/>
  <c r="C664" i="12843"/>
  <c r="C663" i="12843"/>
  <c r="C661" i="12843"/>
  <c r="C662" i="12843"/>
  <c r="C649" i="12843"/>
  <c r="C650" i="12843"/>
  <c r="C647" i="12843"/>
  <c r="C646" i="12843"/>
  <c r="C645" i="12843"/>
  <c r="C1263" i="12767"/>
  <c r="C1266" i="12843"/>
  <c r="C1262" i="12843"/>
  <c r="C1261" i="12843"/>
  <c r="C1247" i="12843"/>
  <c r="C1246" i="12843"/>
  <c r="C1242" i="12843"/>
  <c r="C1239" i="12843"/>
  <c r="C1238" i="12843"/>
  <c r="C1225" i="12843"/>
  <c r="C1210" i="12843"/>
  <c r="C1209" i="12843"/>
  <c r="C1196" i="12843"/>
  <c r="Q1076" i="12843" l="1"/>
  <c r="F1076" i="12843"/>
  <c r="F1081" i="12843"/>
  <c r="C355" i="12843"/>
  <c r="F1225" i="12843"/>
  <c r="C1228" i="12843"/>
  <c r="C1226" i="12843" s="1"/>
  <c r="I1225" i="12843"/>
  <c r="C605" i="12843"/>
  <c r="F647" i="12843"/>
  <c r="U647" i="12843"/>
  <c r="Q647" i="12843"/>
  <c r="F666" i="12843"/>
  <c r="C626" i="12843"/>
  <c r="C631" i="12843"/>
  <c r="F671" i="12843"/>
  <c r="M671" i="12843"/>
  <c r="F691" i="12843"/>
  <c r="F708" i="12843"/>
  <c r="M708" i="12843"/>
  <c r="F386" i="12843"/>
  <c r="C389" i="12843"/>
  <c r="C351" i="12843"/>
  <c r="Q386" i="12843"/>
  <c r="F317" i="12843"/>
  <c r="C320" i="12843"/>
  <c r="Q317" i="12843"/>
  <c r="F252" i="12843"/>
  <c r="F298" i="12843"/>
  <c r="C229" i="12843"/>
  <c r="C192" i="12843" s="1"/>
  <c r="Q298" i="12843"/>
  <c r="F786" i="12843"/>
  <c r="U786" i="12843"/>
  <c r="Q786" i="12843"/>
  <c r="F1002" i="12843"/>
  <c r="F1238" i="12843"/>
  <c r="F663" i="12843"/>
  <c r="F623" i="12843" s="1"/>
  <c r="C623" i="12843"/>
  <c r="U663" i="12843"/>
  <c r="Q663" i="12843"/>
  <c r="F687" i="12843"/>
  <c r="U687" i="12843"/>
  <c r="Q687" i="12843"/>
  <c r="F709" i="12843"/>
  <c r="M709" i="12843"/>
  <c r="F331" i="12843"/>
  <c r="Q331" i="12843"/>
  <c r="C340" i="12767"/>
  <c r="C335" i="12843"/>
  <c r="F318" i="12843"/>
  <c r="Q318" i="12843"/>
  <c r="F256" i="12843"/>
  <c r="M256" i="12843"/>
  <c r="F287" i="12843"/>
  <c r="C218" i="12843"/>
  <c r="Q304" i="12767"/>
  <c r="C305" i="12843"/>
  <c r="C230" i="12843"/>
  <c r="C193" i="12843" s="1"/>
  <c r="F299" i="12843"/>
  <c r="F775" i="12843"/>
  <c r="Q775" i="12843"/>
  <c r="F1000" i="12843"/>
  <c r="F997" i="12843"/>
  <c r="C1212" i="12843"/>
  <c r="C1211" i="12843" s="1"/>
  <c r="F1209" i="12843"/>
  <c r="F1212" i="12843" s="1"/>
  <c r="F1246" i="12843"/>
  <c r="H40" i="12783"/>
  <c r="I41" i="12831"/>
  <c r="F661" i="12843"/>
  <c r="F621" i="12843" s="1"/>
  <c r="C621" i="12843"/>
  <c r="U661" i="12843"/>
  <c r="Q661" i="12843"/>
  <c r="F685" i="12843"/>
  <c r="U685" i="12843"/>
  <c r="Q685" i="12843"/>
  <c r="F702" i="12843"/>
  <c r="Q702" i="12843"/>
  <c r="U702" i="12843"/>
  <c r="F653" i="12843"/>
  <c r="C611" i="12843"/>
  <c r="F73" i="12811"/>
  <c r="C531" i="12843"/>
  <c r="F319" i="12843"/>
  <c r="Q319" i="12843"/>
  <c r="F325" i="12843"/>
  <c r="M325" i="12843"/>
  <c r="C339" i="12767"/>
  <c r="C334" i="12843"/>
  <c r="F285" i="12843"/>
  <c r="C216" i="12843"/>
  <c r="C175" i="12843" s="1"/>
  <c r="Q175" i="12843" s="1"/>
  <c r="Q285" i="12843"/>
  <c r="M303" i="12767"/>
  <c r="C304" i="12843"/>
  <c r="C234" i="12843"/>
  <c r="C197" i="12843" s="1"/>
  <c r="F303" i="12843"/>
  <c r="F234" i="12843" s="1"/>
  <c r="F197" i="12843" s="1"/>
  <c r="M303" i="12843"/>
  <c r="M234" i="12843" s="1"/>
  <c r="F1005" i="12843"/>
  <c r="F1247" i="12843"/>
  <c r="C608" i="12843"/>
  <c r="F650" i="12843"/>
  <c r="U650" i="12843"/>
  <c r="Q650" i="12843"/>
  <c r="F667" i="12843"/>
  <c r="C627" i="12843"/>
  <c r="F672" i="12843"/>
  <c r="C632" i="12843"/>
  <c r="Q672" i="12843"/>
  <c r="U672" i="12843"/>
  <c r="F693" i="12843"/>
  <c r="C696" i="12843"/>
  <c r="M693" i="12843"/>
  <c r="F704" i="12843"/>
  <c r="F657" i="12843"/>
  <c r="C615" i="12843"/>
  <c r="M657" i="12843"/>
  <c r="F532" i="12843"/>
  <c r="F421" i="12843"/>
  <c r="C424" i="12843"/>
  <c r="Q421" i="12843"/>
  <c r="F321" i="12843"/>
  <c r="C1166" i="12843"/>
  <c r="U1218" i="12767"/>
  <c r="C1222" i="12843"/>
  <c r="F1239" i="12843"/>
  <c r="F1261" i="12843"/>
  <c r="F645" i="12843"/>
  <c r="C603" i="12843"/>
  <c r="C648" i="12843"/>
  <c r="U645" i="12843"/>
  <c r="Q645" i="12843"/>
  <c r="F649" i="12843"/>
  <c r="C607" i="12843"/>
  <c r="Q649" i="12843"/>
  <c r="U649" i="12843"/>
  <c r="F664" i="12843"/>
  <c r="C624" i="12843"/>
  <c r="Q664" i="12843"/>
  <c r="U664" i="12843"/>
  <c r="C673" i="12843"/>
  <c r="C628" i="12843"/>
  <c r="C633" i="12843" s="1"/>
  <c r="F668" i="12843"/>
  <c r="M668" i="12843"/>
  <c r="F683" i="12843"/>
  <c r="C686" i="12843"/>
  <c r="Q683" i="12843"/>
  <c r="U683" i="12843"/>
  <c r="F688" i="12843"/>
  <c r="Q688" i="12843"/>
  <c r="U688" i="12843"/>
  <c r="F695" i="12843"/>
  <c r="M695" i="12843"/>
  <c r="F705" i="12843"/>
  <c r="F710" i="12843"/>
  <c r="Q710" i="12843"/>
  <c r="U710" i="12843"/>
  <c r="F529" i="12843"/>
  <c r="U529" i="12843"/>
  <c r="Q529" i="12843"/>
  <c r="C536" i="12767"/>
  <c r="C533" i="12843"/>
  <c r="C396" i="12767"/>
  <c r="C393" i="12843"/>
  <c r="C326" i="12843"/>
  <c r="F322" i="12843"/>
  <c r="F332" i="12843"/>
  <c r="Q332" i="12843"/>
  <c r="M337" i="12767"/>
  <c r="C338" i="12843"/>
  <c r="F249" i="12843"/>
  <c r="Q249" i="12843"/>
  <c r="F248" i="12843"/>
  <c r="Q248" i="12843"/>
  <c r="F291" i="12843"/>
  <c r="C222" i="12843"/>
  <c r="M291" i="12843"/>
  <c r="F296" i="12843"/>
  <c r="F227" i="12843" s="1"/>
  <c r="F190" i="12843" s="1"/>
  <c r="C227" i="12843"/>
  <c r="C190" i="12843" s="1"/>
  <c r="Q296" i="12843"/>
  <c r="Q227" i="12843" s="1"/>
  <c r="C305" i="12767"/>
  <c r="C300" i="12843"/>
  <c r="U776" i="12767"/>
  <c r="C777" i="12843"/>
  <c r="C988" i="12767"/>
  <c r="C985" i="12843"/>
  <c r="C1075" i="12843"/>
  <c r="C999" i="12843"/>
  <c r="Q1073" i="12843"/>
  <c r="C1195" i="12843"/>
  <c r="C1194" i="12843"/>
  <c r="U1219" i="12767"/>
  <c r="C1223" i="12843"/>
  <c r="F1242" i="12843"/>
  <c r="F1262" i="12843"/>
  <c r="C604" i="12843"/>
  <c r="F646" i="12843"/>
  <c r="Q646" i="12843"/>
  <c r="U646" i="12843"/>
  <c r="F662" i="12843"/>
  <c r="C622" i="12843"/>
  <c r="Q662" i="12843"/>
  <c r="U662" i="12843"/>
  <c r="C625" i="12843"/>
  <c r="F665" i="12843"/>
  <c r="F625" i="12843" s="1"/>
  <c r="U665" i="12843"/>
  <c r="Q665" i="12843"/>
  <c r="F670" i="12843"/>
  <c r="C630" i="12843"/>
  <c r="M670" i="12843"/>
  <c r="F684" i="12843"/>
  <c r="Q684" i="12843"/>
  <c r="U684" i="12843"/>
  <c r="F690" i="12843"/>
  <c r="F700" i="12843"/>
  <c r="Q700" i="12843"/>
  <c r="U700" i="12843"/>
  <c r="C711" i="12843"/>
  <c r="F706" i="12843"/>
  <c r="M706" i="12843"/>
  <c r="F652" i="12843"/>
  <c r="C610" i="12843"/>
  <c r="C530" i="12843"/>
  <c r="F528" i="12843"/>
  <c r="Q528" i="12843"/>
  <c r="U528" i="12843"/>
  <c r="C537" i="12767"/>
  <c r="C534" i="12843"/>
  <c r="C430" i="12767"/>
  <c r="C427" i="12843"/>
  <c r="C395" i="12767"/>
  <c r="C392" i="12843"/>
  <c r="C326" i="12767"/>
  <c r="C323" i="12843"/>
  <c r="F333" i="12843"/>
  <c r="Q338" i="12767"/>
  <c r="C339" i="12843"/>
  <c r="F250" i="12843"/>
  <c r="Q250" i="12843"/>
  <c r="F283" i="12843"/>
  <c r="C286" i="12843"/>
  <c r="C214" i="12843"/>
  <c r="Q283" i="12843"/>
  <c r="C215" i="12843"/>
  <c r="C174" i="12843" s="1"/>
  <c r="Q174" i="12843" s="1"/>
  <c r="F284" i="12843"/>
  <c r="Q284" i="12843"/>
  <c r="F297" i="12843"/>
  <c r="C228" i="12843"/>
  <c r="C191" i="12843" s="1"/>
  <c r="Q297" i="12843"/>
  <c r="C306" i="12767"/>
  <c r="C301" i="12843"/>
  <c r="F784" i="12843"/>
  <c r="U784" i="12843"/>
  <c r="Q784" i="12843"/>
  <c r="C1045" i="12767"/>
  <c r="M1045" i="12767" s="1"/>
  <c r="C1043" i="12843"/>
  <c r="M1081" i="12843"/>
  <c r="U1076" i="12843"/>
  <c r="U1073" i="12843"/>
  <c r="F1073" i="12843"/>
  <c r="Q1263" i="12767"/>
  <c r="M1263" i="12767"/>
  <c r="M1136" i="12767"/>
  <c r="Q1136" i="12767"/>
  <c r="U107" i="12767"/>
  <c r="M107" i="12767"/>
  <c r="Q107" i="12767"/>
  <c r="M1218" i="12767"/>
  <c r="Q1218" i="12767"/>
  <c r="M1219" i="12767"/>
  <c r="Q1219" i="12767"/>
  <c r="M776" i="12767"/>
  <c r="Q776" i="12767"/>
  <c r="C710" i="12767"/>
  <c r="C695" i="12767"/>
  <c r="C672" i="12767"/>
  <c r="C325" i="12767"/>
  <c r="C1185" i="12843"/>
  <c r="C1184" i="12843"/>
  <c r="C1183" i="12843"/>
  <c r="C1182" i="12843"/>
  <c r="C1181" i="12843"/>
  <c r="C1180" i="12843"/>
  <c r="C1151" i="12843"/>
  <c r="C1149" i="12843"/>
  <c r="C1121" i="12843"/>
  <c r="C1120" i="12843"/>
  <c r="C1119" i="12843"/>
  <c r="C1116" i="12843"/>
  <c r="C1113" i="12843"/>
  <c r="C1112" i="12843"/>
  <c r="C1135" i="12843"/>
  <c r="C1096" i="12843"/>
  <c r="C1095" i="12843"/>
  <c r="C1092" i="12843"/>
  <c r="C968" i="12843"/>
  <c r="C965" i="12843"/>
  <c r="C963" i="12843"/>
  <c r="C960" i="12843"/>
  <c r="C886" i="12843"/>
  <c r="C884" i="12843"/>
  <c r="C889" i="12843"/>
  <c r="C893" i="12843"/>
  <c r="C892" i="12843"/>
  <c r="C891" i="12843"/>
  <c r="C881" i="12843"/>
  <c r="M1222" i="12843" l="1"/>
  <c r="M1224" i="12861"/>
  <c r="U1223" i="12843"/>
  <c r="U1225" i="12861"/>
  <c r="U1222" i="12843"/>
  <c r="U1224" i="12861"/>
  <c r="Q1223" i="12843"/>
  <c r="Q1225" i="12861"/>
  <c r="Q108" i="12843"/>
  <c r="Q108" i="12861"/>
  <c r="F228" i="12843"/>
  <c r="F191" i="12843" s="1"/>
  <c r="M1223" i="12843"/>
  <c r="M1225" i="12861"/>
  <c r="M108" i="12843"/>
  <c r="M108" i="12861"/>
  <c r="Q1222" i="12843"/>
  <c r="Q1224" i="12861"/>
  <c r="U108" i="12843"/>
  <c r="U108" i="12861"/>
  <c r="H26" i="12826"/>
  <c r="H26" i="12869"/>
  <c r="M1136" i="12843"/>
  <c r="M1138" i="12861"/>
  <c r="M1267" i="12843"/>
  <c r="M1269" i="12861"/>
  <c r="Q1267" i="12843"/>
  <c r="Q1269" i="12861"/>
  <c r="Q1136" i="12843"/>
  <c r="Q1138" i="12861"/>
  <c r="F626" i="12843"/>
  <c r="F229" i="12843"/>
  <c r="F192" i="12843" s="1"/>
  <c r="F610" i="12843"/>
  <c r="Q229" i="12843"/>
  <c r="F630" i="12843"/>
  <c r="Q214" i="12843"/>
  <c r="F611" i="12843"/>
  <c r="F607" i="12843"/>
  <c r="F218" i="12843"/>
  <c r="F632" i="12843"/>
  <c r="F627" i="12843"/>
  <c r="Q216" i="12843"/>
  <c r="F628" i="12843"/>
  <c r="C895" i="12767"/>
  <c r="C888" i="12843"/>
  <c r="F963" i="12843"/>
  <c r="F1057" i="12843" s="1"/>
  <c r="C943" i="12843"/>
  <c r="Q963" i="12843"/>
  <c r="Q1057" i="12843" s="1"/>
  <c r="U963" i="12843"/>
  <c r="U1057" i="12843" s="1"/>
  <c r="C1057" i="12843"/>
  <c r="H37" i="12783"/>
  <c r="I38" i="12831"/>
  <c r="I39" i="12831"/>
  <c r="H38" i="12783"/>
  <c r="F1185" i="12843"/>
  <c r="C1046" i="12843"/>
  <c r="C1045" i="12843"/>
  <c r="M1043" i="12843"/>
  <c r="C1080" i="12843"/>
  <c r="F1043" i="12843"/>
  <c r="C1004" i="12843"/>
  <c r="F1268" i="12843"/>
  <c r="F351" i="12843"/>
  <c r="C354" i="12843"/>
  <c r="F884" i="12843"/>
  <c r="F1112" i="12843"/>
  <c r="F1120" i="12843"/>
  <c r="C307" i="12767"/>
  <c r="C302" i="12843"/>
  <c r="Q228" i="12843"/>
  <c r="Q339" i="12843"/>
  <c r="F339" i="12843"/>
  <c r="U339" i="12843"/>
  <c r="M339" i="12843"/>
  <c r="F777" i="12843"/>
  <c r="Q777" i="12843"/>
  <c r="I777" i="12843"/>
  <c r="U777" i="12843"/>
  <c r="M777" i="12843"/>
  <c r="M222" i="12843"/>
  <c r="C606" i="12843"/>
  <c r="H39" i="12783"/>
  <c r="I40" i="12831"/>
  <c r="F222" i="12843"/>
  <c r="F631" i="12843"/>
  <c r="F892" i="12843"/>
  <c r="F886" i="12843"/>
  <c r="C948" i="12843"/>
  <c r="M968" i="12843"/>
  <c r="M1062" i="12843" s="1"/>
  <c r="F968" i="12843"/>
  <c r="F1062" i="12843" s="1"/>
  <c r="C1062" i="12843"/>
  <c r="C1100" i="12767"/>
  <c r="M1100" i="12767" s="1"/>
  <c r="C1098" i="12843"/>
  <c r="F1113" i="12843"/>
  <c r="F1121" i="12843"/>
  <c r="F1183" i="12843"/>
  <c r="C327" i="12767"/>
  <c r="C324" i="12843"/>
  <c r="C673" i="12767"/>
  <c r="C669" i="12843"/>
  <c r="C711" i="12767"/>
  <c r="C707" i="12843"/>
  <c r="F215" i="12843"/>
  <c r="F174" i="12843" s="1"/>
  <c r="F1223" i="12843"/>
  <c r="Q326" i="12843"/>
  <c r="M326" i="12843"/>
  <c r="F533" i="12843"/>
  <c r="C537" i="12843"/>
  <c r="C554" i="12843"/>
  <c r="Q673" i="12843"/>
  <c r="M673" i="12843"/>
  <c r="F603" i="12843"/>
  <c r="Q696" i="12843"/>
  <c r="M696" i="12843"/>
  <c r="F335" i="12843"/>
  <c r="C341" i="12843"/>
  <c r="Q351" i="12843"/>
  <c r="F889" i="12843"/>
  <c r="F1095" i="12843"/>
  <c r="F907" i="12843" s="1"/>
  <c r="C907" i="12843"/>
  <c r="F1119" i="12843"/>
  <c r="F1181" i="12843"/>
  <c r="C696" i="12767"/>
  <c r="C694" i="12843"/>
  <c r="F1194" i="12843"/>
  <c r="F1164" i="12843" s="1"/>
  <c r="I1194" i="12843"/>
  <c r="C1164" i="12843"/>
  <c r="C1199" i="12843"/>
  <c r="C397" i="12843"/>
  <c r="F393" i="12843"/>
  <c r="C358" i="12843"/>
  <c r="F358" i="12843" s="1"/>
  <c r="F216" i="12843"/>
  <c r="F175" i="12843" s="1"/>
  <c r="F230" i="12843"/>
  <c r="F193" i="12843" s="1"/>
  <c r="F891" i="12843"/>
  <c r="C945" i="12843"/>
  <c r="F965" i="12843"/>
  <c r="F1059" i="12843" s="1"/>
  <c r="C1059" i="12843"/>
  <c r="F1096" i="12843"/>
  <c r="F1182" i="12843"/>
  <c r="Q215" i="12843"/>
  <c r="C327" i="12843"/>
  <c r="F323" i="12843"/>
  <c r="F427" i="12843"/>
  <c r="F448" i="12843" s="1"/>
  <c r="C448" i="12843"/>
  <c r="C363" i="12843" s="1"/>
  <c r="C431" i="12843"/>
  <c r="C1165" i="12843"/>
  <c r="F615" i="12843"/>
  <c r="F334" i="12843"/>
  <c r="C340" i="12843"/>
  <c r="F605" i="12843"/>
  <c r="F881" i="12843"/>
  <c r="C883" i="12843"/>
  <c r="F893" i="12843"/>
  <c r="C962" i="12843"/>
  <c r="U960" i="12843"/>
  <c r="U1054" i="12843" s="1"/>
  <c r="F960" i="12843"/>
  <c r="C940" i="12843"/>
  <c r="Q960" i="12843"/>
  <c r="Q1054" i="12843" s="1"/>
  <c r="C1054" i="12843"/>
  <c r="F1092" i="12843"/>
  <c r="C1093" i="12843"/>
  <c r="C904" i="12843"/>
  <c r="M1099" i="12767"/>
  <c r="C1099" i="12843"/>
  <c r="F1116" i="12843"/>
  <c r="C1154" i="12843"/>
  <c r="C1152" i="12843" s="1"/>
  <c r="I1149" i="12843"/>
  <c r="F1149" i="12843"/>
  <c r="F1154" i="12843" s="1"/>
  <c r="F1180" i="12843"/>
  <c r="F1184" i="12843"/>
  <c r="C341" i="12767"/>
  <c r="C336" i="12843"/>
  <c r="C1082" i="12767"/>
  <c r="C307" i="12843"/>
  <c r="C232" i="12843"/>
  <c r="F301" i="12843"/>
  <c r="C217" i="12843"/>
  <c r="C173" i="12843"/>
  <c r="F392" i="12843"/>
  <c r="C357" i="12843"/>
  <c r="F357" i="12843" s="1"/>
  <c r="C396" i="12843"/>
  <c r="C538" i="12843"/>
  <c r="F534" i="12843"/>
  <c r="M711" i="12843"/>
  <c r="Q711" i="12843"/>
  <c r="F622" i="12843"/>
  <c r="F604" i="12843"/>
  <c r="C988" i="12843"/>
  <c r="M985" i="12843"/>
  <c r="C987" i="12843"/>
  <c r="F985" i="12843"/>
  <c r="F988" i="12843" s="1"/>
  <c r="C947" i="12843"/>
  <c r="C306" i="12843"/>
  <c r="C231" i="12843"/>
  <c r="F300" i="12843"/>
  <c r="F214" i="12843"/>
  <c r="F338" i="12843"/>
  <c r="M338" i="12843"/>
  <c r="I338" i="12843"/>
  <c r="F624" i="12843"/>
  <c r="C1224" i="12843"/>
  <c r="F1222" i="12843"/>
  <c r="F608" i="12843"/>
  <c r="F304" i="12843"/>
  <c r="C235" i="12843"/>
  <c r="C198" i="12843" s="1"/>
  <c r="M304" i="12843"/>
  <c r="I304" i="12843"/>
  <c r="U305" i="12843"/>
  <c r="Q305" i="12843"/>
  <c r="C236" i="12843"/>
  <c r="C199" i="12843" s="1"/>
  <c r="F305" i="12843"/>
  <c r="M305" i="12843"/>
  <c r="Q1095" i="12767"/>
  <c r="U1095" i="12767"/>
  <c r="U1092" i="12767"/>
  <c r="Q1092" i="12767"/>
  <c r="C847" i="12843"/>
  <c r="C844" i="12843"/>
  <c r="C843" i="12843"/>
  <c r="C841" i="12843"/>
  <c r="C840" i="12843"/>
  <c r="C839" i="12843"/>
  <c r="C838" i="12843"/>
  <c r="C837" i="12843"/>
  <c r="C835" i="12843"/>
  <c r="C833" i="12843"/>
  <c r="C832" i="12843"/>
  <c r="C830" i="12843"/>
  <c r="C829" i="12843"/>
  <c r="C826" i="12843"/>
  <c r="C814" i="12843"/>
  <c r="C805" i="12843"/>
  <c r="F817" i="12767"/>
  <c r="C788" i="12843"/>
  <c r="C787" i="12843"/>
  <c r="C781" i="12843"/>
  <c r="C796" i="12843"/>
  <c r="C793" i="12843"/>
  <c r="C792" i="12843"/>
  <c r="C790" i="12843"/>
  <c r="C789" i="12843"/>
  <c r="C782" i="12843"/>
  <c r="C779" i="12843"/>
  <c r="C778" i="12843"/>
  <c r="C79" i="12767"/>
  <c r="C61" i="12767"/>
  <c r="M235" i="12843" l="1"/>
  <c r="I30" i="12831"/>
  <c r="H29" i="12783"/>
  <c r="Q1092" i="12843"/>
  <c r="Q1092" i="12861"/>
  <c r="U1092" i="12843"/>
  <c r="U1092" i="12861"/>
  <c r="U1095" i="12843"/>
  <c r="U1095" i="12861"/>
  <c r="M1099" i="12843"/>
  <c r="M1099" i="12861"/>
  <c r="M1100" i="12843"/>
  <c r="M1100" i="12861"/>
  <c r="Q1095" i="12843"/>
  <c r="Q1095" i="12861"/>
  <c r="H22" i="12826"/>
  <c r="H22" i="12869"/>
  <c r="H24" i="12826"/>
  <c r="H24" i="12869"/>
  <c r="H23" i="12826"/>
  <c r="H23" i="12869"/>
  <c r="J26" i="12869"/>
  <c r="T26" i="12869"/>
  <c r="C727" i="12843"/>
  <c r="I44" i="12831"/>
  <c r="Q1100" i="12767"/>
  <c r="F235" i="12843"/>
  <c r="F198" i="12843" s="1"/>
  <c r="F1228" i="12843"/>
  <c r="C780" i="12843"/>
  <c r="Q236" i="12843"/>
  <c r="C728" i="12843"/>
  <c r="M236" i="12843"/>
  <c r="F232" i="12843"/>
  <c r="F195" i="12843" s="1"/>
  <c r="F554" i="12843"/>
  <c r="C1083" i="12843"/>
  <c r="C734" i="12843"/>
  <c r="F788" i="12843"/>
  <c r="Q788" i="12843"/>
  <c r="U788" i="12843"/>
  <c r="F829" i="12843"/>
  <c r="Q829" i="12843"/>
  <c r="F840" i="12843"/>
  <c r="U840" i="12843"/>
  <c r="Q840" i="12843"/>
  <c r="Q431" i="12843"/>
  <c r="M431" i="12843"/>
  <c r="F669" i="12843"/>
  <c r="C674" i="12843"/>
  <c r="C629" i="12843"/>
  <c r="C634" i="12843" s="1"/>
  <c r="M669" i="12843"/>
  <c r="F948" i="12843"/>
  <c r="F930" i="12843" s="1"/>
  <c r="C930" i="12843"/>
  <c r="C911" i="12843" s="1"/>
  <c r="C735" i="12843"/>
  <c r="F789" i="12843"/>
  <c r="U789" i="12843"/>
  <c r="Q789" i="12843"/>
  <c r="F816" i="12767"/>
  <c r="C816" i="12843"/>
  <c r="F830" i="12843"/>
  <c r="Q830" i="12843"/>
  <c r="F841" i="12843"/>
  <c r="U841" i="12843"/>
  <c r="Q841" i="12843"/>
  <c r="M306" i="12843"/>
  <c r="Q306" i="12843"/>
  <c r="Q987" i="12843"/>
  <c r="M987" i="12843"/>
  <c r="C949" i="12843"/>
  <c r="F1099" i="12843"/>
  <c r="C922" i="12843"/>
  <c r="C903" i="12843" s="1"/>
  <c r="F940" i="12843"/>
  <c r="F922" i="12843" s="1"/>
  <c r="F903" i="12843" s="1"/>
  <c r="C1056" i="12843"/>
  <c r="C924" i="12843" s="1"/>
  <c r="H28" i="12783" s="1"/>
  <c r="C942" i="12843"/>
  <c r="C233" i="12843"/>
  <c r="C308" i="12843"/>
  <c r="Q308" i="12843" s="1"/>
  <c r="F302" i="12843"/>
  <c r="F1137" i="12843"/>
  <c r="F778" i="12843"/>
  <c r="C724" i="12843"/>
  <c r="Q778" i="12843"/>
  <c r="F790" i="12843"/>
  <c r="C736" i="12843"/>
  <c r="U790" i="12843"/>
  <c r="Q790" i="12843"/>
  <c r="F826" i="12843"/>
  <c r="Q826" i="12843"/>
  <c r="C721" i="12843"/>
  <c r="F838" i="12843"/>
  <c r="Q838" i="12843"/>
  <c r="U838" i="12843"/>
  <c r="F843" i="12843"/>
  <c r="U843" i="12843"/>
  <c r="Q843" i="12843"/>
  <c r="F236" i="12843"/>
  <c r="F199" i="12843" s="1"/>
  <c r="U236" i="12843"/>
  <c r="H30" i="12783"/>
  <c r="I31" i="12831"/>
  <c r="F231" i="12843"/>
  <c r="F194" i="12843" s="1"/>
  <c r="C929" i="12843"/>
  <c r="C910" i="12843" s="1"/>
  <c r="F947" i="12843"/>
  <c r="C951" i="12843"/>
  <c r="Q396" i="12843"/>
  <c r="M396" i="12843"/>
  <c r="C176" i="12843"/>
  <c r="Q173" i="12843"/>
  <c r="C238" i="12843"/>
  <c r="C195" i="12843"/>
  <c r="C201" i="12843" s="1"/>
  <c r="F1165" i="12843"/>
  <c r="F904" i="12843"/>
  <c r="F1054" i="12843"/>
  <c r="F970" i="12843"/>
  <c r="F1064" i="12843" s="1"/>
  <c r="F1199" i="12843"/>
  <c r="F1168" i="12843" s="1"/>
  <c r="Q327" i="12843"/>
  <c r="M327" i="12843"/>
  <c r="M341" i="12843"/>
  <c r="Q341" i="12843"/>
  <c r="Q537" i="12843"/>
  <c r="M537" i="12843"/>
  <c r="C712" i="12843"/>
  <c r="F707" i="12843"/>
  <c r="M707" i="12843"/>
  <c r="F324" i="12843"/>
  <c r="C328" i="12843"/>
  <c r="C343" i="12843"/>
  <c r="C1100" i="12843"/>
  <c r="F1098" i="12843"/>
  <c r="C1102" i="12843"/>
  <c r="H25" i="12783"/>
  <c r="I26" i="12831"/>
  <c r="F173" i="12843"/>
  <c r="C894" i="12843"/>
  <c r="C895" i="12843" s="1"/>
  <c r="F888" i="12843"/>
  <c r="F895" i="12843" s="1"/>
  <c r="F793" i="12843"/>
  <c r="C739" i="12843"/>
  <c r="Q793" i="12843"/>
  <c r="U793" i="12843"/>
  <c r="U800" i="12767"/>
  <c r="C800" i="12843"/>
  <c r="F835" i="12843"/>
  <c r="F730" i="12843" s="1"/>
  <c r="Q835" i="12843"/>
  <c r="U835" i="12843"/>
  <c r="C730" i="12843"/>
  <c r="C849" i="12767"/>
  <c r="M849" i="12767" s="1"/>
  <c r="C846" i="12843"/>
  <c r="C237" i="12843"/>
  <c r="C194" i="12843"/>
  <c r="C200" i="12843" s="1"/>
  <c r="M538" i="12843"/>
  <c r="Q538" i="12843"/>
  <c r="I28" i="12831"/>
  <c r="H27" i="12783"/>
  <c r="M340" i="12843"/>
  <c r="Q340" i="12843"/>
  <c r="C1168" i="12843"/>
  <c r="C1167" i="12843" s="1"/>
  <c r="C1197" i="12843"/>
  <c r="F1080" i="12843"/>
  <c r="F1046" i="12843"/>
  <c r="F1083" i="12843" s="1"/>
  <c r="M1045" i="12843"/>
  <c r="Q1045" i="12843"/>
  <c r="C1082" i="12843"/>
  <c r="F943" i="12843"/>
  <c r="F925" i="12843" s="1"/>
  <c r="F906" i="12843" s="1"/>
  <c r="C925" i="12843"/>
  <c r="C906" i="12843" s="1"/>
  <c r="C742" i="12843"/>
  <c r="F796" i="12843"/>
  <c r="M796" i="12843"/>
  <c r="F814" i="12843"/>
  <c r="F762" i="12843" s="1"/>
  <c r="C762" i="12843"/>
  <c r="C766" i="12843" s="1"/>
  <c r="F837" i="12843"/>
  <c r="F732" i="12843" s="1"/>
  <c r="U837" i="12843"/>
  <c r="Q837" i="12843"/>
  <c r="C732" i="12843"/>
  <c r="F847" i="12843"/>
  <c r="M847" i="12843"/>
  <c r="C342" i="12843"/>
  <c r="F336" i="12843"/>
  <c r="F779" i="12843"/>
  <c r="C725" i="12843"/>
  <c r="Q779" i="12843"/>
  <c r="C738" i="12843"/>
  <c r="F792" i="12843"/>
  <c r="Q792" i="12843"/>
  <c r="U792" i="12843"/>
  <c r="F787" i="12843"/>
  <c r="C733" i="12843"/>
  <c r="U787" i="12843"/>
  <c r="Q787" i="12843"/>
  <c r="F805" i="12843"/>
  <c r="F753" i="12843" s="1"/>
  <c r="C753" i="12843"/>
  <c r="U805" i="12843"/>
  <c r="Q805" i="12843"/>
  <c r="U829" i="12767"/>
  <c r="C828" i="12843"/>
  <c r="F839" i="12843"/>
  <c r="Q839" i="12843"/>
  <c r="U839" i="12843"/>
  <c r="F844" i="12843"/>
  <c r="U844" i="12843"/>
  <c r="Q844" i="12843"/>
  <c r="I235" i="12843"/>
  <c r="I198" i="12843" s="1"/>
  <c r="M307" i="12843"/>
  <c r="Q307" i="12843"/>
  <c r="C927" i="12843"/>
  <c r="C908" i="12843" s="1"/>
  <c r="F945" i="12843"/>
  <c r="F927" i="12843" s="1"/>
  <c r="F908" i="12843" s="1"/>
  <c r="Q397" i="12843"/>
  <c r="Q362" i="12843" s="1"/>
  <c r="M397" i="12843"/>
  <c r="M362" i="12843" s="1"/>
  <c r="F694" i="12843"/>
  <c r="C697" i="12843"/>
  <c r="M694" i="12843"/>
  <c r="C713" i="12843"/>
  <c r="C1008" i="12843"/>
  <c r="C1006" i="12843"/>
  <c r="F1004" i="12843"/>
  <c r="F1008" i="12843" s="1"/>
  <c r="M1080" i="12843"/>
  <c r="U152" i="12767"/>
  <c r="M152" i="12767"/>
  <c r="U122" i="12767"/>
  <c r="M122" i="12767"/>
  <c r="U137" i="12767"/>
  <c r="M137" i="12767"/>
  <c r="Q152" i="12767"/>
  <c r="M155" i="12767"/>
  <c r="Q155" i="12767"/>
  <c r="M829" i="12767"/>
  <c r="Q829" i="12767"/>
  <c r="Q122" i="12767"/>
  <c r="M141" i="12767"/>
  <c r="Q141" i="12767"/>
  <c r="M156" i="12767"/>
  <c r="Q156" i="12767"/>
  <c r="M800" i="12767"/>
  <c r="Q800" i="12767"/>
  <c r="M140" i="12767"/>
  <c r="Q140" i="12767"/>
  <c r="Q137" i="12767"/>
  <c r="M142" i="12767"/>
  <c r="Q142" i="12767"/>
  <c r="M157" i="12767"/>
  <c r="Q157" i="12767"/>
  <c r="F814" i="12767"/>
  <c r="C818" i="12767"/>
  <c r="C158" i="12767"/>
  <c r="C23" i="12767"/>
  <c r="C88" i="12767"/>
  <c r="C15" i="12859" s="1"/>
  <c r="I15" i="12859" s="1"/>
  <c r="K126" i="12811"/>
  <c r="K87" i="12811"/>
  <c r="Q1100" i="12843" l="1"/>
  <c r="Q1100" i="12861"/>
  <c r="Q123" i="12843"/>
  <c r="Q123" i="12861"/>
  <c r="M123" i="12843"/>
  <c r="M89" i="12843" s="1"/>
  <c r="M123" i="12861"/>
  <c r="M89" i="12861" s="1"/>
  <c r="U123" i="12843"/>
  <c r="U123" i="12861"/>
  <c r="J24" i="12869"/>
  <c r="T24" i="12869"/>
  <c r="H20" i="12826"/>
  <c r="H20" i="12869"/>
  <c r="J23" i="12869"/>
  <c r="T23" i="12869"/>
  <c r="J22" i="12869"/>
  <c r="T22" i="12869"/>
  <c r="H25" i="12826"/>
  <c r="H25" i="12869"/>
  <c r="H18" i="12826"/>
  <c r="H18" i="12869"/>
  <c r="F1102" i="12843"/>
  <c r="M361" i="12843"/>
  <c r="F736" i="12843"/>
  <c r="F725" i="12843"/>
  <c r="F233" i="12843"/>
  <c r="F196" i="12843" s="1"/>
  <c r="M1082" i="12843"/>
  <c r="F629" i="12843"/>
  <c r="F713" i="12843"/>
  <c r="F343" i="12843"/>
  <c r="F724" i="12843"/>
  <c r="Q361" i="12843"/>
  <c r="Q1082" i="12843"/>
  <c r="C931" i="12843"/>
  <c r="F735" i="12843"/>
  <c r="F828" i="12843"/>
  <c r="F723" i="12843" s="1"/>
  <c r="I828" i="12843"/>
  <c r="I723" i="12843" s="1"/>
  <c r="Q828" i="12843"/>
  <c r="U828" i="12843"/>
  <c r="M828" i="12843"/>
  <c r="C723" i="12843"/>
  <c r="F951" i="12843"/>
  <c r="F932" i="12843" s="1"/>
  <c r="F929" i="12843"/>
  <c r="F910" i="12843" s="1"/>
  <c r="F721" i="12843"/>
  <c r="C196" i="12843"/>
  <c r="C202" i="12843" s="1"/>
  <c r="C239" i="12843"/>
  <c r="F816" i="12843"/>
  <c r="F764" i="12843" s="1"/>
  <c r="C764" i="12843"/>
  <c r="I816" i="12843"/>
  <c r="I764" i="12843" s="1"/>
  <c r="M816" i="12843"/>
  <c r="M342" i="12843"/>
  <c r="Q342" i="12843"/>
  <c r="Q712" i="12843"/>
  <c r="M712" i="12843"/>
  <c r="C831" i="12843"/>
  <c r="C726" i="12843" s="1"/>
  <c r="F738" i="12843"/>
  <c r="C748" i="12843"/>
  <c r="F800" i="12843"/>
  <c r="F748" i="12843" s="1"/>
  <c r="Q800" i="12843"/>
  <c r="I800" i="12843"/>
  <c r="I748" i="12843" s="1"/>
  <c r="M800" i="12843"/>
  <c r="U800" i="12843"/>
  <c r="C932" i="12843"/>
  <c r="I29" i="12831"/>
  <c r="C905" i="12843"/>
  <c r="Q674" i="12843"/>
  <c r="M674" i="12843"/>
  <c r="Q1167" i="12843"/>
  <c r="M1167" i="12843"/>
  <c r="Q697" i="12843"/>
  <c r="M697" i="12843"/>
  <c r="F733" i="12843"/>
  <c r="F742" i="12843"/>
  <c r="C871" i="12843"/>
  <c r="F846" i="12843"/>
  <c r="C848" i="12843"/>
  <c r="F739" i="12843"/>
  <c r="M328" i="12843"/>
  <c r="Q328" i="12843"/>
  <c r="F911" i="12843"/>
  <c r="F734" i="12843"/>
  <c r="U88" i="12767"/>
  <c r="Q23" i="12767"/>
  <c r="M23" i="12767"/>
  <c r="Q88" i="12767"/>
  <c r="Q91" i="12767"/>
  <c r="M818" i="12767"/>
  <c r="Q93" i="12767"/>
  <c r="Q92" i="12767"/>
  <c r="M93" i="12767"/>
  <c r="M91" i="12767"/>
  <c r="M92" i="12767"/>
  <c r="C159" i="12767"/>
  <c r="M23" i="12843" l="1"/>
  <c r="M23" i="12861"/>
  <c r="Q23" i="12843"/>
  <c r="Q23" i="12861"/>
  <c r="T25" i="12869"/>
  <c r="J25" i="12869"/>
  <c r="T20" i="12869"/>
  <c r="J20" i="12869"/>
  <c r="H21" i="12826"/>
  <c r="H21" i="12869"/>
  <c r="T18" i="12869"/>
  <c r="J18" i="12869"/>
  <c r="F871" i="12843"/>
  <c r="F913" i="12843"/>
  <c r="C913" i="12843"/>
  <c r="C912" i="12843"/>
  <c r="H26" i="12783"/>
  <c r="I27" i="12831"/>
  <c r="M848" i="12843"/>
  <c r="Q848" i="12843"/>
  <c r="T21" i="12869" l="1"/>
  <c r="J21" i="12869"/>
  <c r="H19" i="12826"/>
  <c r="H19" i="12869"/>
  <c r="T19" i="12869" l="1"/>
  <c r="J19" i="12869"/>
  <c r="E64" i="12763"/>
  <c r="E65" i="12763" s="1"/>
  <c r="E28" i="12763"/>
  <c r="E56" i="12763" l="1"/>
  <c r="E103" i="12763"/>
  <c r="E104" i="12763" s="1"/>
  <c r="M38" i="12764" l="1"/>
  <c r="G122" i="12812" l="1"/>
  <c r="D135" i="12812"/>
  <c r="D133" i="12812"/>
  <c r="D132" i="12812"/>
  <c r="D131" i="12812"/>
  <c r="D129" i="12812"/>
  <c r="D126" i="12812"/>
  <c r="D125" i="12812"/>
  <c r="D124" i="12812"/>
  <c r="D123" i="12812"/>
  <c r="D122" i="12812"/>
  <c r="D93" i="12812"/>
  <c r="D92" i="12812"/>
  <c r="D91" i="12812"/>
  <c r="D90" i="12812"/>
  <c r="D89" i="12812"/>
  <c r="D87" i="12812"/>
  <c r="D84" i="12812"/>
  <c r="D79" i="12812"/>
  <c r="D76" i="12812"/>
  <c r="D73" i="12812"/>
  <c r="D72" i="12812"/>
  <c r="D71" i="12812"/>
  <c r="D66" i="12812"/>
  <c r="D64" i="12812"/>
  <c r="D63" i="12812"/>
  <c r="D62" i="12812"/>
  <c r="D61" i="12812"/>
  <c r="D60" i="12812"/>
  <c r="D59" i="12812"/>
  <c r="D58" i="12812"/>
  <c r="D56" i="12812"/>
  <c r="D53" i="12812"/>
  <c r="D52" i="12812"/>
  <c r="D49" i="12812"/>
  <c r="D46" i="12812"/>
  <c r="D43" i="12812"/>
  <c r="D42" i="12812"/>
  <c r="D41" i="12812"/>
  <c r="D36" i="12812"/>
  <c r="D34" i="12812"/>
  <c r="D33" i="12812"/>
  <c r="D32" i="12812"/>
  <c r="D31" i="12812"/>
  <c r="D30" i="12812"/>
  <c r="D29" i="12812"/>
  <c r="D28" i="12812"/>
  <c r="D27" i="12812"/>
  <c r="D26" i="12812"/>
  <c r="D24" i="12812"/>
  <c r="D21" i="12812"/>
  <c r="D18" i="12812"/>
  <c r="D17" i="12812"/>
  <c r="D16" i="12812"/>
  <c r="D15" i="12812"/>
  <c r="D14" i="12812"/>
  <c r="D13" i="12812"/>
  <c r="G135" i="12811"/>
  <c r="G133" i="12811"/>
  <c r="G132" i="12811"/>
  <c r="G131" i="12811"/>
  <c r="G129" i="12811"/>
  <c r="G126" i="12811"/>
  <c r="G125" i="12811"/>
  <c r="G124" i="12811"/>
  <c r="G123" i="12811"/>
  <c r="G122" i="12811"/>
  <c r="G121" i="12811"/>
  <c r="G115" i="12811"/>
  <c r="G113" i="12811"/>
  <c r="G112" i="12811"/>
  <c r="G111" i="12811"/>
  <c r="G110" i="12811"/>
  <c r="G109" i="12811"/>
  <c r="G108" i="12811"/>
  <c r="G107" i="12811"/>
  <c r="G105" i="12811"/>
  <c r="G66" i="12811"/>
  <c r="G64" i="12811"/>
  <c r="G63" i="12811"/>
  <c r="G62" i="12811"/>
  <c r="G61" i="12811"/>
  <c r="G60" i="12811"/>
  <c r="G59" i="12811"/>
  <c r="G58" i="12811"/>
  <c r="G56" i="12811"/>
  <c r="G53" i="12811"/>
  <c r="G52" i="12811"/>
  <c r="G49" i="12811"/>
  <c r="G50" i="12811" s="1"/>
  <c r="G46" i="12811"/>
  <c r="G47" i="12811" s="1"/>
  <c r="G43" i="12811"/>
  <c r="G42" i="12811"/>
  <c r="G41" i="12811"/>
  <c r="G36" i="12811"/>
  <c r="G34" i="12811"/>
  <c r="G33" i="12811"/>
  <c r="G32" i="12811"/>
  <c r="G31" i="12811"/>
  <c r="G30" i="12811"/>
  <c r="G29" i="12811"/>
  <c r="G28" i="12811"/>
  <c r="G27" i="12811"/>
  <c r="G26" i="12811"/>
  <c r="G24" i="12811"/>
  <c r="G21" i="12811"/>
  <c r="G18" i="12811"/>
  <c r="G17" i="12811"/>
  <c r="G16" i="12811"/>
  <c r="G15" i="12811"/>
  <c r="G14" i="12811"/>
  <c r="G13" i="12811"/>
  <c r="D122" i="12811"/>
  <c r="D132" i="12811"/>
  <c r="D131" i="12811"/>
  <c r="D126" i="12811"/>
  <c r="D125" i="12811"/>
  <c r="D124" i="12811"/>
  <c r="D123" i="12811"/>
  <c r="D121" i="12811"/>
  <c r="D109" i="12811"/>
  <c r="D108" i="12811"/>
  <c r="D107" i="12811"/>
  <c r="D90" i="12811"/>
  <c r="D89" i="12811"/>
  <c r="D84" i="12811"/>
  <c r="D79" i="12811"/>
  <c r="D76" i="12811"/>
  <c r="D73" i="12811"/>
  <c r="D72" i="12811"/>
  <c r="D71" i="12811"/>
  <c r="D59" i="12811"/>
  <c r="D58" i="12811"/>
  <c r="D53" i="12811"/>
  <c r="D52" i="12811"/>
  <c r="D49" i="12811"/>
  <c r="D46" i="12811"/>
  <c r="D43" i="12811"/>
  <c r="D42" i="12811"/>
  <c r="D41" i="12811"/>
  <c r="D27" i="12811"/>
  <c r="D26" i="12811"/>
  <c r="D21" i="12811"/>
  <c r="D18" i="12811"/>
  <c r="D17" i="12811"/>
  <c r="D16" i="12811"/>
  <c r="D15" i="12811"/>
  <c r="D14" i="12811"/>
  <c r="D13" i="12811"/>
  <c r="D102" i="12811"/>
  <c r="D101" i="12811"/>
  <c r="E13" i="12811" l="1"/>
  <c r="J51" i="12859"/>
  <c r="AC13" i="12775"/>
  <c r="G44" i="12811"/>
  <c r="G54" i="12811"/>
  <c r="J52" i="12859" l="1"/>
  <c r="R55" i="12859"/>
  <c r="M54" i="12859"/>
  <c r="K54" i="12859"/>
  <c r="O57" i="12859"/>
  <c r="O67" i="12859" s="1"/>
  <c r="R57" i="12859"/>
  <c r="R67" i="12859" s="1"/>
  <c r="M53" i="12859"/>
  <c r="R52" i="12859"/>
  <c r="T52" i="12859"/>
  <c r="P53" i="12859"/>
  <c r="M57" i="12859"/>
  <c r="M67" i="12859" s="1"/>
  <c r="P54" i="12859"/>
  <c r="Q52" i="12859"/>
  <c r="N55" i="12859"/>
  <c r="N53" i="12859"/>
  <c r="L57" i="12859"/>
  <c r="L67" i="12859" s="1"/>
  <c r="P52" i="12859"/>
  <c r="N52" i="12859"/>
  <c r="L52" i="12859"/>
  <c r="L53" i="12859"/>
  <c r="S55" i="12859"/>
  <c r="L54" i="12859"/>
  <c r="U57" i="12859"/>
  <c r="U67" i="12859" s="1"/>
  <c r="U54" i="12859"/>
  <c r="U52" i="12859"/>
  <c r="U55" i="12859"/>
  <c r="T55" i="12859"/>
  <c r="J55" i="12859"/>
  <c r="O53" i="12859"/>
  <c r="N54" i="12859"/>
  <c r="O55" i="12859"/>
  <c r="S53" i="12859"/>
  <c r="K55" i="12859"/>
  <c r="Q54" i="12859"/>
  <c r="M52" i="12859"/>
  <c r="Q55" i="12859"/>
  <c r="L55" i="12859"/>
  <c r="T57" i="12859"/>
  <c r="T67" i="12859" s="1"/>
  <c r="P55" i="12859"/>
  <c r="J57" i="12859"/>
  <c r="O52" i="12859"/>
  <c r="R54" i="12859"/>
  <c r="T54" i="12859"/>
  <c r="R53" i="12859"/>
  <c r="R56" i="12859" s="1"/>
  <c r="R58" i="12859" s="1"/>
  <c r="S52" i="12859"/>
  <c r="J54" i="12859"/>
  <c r="M55" i="12859"/>
  <c r="O54" i="12859"/>
  <c r="P57" i="12859"/>
  <c r="P67" i="12859" s="1"/>
  <c r="S54" i="12859"/>
  <c r="S57" i="12859"/>
  <c r="S67" i="12859" s="1"/>
  <c r="J53" i="12859"/>
  <c r="U53" i="12859"/>
  <c r="K53" i="12859"/>
  <c r="Q53" i="12859"/>
  <c r="T53" i="12859"/>
  <c r="Q57" i="12859"/>
  <c r="Q67" i="12859" s="1"/>
  <c r="K57" i="12859"/>
  <c r="K67" i="12859" s="1"/>
  <c r="N57" i="12859"/>
  <c r="N67" i="12859" s="1"/>
  <c r="K52" i="12859"/>
  <c r="K66" i="12859" s="1"/>
  <c r="K987" i="12767"/>
  <c r="M987" i="12767" s="1"/>
  <c r="K969" i="12767"/>
  <c r="K1026" i="12767"/>
  <c r="M1026" i="12767" s="1"/>
  <c r="K1044" i="12767"/>
  <c r="M1044" i="12767" s="1"/>
  <c r="G720" i="12767"/>
  <c r="V53" i="12859" l="1"/>
  <c r="J67" i="12859"/>
  <c r="V67" i="12859" s="1"/>
  <c r="V57" i="12859"/>
  <c r="C35" i="12859" s="1"/>
  <c r="C36" i="12859" s="1"/>
  <c r="V55" i="12859"/>
  <c r="R66" i="12859"/>
  <c r="M56" i="12859"/>
  <c r="M58" i="12859" s="1"/>
  <c r="M66" i="12859"/>
  <c r="L56" i="12859"/>
  <c r="L58" i="12859" s="1"/>
  <c r="L66" i="12859"/>
  <c r="K56" i="12859"/>
  <c r="K58" i="12859" s="1"/>
  <c r="V54" i="12859"/>
  <c r="N56" i="12859"/>
  <c r="N58" i="12859" s="1"/>
  <c r="N66" i="12859"/>
  <c r="S56" i="12859"/>
  <c r="S58" i="12859" s="1"/>
  <c r="S66" i="12859"/>
  <c r="O56" i="12859"/>
  <c r="O58" i="12859" s="1"/>
  <c r="O66" i="12859"/>
  <c r="U56" i="12859"/>
  <c r="U58" i="12859" s="1"/>
  <c r="U66" i="12859"/>
  <c r="P56" i="12859"/>
  <c r="P58" i="12859" s="1"/>
  <c r="P66" i="12859"/>
  <c r="Q56" i="12859"/>
  <c r="Q58" i="12859" s="1"/>
  <c r="Q66" i="12859"/>
  <c r="T56" i="12859"/>
  <c r="T58" i="12859" s="1"/>
  <c r="T66" i="12859"/>
  <c r="J56" i="12859"/>
  <c r="V52" i="12859"/>
  <c r="J66" i="12859"/>
  <c r="V66" i="12859" s="1"/>
  <c r="G721" i="12843"/>
  <c r="K720" i="12767"/>
  <c r="K721" i="12861" s="1"/>
  <c r="M1081" i="12767"/>
  <c r="K868" i="12767"/>
  <c r="M868" i="12767" s="1"/>
  <c r="M848" i="12767"/>
  <c r="K762" i="12767"/>
  <c r="K669" i="12767"/>
  <c r="M669" i="12767" s="1"/>
  <c r="M656" i="12767"/>
  <c r="K890" i="12767"/>
  <c r="M890" i="12767" s="1"/>
  <c r="M969" i="12767"/>
  <c r="M1062" i="12767" s="1"/>
  <c r="K815" i="12767"/>
  <c r="M815" i="12767" s="1"/>
  <c r="M795" i="12767"/>
  <c r="K707" i="12767"/>
  <c r="M707" i="12767" s="1"/>
  <c r="M694" i="12767"/>
  <c r="K573" i="12767"/>
  <c r="K572" i="12767"/>
  <c r="K629" i="12767"/>
  <c r="G1181" i="12843"/>
  <c r="I1181" i="12843" s="1"/>
  <c r="G1182" i="12843"/>
  <c r="I1182" i="12843" s="1"/>
  <c r="G1188" i="12843"/>
  <c r="I1188" i="12843" s="1"/>
  <c r="G1190" i="12843"/>
  <c r="I1190" i="12843" s="1"/>
  <c r="K826" i="12861" l="1"/>
  <c r="K746" i="12861"/>
  <c r="V56" i="12859"/>
  <c r="C22" i="12859" s="1"/>
  <c r="J58" i="12859"/>
  <c r="V58" i="12859" s="1"/>
  <c r="K573" i="12843"/>
  <c r="K573" i="12861"/>
  <c r="K586" i="12861" s="1"/>
  <c r="K574" i="12843"/>
  <c r="K574" i="12861"/>
  <c r="K587" i="12861" s="1"/>
  <c r="M889" i="12843"/>
  <c r="M889" i="12861"/>
  <c r="K586" i="12843"/>
  <c r="K774" i="12767"/>
  <c r="K798" i="12767" s="1"/>
  <c r="M798" i="12767" s="1"/>
  <c r="K827" i="12767"/>
  <c r="M827" i="12767" s="1"/>
  <c r="K721" i="12843"/>
  <c r="K587" i="12843"/>
  <c r="G746" i="12843"/>
  <c r="K775" i="12843"/>
  <c r="G826" i="12843"/>
  <c r="G775" i="12843"/>
  <c r="K586" i="12767"/>
  <c r="M586" i="12767" s="1"/>
  <c r="M573" i="12767"/>
  <c r="O851" i="12767"/>
  <c r="Q851" i="12767" s="1"/>
  <c r="Q827" i="12767"/>
  <c r="M572" i="12767"/>
  <c r="K585" i="12767"/>
  <c r="M585" i="12767" s="1"/>
  <c r="K745" i="12767"/>
  <c r="O798" i="12767"/>
  <c r="Q798" i="12767" s="1"/>
  <c r="Q774" i="12767"/>
  <c r="G1121" i="12767"/>
  <c r="G1121" i="12843" s="1"/>
  <c r="I1121" i="12843" s="1"/>
  <c r="G1116" i="12767"/>
  <c r="G1116" i="12843" s="1"/>
  <c r="I1116" i="12843" s="1"/>
  <c r="M573" i="12843" l="1"/>
  <c r="M573" i="12861"/>
  <c r="M587" i="12843"/>
  <c r="M587" i="12861"/>
  <c r="M586" i="12843"/>
  <c r="M586" i="12861"/>
  <c r="M574" i="12843"/>
  <c r="M574" i="12861"/>
  <c r="K850" i="12861"/>
  <c r="M850" i="12861" s="1"/>
  <c r="M826" i="12861"/>
  <c r="K851" i="12767"/>
  <c r="M851" i="12767" s="1"/>
  <c r="M774" i="12767"/>
  <c r="I775" i="12843"/>
  <c r="G798" i="12843"/>
  <c r="I798" i="12843" s="1"/>
  <c r="G850" i="12843"/>
  <c r="I850" i="12843" s="1"/>
  <c r="I826" i="12843"/>
  <c r="K798" i="12843"/>
  <c r="M798" i="12843" s="1"/>
  <c r="M775" i="12843"/>
  <c r="K746" i="12843"/>
  <c r="K826" i="12843"/>
  <c r="O745" i="12767"/>
  <c r="S720" i="12767"/>
  <c r="S721" i="12861" s="1"/>
  <c r="S724" i="12767"/>
  <c r="S725" i="12861" s="1"/>
  <c r="O749" i="12767"/>
  <c r="O748" i="12767"/>
  <c r="S723" i="12767"/>
  <c r="S724" i="12861" s="1"/>
  <c r="S779" i="12861" l="1"/>
  <c r="S830" i="12861"/>
  <c r="S750" i="12861"/>
  <c r="S829" i="12861"/>
  <c r="S749" i="12861"/>
  <c r="S778" i="12861"/>
  <c r="S826" i="12861"/>
  <c r="S746" i="12861"/>
  <c r="S775" i="12861"/>
  <c r="I746" i="12843"/>
  <c r="S748" i="12767"/>
  <c r="S777" i="12767"/>
  <c r="S830" i="12767"/>
  <c r="S724" i="12843"/>
  <c r="K850" i="12843"/>
  <c r="M850" i="12843" s="1"/>
  <c r="M826" i="12843"/>
  <c r="S749" i="12767"/>
  <c r="S778" i="12767"/>
  <c r="S831" i="12767"/>
  <c r="S725" i="12843"/>
  <c r="S745" i="12767"/>
  <c r="S827" i="12767"/>
  <c r="S774" i="12767"/>
  <c r="S721" i="12843"/>
  <c r="I721" i="12843"/>
  <c r="S853" i="12861" l="1"/>
  <c r="U853" i="12861" s="1"/>
  <c r="U829" i="12861"/>
  <c r="S801" i="12861"/>
  <c r="U801" i="12861" s="1"/>
  <c r="U778" i="12861"/>
  <c r="S854" i="12861"/>
  <c r="U854" i="12861" s="1"/>
  <c r="U830" i="12861"/>
  <c r="S850" i="12861"/>
  <c r="U850" i="12861" s="1"/>
  <c r="U826" i="12861"/>
  <c r="S798" i="12861"/>
  <c r="U798" i="12861" s="1"/>
  <c r="U775" i="12861"/>
  <c r="S802" i="12861"/>
  <c r="U802" i="12861" s="1"/>
  <c r="U779" i="12861"/>
  <c r="S746" i="12843"/>
  <c r="S826" i="12843"/>
  <c r="S775" i="12843"/>
  <c r="U827" i="12767"/>
  <c r="S851" i="12767"/>
  <c r="U851" i="12767" s="1"/>
  <c r="S749" i="12843"/>
  <c r="S778" i="12843"/>
  <c r="S829" i="12843"/>
  <c r="S750" i="12843"/>
  <c r="S830" i="12843"/>
  <c r="S779" i="12843"/>
  <c r="U774" i="12767"/>
  <c r="S798" i="12767"/>
  <c r="U798" i="12767" s="1"/>
  <c r="K371" i="12767"/>
  <c r="K477" i="12767"/>
  <c r="K233" i="12767"/>
  <c r="S854" i="12843" l="1"/>
  <c r="U854" i="12843" s="1"/>
  <c r="U830" i="12843"/>
  <c r="U778" i="12843"/>
  <c r="S801" i="12843"/>
  <c r="U801" i="12843" s="1"/>
  <c r="S798" i="12843"/>
  <c r="U798" i="12843" s="1"/>
  <c r="U775" i="12843"/>
  <c r="S850" i="12843"/>
  <c r="U850" i="12843" s="1"/>
  <c r="U826" i="12843"/>
  <c r="S802" i="12843"/>
  <c r="U802" i="12843" s="1"/>
  <c r="U779" i="12843"/>
  <c r="U829" i="12843"/>
  <c r="S853" i="12843"/>
  <c r="U853" i="12843" s="1"/>
  <c r="O1036" i="12767"/>
  <c r="Q1036" i="12767" s="1"/>
  <c r="O1018" i="12767"/>
  <c r="Q1018" i="12767" s="1"/>
  <c r="O1022" i="12767"/>
  <c r="Q1022" i="12767" s="1"/>
  <c r="O1040" i="12767"/>
  <c r="Q1040" i="12767" s="1"/>
  <c r="K267" i="12767"/>
  <c r="M267" i="12767" s="1"/>
  <c r="M255" i="12767"/>
  <c r="K336" i="12767"/>
  <c r="M336" i="12767" s="1"/>
  <c r="M324" i="12767"/>
  <c r="K406" i="12767"/>
  <c r="M406" i="12767" s="1"/>
  <c r="M394" i="12767"/>
  <c r="O1039" i="12767"/>
  <c r="Q1039" i="12767" s="1"/>
  <c r="O1021" i="12767"/>
  <c r="Q1021" i="12767" s="1"/>
  <c r="O980" i="12767"/>
  <c r="Q980" i="12767" s="1"/>
  <c r="O962" i="12767"/>
  <c r="K512" i="12767"/>
  <c r="M512" i="12767" s="1"/>
  <c r="M500" i="12767"/>
  <c r="K196" i="12767"/>
  <c r="K441" i="12767"/>
  <c r="M441" i="12767" s="1"/>
  <c r="M429" i="12767"/>
  <c r="O961" i="12767"/>
  <c r="O979" i="12767"/>
  <c r="Q979" i="12767" s="1"/>
  <c r="O964" i="12767"/>
  <c r="O982" i="12767"/>
  <c r="Q982" i="12767" s="1"/>
  <c r="O965" i="12767"/>
  <c r="O983" i="12767"/>
  <c r="Q983" i="12767" s="1"/>
  <c r="K302" i="12767"/>
  <c r="M302" i="12767" s="1"/>
  <c r="M290" i="12767"/>
  <c r="K547" i="12767"/>
  <c r="M547" i="12767" s="1"/>
  <c r="M535" i="12767"/>
  <c r="O1019" i="12767"/>
  <c r="Q1019" i="12767" s="1"/>
  <c r="O1037" i="12767"/>
  <c r="Q1037" i="12767" s="1"/>
  <c r="M233" i="12767" l="1"/>
  <c r="Q1074" i="12767"/>
  <c r="Q1076" i="12767"/>
  <c r="Q1077" i="12767"/>
  <c r="M221" i="12767"/>
  <c r="M477" i="12767"/>
  <c r="O621" i="12767"/>
  <c r="O562" i="12767"/>
  <c r="Q962" i="12767"/>
  <c r="Q1055" i="12767" s="1"/>
  <c r="O883" i="12767"/>
  <c r="Q883" i="12767" s="1"/>
  <c r="O882" i="12767"/>
  <c r="Q882" i="12767" s="1"/>
  <c r="Q961" i="12767"/>
  <c r="Q1054" i="12767" s="1"/>
  <c r="S980" i="12767"/>
  <c r="U980" i="12767" s="1"/>
  <c r="S962" i="12767"/>
  <c r="S1021" i="12767"/>
  <c r="U1021" i="12767" s="1"/>
  <c r="S1039" i="12767"/>
  <c r="U1039" i="12767" s="1"/>
  <c r="O563" i="12767"/>
  <c r="O622" i="12767"/>
  <c r="S1040" i="12767"/>
  <c r="U1040" i="12767" s="1"/>
  <c r="S1022" i="12767"/>
  <c r="U1022" i="12767" s="1"/>
  <c r="Q1073" i="12767"/>
  <c r="O624" i="12767"/>
  <c r="O566" i="12767"/>
  <c r="S965" i="12767"/>
  <c r="S983" i="12767"/>
  <c r="U983" i="12767" s="1"/>
  <c r="O885" i="12767"/>
  <c r="Q885" i="12767" s="1"/>
  <c r="Q964" i="12767"/>
  <c r="Q1057" i="12767" s="1"/>
  <c r="S979" i="12767"/>
  <c r="U979" i="12767" s="1"/>
  <c r="S961" i="12767"/>
  <c r="O623" i="12767"/>
  <c r="O565" i="12767"/>
  <c r="M371" i="12767"/>
  <c r="S1037" i="12767"/>
  <c r="U1037" i="12767" s="1"/>
  <c r="S1019" i="12767"/>
  <c r="U1019" i="12767" s="1"/>
  <c r="O886" i="12767"/>
  <c r="Q886" i="12767" s="1"/>
  <c r="Q965" i="12767"/>
  <c r="Q1058" i="12767" s="1"/>
  <c r="S982" i="12767"/>
  <c r="U982" i="12767" s="1"/>
  <c r="S964" i="12767"/>
  <c r="M465" i="12767"/>
  <c r="M359" i="12767"/>
  <c r="O561" i="12767"/>
  <c r="O620" i="12767"/>
  <c r="S1018" i="12767"/>
  <c r="U1018" i="12767" s="1"/>
  <c r="S1036" i="12767"/>
  <c r="U1036" i="12767" s="1"/>
  <c r="Q885" i="12843" l="1"/>
  <c r="Q885" i="12861"/>
  <c r="O566" i="12843"/>
  <c r="O581" i="12843" s="1"/>
  <c r="O566" i="12861"/>
  <c r="O581" i="12861" s="1"/>
  <c r="Q882" i="12843"/>
  <c r="Q882" i="12861"/>
  <c r="O563" i="12843"/>
  <c r="O563" i="12861"/>
  <c r="O579" i="12861" s="1"/>
  <c r="O567" i="12843"/>
  <c r="O567" i="12861"/>
  <c r="O582" i="12861" s="1"/>
  <c r="O562" i="12843"/>
  <c r="O578" i="12843" s="1"/>
  <c r="O562" i="12861"/>
  <c r="O578" i="12861" s="1"/>
  <c r="O564" i="12843"/>
  <c r="O564" i="12861"/>
  <c r="O580" i="12861" s="1"/>
  <c r="Q881" i="12843"/>
  <c r="Q881" i="12861"/>
  <c r="Q884" i="12843"/>
  <c r="Q884" i="12861"/>
  <c r="O579" i="12843"/>
  <c r="O582" i="12843"/>
  <c r="O580" i="12843"/>
  <c r="U1076" i="12767"/>
  <c r="U1074" i="12767"/>
  <c r="U1077" i="12767"/>
  <c r="U1073" i="12767"/>
  <c r="S561" i="12767"/>
  <c r="S620" i="12767"/>
  <c r="O191" i="12767"/>
  <c r="S174" i="12767"/>
  <c r="S175" i="12861" s="1"/>
  <c r="S885" i="12767"/>
  <c r="U885" i="12767" s="1"/>
  <c r="U964" i="12767"/>
  <c r="U1057" i="12767" s="1"/>
  <c r="O581" i="12767"/>
  <c r="Q581" i="12767" s="1"/>
  <c r="Q566" i="12767"/>
  <c r="O579" i="12767"/>
  <c r="Q579" i="12767" s="1"/>
  <c r="Q563" i="12767"/>
  <c r="Q564" i="12861" s="1"/>
  <c r="Q483" i="12861" s="1"/>
  <c r="U962" i="12767"/>
  <c r="U1055" i="12767" s="1"/>
  <c r="S883" i="12767"/>
  <c r="U883" i="12767" s="1"/>
  <c r="S562" i="12767"/>
  <c r="S621" i="12767"/>
  <c r="S886" i="12767"/>
  <c r="U886" i="12767" s="1"/>
  <c r="U965" i="12767"/>
  <c r="U1058" i="12767" s="1"/>
  <c r="S566" i="12767"/>
  <c r="S624" i="12767"/>
  <c r="O578" i="12767"/>
  <c r="Q578" i="12767" s="1"/>
  <c r="Q562" i="12767"/>
  <c r="Q563" i="12861" s="1"/>
  <c r="Q482" i="12861" s="1"/>
  <c r="O577" i="12767"/>
  <c r="Q577" i="12767" s="1"/>
  <c r="Q561" i="12767"/>
  <c r="Q562" i="12861" s="1"/>
  <c r="Q481" i="12861" s="1"/>
  <c r="S173" i="12767"/>
  <c r="S174" i="12861" s="1"/>
  <c r="O190" i="12767"/>
  <c r="S565" i="12767"/>
  <c r="S623" i="12767"/>
  <c r="Q565" i="12767"/>
  <c r="O580" i="12767"/>
  <c r="Q580" i="12767" s="1"/>
  <c r="S882" i="12767"/>
  <c r="U882" i="12767" s="1"/>
  <c r="U961" i="12767"/>
  <c r="U1054" i="12767" s="1"/>
  <c r="S563" i="12767"/>
  <c r="S622" i="12767"/>
  <c r="S172" i="12767"/>
  <c r="S173" i="12861" s="1"/>
  <c r="O189" i="12767"/>
  <c r="S386" i="12861" l="1"/>
  <c r="S283" i="12861"/>
  <c r="S317" i="12861"/>
  <c r="S248" i="12861"/>
  <c r="S214" i="12861"/>
  <c r="S227" i="12861" s="1"/>
  <c r="S190" i="12861"/>
  <c r="S421" i="12861"/>
  <c r="S351" i="12861"/>
  <c r="S365" i="12861" s="1"/>
  <c r="U173" i="12861"/>
  <c r="S566" i="12843"/>
  <c r="S566" i="12861"/>
  <c r="S581" i="12861" s="1"/>
  <c r="Q578" i="12843"/>
  <c r="Q578" i="12861"/>
  <c r="S567" i="12843"/>
  <c r="S567" i="12861"/>
  <c r="S582" i="12861" s="1"/>
  <c r="S563" i="12843"/>
  <c r="S563" i="12861"/>
  <c r="S579" i="12861" s="1"/>
  <c r="Q580" i="12843"/>
  <c r="Q580" i="12861"/>
  <c r="S562" i="12843"/>
  <c r="S562" i="12861"/>
  <c r="S578" i="12861" s="1"/>
  <c r="Q581" i="12843"/>
  <c r="Q581" i="12861"/>
  <c r="U882" i="12843"/>
  <c r="U882" i="12861"/>
  <c r="Q567" i="12843"/>
  <c r="Q567" i="12861"/>
  <c r="S353" i="12861"/>
  <c r="S367" i="12861" s="1"/>
  <c r="S192" i="12861"/>
  <c r="S285" i="12861"/>
  <c r="S423" i="12861"/>
  <c r="S216" i="12861"/>
  <c r="S229" i="12861" s="1"/>
  <c r="S388" i="12861"/>
  <c r="S250" i="12861"/>
  <c r="S319" i="12861"/>
  <c r="U175" i="12861"/>
  <c r="S564" i="12843"/>
  <c r="S580" i="12843" s="1"/>
  <c r="S564" i="12861"/>
  <c r="S580" i="12861" s="1"/>
  <c r="Q566" i="12843"/>
  <c r="Q566" i="12861"/>
  <c r="S191" i="12861"/>
  <c r="S352" i="12861"/>
  <c r="S366" i="12861" s="1"/>
  <c r="S284" i="12861"/>
  <c r="S249" i="12861"/>
  <c r="S422" i="12861"/>
  <c r="S387" i="12861"/>
  <c r="S215" i="12861"/>
  <c r="S228" i="12861" s="1"/>
  <c r="S318" i="12861"/>
  <c r="U174" i="12861"/>
  <c r="Q579" i="12843"/>
  <c r="Q579" i="12861"/>
  <c r="U885" i="12843"/>
  <c r="U885" i="12861"/>
  <c r="Q582" i="12843"/>
  <c r="Q582" i="12861"/>
  <c r="U881" i="12843"/>
  <c r="U881" i="12861"/>
  <c r="U884" i="12843"/>
  <c r="U884" i="12861"/>
  <c r="Q482" i="12767"/>
  <c r="Q564" i="12843"/>
  <c r="Q483" i="12843" s="1"/>
  <c r="Q481" i="12767"/>
  <c r="Q563" i="12843"/>
  <c r="Q482" i="12843" s="1"/>
  <c r="Q480" i="12767"/>
  <c r="Q562" i="12843"/>
  <c r="Q481" i="12843" s="1"/>
  <c r="S385" i="12767"/>
  <c r="S316" i="12767"/>
  <c r="S247" i="12767"/>
  <c r="S420" i="12767"/>
  <c r="S350" i="12767"/>
  <c r="S282" i="12767"/>
  <c r="S213" i="12767"/>
  <c r="S173" i="12843"/>
  <c r="S581" i="12843"/>
  <c r="S582" i="12843"/>
  <c r="S579" i="12843"/>
  <c r="S578" i="12843"/>
  <c r="S422" i="12767"/>
  <c r="S352" i="12767"/>
  <c r="S284" i="12767"/>
  <c r="S215" i="12767"/>
  <c r="S387" i="12767"/>
  <c r="S318" i="12767"/>
  <c r="S249" i="12767"/>
  <c r="S175" i="12843"/>
  <c r="S421" i="12767"/>
  <c r="S351" i="12767"/>
  <c r="S283" i="12767"/>
  <c r="S214" i="12767"/>
  <c r="S386" i="12767"/>
  <c r="S317" i="12767"/>
  <c r="S248" i="12767"/>
  <c r="S174" i="12843"/>
  <c r="S191" i="12767"/>
  <c r="S577" i="12767"/>
  <c r="U577" i="12767" s="1"/>
  <c r="U561" i="12767"/>
  <c r="U562" i="12861" s="1"/>
  <c r="U481" i="12861" s="1"/>
  <c r="U563" i="12767"/>
  <c r="U564" i="12861" s="1"/>
  <c r="U483" i="12861" s="1"/>
  <c r="S579" i="12767"/>
  <c r="U579" i="12767" s="1"/>
  <c r="S580" i="12767"/>
  <c r="U580" i="12767" s="1"/>
  <c r="U565" i="12767"/>
  <c r="S190" i="12767"/>
  <c r="U566" i="12767"/>
  <c r="S581" i="12767"/>
  <c r="U581" i="12767" s="1"/>
  <c r="S578" i="12767"/>
  <c r="U578" i="12767" s="1"/>
  <c r="U562" i="12767"/>
  <c r="U563" i="12861" s="1"/>
  <c r="U482" i="12861" s="1"/>
  <c r="S189" i="12767"/>
  <c r="U579" i="12843" l="1"/>
  <c r="U579" i="12861"/>
  <c r="U582" i="12843"/>
  <c r="U582" i="12861"/>
  <c r="U581" i="12843"/>
  <c r="U581" i="12861"/>
  <c r="U578" i="12843"/>
  <c r="U578" i="12861"/>
  <c r="S331" i="12861"/>
  <c r="U331" i="12861" s="1"/>
  <c r="U318" i="12861"/>
  <c r="S262" i="12861"/>
  <c r="U262" i="12861" s="1"/>
  <c r="U249" i="12861"/>
  <c r="S261" i="12861"/>
  <c r="U261" i="12861" s="1"/>
  <c r="U248" i="12861"/>
  <c r="U567" i="12843"/>
  <c r="U567" i="12861"/>
  <c r="U580" i="12843"/>
  <c r="U580" i="12861"/>
  <c r="S297" i="12861"/>
  <c r="U297" i="12861" s="1"/>
  <c r="U284" i="12861"/>
  <c r="S332" i="12861"/>
  <c r="U332" i="12861" s="1"/>
  <c r="U319" i="12861"/>
  <c r="U423" i="12861"/>
  <c r="S437" i="12861"/>
  <c r="U437" i="12861" s="1"/>
  <c r="S435" i="12861"/>
  <c r="U435" i="12861" s="1"/>
  <c r="U421" i="12861"/>
  <c r="S330" i="12861"/>
  <c r="U330" i="12861" s="1"/>
  <c r="U317" i="12861"/>
  <c r="U387" i="12861"/>
  <c r="S401" i="12861"/>
  <c r="U401" i="12861" s="1"/>
  <c r="S263" i="12861"/>
  <c r="U263" i="12861" s="1"/>
  <c r="U250" i="12861"/>
  <c r="U216" i="12861" s="1"/>
  <c r="S298" i="12861"/>
  <c r="U298" i="12861" s="1"/>
  <c r="U285" i="12861"/>
  <c r="S296" i="12861"/>
  <c r="U296" i="12861" s="1"/>
  <c r="U227" i="12861" s="1"/>
  <c r="U283" i="12861"/>
  <c r="U566" i="12843"/>
  <c r="U566" i="12861"/>
  <c r="S436" i="12861"/>
  <c r="U436" i="12861" s="1"/>
  <c r="U422" i="12861"/>
  <c r="U388" i="12861"/>
  <c r="S402" i="12861"/>
  <c r="U402" i="12861" s="1"/>
  <c r="S400" i="12861"/>
  <c r="U400" i="12861" s="1"/>
  <c r="U365" i="12861" s="1"/>
  <c r="U386" i="12861"/>
  <c r="U351" i="12861" s="1"/>
  <c r="U481" i="12767"/>
  <c r="U563" i="12843"/>
  <c r="U482" i="12843" s="1"/>
  <c r="U482" i="12767"/>
  <c r="U564" i="12843"/>
  <c r="U483" i="12843" s="1"/>
  <c r="U480" i="12767"/>
  <c r="U562" i="12843"/>
  <c r="U481" i="12843" s="1"/>
  <c r="S216" i="12843"/>
  <c r="S229" i="12843" s="1"/>
  <c r="S388" i="12843"/>
  <c r="S192" i="12843"/>
  <c r="S353" i="12843"/>
  <c r="S367" i="12843" s="1"/>
  <c r="S285" i="12843"/>
  <c r="S250" i="12843"/>
  <c r="S423" i="12843"/>
  <c r="S319" i="12843"/>
  <c r="U175" i="12843"/>
  <c r="S190" i="12843"/>
  <c r="S283" i="12843"/>
  <c r="S421" i="12843"/>
  <c r="S214" i="12843"/>
  <c r="S227" i="12843" s="1"/>
  <c r="S317" i="12843"/>
  <c r="S351" i="12843"/>
  <c r="S365" i="12843" s="1"/>
  <c r="S248" i="12843"/>
  <c r="S386" i="12843"/>
  <c r="U173" i="12843"/>
  <c r="S422" i="12843"/>
  <c r="S191" i="12843"/>
  <c r="S249" i="12843"/>
  <c r="S387" i="12843"/>
  <c r="S284" i="12843"/>
  <c r="S318" i="12843"/>
  <c r="S352" i="12843"/>
  <c r="S366" i="12843" s="1"/>
  <c r="S215" i="12843"/>
  <c r="S228" i="12843" s="1"/>
  <c r="U174" i="12843"/>
  <c r="U215" i="12861" l="1"/>
  <c r="U367" i="12861"/>
  <c r="U366" i="12861"/>
  <c r="U214" i="12861"/>
  <c r="U353" i="12861"/>
  <c r="U352" i="12861"/>
  <c r="U229" i="12861"/>
  <c r="U228" i="12861"/>
  <c r="U318" i="12843"/>
  <c r="S331" i="12843"/>
  <c r="U331" i="12843" s="1"/>
  <c r="U248" i="12843"/>
  <c r="S261" i="12843"/>
  <c r="U261" i="12843" s="1"/>
  <c r="U421" i="12843"/>
  <c r="S435" i="12843"/>
  <c r="U435" i="12843" s="1"/>
  <c r="U319" i="12843"/>
  <c r="S332" i="12843"/>
  <c r="U332" i="12843" s="1"/>
  <c r="U284" i="12843"/>
  <c r="S297" i="12843"/>
  <c r="U297" i="12843" s="1"/>
  <c r="S436" i="12843"/>
  <c r="U436" i="12843" s="1"/>
  <c r="U422" i="12843"/>
  <c r="S296" i="12843"/>
  <c r="U296" i="12843" s="1"/>
  <c r="U283" i="12843"/>
  <c r="U423" i="12843"/>
  <c r="S437" i="12843"/>
  <c r="U437" i="12843" s="1"/>
  <c r="U387" i="12843"/>
  <c r="S401" i="12843"/>
  <c r="U401" i="12843" s="1"/>
  <c r="U317" i="12843"/>
  <c r="S330" i="12843"/>
  <c r="U330" i="12843" s="1"/>
  <c r="S263" i="12843"/>
  <c r="U263" i="12843" s="1"/>
  <c r="U250" i="12843"/>
  <c r="S402" i="12843"/>
  <c r="U402" i="12843" s="1"/>
  <c r="U388" i="12843"/>
  <c r="U249" i="12843"/>
  <c r="S262" i="12843"/>
  <c r="U262" i="12843" s="1"/>
  <c r="S400" i="12843"/>
  <c r="U400" i="12843" s="1"/>
  <c r="U386" i="12843"/>
  <c r="S298" i="12843"/>
  <c r="U298" i="12843" s="1"/>
  <c r="U285" i="12843"/>
  <c r="S759" i="12767"/>
  <c r="S756" i="12767"/>
  <c r="S752" i="12767"/>
  <c r="O759" i="12767"/>
  <c r="O756" i="12767"/>
  <c r="O752" i="12767"/>
  <c r="K986" i="12767"/>
  <c r="M986" i="12767" s="1"/>
  <c r="K968" i="12767"/>
  <c r="K570" i="12767"/>
  <c r="K571" i="12861" s="1"/>
  <c r="K627" i="12767"/>
  <c r="D11" i="12826"/>
  <c r="U353" i="12843" l="1"/>
  <c r="U351" i="12843"/>
  <c r="U365" i="12843"/>
  <c r="U227" i="12843"/>
  <c r="U216" i="12843"/>
  <c r="U366" i="12843"/>
  <c r="U214" i="12843"/>
  <c r="U228" i="12843"/>
  <c r="M570" i="12767"/>
  <c r="K571" i="12843"/>
  <c r="U367" i="12843"/>
  <c r="U229" i="12843"/>
  <c r="U352" i="12843"/>
  <c r="U215" i="12843"/>
  <c r="S750" i="12767"/>
  <c r="S755" i="12767"/>
  <c r="S758" i="12767"/>
  <c r="O750" i="12767"/>
  <c r="O758" i="12767"/>
  <c r="O755" i="12767"/>
  <c r="K1043" i="12767"/>
  <c r="M1043" i="12767" s="1"/>
  <c r="M1080" i="12767" s="1"/>
  <c r="K1025" i="12767"/>
  <c r="M1025" i="12767" s="1"/>
  <c r="M968" i="12767"/>
  <c r="K889" i="12767"/>
  <c r="K628" i="12767"/>
  <c r="K571" i="12767"/>
  <c r="M571" i="12843" l="1"/>
  <c r="M571" i="12861"/>
  <c r="K572" i="12843"/>
  <c r="K592" i="12843" s="1"/>
  <c r="K572" i="12861"/>
  <c r="K585" i="12843"/>
  <c r="O754" i="12767"/>
  <c r="S754" i="12767"/>
  <c r="O753" i="12767"/>
  <c r="S753" i="12767"/>
  <c r="M894" i="12767"/>
  <c r="M889" i="12767"/>
  <c r="M1061" i="12767"/>
  <c r="K591" i="12767"/>
  <c r="M591" i="12767" s="1"/>
  <c r="K584" i="12767"/>
  <c r="M584" i="12767" s="1"/>
  <c r="M571" i="12767"/>
  <c r="M572" i="12843" l="1"/>
  <c r="M572" i="12861"/>
  <c r="K592" i="12861"/>
  <c r="K585" i="12861"/>
  <c r="M585" i="12843"/>
  <c r="M585" i="12861"/>
  <c r="M592" i="12843"/>
  <c r="M592" i="12861"/>
  <c r="M888" i="12843"/>
  <c r="M888" i="12861"/>
  <c r="M893" i="12843"/>
  <c r="M893" i="12861"/>
  <c r="G1261" i="12767" l="1"/>
  <c r="G1265" i="12843" s="1"/>
  <c r="I1265" i="12843" s="1"/>
  <c r="G1259" i="12767"/>
  <c r="G1263" i="12843" s="1"/>
  <c r="I1263" i="12843" s="1"/>
  <c r="G1258" i="12767"/>
  <c r="G1262" i="12843" s="1"/>
  <c r="I1262" i="12843" s="1"/>
  <c r="G1257" i="12767"/>
  <c r="G1261" i="12843" s="1"/>
  <c r="I1261" i="12843" s="1"/>
  <c r="G1255" i="12767"/>
  <c r="G1259" i="12843" s="1"/>
  <c r="I1259" i="12843" s="1"/>
  <c r="G1254" i="12767"/>
  <c r="G1258" i="12843" s="1"/>
  <c r="I1258" i="12843" s="1"/>
  <c r="G1252" i="12767"/>
  <c r="G1256" i="12843" s="1"/>
  <c r="I1256" i="12843" s="1"/>
  <c r="G1251" i="12767"/>
  <c r="G1255" i="12843" s="1"/>
  <c r="I1255" i="12843" s="1"/>
  <c r="G1250" i="12767"/>
  <c r="G1254" i="12843" s="1"/>
  <c r="I1254" i="12843" s="1"/>
  <c r="G1247" i="12767"/>
  <c r="G1251" i="12843" s="1"/>
  <c r="I1251" i="12843" s="1"/>
  <c r="G1246" i="12767"/>
  <c r="G1250" i="12843" s="1"/>
  <c r="I1250" i="12843" s="1"/>
  <c r="G1244" i="12767"/>
  <c r="G1248" i="12843" s="1"/>
  <c r="I1248" i="12843" s="1"/>
  <c r="G1243" i="12767"/>
  <c r="G1247" i="12843" s="1"/>
  <c r="I1247" i="12843" s="1"/>
  <c r="G1242" i="12767"/>
  <c r="G1246" i="12843" s="1"/>
  <c r="I1246" i="12843" s="1"/>
  <c r="G1239" i="12767"/>
  <c r="G1243" i="12843" s="1"/>
  <c r="I1243" i="12843" s="1"/>
  <c r="G1238" i="12767"/>
  <c r="G1242" i="12843" s="1"/>
  <c r="I1242" i="12843" s="1"/>
  <c r="G1235" i="12767"/>
  <c r="G1239" i="12843" s="1"/>
  <c r="I1239" i="12843" s="1"/>
  <c r="G1236" i="12767"/>
  <c r="G1240" i="12843" s="1"/>
  <c r="I1240" i="12843" s="1"/>
  <c r="G1234" i="12767"/>
  <c r="G1238" i="12843" s="1"/>
  <c r="I1238" i="12843" s="1"/>
  <c r="G1149" i="12767"/>
  <c r="G1150" i="12843" l="1"/>
  <c r="I1150" i="12843" s="1"/>
  <c r="H44" i="12831"/>
  <c r="H34" i="12831"/>
  <c r="H21" i="12831"/>
  <c r="B21" i="12831"/>
  <c r="B24" i="12831" l="1"/>
  <c r="B25" i="12831" s="1"/>
  <c r="H46" i="12831"/>
  <c r="H50" i="12831" s="1"/>
  <c r="B26" i="12831" l="1"/>
  <c r="B27" i="12831" l="1"/>
  <c r="B28" i="12831" l="1"/>
  <c r="B29" i="12831"/>
  <c r="B30" i="12831" l="1"/>
  <c r="B31" i="12831" l="1"/>
  <c r="B34" i="12831" s="1"/>
  <c r="B37" i="12831" s="1"/>
  <c r="B38" i="12831" s="1"/>
  <c r="B39" i="12831" s="1"/>
  <c r="B40" i="12831" s="1"/>
  <c r="B41" i="12831" s="1"/>
  <c r="B44" i="12831" s="1"/>
  <c r="B46" i="12831" s="1"/>
  <c r="J33" i="12828" l="1"/>
  <c r="I33" i="12828"/>
  <c r="H33" i="12828"/>
  <c r="V1100" i="12861" s="1"/>
  <c r="G33" i="12828"/>
  <c r="F33" i="12828"/>
  <c r="E33" i="12828"/>
  <c r="D33" i="12828"/>
  <c r="V743" i="12861" l="1"/>
  <c r="V742" i="12860"/>
  <c r="V1100" i="12843"/>
  <c r="V743" i="12843"/>
  <c r="V742" i="12767"/>
  <c r="G47" i="12828"/>
  <c r="V949" i="12861" s="1"/>
  <c r="V949" i="12843" l="1"/>
  <c r="S1100" i="12767"/>
  <c r="S1100" i="12861" s="1"/>
  <c r="G1100" i="12843"/>
  <c r="I1100" i="12843" s="1"/>
  <c r="I1100" i="12767"/>
  <c r="G48" i="12828"/>
  <c r="C929" i="12767"/>
  <c r="V1006" i="12861" l="1"/>
  <c r="V1006" i="12860"/>
  <c r="U1100" i="12767"/>
  <c r="S1100" i="12843"/>
  <c r="V1006" i="12843"/>
  <c r="V1006" i="12767"/>
  <c r="D36" i="12826"/>
  <c r="F29" i="12826"/>
  <c r="P26" i="12826"/>
  <c r="S26" i="12826" s="1"/>
  <c r="L26" i="12826"/>
  <c r="P25" i="12826"/>
  <c r="S25" i="12826" s="1"/>
  <c r="T25" i="12826"/>
  <c r="P24" i="12826"/>
  <c r="S24" i="12826" s="1"/>
  <c r="L24" i="12826"/>
  <c r="P23" i="12826"/>
  <c r="S23" i="12826" s="1"/>
  <c r="T23" i="12826"/>
  <c r="P22" i="12826"/>
  <c r="S22" i="12826" s="1"/>
  <c r="L22" i="12826"/>
  <c r="P21" i="12826"/>
  <c r="S21" i="12826" s="1"/>
  <c r="T21" i="12826"/>
  <c r="P20" i="12826"/>
  <c r="S20" i="12826" s="1"/>
  <c r="L20" i="12826"/>
  <c r="P19" i="12826"/>
  <c r="S19" i="12826" s="1"/>
  <c r="T19" i="12826"/>
  <c r="P18" i="12826"/>
  <c r="S18" i="12826" s="1"/>
  <c r="L18" i="12826"/>
  <c r="P17" i="12826"/>
  <c r="S17" i="12826" s="1"/>
  <c r="T17" i="12826"/>
  <c r="P16" i="12826"/>
  <c r="S16" i="12826" s="1"/>
  <c r="L16" i="12826"/>
  <c r="P15" i="12826"/>
  <c r="S15" i="12826" s="1"/>
  <c r="G15" i="12826"/>
  <c r="D10" i="12826"/>
  <c r="P14" i="12826"/>
  <c r="S14" i="12826" s="1"/>
  <c r="T14" i="12826"/>
  <c r="S11" i="12826"/>
  <c r="C11" i="12826"/>
  <c r="E11" i="12826" s="1"/>
  <c r="T9" i="12826"/>
  <c r="U1100" i="12843" l="1"/>
  <c r="U1100" i="12861"/>
  <c r="S10" i="12826"/>
  <c r="S12" i="12826" s="1"/>
  <c r="D39" i="12826"/>
  <c r="E36" i="12826"/>
  <c r="E47" i="12826"/>
  <c r="G23" i="12826"/>
  <c r="D12" i="12826"/>
  <c r="G19" i="12826"/>
  <c r="G14" i="12826"/>
  <c r="P27" i="12826"/>
  <c r="G17" i="12826"/>
  <c r="L19" i="12826"/>
  <c r="G21" i="12826"/>
  <c r="L23" i="12826"/>
  <c r="G25" i="12826"/>
  <c r="L14" i="12826"/>
  <c r="S27" i="12826"/>
  <c r="L17" i="12826"/>
  <c r="L21" i="12826"/>
  <c r="L25" i="12826"/>
  <c r="L15" i="12826"/>
  <c r="J18" i="12826"/>
  <c r="V18" i="12826" s="1"/>
  <c r="V17" i="12826" s="1"/>
  <c r="T18" i="12826"/>
  <c r="J20" i="12826"/>
  <c r="V20" i="12826" s="1"/>
  <c r="T20" i="12826"/>
  <c r="J22" i="12826"/>
  <c r="V22" i="12826" s="1"/>
  <c r="T22" i="12826"/>
  <c r="J24" i="12826"/>
  <c r="V24" i="12826" s="1"/>
  <c r="T24" i="12826"/>
  <c r="J26" i="12826"/>
  <c r="V26" i="12826" s="1"/>
  <c r="T26" i="12826"/>
  <c r="J14" i="12826"/>
  <c r="J15" i="12826"/>
  <c r="V15" i="12826" s="1"/>
  <c r="T15" i="12826"/>
  <c r="G16" i="12826"/>
  <c r="J17" i="12826"/>
  <c r="G18" i="12826"/>
  <c r="J19" i="12826"/>
  <c r="V19" i="12826" s="1"/>
  <c r="G20" i="12826"/>
  <c r="J21" i="12826"/>
  <c r="V21" i="12826" s="1"/>
  <c r="G22" i="12826"/>
  <c r="J23" i="12826"/>
  <c r="V23" i="12826" s="1"/>
  <c r="G24" i="12826"/>
  <c r="J25" i="12826"/>
  <c r="V25" i="12826" s="1"/>
  <c r="G26" i="12826"/>
  <c r="K32" i="12811"/>
  <c r="L32" i="12811" s="1"/>
  <c r="K31" i="12811"/>
  <c r="L31" i="12811" s="1"/>
  <c r="D12" i="12775"/>
  <c r="D22" i="12775"/>
  <c r="V14" i="12826" l="1"/>
  <c r="T11" i="12826"/>
  <c r="F11" i="12826"/>
  <c r="K14" i="12812" l="1"/>
  <c r="B92" i="12822" l="1"/>
  <c r="C795" i="12861" s="1"/>
  <c r="D91" i="12822"/>
  <c r="D90" i="12822"/>
  <c r="D89" i="12822"/>
  <c r="D88" i="12822"/>
  <c r="D87" i="12822"/>
  <c r="D86" i="12822"/>
  <c r="D85" i="12822"/>
  <c r="D84" i="12822"/>
  <c r="D83" i="12822"/>
  <c r="D82" i="12822"/>
  <c r="D81" i="12822"/>
  <c r="D80" i="12822"/>
  <c r="Y66" i="12822"/>
  <c r="L66" i="12822"/>
  <c r="B58" i="12822"/>
  <c r="B40" i="12822"/>
  <c r="L30" i="12822"/>
  <c r="C39" i="12822" s="1"/>
  <c r="K27" i="12822"/>
  <c r="K45" i="12822" s="1"/>
  <c r="K62" i="12822" s="1"/>
  <c r="X62" i="12822" s="1"/>
  <c r="B22" i="12822"/>
  <c r="L12" i="12822"/>
  <c r="C10" i="12822" s="1"/>
  <c r="C741" i="12861" l="1"/>
  <c r="C743" i="12861" s="1"/>
  <c r="C818" i="12861"/>
  <c r="C767" i="12861" s="1"/>
  <c r="F795" i="12861"/>
  <c r="D21" i="12822"/>
  <c r="C109" i="12822"/>
  <c r="C108" i="12822"/>
  <c r="C101" i="12822"/>
  <c r="C105" i="12822"/>
  <c r="C104" i="12822"/>
  <c r="D99" i="12822"/>
  <c r="C100" i="12822"/>
  <c r="D104" i="12822"/>
  <c r="D108" i="12822"/>
  <c r="C103" i="12822"/>
  <c r="D100" i="12822"/>
  <c r="D101" i="12822"/>
  <c r="G101" i="12822" s="1"/>
  <c r="D105" i="12822"/>
  <c r="D109" i="12822"/>
  <c r="C106" i="12822"/>
  <c r="C107" i="12822"/>
  <c r="C98" i="12822"/>
  <c r="D102" i="12822"/>
  <c r="D106" i="12822"/>
  <c r="G106" i="12822" s="1"/>
  <c r="C102" i="12822"/>
  <c r="D98" i="12822"/>
  <c r="C99" i="12822"/>
  <c r="G99" i="12822" s="1"/>
  <c r="D103" i="12822"/>
  <c r="D107" i="12822"/>
  <c r="G107" i="12822" s="1"/>
  <c r="O74" i="12822"/>
  <c r="P74" i="12822" s="1"/>
  <c r="O72" i="12822"/>
  <c r="O70" i="12822"/>
  <c r="O68" i="12822"/>
  <c r="O66" i="12822"/>
  <c r="O64" i="12822"/>
  <c r="B74" i="12822"/>
  <c r="E74" i="12822" s="1"/>
  <c r="B72" i="12822"/>
  <c r="B70" i="12822"/>
  <c r="B68" i="12822"/>
  <c r="B66" i="12822"/>
  <c r="E66" i="12822" s="1"/>
  <c r="B64" i="12822"/>
  <c r="C64" i="12822" s="1"/>
  <c r="O73" i="12822"/>
  <c r="O71" i="12822"/>
  <c r="O69" i="12822"/>
  <c r="O67" i="12822"/>
  <c r="O65" i="12822"/>
  <c r="O63" i="12822"/>
  <c r="P63" i="12822" s="1"/>
  <c r="B73" i="12822"/>
  <c r="B71" i="12822"/>
  <c r="B69" i="12822"/>
  <c r="B67" i="12822"/>
  <c r="B65" i="12822"/>
  <c r="D65" i="12822" s="1"/>
  <c r="B63" i="12822"/>
  <c r="E63" i="12822" s="1"/>
  <c r="D28" i="12822"/>
  <c r="D29" i="12822"/>
  <c r="D30" i="12822"/>
  <c r="C11" i="12822"/>
  <c r="C21" i="12822"/>
  <c r="C12" i="12822"/>
  <c r="D10" i="12822"/>
  <c r="D11" i="12822"/>
  <c r="D12" i="12822"/>
  <c r="C13" i="12822"/>
  <c r="C17" i="12822"/>
  <c r="AD34" i="12775"/>
  <c r="AD36" i="12775" s="1"/>
  <c r="C795" i="12843"/>
  <c r="C818" i="12843" s="1"/>
  <c r="C15" i="12822"/>
  <c r="C19" i="12822"/>
  <c r="AD8" i="12775"/>
  <c r="J15" i="12811"/>
  <c r="D14" i="12822"/>
  <c r="D16" i="12822"/>
  <c r="D18" i="12822"/>
  <c r="D20" i="12822"/>
  <c r="AD6" i="12775"/>
  <c r="J13" i="12811"/>
  <c r="AD7" i="12775"/>
  <c r="J14" i="12811"/>
  <c r="D92" i="12822"/>
  <c r="C136" i="12822" s="1"/>
  <c r="B136" i="12822"/>
  <c r="J101" i="12811"/>
  <c r="D13" i="12822"/>
  <c r="C14" i="12822"/>
  <c r="D15" i="12822"/>
  <c r="C16" i="12822"/>
  <c r="D17" i="12822"/>
  <c r="C18" i="12822"/>
  <c r="D19" i="12822"/>
  <c r="C20" i="12822"/>
  <c r="C28" i="12822"/>
  <c r="C29" i="12822"/>
  <c r="C30" i="12822"/>
  <c r="D31" i="12822"/>
  <c r="D32" i="12822"/>
  <c r="D33" i="12822"/>
  <c r="D34" i="12822"/>
  <c r="D35" i="12822"/>
  <c r="D36" i="12822"/>
  <c r="D37" i="12822"/>
  <c r="D38" i="12822"/>
  <c r="D39" i="12822"/>
  <c r="G39" i="12822" s="1"/>
  <c r="C31" i="12822"/>
  <c r="C32" i="12822"/>
  <c r="C33" i="12822"/>
  <c r="C34" i="12822"/>
  <c r="C35" i="12822"/>
  <c r="C36" i="12822"/>
  <c r="C37" i="12822"/>
  <c r="C38" i="12822"/>
  <c r="L48" i="12822"/>
  <c r="C57" i="12822" s="1"/>
  <c r="F741" i="12861" l="1"/>
  <c r="F818" i="12861"/>
  <c r="F767" i="12861" s="1"/>
  <c r="D74" i="12822"/>
  <c r="D66" i="12822"/>
  <c r="G108" i="12822"/>
  <c r="G15" i="12822"/>
  <c r="G30" i="12822"/>
  <c r="G12" i="12822"/>
  <c r="E65" i="12822"/>
  <c r="C74" i="12822"/>
  <c r="C741" i="12843"/>
  <c r="C743" i="12843" s="1"/>
  <c r="F795" i="12843"/>
  <c r="F818" i="12843" s="1"/>
  <c r="F767" i="12843" s="1"/>
  <c r="R63" i="12822"/>
  <c r="Q743" i="12843"/>
  <c r="G21" i="12822"/>
  <c r="G29" i="12822"/>
  <c r="G18" i="12822"/>
  <c r="D110" i="12822"/>
  <c r="G105" i="12822"/>
  <c r="C767" i="12843"/>
  <c r="C796" i="12767"/>
  <c r="G11" i="12822"/>
  <c r="Q74" i="12822"/>
  <c r="G104" i="12822"/>
  <c r="R74" i="12822"/>
  <c r="G100" i="12822"/>
  <c r="C110" i="12822"/>
  <c r="G98" i="12822"/>
  <c r="E64" i="12822"/>
  <c r="G14" i="12822"/>
  <c r="G102" i="12822"/>
  <c r="G109" i="12822"/>
  <c r="G103" i="12822"/>
  <c r="G36" i="12822"/>
  <c r="G32" i="12822"/>
  <c r="G38" i="12822"/>
  <c r="G34" i="12822"/>
  <c r="G20" i="12822"/>
  <c r="G16" i="12822"/>
  <c r="G10" i="12822"/>
  <c r="Q63" i="12822"/>
  <c r="G17" i="12822"/>
  <c r="D64" i="12822"/>
  <c r="G19" i="12822"/>
  <c r="C56" i="12822"/>
  <c r="C52" i="12822"/>
  <c r="G37" i="12822"/>
  <c r="G35" i="12822"/>
  <c r="G33" i="12822"/>
  <c r="G31" i="12822"/>
  <c r="C66" i="12822"/>
  <c r="C65" i="12822"/>
  <c r="C739" i="12767"/>
  <c r="C54" i="12822"/>
  <c r="C50" i="12822"/>
  <c r="D40" i="12822"/>
  <c r="D22" i="12822"/>
  <c r="C63" i="12822"/>
  <c r="D63" i="12822"/>
  <c r="H101" i="12812"/>
  <c r="AD34" i="12774"/>
  <c r="AD36" i="12774" s="1"/>
  <c r="D73" i="12822"/>
  <c r="E73" i="12822"/>
  <c r="C73" i="12822"/>
  <c r="D72" i="12822"/>
  <c r="E72" i="12822"/>
  <c r="C72" i="12822"/>
  <c r="D71" i="12822"/>
  <c r="E71" i="12822"/>
  <c r="C71" i="12822"/>
  <c r="D70" i="12822"/>
  <c r="E70" i="12822"/>
  <c r="C70" i="12822"/>
  <c r="D69" i="12822"/>
  <c r="E69" i="12822"/>
  <c r="C69" i="12822"/>
  <c r="D68" i="12822"/>
  <c r="E68" i="12822"/>
  <c r="C68" i="12822"/>
  <c r="D67" i="12822"/>
  <c r="E67" i="12822"/>
  <c r="C67" i="12822"/>
  <c r="R73" i="12822"/>
  <c r="P73" i="12822"/>
  <c r="Q73" i="12822"/>
  <c r="R72" i="12822"/>
  <c r="P72" i="12822"/>
  <c r="Q72" i="12822"/>
  <c r="R71" i="12822"/>
  <c r="P71" i="12822"/>
  <c r="Q71" i="12822"/>
  <c r="R70" i="12822"/>
  <c r="P70" i="12822"/>
  <c r="Q70" i="12822"/>
  <c r="R69" i="12822"/>
  <c r="P69" i="12822"/>
  <c r="Q69" i="12822"/>
  <c r="R68" i="12822"/>
  <c r="P68" i="12822"/>
  <c r="Q68" i="12822"/>
  <c r="R67" i="12822"/>
  <c r="P67" i="12822"/>
  <c r="Q67" i="12822"/>
  <c r="R64" i="12822"/>
  <c r="P64" i="12822"/>
  <c r="Q64" i="12822"/>
  <c r="C40" i="12822"/>
  <c r="G28" i="12822"/>
  <c r="C55" i="12822"/>
  <c r="C53" i="12822"/>
  <c r="C51" i="12822"/>
  <c r="C49" i="12822"/>
  <c r="C47" i="12822"/>
  <c r="B75" i="12822"/>
  <c r="B134" i="12822" s="1"/>
  <c r="D55" i="12822"/>
  <c r="D53" i="12822"/>
  <c r="D51" i="12822"/>
  <c r="D49" i="12822"/>
  <c r="C46" i="12822"/>
  <c r="G13" i="12822"/>
  <c r="Q66" i="12822"/>
  <c r="R66" i="12822"/>
  <c r="P66" i="12822"/>
  <c r="D48" i="12822"/>
  <c r="D46" i="12822"/>
  <c r="D47" i="12822"/>
  <c r="R65" i="12822"/>
  <c r="P65" i="12822"/>
  <c r="Q65" i="12822"/>
  <c r="D56" i="12822"/>
  <c r="D54" i="12822"/>
  <c r="D52" i="12822"/>
  <c r="D50" i="12822"/>
  <c r="C48" i="12822"/>
  <c r="O75" i="12822"/>
  <c r="D57" i="12822"/>
  <c r="G57" i="12822" s="1"/>
  <c r="C22" i="12822"/>
  <c r="AD11" i="12775" l="1"/>
  <c r="J18" i="12811"/>
  <c r="I66" i="12822"/>
  <c r="I74" i="12822"/>
  <c r="I64" i="12822"/>
  <c r="I65" i="12822"/>
  <c r="V63" i="12822"/>
  <c r="F741" i="12843"/>
  <c r="I63" i="12822"/>
  <c r="V74" i="12822"/>
  <c r="G50" i="12822"/>
  <c r="E75" i="12822"/>
  <c r="G54" i="12822"/>
  <c r="M796" i="12767"/>
  <c r="G110" i="12822"/>
  <c r="G56" i="12822"/>
  <c r="G40" i="12822"/>
  <c r="H14" i="12812" s="1"/>
  <c r="G52" i="12822"/>
  <c r="G22" i="12822"/>
  <c r="AD14" i="12775"/>
  <c r="G48" i="12822"/>
  <c r="G47" i="12822"/>
  <c r="C75" i="12822"/>
  <c r="V66" i="12822"/>
  <c r="J41" i="12811"/>
  <c r="B132" i="12822"/>
  <c r="D132" i="12822" s="1"/>
  <c r="R75" i="12822"/>
  <c r="V67" i="12822"/>
  <c r="V69" i="12822"/>
  <c r="V71" i="12822"/>
  <c r="V73" i="12822"/>
  <c r="I67" i="12822"/>
  <c r="D75" i="12822"/>
  <c r="I69" i="12822"/>
  <c r="Q75" i="12822"/>
  <c r="I71" i="12822"/>
  <c r="I73" i="12822"/>
  <c r="V65" i="12822"/>
  <c r="G49" i="12822"/>
  <c r="G53" i="12822"/>
  <c r="V64" i="12822"/>
  <c r="V68" i="12822"/>
  <c r="V70" i="12822"/>
  <c r="V72" i="12822"/>
  <c r="I68" i="12822"/>
  <c r="I70" i="12822"/>
  <c r="I72" i="12822"/>
  <c r="C58" i="12822"/>
  <c r="G46" i="12822"/>
  <c r="D58" i="12822"/>
  <c r="G51" i="12822"/>
  <c r="G55" i="12822"/>
  <c r="P75" i="12822"/>
  <c r="C253" i="12861" l="1"/>
  <c r="C289" i="12861"/>
  <c r="C124" i="12861"/>
  <c r="C113" i="12767"/>
  <c r="C109" i="12861"/>
  <c r="C89" i="12860"/>
  <c r="C94" i="12860" s="1"/>
  <c r="C124" i="12843"/>
  <c r="C655" i="12861"/>
  <c r="C656" i="12861"/>
  <c r="C254" i="12861"/>
  <c r="C288" i="12861"/>
  <c r="C112" i="12767"/>
  <c r="Q112" i="12767" s="1"/>
  <c r="C657" i="12860"/>
  <c r="C674" i="12860"/>
  <c r="C612" i="12860"/>
  <c r="F654" i="12860"/>
  <c r="M654" i="12860"/>
  <c r="C128" i="12767"/>
  <c r="C109" i="12843"/>
  <c r="F123" i="12860"/>
  <c r="C130" i="12860"/>
  <c r="C128" i="12860"/>
  <c r="I123" i="12860"/>
  <c r="F108" i="12860"/>
  <c r="C112" i="12860"/>
  <c r="I108" i="12860"/>
  <c r="AD6" i="12774"/>
  <c r="AD7" i="12774"/>
  <c r="C655" i="12843"/>
  <c r="C658" i="12843" s="1"/>
  <c r="C657" i="12767"/>
  <c r="AD18" i="12774"/>
  <c r="H46" i="12812"/>
  <c r="H13" i="12812"/>
  <c r="I75" i="12822"/>
  <c r="V75" i="12822"/>
  <c r="G58" i="12822"/>
  <c r="C132" i="12822" l="1"/>
  <c r="C290" i="12861"/>
  <c r="C294" i="12861" s="1"/>
  <c r="C308" i="12860"/>
  <c r="C289" i="12843"/>
  <c r="F289" i="12843" s="1"/>
  <c r="I112" i="12860"/>
  <c r="M112" i="12860"/>
  <c r="Q112" i="12860"/>
  <c r="U112" i="12860"/>
  <c r="Q128" i="12860"/>
  <c r="U128" i="12860"/>
  <c r="M128" i="12860"/>
  <c r="I128" i="12860"/>
  <c r="F612" i="12860"/>
  <c r="C271" i="12860"/>
  <c r="C257" i="12860"/>
  <c r="F253" i="12860"/>
  <c r="C273" i="12860"/>
  <c r="C140" i="12861"/>
  <c r="F140" i="12861" s="1"/>
  <c r="C139" i="12861"/>
  <c r="C90" i="12861" s="1"/>
  <c r="C95" i="12861" s="1"/>
  <c r="C125" i="12861"/>
  <c r="C131" i="12861" s="1"/>
  <c r="C125" i="12843"/>
  <c r="C131" i="12843" s="1"/>
  <c r="C271" i="12861"/>
  <c r="F253" i="12861"/>
  <c r="C257" i="12861"/>
  <c r="F109" i="12843"/>
  <c r="F124" i="12843"/>
  <c r="C139" i="12843"/>
  <c r="C90" i="12843" s="1"/>
  <c r="C95" i="12843" s="1"/>
  <c r="M95" i="12843" s="1"/>
  <c r="C113" i="12860"/>
  <c r="F109" i="12860"/>
  <c r="F115" i="12860" s="1"/>
  <c r="I109" i="12860"/>
  <c r="C615" i="12860"/>
  <c r="M612" i="12860"/>
  <c r="C272" i="12861"/>
  <c r="C258" i="12861"/>
  <c r="F254" i="12861"/>
  <c r="F109" i="12861"/>
  <c r="C113" i="12861"/>
  <c r="I113" i="12861" s="1"/>
  <c r="I109" i="12861"/>
  <c r="F289" i="12861"/>
  <c r="C220" i="12861"/>
  <c r="C293" i="12861"/>
  <c r="C143" i="12767"/>
  <c r="C113" i="12843"/>
  <c r="C129" i="12843"/>
  <c r="C115" i="12860"/>
  <c r="C129" i="12860"/>
  <c r="F124" i="12860"/>
  <c r="F130" i="12860" s="1"/>
  <c r="I124" i="12860"/>
  <c r="C634" i="12860"/>
  <c r="C613" i="12860"/>
  <c r="F655" i="12860"/>
  <c r="F613" i="12860" s="1"/>
  <c r="M655" i="12860"/>
  <c r="C658" i="12860"/>
  <c r="C292" i="12861"/>
  <c r="C219" i="12861"/>
  <c r="F288" i="12861"/>
  <c r="C659" i="12861"/>
  <c r="F656" i="12861"/>
  <c r="F614" i="12861" s="1"/>
  <c r="M656" i="12861"/>
  <c r="C614" i="12861"/>
  <c r="C617" i="12861" s="1"/>
  <c r="C110" i="12861"/>
  <c r="C110" i="12843"/>
  <c r="C116" i="12843" s="1"/>
  <c r="C292" i="12860"/>
  <c r="C219" i="12860"/>
  <c r="F288" i="12860"/>
  <c r="C129" i="12767"/>
  <c r="C656" i="12843"/>
  <c r="M656" i="12843" s="1"/>
  <c r="C255" i="12861"/>
  <c r="C274" i="12861" s="1"/>
  <c r="M657" i="12860"/>
  <c r="I657" i="12860"/>
  <c r="I615" i="12860" s="1"/>
  <c r="Q657" i="12860"/>
  <c r="U657" i="12860"/>
  <c r="U615" i="12860" s="1"/>
  <c r="C218" i="12860"/>
  <c r="C291" i="12860"/>
  <c r="F287" i="12860"/>
  <c r="C658" i="12861"/>
  <c r="C613" i="12861"/>
  <c r="C616" i="12861" s="1"/>
  <c r="C675" i="12861"/>
  <c r="F655" i="12861"/>
  <c r="M655" i="12861"/>
  <c r="F138" i="12860"/>
  <c r="F89" i="12860" s="1"/>
  <c r="C143" i="12860"/>
  <c r="C145" i="12860"/>
  <c r="I138" i="12860"/>
  <c r="I89" i="12860" s="1"/>
  <c r="C129" i="12861"/>
  <c r="I129" i="12861" s="1"/>
  <c r="F124" i="12861"/>
  <c r="I124" i="12861"/>
  <c r="F252" i="12860"/>
  <c r="C256" i="12860"/>
  <c r="C270" i="12860"/>
  <c r="Q113" i="12843"/>
  <c r="Q113" i="12861"/>
  <c r="C134" i="12822"/>
  <c r="F655" i="12843"/>
  <c r="F613" i="12843" s="1"/>
  <c r="C613" i="12843"/>
  <c r="C616" i="12843" s="1"/>
  <c r="C292" i="12767"/>
  <c r="M655" i="12843"/>
  <c r="C658" i="12767"/>
  <c r="C256" i="12767"/>
  <c r="C253" i="12843"/>
  <c r="C271" i="12843" s="1"/>
  <c r="C288" i="12843"/>
  <c r="F288" i="12843" s="1"/>
  <c r="C291" i="12767"/>
  <c r="C271" i="12767"/>
  <c r="C254" i="12843"/>
  <c r="F254" i="12843" s="1"/>
  <c r="C270" i="12767"/>
  <c r="C257" i="12767"/>
  <c r="M658" i="12843"/>
  <c r="Q658" i="12843"/>
  <c r="Q113" i="12767"/>
  <c r="AD8" i="12774"/>
  <c r="H15" i="12812"/>
  <c r="AD14" i="12774"/>
  <c r="H18" i="12812"/>
  <c r="AD11" i="12774"/>
  <c r="H41" i="12812"/>
  <c r="F290" i="12861" l="1"/>
  <c r="C130" i="12843"/>
  <c r="E132" i="12822"/>
  <c r="C145" i="12861"/>
  <c r="M145" i="12861" s="1"/>
  <c r="C290" i="12843"/>
  <c r="C294" i="12843" s="1"/>
  <c r="C309" i="12861"/>
  <c r="C240" i="12861" s="1"/>
  <c r="F656" i="12843"/>
  <c r="F614" i="12843" s="1"/>
  <c r="C293" i="12843"/>
  <c r="M293" i="12843" s="1"/>
  <c r="C220" i="12860"/>
  <c r="C224" i="12860" s="1"/>
  <c r="C114" i="12843"/>
  <c r="F219" i="12860"/>
  <c r="F179" i="12860" s="1"/>
  <c r="F289" i="12860"/>
  <c r="C293" i="12860"/>
  <c r="U293" i="12860" s="1"/>
  <c r="F125" i="12843"/>
  <c r="F131" i="12843" s="1"/>
  <c r="F220" i="12861"/>
  <c r="F180" i="12861" s="1"/>
  <c r="C144" i="12767"/>
  <c r="C659" i="12843"/>
  <c r="M659" i="12843" s="1"/>
  <c r="C91" i="12861"/>
  <c r="C96" i="12861" s="1"/>
  <c r="M96" i="12861" s="1"/>
  <c r="C140" i="12843"/>
  <c r="C146" i="12843" s="1"/>
  <c r="C99" i="12843" s="1"/>
  <c r="F674" i="12860"/>
  <c r="F634" i="12860" s="1"/>
  <c r="C614" i="12843"/>
  <c r="C617" i="12843" s="1"/>
  <c r="I140" i="12861"/>
  <c r="C675" i="12843"/>
  <c r="C635" i="12843" s="1"/>
  <c r="M256" i="12860"/>
  <c r="Q256" i="12860"/>
  <c r="I256" i="12860"/>
  <c r="U256" i="12860"/>
  <c r="C239" i="12860"/>
  <c r="C202" i="12860" s="1"/>
  <c r="C114" i="12861"/>
  <c r="I114" i="12861" s="1"/>
  <c r="F110" i="12861"/>
  <c r="F116" i="12861" s="1"/>
  <c r="I110" i="12861"/>
  <c r="Q658" i="12860"/>
  <c r="M658" i="12860"/>
  <c r="U658" i="12860"/>
  <c r="U616" i="12860" s="1"/>
  <c r="I658" i="12860"/>
  <c r="I616" i="12860" s="1"/>
  <c r="I129" i="12860"/>
  <c r="Q129" i="12860"/>
  <c r="U129" i="12860"/>
  <c r="M129" i="12860"/>
  <c r="C224" i="12861"/>
  <c r="C180" i="12861"/>
  <c r="C184" i="12861" s="1"/>
  <c r="Q143" i="12860"/>
  <c r="Q94" i="12860" s="1"/>
  <c r="U143" i="12860"/>
  <c r="U94" i="12860" s="1"/>
  <c r="I143" i="12860"/>
  <c r="I94" i="12860" s="1"/>
  <c r="M143" i="12860"/>
  <c r="M94" i="12860" s="1"/>
  <c r="C635" i="12861"/>
  <c r="F218" i="12860"/>
  <c r="F178" i="12860" s="1"/>
  <c r="F308" i="12860"/>
  <c r="C273" i="12861"/>
  <c r="F255" i="12861"/>
  <c r="F221" i="12861" s="1"/>
  <c r="C259" i="12861"/>
  <c r="C223" i="12860"/>
  <c r="C179" i="12860"/>
  <c r="C183" i="12860" s="1"/>
  <c r="F219" i="12861"/>
  <c r="F179" i="12861" s="1"/>
  <c r="F309" i="12861"/>
  <c r="C221" i="12861"/>
  <c r="F139" i="12861"/>
  <c r="F146" i="12861" s="1"/>
  <c r="C144" i="12861"/>
  <c r="I139" i="12861"/>
  <c r="I90" i="12861" s="1"/>
  <c r="M257" i="12860"/>
  <c r="I257" i="12860"/>
  <c r="Q257" i="12860"/>
  <c r="U257" i="12860"/>
  <c r="F110" i="12843"/>
  <c r="F116" i="12843" s="1"/>
  <c r="Q95" i="12843"/>
  <c r="C146" i="12861"/>
  <c r="U291" i="12860"/>
  <c r="Q291" i="12860"/>
  <c r="M291" i="12860"/>
  <c r="I291" i="12860"/>
  <c r="I292" i="12860"/>
  <c r="Q292" i="12860"/>
  <c r="M292" i="12860"/>
  <c r="U292" i="12860"/>
  <c r="C223" i="12861"/>
  <c r="C179" i="12861"/>
  <c r="C183" i="12861" s="1"/>
  <c r="C116" i="12861"/>
  <c r="M615" i="12860"/>
  <c r="Q615" i="12860"/>
  <c r="Q113" i="12860"/>
  <c r="U113" i="12860"/>
  <c r="I113" i="12860"/>
  <c r="M113" i="12860"/>
  <c r="M271" i="12861"/>
  <c r="M237" i="12861" s="1"/>
  <c r="I271" i="12861"/>
  <c r="I237" i="12861" s="1"/>
  <c r="Q271" i="12861"/>
  <c r="Q237" i="12861" s="1"/>
  <c r="M271" i="12860"/>
  <c r="M237" i="12860" s="1"/>
  <c r="Q271" i="12860"/>
  <c r="Q237" i="12860" s="1"/>
  <c r="I271" i="12860"/>
  <c r="I237" i="12860" s="1"/>
  <c r="U271" i="12860"/>
  <c r="U237" i="12860" s="1"/>
  <c r="F613" i="12861"/>
  <c r="F675" i="12861"/>
  <c r="U95" i="12861"/>
  <c r="Q95" i="12861"/>
  <c r="M95" i="12861"/>
  <c r="M272" i="12861"/>
  <c r="M238" i="12861" s="1"/>
  <c r="Q272" i="12861"/>
  <c r="Q238" i="12861" s="1"/>
  <c r="I272" i="12861"/>
  <c r="I238" i="12861" s="1"/>
  <c r="F125" i="12861"/>
  <c r="F131" i="12861" s="1"/>
  <c r="I125" i="12861"/>
  <c r="C130" i="12861"/>
  <c r="I130" i="12861" s="1"/>
  <c r="C144" i="12843"/>
  <c r="M144" i="12843" s="1"/>
  <c r="F139" i="12843"/>
  <c r="F90" i="12843" s="1"/>
  <c r="I270" i="12860"/>
  <c r="I236" i="12860" s="1"/>
  <c r="Q270" i="12860"/>
  <c r="Q236" i="12860" s="1"/>
  <c r="U270" i="12860"/>
  <c r="U236" i="12860" s="1"/>
  <c r="M270" i="12860"/>
  <c r="M236" i="12860" s="1"/>
  <c r="C144" i="12860"/>
  <c r="I139" i="12860"/>
  <c r="I90" i="12860" s="1"/>
  <c r="F139" i="12860"/>
  <c r="F145" i="12860" s="1"/>
  <c r="Q658" i="12861"/>
  <c r="I658" i="12861"/>
  <c r="I616" i="12861" s="1"/>
  <c r="M658" i="12861"/>
  <c r="C222" i="12860"/>
  <c r="C178" i="12860"/>
  <c r="C182" i="12860" s="1"/>
  <c r="M659" i="12861"/>
  <c r="Q659" i="12861"/>
  <c r="I659" i="12861"/>
  <c r="I617" i="12861" s="1"/>
  <c r="Q292" i="12861"/>
  <c r="I292" i="12861"/>
  <c r="M292" i="12861"/>
  <c r="M613" i="12860"/>
  <c r="C616" i="12860"/>
  <c r="C98" i="12860"/>
  <c r="M293" i="12861"/>
  <c r="I293" i="12861"/>
  <c r="Q293" i="12861"/>
  <c r="Q294" i="12861"/>
  <c r="I294" i="12861"/>
  <c r="M294" i="12861"/>
  <c r="I258" i="12861"/>
  <c r="M258" i="12861"/>
  <c r="Q258" i="12861"/>
  <c r="C90" i="12860"/>
  <c r="C95" i="12860" s="1"/>
  <c r="M257" i="12861"/>
  <c r="I257" i="12861"/>
  <c r="Q257" i="12861"/>
  <c r="C272" i="12860"/>
  <c r="C258" i="12860"/>
  <c r="F254" i="12860"/>
  <c r="F273" i="12860" s="1"/>
  <c r="Q114" i="12843"/>
  <c r="Q114" i="12861"/>
  <c r="C220" i="12843"/>
  <c r="C224" i="12843" s="1"/>
  <c r="C257" i="12843"/>
  <c r="M257" i="12843" s="1"/>
  <c r="C258" i="12843"/>
  <c r="Q258" i="12843" s="1"/>
  <c r="F253" i="12843"/>
  <c r="F219" i="12843" s="1"/>
  <c r="C272" i="12843"/>
  <c r="M272" i="12843" s="1"/>
  <c r="M238" i="12843" s="1"/>
  <c r="C219" i="12843"/>
  <c r="C223" i="12843" s="1"/>
  <c r="C292" i="12843"/>
  <c r="Q292" i="12843" s="1"/>
  <c r="C293" i="12767"/>
  <c r="C272" i="12767"/>
  <c r="C255" i="12843"/>
  <c r="C273" i="12843" s="1"/>
  <c r="C258" i="12767"/>
  <c r="Q271" i="12843"/>
  <c r="Q237" i="12843" s="1"/>
  <c r="M271" i="12843"/>
  <c r="M237" i="12843" s="1"/>
  <c r="F220" i="12843"/>
  <c r="C233" i="12767"/>
  <c r="I145" i="12861" l="1"/>
  <c r="U145" i="12861"/>
  <c r="Q145" i="12861"/>
  <c r="F290" i="12843"/>
  <c r="C180" i="12860"/>
  <c r="C184" i="12860" s="1"/>
  <c r="M184" i="12860" s="1"/>
  <c r="F675" i="12843"/>
  <c r="F635" i="12843" s="1"/>
  <c r="C309" i="12843"/>
  <c r="Q293" i="12843"/>
  <c r="Q224" i="12843" s="1"/>
  <c r="U96" i="12861"/>
  <c r="M293" i="12860"/>
  <c r="Q222" i="12860"/>
  <c r="Q144" i="12843"/>
  <c r="Q96" i="12861"/>
  <c r="Q659" i="12843"/>
  <c r="Q293" i="12860"/>
  <c r="F274" i="12861"/>
  <c r="F240" i="12861" s="1"/>
  <c r="C99" i="12861"/>
  <c r="I293" i="12860"/>
  <c r="F91" i="12861"/>
  <c r="M222" i="12860"/>
  <c r="M223" i="12861"/>
  <c r="C145" i="12843"/>
  <c r="Q145" i="12843" s="1"/>
  <c r="I91" i="12861"/>
  <c r="M223" i="12860"/>
  <c r="F140" i="12843"/>
  <c r="F146" i="12843" s="1"/>
  <c r="F99" i="12843" s="1"/>
  <c r="C91" i="12843"/>
  <c r="C96" i="12843" s="1"/>
  <c r="Q96" i="12843" s="1"/>
  <c r="Q224" i="12861"/>
  <c r="Q223" i="12861"/>
  <c r="I223" i="12860"/>
  <c r="I183" i="12860" s="1"/>
  <c r="U183" i="12860" s="1"/>
  <c r="U144" i="12860"/>
  <c r="U95" i="12860" s="1"/>
  <c r="I144" i="12860"/>
  <c r="I95" i="12860" s="1"/>
  <c r="Q144" i="12860"/>
  <c r="Q95" i="12860" s="1"/>
  <c r="M144" i="12860"/>
  <c r="M95" i="12860" s="1"/>
  <c r="F635" i="12861"/>
  <c r="Q183" i="12861"/>
  <c r="M183" i="12861"/>
  <c r="I224" i="12861"/>
  <c r="I184" i="12861" s="1"/>
  <c r="M616" i="12860"/>
  <c r="Q616" i="12860"/>
  <c r="F239" i="12860"/>
  <c r="F202" i="12860" s="1"/>
  <c r="Q258" i="12860"/>
  <c r="Q224" i="12860" s="1"/>
  <c r="I258" i="12860"/>
  <c r="U258" i="12860"/>
  <c r="U224" i="12860" s="1"/>
  <c r="M258" i="12860"/>
  <c r="M224" i="12860" s="1"/>
  <c r="I223" i="12861"/>
  <c r="I183" i="12861" s="1"/>
  <c r="F90" i="12861"/>
  <c r="I222" i="12860"/>
  <c r="I182" i="12860" s="1"/>
  <c r="U182" i="12860" s="1"/>
  <c r="U223" i="12860"/>
  <c r="F90" i="12860"/>
  <c r="Q259" i="12861"/>
  <c r="Q225" i="12861" s="1"/>
  <c r="M259" i="12861"/>
  <c r="M225" i="12861" s="1"/>
  <c r="I259" i="12861"/>
  <c r="I225" i="12861" s="1"/>
  <c r="M184" i="12861"/>
  <c r="Q184" i="12861"/>
  <c r="M182" i="12860"/>
  <c r="Q182" i="12860"/>
  <c r="Q183" i="12860"/>
  <c r="M183" i="12860"/>
  <c r="I273" i="12861"/>
  <c r="I239" i="12861" s="1"/>
  <c r="Q273" i="12861"/>
  <c r="Q239" i="12861" s="1"/>
  <c r="M273" i="12861"/>
  <c r="I96" i="12861"/>
  <c r="I272" i="12860"/>
  <c r="I238" i="12860" s="1"/>
  <c r="Q272" i="12860"/>
  <c r="Q238" i="12860" s="1"/>
  <c r="U272" i="12860"/>
  <c r="U238" i="12860" s="1"/>
  <c r="M272" i="12860"/>
  <c r="M224" i="12861"/>
  <c r="F220" i="12860"/>
  <c r="F180" i="12860" s="1"/>
  <c r="Q223" i="12860"/>
  <c r="Q144" i="12861"/>
  <c r="M144" i="12861"/>
  <c r="U144" i="12861"/>
  <c r="I144" i="12861"/>
  <c r="I95" i="12861" s="1"/>
  <c r="C225" i="12861"/>
  <c r="F98" i="12860"/>
  <c r="U222" i="12860"/>
  <c r="F99" i="12861"/>
  <c r="Q257" i="12843"/>
  <c r="Q223" i="12843" s="1"/>
  <c r="M258" i="12843"/>
  <c r="M224" i="12843" s="1"/>
  <c r="Q272" i="12843"/>
  <c r="Q238" i="12843" s="1"/>
  <c r="C259" i="12843"/>
  <c r="Q259" i="12843" s="1"/>
  <c r="M292" i="12843"/>
  <c r="M223" i="12843" s="1"/>
  <c r="C274" i="12843"/>
  <c r="C221" i="12843"/>
  <c r="C225" i="12843" s="1"/>
  <c r="F255" i="12843"/>
  <c r="F274" i="12843" s="1"/>
  <c r="M273" i="12843"/>
  <c r="Q273" i="12843"/>
  <c r="Q239" i="12843" s="1"/>
  <c r="Q294" i="12843"/>
  <c r="M294" i="12843"/>
  <c r="F309" i="12843"/>
  <c r="C226" i="12767"/>
  <c r="C234" i="12767"/>
  <c r="C228" i="12767"/>
  <c r="C263" i="12767"/>
  <c r="Q184" i="12860" l="1"/>
  <c r="F91" i="12843"/>
  <c r="C240" i="12843"/>
  <c r="M145" i="12843"/>
  <c r="I224" i="12860"/>
  <c r="M96" i="12843"/>
  <c r="Q1278" i="12860"/>
  <c r="M1278" i="12860"/>
  <c r="M259" i="12843"/>
  <c r="M225" i="12843" s="1"/>
  <c r="F221" i="12843"/>
  <c r="Q225" i="12843"/>
  <c r="F240" i="12843"/>
  <c r="C219" i="12767"/>
  <c r="C223" i="12767" s="1"/>
  <c r="C218" i="12767"/>
  <c r="C222" i="12767" s="1"/>
  <c r="C221" i="12767"/>
  <c r="C229" i="12767"/>
  <c r="C213" i="12767"/>
  <c r="C215" i="12767"/>
  <c r="C230" i="12767"/>
  <c r="C236" i="12767" s="1"/>
  <c r="C214" i="12767"/>
  <c r="C217" i="12767"/>
  <c r="C227" i="12767"/>
  <c r="C231" i="12767"/>
  <c r="C237" i="12767" s="1"/>
  <c r="C235" i="12767"/>
  <c r="C232" i="12767"/>
  <c r="C238" i="12767" s="1"/>
  <c r="C220" i="12767" l="1"/>
  <c r="C224" i="12767" s="1"/>
  <c r="F42" i="12811" l="1"/>
  <c r="F72" i="12811"/>
  <c r="F17" i="12811"/>
  <c r="F16" i="12811"/>
  <c r="F14" i="12811"/>
  <c r="P20" i="12774" l="1"/>
  <c r="C763" i="12767"/>
  <c r="M763" i="12767" s="1"/>
  <c r="C764" i="12767"/>
  <c r="M764" i="12843" l="1"/>
  <c r="M764" i="12861"/>
  <c r="Q764" i="12767"/>
  <c r="U764" i="12767"/>
  <c r="D81" i="12812"/>
  <c r="G81" i="12811"/>
  <c r="F15" i="12811"/>
  <c r="F122" i="12811"/>
  <c r="F123" i="12811"/>
  <c r="F125" i="12811"/>
  <c r="I1147" i="12767"/>
  <c r="I1150" i="12861" s="1"/>
  <c r="F121" i="12811"/>
  <c r="F124" i="12811"/>
  <c r="F84" i="12811"/>
  <c r="F52" i="12811"/>
  <c r="F21" i="12811"/>
  <c r="F22" i="12811" s="1"/>
  <c r="U765" i="12843" l="1"/>
  <c r="U765" i="12861"/>
  <c r="Q765" i="12843"/>
  <c r="Q765" i="12861"/>
  <c r="M1150" i="12861"/>
  <c r="I1156" i="12861"/>
  <c r="M1147" i="12767"/>
  <c r="U1147" i="12767" s="1"/>
  <c r="I1148" i="12843"/>
  <c r="M1148" i="12843" s="1"/>
  <c r="M51" i="12828"/>
  <c r="M55" i="12828"/>
  <c r="F85" i="12811"/>
  <c r="F127" i="12811"/>
  <c r="F137" i="12811" s="1"/>
  <c r="E12" i="12775" l="1"/>
  <c r="F12" i="12775"/>
  <c r="G12" i="12775"/>
  <c r="H12" i="12775"/>
  <c r="I12" i="12775"/>
  <c r="J12" i="12775"/>
  <c r="K12" i="12775"/>
  <c r="L12" i="12775"/>
  <c r="M12" i="12775"/>
  <c r="N12" i="12775"/>
  <c r="O12" i="12775"/>
  <c r="P11" i="12775"/>
  <c r="E12" i="12774"/>
  <c r="F12" i="12774"/>
  <c r="G12" i="12774"/>
  <c r="H12" i="12774"/>
  <c r="I12" i="12774"/>
  <c r="J12" i="12774"/>
  <c r="K12" i="12774"/>
  <c r="L12" i="12774"/>
  <c r="M12" i="12774"/>
  <c r="N12" i="12774"/>
  <c r="O12" i="12774"/>
  <c r="D12" i="12774"/>
  <c r="P11" i="12774"/>
  <c r="AD12" i="12775" l="1"/>
  <c r="AD12" i="12774"/>
  <c r="N79" i="12763" l="1"/>
  <c r="I79" i="12763"/>
  <c r="Z80" i="12764"/>
  <c r="O80" i="12764"/>
  <c r="K80" i="12764"/>
  <c r="I14" i="12763"/>
  <c r="O14" i="12764"/>
  <c r="K14" i="12764"/>
  <c r="E142" i="12813"/>
  <c r="E140" i="12813"/>
  <c r="E138" i="12813"/>
  <c r="E137" i="12813"/>
  <c r="E135" i="12813"/>
  <c r="E134" i="12813"/>
  <c r="E133" i="12813"/>
  <c r="E131" i="12813"/>
  <c r="E129" i="12813"/>
  <c r="E127" i="12813"/>
  <c r="E126" i="12813"/>
  <c r="E125" i="12813"/>
  <c r="E124" i="12813"/>
  <c r="E123" i="12813"/>
  <c r="E122" i="12813"/>
  <c r="E121" i="12813"/>
  <c r="E120" i="12813"/>
  <c r="E113" i="12813"/>
  <c r="E112" i="12813"/>
  <c r="E111" i="12813"/>
  <c r="E110" i="12813"/>
  <c r="E109" i="12813"/>
  <c r="E108" i="12813"/>
  <c r="E107" i="12813"/>
  <c r="E106" i="12813"/>
  <c r="E105" i="12813"/>
  <c r="E104" i="12813"/>
  <c r="E95" i="12813"/>
  <c r="E94" i="12813"/>
  <c r="E93" i="12813"/>
  <c r="E90" i="12813"/>
  <c r="E89" i="12813"/>
  <c r="E88" i="12813"/>
  <c r="E87" i="12813"/>
  <c r="E84" i="12813"/>
  <c r="E83" i="12813"/>
  <c r="E82" i="12813"/>
  <c r="E81" i="12813"/>
  <c r="E80" i="12813"/>
  <c r="E79" i="12813"/>
  <c r="C45" i="12763" s="1"/>
  <c r="E72" i="12813"/>
  <c r="E70" i="12813"/>
  <c r="E68" i="12813"/>
  <c r="E66" i="12813"/>
  <c r="E64" i="12813"/>
  <c r="E63" i="12813"/>
  <c r="E62" i="12813"/>
  <c r="E61" i="12813"/>
  <c r="E60" i="12813"/>
  <c r="E59" i="12813"/>
  <c r="E58" i="12813"/>
  <c r="E57" i="12813"/>
  <c r="E56" i="12813"/>
  <c r="E55" i="12813"/>
  <c r="E54" i="12813"/>
  <c r="E53" i="12813"/>
  <c r="C37" i="12764" s="1"/>
  <c r="E44" i="12813"/>
  <c r="E42" i="12813"/>
  <c r="E41" i="12813"/>
  <c r="E40" i="12813"/>
  <c r="E39" i="12813"/>
  <c r="E37" i="12813"/>
  <c r="E35" i="12813"/>
  <c r="E33" i="12813"/>
  <c r="E31" i="12813"/>
  <c r="E29" i="12813"/>
  <c r="E28" i="12813"/>
  <c r="E27" i="12813"/>
  <c r="E26" i="12813"/>
  <c r="E25" i="12813"/>
  <c r="E24" i="12813"/>
  <c r="E23" i="12813"/>
  <c r="E22" i="12813"/>
  <c r="E21" i="12813"/>
  <c r="E20" i="12813"/>
  <c r="E19" i="12813"/>
  <c r="E18" i="12813"/>
  <c r="E17" i="12813"/>
  <c r="E16" i="12813"/>
  <c r="E14" i="12813"/>
  <c r="E13" i="12813"/>
  <c r="E12" i="12813"/>
  <c r="E11" i="12813"/>
  <c r="E10" i="12813"/>
  <c r="E9" i="12813"/>
  <c r="E15" i="12813"/>
  <c r="F269" i="12767"/>
  <c r="F268" i="12767"/>
  <c r="F255" i="12767"/>
  <c r="F267" i="12767"/>
  <c r="F266" i="12767"/>
  <c r="F254" i="12767"/>
  <c r="F265" i="12767"/>
  <c r="F264" i="12767"/>
  <c r="F251" i="12767"/>
  <c r="F263" i="12767"/>
  <c r="F262" i="12767"/>
  <c r="F261" i="12767"/>
  <c r="F260" i="12767"/>
  <c r="C22" i="12763" l="1"/>
  <c r="C19" i="12763"/>
  <c r="C24" i="12763"/>
  <c r="C23" i="12763"/>
  <c r="C18" i="12763"/>
  <c r="C27" i="12763"/>
  <c r="C26" i="12763"/>
  <c r="C25" i="12763"/>
  <c r="C20" i="12763"/>
  <c r="C7" i="12764"/>
  <c r="C35" i="12763"/>
  <c r="C32" i="12763"/>
  <c r="C40" i="12763"/>
  <c r="C37" i="12763"/>
  <c r="G80" i="12811" s="1"/>
  <c r="C46" i="12763"/>
  <c r="C45" i="12764"/>
  <c r="C46" i="12764"/>
  <c r="C54" i="12764"/>
  <c r="C55" i="12763"/>
  <c r="C54" i="12763"/>
  <c r="C52" i="12764"/>
  <c r="C53" i="12764"/>
  <c r="C51" i="12764"/>
  <c r="M51" i="12764" s="1"/>
  <c r="C55" i="12764"/>
  <c r="M55" i="12764" s="1"/>
  <c r="C23" i="12764"/>
  <c r="C26" i="12764"/>
  <c r="C13" i="12764"/>
  <c r="C18" i="12764"/>
  <c r="C22" i="12764"/>
  <c r="C24" i="12764"/>
  <c r="C35" i="12764"/>
  <c r="C7" i="12763"/>
  <c r="G7" i="12764" s="1"/>
  <c r="C9" i="12763"/>
  <c r="C11" i="12763"/>
  <c r="C13" i="12763"/>
  <c r="C34" i="12763"/>
  <c r="C36" i="12763"/>
  <c r="C52" i="12763"/>
  <c r="C19" i="12764"/>
  <c r="C20" i="12764"/>
  <c r="C32" i="12764"/>
  <c r="C40" i="12764"/>
  <c r="C8" i="12763"/>
  <c r="C10" i="12763"/>
  <c r="C12" i="12763"/>
  <c r="C33" i="12763"/>
  <c r="C51" i="12763"/>
  <c r="C53" i="12763"/>
  <c r="C8" i="12764"/>
  <c r="M8" i="12764" s="1"/>
  <c r="C10" i="12764"/>
  <c r="C12" i="12764"/>
  <c r="C25" i="12764"/>
  <c r="C27" i="12764"/>
  <c r="C33" i="12764"/>
  <c r="C9" i="12764"/>
  <c r="C11" i="12764"/>
  <c r="C34" i="12764"/>
  <c r="C36" i="12764"/>
  <c r="M36" i="12764" s="1"/>
  <c r="Q36" i="12764" s="1"/>
  <c r="F247" i="12767"/>
  <c r="F248" i="12767"/>
  <c r="F249" i="12767"/>
  <c r="C63" i="12763" l="1"/>
  <c r="I12" i="12764"/>
  <c r="I63" i="12764" s="1"/>
  <c r="G12" i="12764"/>
  <c r="G63" i="12764" s="1"/>
  <c r="E9" i="12764"/>
  <c r="E73" i="12764" s="1"/>
  <c r="I9" i="12764"/>
  <c r="I73" i="12764" s="1"/>
  <c r="G9" i="12764"/>
  <c r="G73" i="12764" s="1"/>
  <c r="E45" i="12764"/>
  <c r="E89" i="12764" s="1"/>
  <c r="G45" i="12764"/>
  <c r="I45" i="12764"/>
  <c r="C47" i="12763"/>
  <c r="E32" i="12764"/>
  <c r="G32" i="12764"/>
  <c r="I32" i="12764"/>
  <c r="C41" i="12763"/>
  <c r="I23" i="12764"/>
  <c r="I96" i="12764"/>
  <c r="G23" i="12764"/>
  <c r="C108" i="12764"/>
  <c r="M25" i="12764"/>
  <c r="R25" i="12764" s="1"/>
  <c r="F53" i="12812" s="1"/>
  <c r="E53" i="12764"/>
  <c r="E105" i="12764" s="1"/>
  <c r="G53" i="12764"/>
  <c r="G105" i="12764" s="1"/>
  <c r="I53" i="12764"/>
  <c r="I105" i="12764" s="1"/>
  <c r="E10" i="12764"/>
  <c r="E74" i="12764" s="1"/>
  <c r="G10" i="12764"/>
  <c r="G74" i="12764" s="1"/>
  <c r="I10" i="12764"/>
  <c r="I74" i="12764" s="1"/>
  <c r="I75" i="12764" s="1"/>
  <c r="E34" i="12764"/>
  <c r="I34" i="12764"/>
  <c r="G34" i="12764"/>
  <c r="E7" i="12764"/>
  <c r="E67" i="12764" s="1"/>
  <c r="E69" i="12764" s="1"/>
  <c r="I7" i="12764"/>
  <c r="C14" i="12763"/>
  <c r="C100" i="12764"/>
  <c r="M54" i="12764"/>
  <c r="E46" i="12764"/>
  <c r="E90" i="12764" s="1"/>
  <c r="I46" i="12764"/>
  <c r="I90" i="12764" s="1"/>
  <c r="G46" i="12764"/>
  <c r="G90" i="12764" s="1"/>
  <c r="G35" i="12764"/>
  <c r="I35" i="12764"/>
  <c r="E26" i="12764"/>
  <c r="E81" i="12764" s="1"/>
  <c r="I26" i="12764"/>
  <c r="I81" i="12764" s="1"/>
  <c r="G26" i="12764"/>
  <c r="G81" i="12764" s="1"/>
  <c r="I24" i="12764"/>
  <c r="G24" i="12764"/>
  <c r="C63" i="12764"/>
  <c r="E13" i="12764"/>
  <c r="E80" i="12764" s="1"/>
  <c r="G13" i="12764"/>
  <c r="G80" i="12764" s="1"/>
  <c r="I13" i="12764"/>
  <c r="I80" i="12764" s="1"/>
  <c r="G37" i="12764"/>
  <c r="I37" i="12764"/>
  <c r="E27" i="12764"/>
  <c r="E85" i="12764" s="1"/>
  <c r="G27" i="12764"/>
  <c r="G85" i="12764" s="1"/>
  <c r="I27" i="12764"/>
  <c r="I85" i="12764" s="1"/>
  <c r="E19" i="12764"/>
  <c r="I19" i="12764"/>
  <c r="G19" i="12764"/>
  <c r="G78" i="12764" s="1"/>
  <c r="E33" i="12764"/>
  <c r="G33" i="12764"/>
  <c r="I33" i="12764"/>
  <c r="E52" i="12764"/>
  <c r="E104" i="12764" s="1"/>
  <c r="G52" i="12764"/>
  <c r="I52" i="12764"/>
  <c r="E11" i="12764"/>
  <c r="E71" i="12764" s="1"/>
  <c r="I11" i="12764"/>
  <c r="I71" i="12764" s="1"/>
  <c r="G11" i="12764"/>
  <c r="G71" i="12764" s="1"/>
  <c r="C56" i="12763"/>
  <c r="C47" i="12764"/>
  <c r="I40" i="12764"/>
  <c r="G40" i="12764"/>
  <c r="E20" i="12764"/>
  <c r="G20" i="12764"/>
  <c r="I20" i="12764"/>
  <c r="I79" i="12764" s="1"/>
  <c r="E18" i="12764"/>
  <c r="G18" i="12764"/>
  <c r="I18" i="12764"/>
  <c r="C28" i="12763"/>
  <c r="E22" i="12764"/>
  <c r="E84" i="12764" s="1"/>
  <c r="G22" i="12764"/>
  <c r="G84" i="12764" s="1"/>
  <c r="I22" i="12764"/>
  <c r="I84" i="12764" s="1"/>
  <c r="F18" i="12811"/>
  <c r="F19" i="12811" s="1"/>
  <c r="F38" i="12811" s="1"/>
  <c r="C251" i="12843"/>
  <c r="D80" i="12812"/>
  <c r="C56" i="12764"/>
  <c r="C41" i="12764"/>
  <c r="C28" i="12764"/>
  <c r="C14" i="12764"/>
  <c r="C79" i="12763"/>
  <c r="G13" i="12763"/>
  <c r="J13" i="12763" s="1"/>
  <c r="L13" i="12763" s="1"/>
  <c r="C80" i="12764"/>
  <c r="E106" i="12764" l="1"/>
  <c r="G64" i="12764"/>
  <c r="G65" i="12764" s="1"/>
  <c r="G79" i="12764"/>
  <c r="M32" i="12764"/>
  <c r="M45" i="12764"/>
  <c r="M33" i="12764"/>
  <c r="G41" i="12764"/>
  <c r="I78" i="12764"/>
  <c r="I64" i="12764"/>
  <c r="I65" i="12764" s="1"/>
  <c r="I95" i="12764"/>
  <c r="I98" i="12764" s="1"/>
  <c r="G86" i="12764"/>
  <c r="I104" i="12764"/>
  <c r="I106" i="12764" s="1"/>
  <c r="I56" i="12764"/>
  <c r="G104" i="12764"/>
  <c r="G106" i="12764" s="1"/>
  <c r="G56" i="12764"/>
  <c r="G95" i="12764"/>
  <c r="I41" i="12764"/>
  <c r="M10" i="12764"/>
  <c r="M46" i="12764"/>
  <c r="M23" i="12764"/>
  <c r="E77" i="12764"/>
  <c r="M37" i="12764"/>
  <c r="M7" i="12764"/>
  <c r="R7" i="12764" s="1"/>
  <c r="M34" i="12764"/>
  <c r="M20" i="12764"/>
  <c r="M13" i="12764"/>
  <c r="R13" i="12764" s="1"/>
  <c r="F18" i="12812" s="1"/>
  <c r="E86" i="12764"/>
  <c r="M40" i="12764"/>
  <c r="E78" i="12764"/>
  <c r="M35" i="12764"/>
  <c r="R35" i="12764" s="1"/>
  <c r="F76" i="12812" s="1"/>
  <c r="M24" i="12764"/>
  <c r="M52" i="12764"/>
  <c r="M9" i="12764"/>
  <c r="M18" i="12764"/>
  <c r="G89" i="12764"/>
  <c r="G91" i="12764" s="1"/>
  <c r="G47" i="12764"/>
  <c r="M11" i="12764"/>
  <c r="E91" i="12764"/>
  <c r="E75" i="12764"/>
  <c r="G67" i="12764"/>
  <c r="G69" i="12764" s="1"/>
  <c r="G14" i="12764"/>
  <c r="I89" i="12764"/>
  <c r="I91" i="12764" s="1"/>
  <c r="I47" i="12764"/>
  <c r="I77" i="12764"/>
  <c r="I28" i="12764"/>
  <c r="G77" i="12764"/>
  <c r="G28" i="12764"/>
  <c r="E79" i="12764"/>
  <c r="I86" i="12764"/>
  <c r="M19" i="12764"/>
  <c r="M22" i="12764"/>
  <c r="M12" i="12764"/>
  <c r="M53" i="12764"/>
  <c r="I67" i="12764"/>
  <c r="I69" i="12764" s="1"/>
  <c r="I14" i="12764"/>
  <c r="G75" i="12764"/>
  <c r="G96" i="12764"/>
  <c r="C58" i="12763"/>
  <c r="M26" i="12764"/>
  <c r="M27" i="12764"/>
  <c r="C58" i="12764"/>
  <c r="K13" i="12763"/>
  <c r="I18" i="12811" s="1"/>
  <c r="E14" i="12764"/>
  <c r="I162" i="12813"/>
  <c r="H162" i="12813"/>
  <c r="J161" i="12813"/>
  <c r="J163" i="12813" s="1"/>
  <c r="I161" i="12813"/>
  <c r="H161" i="12813"/>
  <c r="I156" i="12813"/>
  <c r="H152" i="12813"/>
  <c r="H155" i="12813" s="1"/>
  <c r="K137" i="12812"/>
  <c r="E135" i="12812"/>
  <c r="I135" i="12812" s="1"/>
  <c r="N135" i="12811" s="1"/>
  <c r="F133" i="12812"/>
  <c r="I133" i="12812" s="1"/>
  <c r="N133" i="12811" s="1"/>
  <c r="M132" i="12811"/>
  <c r="F131" i="12812"/>
  <c r="I129" i="12812"/>
  <c r="N129" i="12811" s="1"/>
  <c r="M129" i="12811"/>
  <c r="H127" i="12812"/>
  <c r="H137" i="12812" s="1"/>
  <c r="E20" i="12809" s="1"/>
  <c r="G126" i="12812"/>
  <c r="S126" i="12812" s="1"/>
  <c r="M126" i="12811"/>
  <c r="G125" i="12812"/>
  <c r="M125" i="12811"/>
  <c r="G124" i="12812"/>
  <c r="M124" i="12811"/>
  <c r="G123" i="12812"/>
  <c r="M123" i="12811"/>
  <c r="M122" i="12811"/>
  <c r="G121" i="12812"/>
  <c r="M121" i="12811"/>
  <c r="K117" i="12812"/>
  <c r="D115" i="12812"/>
  <c r="D113" i="12812"/>
  <c r="G113" i="12812" s="1"/>
  <c r="I113" i="12812" s="1"/>
  <c r="N113" i="12811" s="1"/>
  <c r="D112" i="12812"/>
  <c r="M112" i="12811" s="1"/>
  <c r="D111" i="12812"/>
  <c r="F111" i="12812" s="1"/>
  <c r="I111" i="12812" s="1"/>
  <c r="N111" i="12811" s="1"/>
  <c r="D110" i="12812"/>
  <c r="M110" i="12811" s="1"/>
  <c r="D109" i="12812"/>
  <c r="F109" i="12812" s="1"/>
  <c r="I109" i="12812" s="1"/>
  <c r="N109" i="12811" s="1"/>
  <c r="D108" i="12812"/>
  <c r="M108" i="12811" s="1"/>
  <c r="D107" i="12812"/>
  <c r="F107" i="12812" s="1"/>
  <c r="F152" i="12812" s="1"/>
  <c r="I105" i="12812"/>
  <c r="D105" i="12812"/>
  <c r="H103" i="12812"/>
  <c r="H117" i="12812" s="1"/>
  <c r="E19" i="12809" s="1"/>
  <c r="K102" i="12812"/>
  <c r="K101" i="12812"/>
  <c r="M101" i="12811"/>
  <c r="K97" i="12812"/>
  <c r="D95" i="12812"/>
  <c r="E95" i="12812" s="1"/>
  <c r="I95" i="12812" s="1"/>
  <c r="N95" i="12811" s="1"/>
  <c r="F93" i="12812"/>
  <c r="I93" i="12812" s="1"/>
  <c r="N93" i="12811" s="1"/>
  <c r="M92" i="12811"/>
  <c r="F91" i="12812"/>
  <c r="I91" i="12812" s="1"/>
  <c r="N91" i="12811" s="1"/>
  <c r="M90" i="12811"/>
  <c r="F89" i="12812"/>
  <c r="I89" i="12812" s="1"/>
  <c r="N89" i="12811" s="1"/>
  <c r="I87" i="12812"/>
  <c r="N87" i="12811" s="1"/>
  <c r="H85" i="12812"/>
  <c r="G84" i="12812"/>
  <c r="D85" i="12812"/>
  <c r="H82" i="12812"/>
  <c r="K81" i="12812"/>
  <c r="G81" i="12812"/>
  <c r="M81" i="12811"/>
  <c r="K80" i="12812"/>
  <c r="G80" i="12812"/>
  <c r="M80" i="12811"/>
  <c r="G79" i="12812"/>
  <c r="M79" i="12811"/>
  <c r="H77" i="12812"/>
  <c r="K76" i="12812"/>
  <c r="G76" i="12812"/>
  <c r="D77" i="12812"/>
  <c r="H74" i="12812"/>
  <c r="K73" i="12812"/>
  <c r="G73" i="12812"/>
  <c r="M73" i="12811"/>
  <c r="K72" i="12812"/>
  <c r="G72" i="12812"/>
  <c r="M72" i="12811"/>
  <c r="K71" i="12812"/>
  <c r="G71" i="12812"/>
  <c r="M71" i="12811"/>
  <c r="K68" i="12812"/>
  <c r="E66" i="12812"/>
  <c r="I66" i="12812" s="1"/>
  <c r="N66" i="12811" s="1"/>
  <c r="F64" i="12812"/>
  <c r="I64" i="12812" s="1"/>
  <c r="N64" i="12811" s="1"/>
  <c r="M63" i="12811"/>
  <c r="M61" i="12811"/>
  <c r="F60" i="12812"/>
  <c r="I60" i="12812" s="1"/>
  <c r="N60" i="12811" s="1"/>
  <c r="M59" i="12811"/>
  <c r="F58" i="12812"/>
  <c r="I58" i="12812" s="1"/>
  <c r="N58" i="12811" s="1"/>
  <c r="I56" i="12812"/>
  <c r="N56" i="12811" s="1"/>
  <c r="H54" i="12812"/>
  <c r="G53" i="12812"/>
  <c r="M53" i="12811"/>
  <c r="G52" i="12812"/>
  <c r="M52" i="12811"/>
  <c r="H50" i="12812"/>
  <c r="K49" i="12812"/>
  <c r="G49" i="12812"/>
  <c r="D50" i="12812"/>
  <c r="K46" i="12812"/>
  <c r="G46" i="12812"/>
  <c r="M46" i="12811"/>
  <c r="M47" i="12811" s="1"/>
  <c r="K43" i="12812"/>
  <c r="G43" i="12812"/>
  <c r="M43" i="12811"/>
  <c r="K42" i="12812"/>
  <c r="G42" i="12812"/>
  <c r="M42" i="12811"/>
  <c r="K41" i="12812"/>
  <c r="G41" i="12812"/>
  <c r="K38" i="12812"/>
  <c r="M34" i="12811"/>
  <c r="G33" i="12812"/>
  <c r="I33" i="12812" s="1"/>
  <c r="M32" i="12811"/>
  <c r="M30" i="12811"/>
  <c r="M28" i="12811"/>
  <c r="F27" i="12812"/>
  <c r="M26" i="12811"/>
  <c r="I24" i="12812"/>
  <c r="N24" i="12811" s="1"/>
  <c r="H22" i="12812"/>
  <c r="G21" i="12812"/>
  <c r="D22" i="12812"/>
  <c r="K18" i="12812"/>
  <c r="G18" i="12812"/>
  <c r="M18" i="12811"/>
  <c r="K17" i="12812"/>
  <c r="G17" i="12812"/>
  <c r="M17" i="12811"/>
  <c r="K16" i="12812"/>
  <c r="G16" i="12812"/>
  <c r="M16" i="12811"/>
  <c r="K15" i="12812"/>
  <c r="G15" i="12812"/>
  <c r="M15" i="12811"/>
  <c r="G14" i="12812"/>
  <c r="M14" i="12811"/>
  <c r="G13" i="12812"/>
  <c r="M13" i="12811"/>
  <c r="A6" i="12812"/>
  <c r="H135" i="12811"/>
  <c r="K135" i="12811" s="1"/>
  <c r="K133" i="12811"/>
  <c r="L133" i="12811" s="1"/>
  <c r="K132" i="12811"/>
  <c r="K131" i="12811"/>
  <c r="K129" i="12811"/>
  <c r="J127" i="12811"/>
  <c r="J137" i="12811" s="1"/>
  <c r="L126" i="12811"/>
  <c r="E126" i="12811"/>
  <c r="E123" i="12811"/>
  <c r="E122" i="12811"/>
  <c r="H115" i="12811"/>
  <c r="K115" i="12811" s="1"/>
  <c r="K113" i="12811"/>
  <c r="L113" i="12811" s="1"/>
  <c r="K112" i="12811"/>
  <c r="L112" i="12811" s="1"/>
  <c r="K111" i="12811"/>
  <c r="L111" i="12811" s="1"/>
  <c r="K110" i="12811"/>
  <c r="L110" i="12811" s="1"/>
  <c r="K109" i="12811"/>
  <c r="K108" i="12811"/>
  <c r="K107" i="12811"/>
  <c r="N105" i="12811"/>
  <c r="K105" i="12811"/>
  <c r="L105" i="12811" s="1"/>
  <c r="J103" i="12811"/>
  <c r="J117" i="12811" s="1"/>
  <c r="G95" i="12811"/>
  <c r="K93" i="12811"/>
  <c r="G93" i="12811"/>
  <c r="K92" i="12811"/>
  <c r="G92" i="12811"/>
  <c r="K91" i="12811"/>
  <c r="G91" i="12811"/>
  <c r="K90" i="12811"/>
  <c r="G90" i="12811"/>
  <c r="K89" i="12811"/>
  <c r="G89" i="12811"/>
  <c r="G87" i="12811"/>
  <c r="L87" i="12811" s="1"/>
  <c r="J85" i="12811"/>
  <c r="G84" i="12811"/>
  <c r="J82" i="12811"/>
  <c r="G79" i="12811"/>
  <c r="J77" i="12811"/>
  <c r="G76" i="12811"/>
  <c r="J74" i="12811"/>
  <c r="G73" i="12811"/>
  <c r="G72" i="12811"/>
  <c r="E72" i="12811"/>
  <c r="G71" i="12811"/>
  <c r="H66" i="12811"/>
  <c r="K66" i="12811" s="1"/>
  <c r="K64" i="12811"/>
  <c r="L64" i="12811" s="1"/>
  <c r="K63" i="12811"/>
  <c r="L63" i="12811" s="1"/>
  <c r="K62" i="12811"/>
  <c r="K61" i="12811"/>
  <c r="L61" i="12811" s="1"/>
  <c r="K60" i="12811"/>
  <c r="L60" i="12811" s="1"/>
  <c r="K59" i="12811"/>
  <c r="K58" i="12811"/>
  <c r="K56" i="12811"/>
  <c r="J54" i="12811"/>
  <c r="E52" i="12811"/>
  <c r="J50" i="12811"/>
  <c r="D47" i="12811"/>
  <c r="E42" i="12811"/>
  <c r="M41" i="12811"/>
  <c r="K34" i="12811"/>
  <c r="K33" i="12811"/>
  <c r="K30" i="12811"/>
  <c r="K29" i="12811"/>
  <c r="K28" i="12811"/>
  <c r="K24" i="12811"/>
  <c r="J22" i="12811"/>
  <c r="E18" i="12811"/>
  <c r="E17" i="12811"/>
  <c r="E16" i="12811"/>
  <c r="E15" i="12811"/>
  <c r="E14" i="12811"/>
  <c r="A6" i="12811"/>
  <c r="F24" i="12810"/>
  <c r="F23" i="12810"/>
  <c r="B6" i="12810"/>
  <c r="A6" i="12809"/>
  <c r="G82" i="12764" l="1"/>
  <c r="F1273" i="12860"/>
  <c r="I1273" i="12860" s="1"/>
  <c r="M1273" i="12860" s="1"/>
  <c r="F1279" i="12861"/>
  <c r="I1279" i="12861" s="1"/>
  <c r="M1279" i="12861" s="1"/>
  <c r="F17" i="12812"/>
  <c r="Q7" i="12764"/>
  <c r="I82" i="12764"/>
  <c r="I112" i="12764" s="1"/>
  <c r="G98" i="12764"/>
  <c r="E82" i="12764"/>
  <c r="E112" i="12764" s="1"/>
  <c r="I58" i="12764"/>
  <c r="G58" i="12764"/>
  <c r="F147" i="12812" s="1"/>
  <c r="S18" i="12812"/>
  <c r="Q13" i="12764"/>
  <c r="S13" i="12764" s="1"/>
  <c r="J97" i="12811"/>
  <c r="F1277" i="12843"/>
  <c r="G47" i="12812"/>
  <c r="G50" i="12812"/>
  <c r="M102" i="12811"/>
  <c r="M103" i="12811" s="1"/>
  <c r="G85" i="12812"/>
  <c r="G77" i="12812"/>
  <c r="H97" i="12812"/>
  <c r="E18" i="12809" s="1"/>
  <c r="J105" i="12812"/>
  <c r="L105" i="12812" s="1"/>
  <c r="M105" i="12812" s="1"/>
  <c r="O105" i="12811" s="1"/>
  <c r="P105" i="12811" s="1"/>
  <c r="L28" i="12811"/>
  <c r="L29" i="12811"/>
  <c r="L30" i="12811"/>
  <c r="L33" i="12811"/>
  <c r="L34" i="12811"/>
  <c r="J56" i="12812"/>
  <c r="L56" i="12812" s="1"/>
  <c r="M56" i="12812" s="1"/>
  <c r="O56" i="12811" s="1"/>
  <c r="P56" i="12811" s="1"/>
  <c r="J87" i="12812"/>
  <c r="L87" i="12812" s="1"/>
  <c r="M87" i="12812" s="1"/>
  <c r="O87" i="12811" s="1"/>
  <c r="P87" i="12811" s="1"/>
  <c r="F62" i="12812"/>
  <c r="I62" i="12812" s="1"/>
  <c r="J62" i="12812" s="1"/>
  <c r="F31" i="12812"/>
  <c r="I31" i="12812" s="1"/>
  <c r="N31" i="12811" s="1"/>
  <c r="M31" i="12811"/>
  <c r="L24" i="12811"/>
  <c r="L56" i="12811"/>
  <c r="L91" i="12811"/>
  <c r="L92" i="12811"/>
  <c r="L93" i="12811"/>
  <c r="L129" i="12811"/>
  <c r="D50" i="12811"/>
  <c r="F29" i="12812"/>
  <c r="D22" i="12811"/>
  <c r="E21" i="12811"/>
  <c r="E22" i="12811" s="1"/>
  <c r="E19" i="12811"/>
  <c r="E121" i="12811"/>
  <c r="E124" i="12811"/>
  <c r="E125" i="12811"/>
  <c r="D85" i="12811"/>
  <c r="E84" i="12811"/>
  <c r="E85" i="12811" s="1"/>
  <c r="D77" i="12811"/>
  <c r="D44" i="12811"/>
  <c r="AC37" i="12774"/>
  <c r="E115" i="12812"/>
  <c r="I115" i="12812" s="1"/>
  <c r="N115" i="12811" s="1"/>
  <c r="M36" i="12811"/>
  <c r="E36" i="12812"/>
  <c r="I36" i="12812" s="1"/>
  <c r="N36" i="12811" s="1"/>
  <c r="AC33" i="12775"/>
  <c r="H95" i="12811"/>
  <c r="I17" i="12811"/>
  <c r="K17" i="12811" s="1"/>
  <c r="H36" i="12811"/>
  <c r="G103" i="12812"/>
  <c r="L66" i="12811"/>
  <c r="AC23" i="12775"/>
  <c r="M29" i="12811"/>
  <c r="M87" i="12811"/>
  <c r="M93" i="12811"/>
  <c r="M58" i="12811"/>
  <c r="M64" i="12811"/>
  <c r="M27" i="12811"/>
  <c r="M33" i="12811"/>
  <c r="M76" i="12811"/>
  <c r="M77" i="12811" s="1"/>
  <c r="F1273" i="12767"/>
  <c r="M21" i="12811"/>
  <c r="M22" i="12811" s="1"/>
  <c r="M49" i="12811"/>
  <c r="M50" i="12811" s="1"/>
  <c r="M89" i="12811"/>
  <c r="M91" i="12811"/>
  <c r="M115" i="12811"/>
  <c r="M131" i="12811"/>
  <c r="M133" i="12811"/>
  <c r="M135" i="12811"/>
  <c r="AC44" i="12774"/>
  <c r="M95" i="12811"/>
  <c r="AC33" i="12774"/>
  <c r="M66" i="12811"/>
  <c r="AC23" i="12774"/>
  <c r="AC13" i="12774"/>
  <c r="L135" i="12811"/>
  <c r="AC44" i="12775"/>
  <c r="L115" i="12811"/>
  <c r="AC37" i="12775"/>
  <c r="H157" i="12813"/>
  <c r="D54" i="12811"/>
  <c r="G44" i="12812"/>
  <c r="J19" i="12811"/>
  <c r="J38" i="12811" s="1"/>
  <c r="J44" i="12811"/>
  <c r="J47" i="12811"/>
  <c r="M84" i="12811"/>
  <c r="M85" i="12811" s="1"/>
  <c r="M107" i="12811"/>
  <c r="M109" i="12811"/>
  <c r="M111" i="12811"/>
  <c r="M113" i="12811"/>
  <c r="M24" i="12811"/>
  <c r="M56" i="12811"/>
  <c r="M60" i="12811"/>
  <c r="M62" i="12811"/>
  <c r="M105" i="12811"/>
  <c r="G127" i="12812"/>
  <c r="G137" i="12812" s="1"/>
  <c r="H163" i="12813"/>
  <c r="I126" i="12812"/>
  <c r="N126" i="12811" s="1"/>
  <c r="G22" i="12812"/>
  <c r="D103" i="12811"/>
  <c r="G54" i="12812"/>
  <c r="G103" i="12811"/>
  <c r="G117" i="12811" s="1"/>
  <c r="D82" i="12811"/>
  <c r="M74" i="12811"/>
  <c r="G19" i="12811"/>
  <c r="G74" i="12811"/>
  <c r="M54" i="12811"/>
  <c r="M19" i="12811"/>
  <c r="I163" i="12813"/>
  <c r="M44" i="12811"/>
  <c r="D19" i="12811"/>
  <c r="G19" i="12812"/>
  <c r="D82" i="12812"/>
  <c r="G85" i="12811"/>
  <c r="M127" i="12811"/>
  <c r="I131" i="12812"/>
  <c r="J131" i="12812" s="1"/>
  <c r="L131" i="12812" s="1"/>
  <c r="M131" i="12812" s="1"/>
  <c r="N131" i="12812" s="1"/>
  <c r="N131" i="12811"/>
  <c r="G77" i="12811"/>
  <c r="J133" i="12812"/>
  <c r="L133" i="12812" s="1"/>
  <c r="M133" i="12812" s="1"/>
  <c r="N133" i="12812" s="1"/>
  <c r="G22" i="12811"/>
  <c r="D74" i="12811"/>
  <c r="G82" i="12811"/>
  <c r="M82" i="12811"/>
  <c r="D127" i="12811"/>
  <c r="D137" i="12811" s="1"/>
  <c r="D19" i="12812"/>
  <c r="D38" i="12812" s="1"/>
  <c r="D54" i="12812"/>
  <c r="G74" i="12812"/>
  <c r="G82" i="12812"/>
  <c r="N33" i="12811"/>
  <c r="J33" i="12812"/>
  <c r="D47" i="12812"/>
  <c r="J58" i="12812"/>
  <c r="J89" i="12812"/>
  <c r="J93" i="12812"/>
  <c r="J111" i="12812"/>
  <c r="G127" i="12811"/>
  <c r="G137" i="12811" s="1"/>
  <c r="J24" i="12812"/>
  <c r="D44" i="12812"/>
  <c r="J60" i="12812"/>
  <c r="J64" i="12812"/>
  <c r="J91" i="12812"/>
  <c r="J109" i="12812"/>
  <c r="J113" i="12812"/>
  <c r="F26" i="12812"/>
  <c r="I27" i="12812"/>
  <c r="F28" i="12812"/>
  <c r="F30" i="12812"/>
  <c r="F32" i="12812"/>
  <c r="F34" i="12812"/>
  <c r="F149" i="12812" s="1"/>
  <c r="F132" i="12812"/>
  <c r="J66" i="12812"/>
  <c r="D74" i="12812"/>
  <c r="J95" i="12812"/>
  <c r="D103" i="12812"/>
  <c r="D117" i="12812" s="1"/>
  <c r="D127" i="12812"/>
  <c r="D137" i="12812" s="1"/>
  <c r="J129" i="12812"/>
  <c r="J135" i="12812"/>
  <c r="F59" i="12812"/>
  <c r="I59" i="12812" s="1"/>
  <c r="F61" i="12812"/>
  <c r="I61" i="12812" s="1"/>
  <c r="J61" i="12812" s="1"/>
  <c r="G63" i="12812"/>
  <c r="I63" i="12812" s="1"/>
  <c r="F90" i="12812"/>
  <c r="I90" i="12812" s="1"/>
  <c r="G92" i="12812"/>
  <c r="I92" i="12812" s="1"/>
  <c r="J92" i="12812" s="1"/>
  <c r="I107" i="12812"/>
  <c r="F108" i="12812"/>
  <c r="F110" i="12812"/>
  <c r="I110" i="12812" s="1"/>
  <c r="G112" i="12812"/>
  <c r="I112" i="12812" s="1"/>
  <c r="J112" i="12812" s="1"/>
  <c r="I157" i="12813"/>
  <c r="G112" i="12764" l="1"/>
  <c r="I113" i="12764"/>
  <c r="G113" i="12764"/>
  <c r="G38" i="12811"/>
  <c r="I108" i="12812"/>
  <c r="J108" i="12812" s="1"/>
  <c r="L108" i="12812" s="1"/>
  <c r="M108" i="12812" s="1"/>
  <c r="O108" i="12811" s="1"/>
  <c r="F150" i="12812"/>
  <c r="J155" i="12813"/>
  <c r="J157" i="12813" s="1"/>
  <c r="I1277" i="12843"/>
  <c r="M1277" i="12843" s="1"/>
  <c r="O48" i="12831"/>
  <c r="Q48" i="12831" s="1"/>
  <c r="L47" i="12783"/>
  <c r="K36" i="12811"/>
  <c r="L36" i="12811" s="1"/>
  <c r="K95" i="12811"/>
  <c r="L95" i="12811" s="1"/>
  <c r="J68" i="12811"/>
  <c r="J140" i="12811" s="1"/>
  <c r="I29" i="12812"/>
  <c r="N29" i="12811" s="1"/>
  <c r="D20" i="12810"/>
  <c r="D19" i="12810"/>
  <c r="N62" i="12811"/>
  <c r="D68" i="12811"/>
  <c r="J115" i="12812"/>
  <c r="L115" i="12812" s="1"/>
  <c r="M115" i="12812" s="1"/>
  <c r="N115" i="12812" s="1"/>
  <c r="D38" i="12811"/>
  <c r="E38" i="12811"/>
  <c r="E127" i="12811"/>
  <c r="E137" i="12811" s="1"/>
  <c r="J36" i="12812"/>
  <c r="L36" i="12812" s="1"/>
  <c r="M36" i="12812" s="1"/>
  <c r="O36" i="12811" s="1"/>
  <c r="P36" i="12811" s="1"/>
  <c r="Q36" i="12811" s="1"/>
  <c r="Q87" i="12811"/>
  <c r="I1273" i="12767"/>
  <c r="M1273" i="12767" s="1"/>
  <c r="U1273" i="12767" s="1"/>
  <c r="M38" i="12811"/>
  <c r="C16" i="12809" s="1"/>
  <c r="M137" i="12811"/>
  <c r="C20" i="12809" s="1"/>
  <c r="G38" i="12812"/>
  <c r="D117" i="12811"/>
  <c r="D97" i="12811"/>
  <c r="G68" i="12811"/>
  <c r="D97" i="12812"/>
  <c r="Q56" i="12811"/>
  <c r="M97" i="12811"/>
  <c r="C18" i="12809" s="1"/>
  <c r="M68" i="12811"/>
  <c r="C17" i="12809" s="1"/>
  <c r="M117" i="12811"/>
  <c r="C19" i="12809" s="1"/>
  <c r="J126" i="12812"/>
  <c r="L126" i="12812" s="1"/>
  <c r="M126" i="12812" s="1"/>
  <c r="Q105" i="12811"/>
  <c r="G97" i="12811"/>
  <c r="D68" i="12812"/>
  <c r="L92" i="12812"/>
  <c r="M92" i="12812" s="1"/>
  <c r="O92" i="12811" s="1"/>
  <c r="L61" i="12812"/>
  <c r="M61" i="12812" s="1"/>
  <c r="O61" i="12811" s="1"/>
  <c r="L112" i="12812"/>
  <c r="M112" i="12812" s="1"/>
  <c r="O112" i="12811" s="1"/>
  <c r="N110" i="12811"/>
  <c r="J107" i="12812"/>
  <c r="N107" i="12811"/>
  <c r="N90" i="12811"/>
  <c r="N63" i="12811"/>
  <c r="N59" i="12811"/>
  <c r="L129" i="12812"/>
  <c r="M129" i="12812" s="1"/>
  <c r="I34" i="12812"/>
  <c r="J31" i="12812"/>
  <c r="N27" i="12811"/>
  <c r="J27" i="12812"/>
  <c r="L33" i="12812"/>
  <c r="M33" i="12812" s="1"/>
  <c r="J90" i="12812"/>
  <c r="G97" i="12812"/>
  <c r="J63" i="12812"/>
  <c r="J59" i="12812"/>
  <c r="N105" i="12812"/>
  <c r="N87" i="12812"/>
  <c r="N56" i="12812"/>
  <c r="J110" i="12812"/>
  <c r="P105" i="12812"/>
  <c r="Q105" i="12812" s="1"/>
  <c r="G117" i="12812"/>
  <c r="P87" i="12812"/>
  <c r="Q87" i="12812" s="1"/>
  <c r="P56" i="12812"/>
  <c r="Q56" i="12812" s="1"/>
  <c r="G68" i="12812"/>
  <c r="F153" i="12812"/>
  <c r="N112" i="12811"/>
  <c r="N92" i="12811"/>
  <c r="N61" i="12811"/>
  <c r="P133" i="12812"/>
  <c r="Q133" i="12812" s="1"/>
  <c r="O133" i="12811"/>
  <c r="P133" i="12811" s="1"/>
  <c r="Q133" i="12811" s="1"/>
  <c r="P131" i="12812"/>
  <c r="Q131" i="12812" s="1"/>
  <c r="O131" i="12811"/>
  <c r="P131" i="12811" s="1"/>
  <c r="Q131" i="12811" s="1"/>
  <c r="L135" i="12812"/>
  <c r="M135" i="12812" s="1"/>
  <c r="N135" i="12812" s="1"/>
  <c r="L95" i="12812"/>
  <c r="M95" i="12812" s="1"/>
  <c r="N95" i="12812" s="1"/>
  <c r="L66" i="12812"/>
  <c r="M66" i="12812" s="1"/>
  <c r="N66" i="12812" s="1"/>
  <c r="I132" i="12812"/>
  <c r="N132" i="12811"/>
  <c r="F154" i="12812"/>
  <c r="I32" i="12812"/>
  <c r="N32" i="12811" s="1"/>
  <c r="I30" i="12812"/>
  <c r="I28" i="12812"/>
  <c r="I26" i="12812"/>
  <c r="L113" i="12812"/>
  <c r="M113" i="12812" s="1"/>
  <c r="N113" i="12812" s="1"/>
  <c r="L109" i="12812"/>
  <c r="M109" i="12812" s="1"/>
  <c r="N109" i="12812" s="1"/>
  <c r="L91" i="12812"/>
  <c r="M91" i="12812" s="1"/>
  <c r="N91" i="12812" s="1"/>
  <c r="L64" i="12812"/>
  <c r="M64" i="12812" s="1"/>
  <c r="N64" i="12812" s="1"/>
  <c r="L60" i="12812"/>
  <c r="M60" i="12812" s="1"/>
  <c r="N60" i="12812" s="1"/>
  <c r="L24" i="12812"/>
  <c r="M24" i="12812" s="1"/>
  <c r="N24" i="12812" s="1"/>
  <c r="L111" i="12812"/>
  <c r="M111" i="12812" s="1"/>
  <c r="L93" i="12812"/>
  <c r="M93" i="12812" s="1"/>
  <c r="L89" i="12812"/>
  <c r="M89" i="12812" s="1"/>
  <c r="L62" i="12812"/>
  <c r="M62" i="12812" s="1"/>
  <c r="L58" i="12812"/>
  <c r="M58" i="12812" s="1"/>
  <c r="F151" i="12812"/>
  <c r="S48" i="12831" l="1"/>
  <c r="X48" i="12831"/>
  <c r="N108" i="12811"/>
  <c r="P108" i="12811" s="1"/>
  <c r="Q108" i="12811" s="1"/>
  <c r="J29" i="12812"/>
  <c r="L29" i="12812" s="1"/>
  <c r="M29" i="12812" s="1"/>
  <c r="D16" i="12810"/>
  <c r="D18" i="12810"/>
  <c r="D17" i="12810"/>
  <c r="N36" i="12812"/>
  <c r="P36" i="12812"/>
  <c r="Q36" i="12812" s="1"/>
  <c r="P112" i="12812"/>
  <c r="Q112" i="12812" s="1"/>
  <c r="P61" i="12811"/>
  <c r="Q61" i="12811" s="1"/>
  <c r="P108" i="12812"/>
  <c r="Q108" i="12812" s="1"/>
  <c r="D140" i="12811"/>
  <c r="D140" i="12812"/>
  <c r="P61" i="12812"/>
  <c r="Q61" i="12812" s="1"/>
  <c r="M140" i="12811"/>
  <c r="G140" i="12811"/>
  <c r="P92" i="12811"/>
  <c r="Q92" i="12811" s="1"/>
  <c r="P92" i="12812"/>
  <c r="Q92" i="12812" s="1"/>
  <c r="P112" i="12811"/>
  <c r="Q112" i="12811" s="1"/>
  <c r="G140" i="12812"/>
  <c r="O58" i="12811"/>
  <c r="P58" i="12811" s="1"/>
  <c r="Q58" i="12811" s="1"/>
  <c r="P58" i="12812"/>
  <c r="Q58" i="12812" s="1"/>
  <c r="O62" i="12811"/>
  <c r="P62" i="12811" s="1"/>
  <c r="Q62" i="12811" s="1"/>
  <c r="P62" i="12812"/>
  <c r="Q62" i="12812" s="1"/>
  <c r="O89" i="12811"/>
  <c r="P89" i="12811" s="1"/>
  <c r="Q89" i="12811" s="1"/>
  <c r="P89" i="12812"/>
  <c r="Q89" i="12812" s="1"/>
  <c r="O93" i="12811"/>
  <c r="P93" i="12811" s="1"/>
  <c r="Q93" i="12811" s="1"/>
  <c r="P93" i="12812"/>
  <c r="Q93" i="12812" s="1"/>
  <c r="O111" i="12811"/>
  <c r="P111" i="12811" s="1"/>
  <c r="Q111" i="12811" s="1"/>
  <c r="P111" i="12812"/>
  <c r="Q111" i="12812" s="1"/>
  <c r="J132" i="12812"/>
  <c r="O126" i="12811"/>
  <c r="P126" i="12811" s="1"/>
  <c r="Q126" i="12811" s="1"/>
  <c r="P126" i="12812"/>
  <c r="Q126" i="12812" s="1"/>
  <c r="L59" i="12812"/>
  <c r="M59" i="12812" s="1"/>
  <c r="N59" i="12812" s="1"/>
  <c r="H44" i="12812"/>
  <c r="O33" i="12811"/>
  <c r="P33" i="12811" s="1"/>
  <c r="Q33" i="12811" s="1"/>
  <c r="P33" i="12812"/>
  <c r="Q33" i="12812" s="1"/>
  <c r="C21" i="12809"/>
  <c r="C25" i="12809" s="1"/>
  <c r="L27" i="12812"/>
  <c r="M27" i="12812" s="1"/>
  <c r="N27" i="12812" s="1"/>
  <c r="L31" i="12812"/>
  <c r="M31" i="12812" s="1"/>
  <c r="N34" i="12811"/>
  <c r="J34" i="12812"/>
  <c r="O129" i="12811"/>
  <c r="P129" i="12811" s="1"/>
  <c r="Q129" i="12811" s="1"/>
  <c r="P129" i="12812"/>
  <c r="Q129" i="12812" s="1"/>
  <c r="P24" i="12812"/>
  <c r="Q24" i="12812" s="1"/>
  <c r="O24" i="12811"/>
  <c r="P24" i="12811" s="1"/>
  <c r="Q24" i="12811" s="1"/>
  <c r="O60" i="12811"/>
  <c r="P60" i="12811" s="1"/>
  <c r="Q60" i="12811" s="1"/>
  <c r="P60" i="12812"/>
  <c r="Q60" i="12812" s="1"/>
  <c r="O64" i="12811"/>
  <c r="P64" i="12811" s="1"/>
  <c r="Q64" i="12811" s="1"/>
  <c r="P64" i="12812"/>
  <c r="Q64" i="12812" s="1"/>
  <c r="O91" i="12811"/>
  <c r="P91" i="12811" s="1"/>
  <c r="Q91" i="12811" s="1"/>
  <c r="P91" i="12812"/>
  <c r="Q91" i="12812" s="1"/>
  <c r="O109" i="12811"/>
  <c r="P109" i="12811" s="1"/>
  <c r="Q109" i="12811" s="1"/>
  <c r="P109" i="12812"/>
  <c r="Q109" i="12812" s="1"/>
  <c r="O113" i="12811"/>
  <c r="P113" i="12811" s="1"/>
  <c r="Q113" i="12811" s="1"/>
  <c r="P113" i="12812"/>
  <c r="Q113" i="12812" s="1"/>
  <c r="N26" i="12811"/>
  <c r="J26" i="12812"/>
  <c r="N28" i="12811"/>
  <c r="J28" i="12812"/>
  <c r="N30" i="12811"/>
  <c r="J30" i="12812"/>
  <c r="J32" i="12812"/>
  <c r="P66" i="12812"/>
  <c r="Q66" i="12812" s="1"/>
  <c r="O66" i="12811"/>
  <c r="P66" i="12811" s="1"/>
  <c r="Q66" i="12811" s="1"/>
  <c r="P95" i="12812"/>
  <c r="Q95" i="12812" s="1"/>
  <c r="O95" i="12811"/>
  <c r="P95" i="12811" s="1"/>
  <c r="Q95" i="12811" s="1"/>
  <c r="P135" i="12812"/>
  <c r="Q135" i="12812" s="1"/>
  <c r="O135" i="12811"/>
  <c r="P135" i="12811" s="1"/>
  <c r="Q135" i="12811" s="1"/>
  <c r="L110" i="12812"/>
  <c r="M110" i="12812" s="1"/>
  <c r="N110" i="12812" s="1"/>
  <c r="L63" i="12812"/>
  <c r="M63" i="12812" s="1"/>
  <c r="N63" i="12812" s="1"/>
  <c r="L90" i="12812"/>
  <c r="M90" i="12812" s="1"/>
  <c r="N90" i="12812" s="1"/>
  <c r="O115" i="12811"/>
  <c r="P115" i="12811" s="1"/>
  <c r="Q115" i="12811" s="1"/>
  <c r="P115" i="12812"/>
  <c r="Q115" i="12812" s="1"/>
  <c r="L107" i="12812"/>
  <c r="M107" i="12812" s="1"/>
  <c r="N107" i="12812" s="1"/>
  <c r="N58" i="12812"/>
  <c r="N62" i="12812"/>
  <c r="N89" i="12812"/>
  <c r="N93" i="12812"/>
  <c r="N111" i="12812"/>
  <c r="N126" i="12812"/>
  <c r="N33" i="12812"/>
  <c r="N129" i="12812"/>
  <c r="N108" i="12812"/>
  <c r="N112" i="12812"/>
  <c r="N61" i="12812"/>
  <c r="N92" i="12812"/>
  <c r="D21" i="12810" l="1"/>
  <c r="D25" i="12810" s="1"/>
  <c r="P31" i="12812"/>
  <c r="Q31" i="12812" s="1"/>
  <c r="O31" i="12811"/>
  <c r="P31" i="12811" s="1"/>
  <c r="Q31" i="12811" s="1"/>
  <c r="N29" i="12812"/>
  <c r="N31" i="12812"/>
  <c r="L28" i="12812"/>
  <c r="M28" i="12812" s="1"/>
  <c r="N28" i="12812" s="1"/>
  <c r="L34" i="12812"/>
  <c r="M34" i="12812" s="1"/>
  <c r="N34" i="12812" s="1"/>
  <c r="O107" i="12811"/>
  <c r="P107" i="12811" s="1"/>
  <c r="Q107" i="12811" s="1"/>
  <c r="P107" i="12812"/>
  <c r="Q107" i="12812" s="1"/>
  <c r="O29" i="12811"/>
  <c r="P29" i="12811" s="1"/>
  <c r="Q29" i="12811" s="1"/>
  <c r="P29" i="12812"/>
  <c r="Q29" i="12812" s="1"/>
  <c r="H19" i="12812"/>
  <c r="H38" i="12812" s="1"/>
  <c r="O90" i="12811"/>
  <c r="P90" i="12811" s="1"/>
  <c r="Q90" i="12811" s="1"/>
  <c r="P90" i="12812"/>
  <c r="Q90" i="12812" s="1"/>
  <c r="O63" i="12811"/>
  <c r="P63" i="12811" s="1"/>
  <c r="Q63" i="12811" s="1"/>
  <c r="P63" i="12812"/>
  <c r="Q63" i="12812" s="1"/>
  <c r="O110" i="12811"/>
  <c r="P110" i="12811" s="1"/>
  <c r="Q110" i="12811" s="1"/>
  <c r="P110" i="12812"/>
  <c r="Q110" i="12812" s="1"/>
  <c r="L32" i="12812"/>
  <c r="M32" i="12812" s="1"/>
  <c r="L30" i="12812"/>
  <c r="M30" i="12812" s="1"/>
  <c r="N30" i="12812" s="1"/>
  <c r="L26" i="12812"/>
  <c r="M26" i="12812" s="1"/>
  <c r="N26" i="12812" s="1"/>
  <c r="H47" i="12812"/>
  <c r="H68" i="12812" s="1"/>
  <c r="E17" i="12809" s="1"/>
  <c r="O27" i="12811"/>
  <c r="P27" i="12811" s="1"/>
  <c r="Q27" i="12811" s="1"/>
  <c r="P27" i="12812"/>
  <c r="Q27" i="12812" s="1"/>
  <c r="O59" i="12811"/>
  <c r="P59" i="12811" s="1"/>
  <c r="Q59" i="12811" s="1"/>
  <c r="P59" i="12812"/>
  <c r="Q59" i="12812" s="1"/>
  <c r="L132" i="12812"/>
  <c r="M132" i="12812" s="1"/>
  <c r="N132" i="12812" s="1"/>
  <c r="P32" i="12812" l="1"/>
  <c r="Q32" i="12812" s="1"/>
  <c r="O32" i="12811"/>
  <c r="P32" i="12811" s="1"/>
  <c r="Q32" i="12811" s="1"/>
  <c r="N32" i="12812"/>
  <c r="H140" i="12812"/>
  <c r="E16" i="12809"/>
  <c r="E21" i="12809" s="1"/>
  <c r="E25" i="12809" s="1"/>
  <c r="O28" i="12811"/>
  <c r="P28" i="12811" s="1"/>
  <c r="Q28" i="12811" s="1"/>
  <c r="P28" i="12812"/>
  <c r="Q28" i="12812" s="1"/>
  <c r="O132" i="12811"/>
  <c r="P132" i="12811" s="1"/>
  <c r="Q132" i="12811" s="1"/>
  <c r="P132" i="12812"/>
  <c r="Q132" i="12812" s="1"/>
  <c r="O26" i="12811"/>
  <c r="P26" i="12811" s="1"/>
  <c r="Q26" i="12811" s="1"/>
  <c r="P26" i="12812"/>
  <c r="Q26" i="12812" s="1"/>
  <c r="O30" i="12811"/>
  <c r="P30" i="12811" s="1"/>
  <c r="Q30" i="12811" s="1"/>
  <c r="P30" i="12812"/>
  <c r="Q30" i="12812" s="1"/>
  <c r="O34" i="12811"/>
  <c r="P34" i="12811" s="1"/>
  <c r="Q34" i="12811" s="1"/>
  <c r="P34" i="12812"/>
  <c r="Q34" i="12812" s="1"/>
  <c r="G1205" i="12767" l="1"/>
  <c r="G1208" i="12843" s="1"/>
  <c r="I1208" i="12843" l="1"/>
  <c r="G1209" i="12843"/>
  <c r="I1209" i="12843" s="1"/>
  <c r="I1164" i="12843" s="1"/>
  <c r="G1190" i="12767"/>
  <c r="G1192" i="12843" s="1"/>
  <c r="I1192" i="12843" s="1"/>
  <c r="G1189" i="12767"/>
  <c r="G1191" i="12843" s="1"/>
  <c r="I1191" i="12843" s="1"/>
  <c r="G1187" i="12767"/>
  <c r="G1189" i="12843" s="1"/>
  <c r="I1189" i="12843" s="1"/>
  <c r="G1181" i="12767" l="1"/>
  <c r="G1183" i="12843" s="1"/>
  <c r="I1183" i="12843" s="1"/>
  <c r="G1182" i="12767"/>
  <c r="G1184" i="12843" s="1"/>
  <c r="I1184" i="12843" s="1"/>
  <c r="G1183" i="12767"/>
  <c r="G1185" i="12843" s="1"/>
  <c r="I1185" i="12843" s="1"/>
  <c r="G1178" i="12767"/>
  <c r="G1180" i="12843" s="1"/>
  <c r="I1180" i="12843" s="1"/>
  <c r="I1165" i="12843" l="1"/>
  <c r="I94" i="12763" l="1"/>
  <c r="G38" i="12763"/>
  <c r="K38" i="12763" l="1"/>
  <c r="I81" i="12811" s="1"/>
  <c r="J38" i="12763"/>
  <c r="L38" i="12763" s="1"/>
  <c r="G1129" i="12767" l="1"/>
  <c r="G1129" i="12843" s="1"/>
  <c r="I1129" i="12843" s="1"/>
  <c r="G1130" i="12767"/>
  <c r="G1130" i="12843" s="1"/>
  <c r="I1130" i="12843" s="1"/>
  <c r="G1131" i="12767"/>
  <c r="G1131" i="12843" s="1"/>
  <c r="I1131" i="12843" s="1"/>
  <c r="G1132" i="12767"/>
  <c r="G1132" i="12843" s="1"/>
  <c r="I1132" i="12843" s="1"/>
  <c r="G1133" i="12767"/>
  <c r="G1133" i="12843" s="1"/>
  <c r="I1133" i="12843" s="1"/>
  <c r="G1134" i="12767"/>
  <c r="G1134" i="12843" s="1"/>
  <c r="I1134" i="12843" s="1"/>
  <c r="G1128" i="12767"/>
  <c r="G1128" i="12843" s="1"/>
  <c r="I1128" i="12843" s="1"/>
  <c r="G1113" i="12767"/>
  <c r="G1113" i="12843" s="1"/>
  <c r="I1113" i="12843" s="1"/>
  <c r="G1114" i="12767"/>
  <c r="G1114" i="12843" s="1"/>
  <c r="I1114" i="12843" s="1"/>
  <c r="G1115" i="12767"/>
  <c r="G1115" i="12843" s="1"/>
  <c r="I1115" i="12843" s="1"/>
  <c r="G1117" i="12767"/>
  <c r="G1117" i="12843" s="1"/>
  <c r="I1117" i="12843" s="1"/>
  <c r="G1118" i="12767"/>
  <c r="G1118" i="12843" s="1"/>
  <c r="I1118" i="12843" s="1"/>
  <c r="G1119" i="12767"/>
  <c r="G1119" i="12843" s="1"/>
  <c r="I1119" i="12843" s="1"/>
  <c r="G1120" i="12767"/>
  <c r="G1120" i="12843" s="1"/>
  <c r="I1120" i="12843" s="1"/>
  <c r="G1112" i="12767"/>
  <c r="G1112" i="12843" s="1"/>
  <c r="I1112" i="12843" s="1"/>
  <c r="Z89" i="12767" l="1"/>
  <c r="Y88" i="12767"/>
  <c r="G22" i="12843" l="1"/>
  <c r="G43" i="12843" l="1"/>
  <c r="I43" i="12843" s="1"/>
  <c r="G79" i="12843"/>
  <c r="I79" i="12843" s="1"/>
  <c r="G61" i="12843"/>
  <c r="I61" i="12843" s="1"/>
  <c r="S78" i="12767"/>
  <c r="U78" i="12767" s="1"/>
  <c r="S42" i="12767"/>
  <c r="U42" i="12767" s="1"/>
  <c r="S60" i="12767"/>
  <c r="U60" i="12767" s="1"/>
  <c r="O78" i="12767"/>
  <c r="Q78" i="12767" s="1"/>
  <c r="O60" i="12767"/>
  <c r="Q60" i="12767" s="1"/>
  <c r="K60" i="12767"/>
  <c r="M60" i="12767" s="1"/>
  <c r="O42" i="12767"/>
  <c r="Q42" i="12767" s="1"/>
  <c r="K78" i="12767"/>
  <c r="M78" i="12767" s="1"/>
  <c r="K22" i="12767"/>
  <c r="K42" i="12767"/>
  <c r="M42" i="12767" s="1"/>
  <c r="K22" i="12843" l="1"/>
  <c r="K61" i="12843" s="1"/>
  <c r="M61" i="12843" s="1"/>
  <c r="K22" i="12861"/>
  <c r="K79" i="12843"/>
  <c r="M79" i="12843" s="1"/>
  <c r="K43" i="12843"/>
  <c r="M43" i="12843" s="1"/>
  <c r="I22" i="12843"/>
  <c r="P15" i="12775"/>
  <c r="P9" i="12774"/>
  <c r="P7" i="12775"/>
  <c r="K79" i="12861" l="1"/>
  <c r="M79" i="12861" s="1"/>
  <c r="K61" i="12861"/>
  <c r="M61" i="12861" s="1"/>
  <c r="K43" i="12861"/>
  <c r="M43" i="12861" s="1"/>
  <c r="V27" i="12764"/>
  <c r="V85" i="12764" s="1"/>
  <c r="V26" i="12764"/>
  <c r="V81" i="12764" s="1"/>
  <c r="V11" i="12764"/>
  <c r="V71" i="12764" s="1"/>
  <c r="F1259" i="12767" l="1"/>
  <c r="F1258" i="12767"/>
  <c r="F1257" i="12767"/>
  <c r="F1255" i="12767"/>
  <c r="F1254" i="12767"/>
  <c r="F1252" i="12767"/>
  <c r="F1251" i="12767"/>
  <c r="F1250" i="12767"/>
  <c r="F1247" i="12767"/>
  <c r="F1246" i="12767"/>
  <c r="F1244" i="12767"/>
  <c r="F1243" i="12767"/>
  <c r="F1242" i="12767"/>
  <c r="F1239" i="12767"/>
  <c r="F1238" i="12767"/>
  <c r="F1235" i="12767"/>
  <c r="F1236" i="12767"/>
  <c r="F1234" i="12767"/>
  <c r="F1221" i="12767"/>
  <c r="F1219" i="12767"/>
  <c r="F1218" i="12767"/>
  <c r="I1176" i="12767" l="1"/>
  <c r="I1180" i="12861" s="1"/>
  <c r="F1190" i="12767"/>
  <c r="F1189" i="12767"/>
  <c r="F1188" i="12767"/>
  <c r="F1187" i="12767"/>
  <c r="F1186" i="12767"/>
  <c r="F1179" i="12767"/>
  <c r="F1180" i="12767"/>
  <c r="F1181" i="12767"/>
  <c r="F1182" i="12767"/>
  <c r="F1183" i="12767"/>
  <c r="F1193" i="12767"/>
  <c r="F1192" i="12767"/>
  <c r="I1205" i="12767"/>
  <c r="F1205" i="12767"/>
  <c r="I1149" i="12767"/>
  <c r="F1149" i="12767"/>
  <c r="F1153" i="12767" s="1"/>
  <c r="F1134" i="12767"/>
  <c r="F1133" i="12767"/>
  <c r="F1132" i="12767"/>
  <c r="F1131" i="12767"/>
  <c r="F1130" i="12767"/>
  <c r="F1129" i="12767"/>
  <c r="F1128" i="12767"/>
  <c r="F1113" i="12767"/>
  <c r="F1114" i="12767"/>
  <c r="F1115" i="12767"/>
  <c r="F1116" i="12767"/>
  <c r="F1117" i="12767"/>
  <c r="F1118" i="12767"/>
  <c r="F1119" i="12767"/>
  <c r="F1120" i="12767"/>
  <c r="F1121" i="12767"/>
  <c r="F1112" i="12767"/>
  <c r="C1074" i="12767"/>
  <c r="C1076" i="12767"/>
  <c r="C1077" i="12767"/>
  <c r="C1073" i="12767"/>
  <c r="F80" i="12811" s="1"/>
  <c r="E80" i="12811" s="1"/>
  <c r="C948" i="12767"/>
  <c r="C942" i="12767"/>
  <c r="C944" i="12767"/>
  <c r="C945" i="12767"/>
  <c r="C941" i="12767"/>
  <c r="C1081" i="12767"/>
  <c r="C1080" i="12767"/>
  <c r="C1078" i="12767"/>
  <c r="C989" i="12767"/>
  <c r="F987" i="12767"/>
  <c r="F986" i="12767"/>
  <c r="F984" i="12767"/>
  <c r="F983" i="12767"/>
  <c r="F982" i="12767"/>
  <c r="C981" i="12767"/>
  <c r="F980" i="12767"/>
  <c r="F979" i="12767"/>
  <c r="C1062" i="12767"/>
  <c r="C1061" i="12767"/>
  <c r="C1059" i="12767"/>
  <c r="C1058" i="12767"/>
  <c r="C1057" i="12767"/>
  <c r="C1055" i="12767"/>
  <c r="C1054" i="12767"/>
  <c r="F1037" i="12767"/>
  <c r="F1036" i="12767"/>
  <c r="C1038" i="12767"/>
  <c r="F1098" i="12767"/>
  <c r="F1099" i="12767"/>
  <c r="F1096" i="12767"/>
  <c r="F1095" i="12767"/>
  <c r="F1094" i="12767"/>
  <c r="F1092" i="12767"/>
  <c r="F1091" i="12767"/>
  <c r="F1025" i="12767"/>
  <c r="F1026" i="12767"/>
  <c r="F1023" i="12767"/>
  <c r="F1022" i="12767"/>
  <c r="F1021" i="12767"/>
  <c r="F1019" i="12767"/>
  <c r="F1018" i="12767"/>
  <c r="F968" i="12767"/>
  <c r="F969" i="12767"/>
  <c r="F966" i="12767"/>
  <c r="F965" i="12767"/>
  <c r="F964" i="12767"/>
  <c r="F962" i="12767"/>
  <c r="F961" i="12767"/>
  <c r="F891" i="12767"/>
  <c r="F848" i="12767"/>
  <c r="F869" i="12767"/>
  <c r="F847" i="12767"/>
  <c r="F842" i="12767"/>
  <c r="F841" i="12767"/>
  <c r="F840" i="12767"/>
  <c r="F839" i="12767"/>
  <c r="F838" i="12767"/>
  <c r="F836" i="12767"/>
  <c r="F831" i="12767"/>
  <c r="F830" i="12767"/>
  <c r="F829" i="12767"/>
  <c r="F827" i="12767"/>
  <c r="F795" i="12767"/>
  <c r="F794" i="12767"/>
  <c r="F789" i="12767"/>
  <c r="F788" i="12767"/>
  <c r="F787" i="12767"/>
  <c r="F786" i="12767"/>
  <c r="F785" i="12767"/>
  <c r="F783" i="12767"/>
  <c r="F778" i="12767"/>
  <c r="F777" i="12767"/>
  <c r="F776" i="12767"/>
  <c r="F774" i="12767"/>
  <c r="F652" i="12767"/>
  <c r="F689" i="12767"/>
  <c r="F686" i="12767"/>
  <c r="F683" i="12767"/>
  <c r="F670" i="12767"/>
  <c r="F694" i="12767"/>
  <c r="F692" i="12767"/>
  <c r="F687" i="12767"/>
  <c r="F684" i="12767"/>
  <c r="F682" i="12767"/>
  <c r="F656" i="12767"/>
  <c r="F651" i="12767"/>
  <c r="F649" i="12767"/>
  <c r="F648" i="12767"/>
  <c r="F646" i="12767"/>
  <c r="F645" i="12767"/>
  <c r="F644" i="12767"/>
  <c r="C393" i="12767"/>
  <c r="C394" i="12861" s="1"/>
  <c r="C398" i="12861" l="1"/>
  <c r="C359" i="12861"/>
  <c r="F394" i="12861"/>
  <c r="F413" i="12861" s="1"/>
  <c r="C413" i="12861"/>
  <c r="M1180" i="12861"/>
  <c r="I1165" i="12861"/>
  <c r="I1201" i="12861"/>
  <c r="F942" i="12767"/>
  <c r="C394" i="12843"/>
  <c r="C398" i="12843" s="1"/>
  <c r="F948" i="12767"/>
  <c r="F1197" i="12767"/>
  <c r="M1176" i="12767"/>
  <c r="U1176" i="12767" s="1"/>
  <c r="I1178" i="12843"/>
  <c r="U945" i="12767"/>
  <c r="Q945" i="12767"/>
  <c r="U944" i="12767"/>
  <c r="Q944" i="12767"/>
  <c r="Q942" i="12767"/>
  <c r="U942" i="12767"/>
  <c r="U941" i="12767"/>
  <c r="Q941" i="12767"/>
  <c r="C397" i="12767"/>
  <c r="F945" i="12767"/>
  <c r="U1162" i="12767"/>
  <c r="Q1162" i="12767"/>
  <c r="F944" i="12767"/>
  <c r="F941" i="12767"/>
  <c r="C952" i="12767"/>
  <c r="F1137" i="12767"/>
  <c r="F1073" i="12767"/>
  <c r="F1164" i="12767"/>
  <c r="F1074" i="12767"/>
  <c r="F1061" i="12767"/>
  <c r="F671" i="12767"/>
  <c r="F1055" i="12767"/>
  <c r="F1058" i="12767"/>
  <c r="F1062" i="12767"/>
  <c r="C1002" i="12767"/>
  <c r="C1000" i="12767"/>
  <c r="C1004" i="12767"/>
  <c r="C946" i="12767"/>
  <c r="C997" i="12767"/>
  <c r="C1001" i="12767"/>
  <c r="C998" i="12767"/>
  <c r="C1005" i="12767"/>
  <c r="C949" i="12767"/>
  <c r="F1054" i="12767"/>
  <c r="F1057" i="12767"/>
  <c r="F1059" i="12767"/>
  <c r="F989" i="12767"/>
  <c r="C1075" i="12767"/>
  <c r="F1039" i="12767"/>
  <c r="F1076" i="12767" s="1"/>
  <c r="F1040" i="12767"/>
  <c r="F1077" i="12767" s="1"/>
  <c r="F1041" i="12767"/>
  <c r="F1078" i="12767" s="1"/>
  <c r="F1043" i="12767"/>
  <c r="F1080" i="12767" s="1"/>
  <c r="F1044" i="12767"/>
  <c r="F1081" i="12767" s="1"/>
  <c r="C1046" i="12767"/>
  <c r="F535" i="12767"/>
  <c r="F534" i="12767"/>
  <c r="F533" i="12767"/>
  <c r="F532" i="12767"/>
  <c r="F531" i="12767"/>
  <c r="F528" i="12767"/>
  <c r="F527" i="12767"/>
  <c r="F526" i="12767"/>
  <c r="F500" i="12767"/>
  <c r="F499" i="12767"/>
  <c r="F498" i="12767"/>
  <c r="F497" i="12767"/>
  <c r="F496" i="12767"/>
  <c r="F493" i="12767"/>
  <c r="F492" i="12767"/>
  <c r="F491" i="12767"/>
  <c r="F429" i="12767"/>
  <c r="F427" i="12767"/>
  <c r="F425" i="12767"/>
  <c r="F422" i="12767"/>
  <c r="F421" i="12767"/>
  <c r="F420" i="12767"/>
  <c r="F394" i="12767"/>
  <c r="F392" i="12767"/>
  <c r="F391" i="12767"/>
  <c r="F390" i="12767"/>
  <c r="F387" i="12767"/>
  <c r="F386" i="12767"/>
  <c r="F385" i="12767"/>
  <c r="F324" i="12767"/>
  <c r="F322" i="12767"/>
  <c r="F321" i="12767"/>
  <c r="F320" i="12767"/>
  <c r="F318" i="12767"/>
  <c r="F317" i="12767"/>
  <c r="F316" i="12767"/>
  <c r="F290" i="12767"/>
  <c r="F286" i="12767"/>
  <c r="F283" i="12767"/>
  <c r="F284" i="12767"/>
  <c r="F282" i="12767"/>
  <c r="F153" i="12767"/>
  <c r="F152" i="12767"/>
  <c r="F140" i="12767"/>
  <c r="F137" i="12767"/>
  <c r="F156" i="12767"/>
  <c r="F155" i="12767"/>
  <c r="F141" i="12767"/>
  <c r="F123" i="12767"/>
  <c r="F122" i="12767"/>
  <c r="F107" i="12767"/>
  <c r="C378" i="12861" l="1"/>
  <c r="C203" i="12861" s="1"/>
  <c r="F378" i="12861"/>
  <c r="F203" i="12861" s="1"/>
  <c r="F359" i="12861"/>
  <c r="F181" i="12861" s="1"/>
  <c r="C181" i="12861"/>
  <c r="C185" i="12861" s="1"/>
  <c r="Q398" i="12861"/>
  <c r="Q363" i="12861" s="1"/>
  <c r="M398" i="12861"/>
  <c r="M363" i="12861" s="1"/>
  <c r="I398" i="12861"/>
  <c r="Q944" i="12843"/>
  <c r="Q944" i="12861"/>
  <c r="Q941" i="12843"/>
  <c r="Q941" i="12861"/>
  <c r="U944" i="12843"/>
  <c r="U944" i="12861"/>
  <c r="U941" i="12843"/>
  <c r="U941" i="12861"/>
  <c r="U943" i="12843"/>
  <c r="U943" i="12861"/>
  <c r="U940" i="12843"/>
  <c r="U940" i="12861"/>
  <c r="I1170" i="12861"/>
  <c r="Q940" i="12843"/>
  <c r="Q940" i="12861"/>
  <c r="Q943" i="12843"/>
  <c r="Q943" i="12861"/>
  <c r="C359" i="12843"/>
  <c r="F359" i="12843" s="1"/>
  <c r="F394" i="12843"/>
  <c r="F413" i="12843" s="1"/>
  <c r="F378" i="12843" s="1"/>
  <c r="C413" i="12843"/>
  <c r="C378" i="12843" s="1"/>
  <c r="C924" i="12767"/>
  <c r="C905" i="12767" s="1"/>
  <c r="C930" i="12767"/>
  <c r="C911" i="12767" s="1"/>
  <c r="C927" i="12767"/>
  <c r="C908" i="12767" s="1"/>
  <c r="C926" i="12767"/>
  <c r="C907" i="12767" s="1"/>
  <c r="C923" i="12767"/>
  <c r="C904" i="12767" s="1"/>
  <c r="M1005" i="12767"/>
  <c r="M1162" i="12767"/>
  <c r="M398" i="12843"/>
  <c r="M363" i="12843" s="1"/>
  <c r="Q398" i="12843"/>
  <c r="Q363" i="12843" s="1"/>
  <c r="C928" i="12767"/>
  <c r="C909" i="12767" s="1"/>
  <c r="M1178" i="12843"/>
  <c r="I1163" i="12843"/>
  <c r="M949" i="12767"/>
  <c r="M948" i="12861" s="1"/>
  <c r="C931" i="12767"/>
  <c r="C912" i="12767" s="1"/>
  <c r="Q998" i="12767"/>
  <c r="Q998" i="12861" s="1"/>
  <c r="U998" i="12767"/>
  <c r="U998" i="12861" s="1"/>
  <c r="U1001" i="12767"/>
  <c r="U1001" i="12861" s="1"/>
  <c r="U926" i="12861" s="1"/>
  <c r="U907" i="12861" s="1"/>
  <c r="Q1001" i="12767"/>
  <c r="Q1001" i="12861" s="1"/>
  <c r="Q926" i="12861" s="1"/>
  <c r="Q907" i="12861" s="1"/>
  <c r="Q997" i="12767"/>
  <c r="Q997" i="12861" s="1"/>
  <c r="U997" i="12767"/>
  <c r="U997" i="12861" s="1"/>
  <c r="U1000" i="12767"/>
  <c r="U1000" i="12861" s="1"/>
  <c r="Q1000" i="12767"/>
  <c r="Q1000" i="12861" s="1"/>
  <c r="F1001" i="12767"/>
  <c r="F927" i="12767" s="1"/>
  <c r="F908" i="12767" s="1"/>
  <c r="F1005" i="12767"/>
  <c r="F1004" i="12767"/>
  <c r="F930" i="12767" s="1"/>
  <c r="F911" i="12767" s="1"/>
  <c r="C1006" i="12767"/>
  <c r="F215" i="12767"/>
  <c r="C1008" i="12767"/>
  <c r="C933" i="12767" s="1"/>
  <c r="F1000" i="12767"/>
  <c r="F926" i="12767" s="1"/>
  <c r="F907" i="12767" s="1"/>
  <c r="F214" i="12767"/>
  <c r="F1002" i="12767"/>
  <c r="F213" i="12767"/>
  <c r="F221" i="12767"/>
  <c r="F217" i="12767"/>
  <c r="F949" i="12767"/>
  <c r="F998" i="12767"/>
  <c r="F924" i="12767" s="1"/>
  <c r="F905" i="12767" s="1"/>
  <c r="F997" i="12767"/>
  <c r="F923" i="12767" s="1"/>
  <c r="F904" i="12767" s="1"/>
  <c r="F946" i="12767"/>
  <c r="C1083" i="12767"/>
  <c r="F1046" i="12767"/>
  <c r="F77" i="12767"/>
  <c r="F76" i="12767"/>
  <c r="F72" i="12767"/>
  <c r="F71" i="12767"/>
  <c r="F60" i="12767"/>
  <c r="F59" i="12767"/>
  <c r="F58" i="12767"/>
  <c r="F57" i="12767"/>
  <c r="F55" i="12767"/>
  <c r="F54" i="12767"/>
  <c r="F53" i="12767"/>
  <c r="F39" i="12767"/>
  <c r="F36" i="12767"/>
  <c r="F37" i="12767"/>
  <c r="F35" i="12767"/>
  <c r="F1206" i="12767"/>
  <c r="F1163" i="12767" s="1"/>
  <c r="F868" i="12767"/>
  <c r="F867" i="12767"/>
  <c r="F862" i="12767"/>
  <c r="F861" i="12767"/>
  <c r="F860" i="12767"/>
  <c r="F859" i="12767"/>
  <c r="F858" i="12767"/>
  <c r="F856" i="12767"/>
  <c r="F855" i="12767"/>
  <c r="F854" i="12767"/>
  <c r="F853" i="12767"/>
  <c r="F851" i="12767"/>
  <c r="F815" i="12767"/>
  <c r="F809" i="12767"/>
  <c r="F808" i="12767"/>
  <c r="F807" i="12767"/>
  <c r="F806" i="12767"/>
  <c r="F805" i="12767"/>
  <c r="F803" i="12767"/>
  <c r="F802" i="12767"/>
  <c r="F801" i="12767"/>
  <c r="F800" i="12767"/>
  <c r="F798" i="12767"/>
  <c r="F707" i="12767"/>
  <c r="F705" i="12767"/>
  <c r="F702" i="12767"/>
  <c r="F701" i="12767"/>
  <c r="F700" i="12767"/>
  <c r="F699" i="12767"/>
  <c r="F698" i="12767"/>
  <c r="F669" i="12767"/>
  <c r="F667" i="12767"/>
  <c r="F666" i="12767"/>
  <c r="F665" i="12767"/>
  <c r="F664" i="12767"/>
  <c r="F663" i="12767"/>
  <c r="F662" i="12767"/>
  <c r="F661" i="12767"/>
  <c r="F660" i="12767"/>
  <c r="F547" i="12767"/>
  <c r="F546" i="12767"/>
  <c r="F545" i="12767"/>
  <c r="F544" i="12767"/>
  <c r="F543" i="12767"/>
  <c r="F542" i="12767"/>
  <c r="F541" i="12767"/>
  <c r="F540" i="12767"/>
  <c r="F512" i="12767"/>
  <c r="F511" i="12767"/>
  <c r="F510" i="12767"/>
  <c r="F509" i="12767"/>
  <c r="F508" i="12767"/>
  <c r="F507" i="12767"/>
  <c r="F506" i="12767"/>
  <c r="F505" i="12767"/>
  <c r="F441" i="12767"/>
  <c r="F440" i="12767"/>
  <c r="F439" i="12767"/>
  <c r="F438" i="12767"/>
  <c r="F437" i="12767"/>
  <c r="F436" i="12767"/>
  <c r="F435" i="12767"/>
  <c r="F434" i="12767"/>
  <c r="F406" i="12767"/>
  <c r="F405" i="12767"/>
  <c r="F404" i="12767"/>
  <c r="F403" i="12767"/>
  <c r="F402" i="12767"/>
  <c r="F401" i="12767"/>
  <c r="F400" i="12767"/>
  <c r="F399" i="12767"/>
  <c r="F371" i="12767"/>
  <c r="F370" i="12767"/>
  <c r="F369" i="12767"/>
  <c r="F368" i="12767"/>
  <c r="F367" i="12767"/>
  <c r="F366" i="12767"/>
  <c r="F365" i="12767"/>
  <c r="F364" i="12767"/>
  <c r="F336" i="12767"/>
  <c r="F335" i="12767"/>
  <c r="F334" i="12767"/>
  <c r="F333" i="12767"/>
  <c r="F332" i="12767"/>
  <c r="F331" i="12767"/>
  <c r="F330" i="12767"/>
  <c r="F329" i="12767"/>
  <c r="F302" i="12767"/>
  <c r="F233" i="12767" s="1"/>
  <c r="F300" i="12767"/>
  <c r="F299" i="12767"/>
  <c r="F298" i="12767"/>
  <c r="F157" i="12767"/>
  <c r="F142" i="12767"/>
  <c r="F42" i="12767"/>
  <c r="Q923" i="12861" l="1"/>
  <c r="Q904" i="12861" s="1"/>
  <c r="M185" i="12861"/>
  <c r="Q185" i="12861"/>
  <c r="U922" i="12861"/>
  <c r="U903" i="12861" s="1"/>
  <c r="U923" i="12861"/>
  <c r="U904" i="12861" s="1"/>
  <c r="Q925" i="12861"/>
  <c r="Q906" i="12861" s="1"/>
  <c r="U925" i="12861"/>
  <c r="U906" i="12861" s="1"/>
  <c r="M1005" i="12843"/>
  <c r="M1005" i="12861"/>
  <c r="M930" i="12861" s="1"/>
  <c r="M911" i="12861" s="1"/>
  <c r="Q922" i="12861"/>
  <c r="Q903" i="12861" s="1"/>
  <c r="F63" i="12767"/>
  <c r="U927" i="12767"/>
  <c r="U1001" i="12843"/>
  <c r="U926" i="12843" s="1"/>
  <c r="U907" i="12843" s="1"/>
  <c r="U923" i="12767"/>
  <c r="U904" i="12767" s="1"/>
  <c r="U997" i="12843"/>
  <c r="U922" i="12843" s="1"/>
  <c r="U903" i="12843" s="1"/>
  <c r="U924" i="12767"/>
  <c r="U905" i="12767" s="1"/>
  <c r="U998" i="12843"/>
  <c r="U923" i="12843" s="1"/>
  <c r="U904" i="12843" s="1"/>
  <c r="Q926" i="12767"/>
  <c r="Q907" i="12767" s="1"/>
  <c r="Q1000" i="12843"/>
  <c r="Q925" i="12843" s="1"/>
  <c r="Q906" i="12843" s="1"/>
  <c r="Q927" i="12767"/>
  <c r="Q1001" i="12843"/>
  <c r="Q926" i="12843" s="1"/>
  <c r="Q907" i="12843" s="1"/>
  <c r="U926" i="12767"/>
  <c r="U907" i="12767" s="1"/>
  <c r="U1000" i="12843"/>
  <c r="U925" i="12843" s="1"/>
  <c r="U906" i="12843" s="1"/>
  <c r="M931" i="12767"/>
  <c r="M912" i="12767" s="1"/>
  <c r="M948" i="12843"/>
  <c r="Q923" i="12767"/>
  <c r="Q904" i="12767" s="1"/>
  <c r="Q997" i="12843"/>
  <c r="Q922" i="12843" s="1"/>
  <c r="Q903" i="12843" s="1"/>
  <c r="Q924" i="12767"/>
  <c r="Q905" i="12767" s="1"/>
  <c r="Q998" i="12843"/>
  <c r="Q923" i="12843" s="1"/>
  <c r="Q904" i="12843" s="1"/>
  <c r="F928" i="12767"/>
  <c r="F909" i="12767" s="1"/>
  <c r="F931" i="12767"/>
  <c r="F912" i="12767" s="1"/>
  <c r="Q1006" i="12767"/>
  <c r="M1006" i="12767"/>
  <c r="G1006" i="12843"/>
  <c r="F1008" i="12767"/>
  <c r="F226" i="12767"/>
  <c r="F228" i="12767"/>
  <c r="F230" i="12767"/>
  <c r="F227" i="12767"/>
  <c r="F229" i="12767"/>
  <c r="F231" i="12767"/>
  <c r="F952" i="12767"/>
  <c r="F882" i="12767"/>
  <c r="F886" i="12767"/>
  <c r="F894" i="12767"/>
  <c r="F889" i="12767"/>
  <c r="F883" i="12767"/>
  <c r="F892" i="12767"/>
  <c r="F887" i="12767"/>
  <c r="F890" i="12767"/>
  <c r="F1083" i="12767"/>
  <c r="F704" i="12767"/>
  <c r="F690" i="12767"/>
  <c r="F703" i="12767"/>
  <c r="F893" i="12767"/>
  <c r="M930" i="12843" l="1"/>
  <c r="M911" i="12843" s="1"/>
  <c r="M1006" i="12843"/>
  <c r="M1006" i="12861"/>
  <c r="Q1006" i="12843"/>
  <c r="Q1006" i="12861"/>
  <c r="F933" i="12767"/>
  <c r="G1045" i="12843"/>
  <c r="I1045" i="12843" s="1"/>
  <c r="I1006" i="12843"/>
  <c r="G1027" i="12843"/>
  <c r="I1027" i="12843" s="1"/>
  <c r="G1027" i="12767"/>
  <c r="I1027" i="12767" s="1"/>
  <c r="S1006" i="12767"/>
  <c r="I1006" i="12767"/>
  <c r="G1045" i="12767"/>
  <c r="I1045" i="12767" s="1"/>
  <c r="T37" i="12764"/>
  <c r="V37" i="12764" s="1"/>
  <c r="F865" i="12767"/>
  <c r="F845" i="12767"/>
  <c r="F864" i="12767"/>
  <c r="F844" i="12767"/>
  <c r="F812" i="12767"/>
  <c r="F792" i="12767"/>
  <c r="F811" i="12767"/>
  <c r="F791" i="12767"/>
  <c r="S1006" i="12843" l="1"/>
  <c r="S1006" i="12861"/>
  <c r="F819" i="12767"/>
  <c r="T45" i="12764" s="1"/>
  <c r="S1027" i="12843"/>
  <c r="U1027" i="12843" s="1"/>
  <c r="S1045" i="12843"/>
  <c r="U1045" i="12843" s="1"/>
  <c r="U1006" i="12767"/>
  <c r="S1045" i="12767"/>
  <c r="U1045" i="12767" s="1"/>
  <c r="S1027" i="12767"/>
  <c r="U1027" i="12767" s="1"/>
  <c r="O1027" i="12767"/>
  <c r="Q1027" i="12767" s="1"/>
  <c r="O1045" i="12767"/>
  <c r="Q1045" i="12767" s="1"/>
  <c r="O71" i="12764"/>
  <c r="K71" i="12764"/>
  <c r="Z96" i="12764"/>
  <c r="O96" i="12764"/>
  <c r="K96" i="12764"/>
  <c r="Z81" i="12764"/>
  <c r="T81" i="12764"/>
  <c r="O81" i="12764"/>
  <c r="Z79" i="12764"/>
  <c r="Z12" i="12764"/>
  <c r="AB26" i="12764"/>
  <c r="AA26" i="12764"/>
  <c r="X26" i="12764"/>
  <c r="K81" i="12764"/>
  <c r="N80" i="12763"/>
  <c r="I80" i="12763"/>
  <c r="N68" i="12763"/>
  <c r="I68" i="12763"/>
  <c r="G763" i="12767"/>
  <c r="G764" i="12767"/>
  <c r="K764" i="12767" s="1"/>
  <c r="G630" i="12767"/>
  <c r="G631" i="12843" s="1"/>
  <c r="G631" i="12767"/>
  <c r="G199" i="12843"/>
  <c r="I122" i="12767"/>
  <c r="F124" i="12767"/>
  <c r="I137" i="12767"/>
  <c r="I152" i="12767"/>
  <c r="F154" i="12767"/>
  <c r="I1091" i="12767"/>
  <c r="I1094" i="12767"/>
  <c r="D32" i="12774"/>
  <c r="E32" i="12774"/>
  <c r="F32" i="12774"/>
  <c r="G32" i="12774"/>
  <c r="H32" i="12774"/>
  <c r="I32" i="12774"/>
  <c r="J32" i="12774"/>
  <c r="K32" i="12774"/>
  <c r="L32" i="12774"/>
  <c r="M32" i="12774"/>
  <c r="N32" i="12774"/>
  <c r="O32" i="12774"/>
  <c r="I891" i="12767"/>
  <c r="F426" i="12767"/>
  <c r="D22" i="12774"/>
  <c r="E22" i="12774"/>
  <c r="F22" i="12774"/>
  <c r="G22" i="12774"/>
  <c r="H22" i="12774"/>
  <c r="I22" i="12774"/>
  <c r="J22" i="12774"/>
  <c r="K22" i="12774"/>
  <c r="L22" i="12774"/>
  <c r="M22" i="12774"/>
  <c r="N22" i="12774"/>
  <c r="O22" i="12774"/>
  <c r="F706" i="12767"/>
  <c r="C631" i="12767"/>
  <c r="F870" i="12767"/>
  <c r="D36" i="12774"/>
  <c r="E36" i="12774"/>
  <c r="F36" i="12774"/>
  <c r="G36" i="12774"/>
  <c r="H36" i="12774"/>
  <c r="I36" i="12774"/>
  <c r="J36" i="12774"/>
  <c r="K36" i="12774"/>
  <c r="L36" i="12774"/>
  <c r="M36" i="12774"/>
  <c r="N36" i="12774"/>
  <c r="O36" i="12774"/>
  <c r="F40" i="12767"/>
  <c r="F41" i="12767"/>
  <c r="F78" i="12767"/>
  <c r="D43" i="12774"/>
  <c r="E43" i="12774"/>
  <c r="F43" i="12774"/>
  <c r="G43" i="12774"/>
  <c r="H43" i="12774"/>
  <c r="I43" i="12774"/>
  <c r="J43" i="12774"/>
  <c r="K43" i="12774"/>
  <c r="L43" i="12774"/>
  <c r="M43" i="12774"/>
  <c r="N43" i="12774"/>
  <c r="O43" i="12774"/>
  <c r="C24" i="12767"/>
  <c r="C354" i="12767"/>
  <c r="C460" i="12767"/>
  <c r="C461" i="12843" s="1"/>
  <c r="C177" i="12843" s="1"/>
  <c r="C602" i="12767"/>
  <c r="C603" i="12767"/>
  <c r="C604" i="12767"/>
  <c r="F101" i="12811"/>
  <c r="C832" i="12767"/>
  <c r="F102" i="12811" s="1"/>
  <c r="E102" i="12811" s="1"/>
  <c r="C884" i="12767"/>
  <c r="C963" i="12767"/>
  <c r="C1020" i="12767"/>
  <c r="C999" i="12767" s="1"/>
  <c r="C1093" i="12767"/>
  <c r="C1165" i="12767"/>
  <c r="C1220" i="12767"/>
  <c r="G583" i="12767"/>
  <c r="I583" i="12767" s="1"/>
  <c r="C971" i="12767"/>
  <c r="C950" i="12767" s="1"/>
  <c r="C1028" i="12767"/>
  <c r="C1102" i="12767"/>
  <c r="D32" i="12775"/>
  <c r="E32" i="12775"/>
  <c r="F32" i="12775"/>
  <c r="G32" i="12775"/>
  <c r="H32" i="12775"/>
  <c r="I32" i="12775"/>
  <c r="J32" i="12775"/>
  <c r="K32" i="12775"/>
  <c r="L32" i="12775"/>
  <c r="M32" i="12775"/>
  <c r="N32" i="12775"/>
  <c r="O32" i="12775"/>
  <c r="B20" i="12783"/>
  <c r="B23" i="12783" s="1"/>
  <c r="B24" i="12783" s="1"/>
  <c r="C518" i="12767"/>
  <c r="C553" i="12767"/>
  <c r="G774" i="12767"/>
  <c r="I774" i="12767" s="1"/>
  <c r="G776" i="12767"/>
  <c r="I776" i="12767" s="1"/>
  <c r="G829" i="12767"/>
  <c r="I829" i="12767" s="1"/>
  <c r="F723" i="12767"/>
  <c r="F724" i="12767"/>
  <c r="C872" i="12767"/>
  <c r="F729" i="12767" s="1"/>
  <c r="F735" i="12767"/>
  <c r="C819" i="12767"/>
  <c r="C712" i="12767"/>
  <c r="I1192" i="12767"/>
  <c r="G1206" i="12767"/>
  <c r="I1206" i="12767" s="1"/>
  <c r="I1178" i="12767"/>
  <c r="I1179" i="12767"/>
  <c r="I1180" i="12767"/>
  <c r="I1181" i="12767"/>
  <c r="I1182" i="12767"/>
  <c r="I1183" i="12767"/>
  <c r="I1186" i="12767"/>
  <c r="I1187" i="12767"/>
  <c r="I1188" i="12767"/>
  <c r="I1189" i="12767"/>
  <c r="I1190" i="12767"/>
  <c r="C33" i="12787"/>
  <c r="D33" i="12787" s="1"/>
  <c r="C50" i="12787"/>
  <c r="C67" i="12787"/>
  <c r="C59" i="12787"/>
  <c r="C76" i="12787"/>
  <c r="E33" i="12787"/>
  <c r="E50" i="12787"/>
  <c r="E67" i="12787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E69" i="12787"/>
  <c r="C69" i="12787"/>
  <c r="E71" i="12787"/>
  <c r="C71" i="12787"/>
  <c r="E72" i="12787"/>
  <c r="C72" i="12787"/>
  <c r="E73" i="12787"/>
  <c r="C73" i="12787"/>
  <c r="E74" i="12787"/>
  <c r="C74" i="12787"/>
  <c r="D35" i="12787"/>
  <c r="I23" i="12787"/>
  <c r="I40" i="12787" s="1"/>
  <c r="C58" i="12787"/>
  <c r="C75" i="12787"/>
  <c r="D24" i="12787"/>
  <c r="D25" i="12787"/>
  <c r="D27" i="12787" s="1"/>
  <c r="E22" i="12775"/>
  <c r="F22" i="12775"/>
  <c r="G22" i="12775"/>
  <c r="H22" i="12775"/>
  <c r="I22" i="12775"/>
  <c r="J22" i="12775"/>
  <c r="K22" i="12775"/>
  <c r="L22" i="12775"/>
  <c r="M22" i="12775"/>
  <c r="N22" i="12775"/>
  <c r="O22" i="12775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I97" i="12787"/>
  <c r="I123" i="12787"/>
  <c r="I110" i="12787"/>
  <c r="K110" i="12787" s="1"/>
  <c r="I136" i="12787"/>
  <c r="K136" i="12787" s="1"/>
  <c r="O84" i="12787"/>
  <c r="Q84" i="12787"/>
  <c r="C137" i="12787"/>
  <c r="C141" i="12787" s="1"/>
  <c r="E98" i="12787"/>
  <c r="E124" i="12787"/>
  <c r="H124" i="12787" s="1"/>
  <c r="E111" i="12787"/>
  <c r="H111" i="12787" s="1"/>
  <c r="E137" i="12787"/>
  <c r="G137" i="12787" s="1"/>
  <c r="I85" i="12787"/>
  <c r="I98" i="12787" s="1"/>
  <c r="C86" i="12787"/>
  <c r="D86" i="12787"/>
  <c r="M86" i="12787" s="1"/>
  <c r="E99" i="12787"/>
  <c r="G99" i="12787" s="1"/>
  <c r="E112" i="12787"/>
  <c r="G112" i="12787" s="1"/>
  <c r="E125" i="12787"/>
  <c r="G125" i="12787" s="1"/>
  <c r="E138" i="12787"/>
  <c r="G138" i="12787" s="1"/>
  <c r="I99" i="12787"/>
  <c r="K99" i="12787" s="1"/>
  <c r="I112" i="12787"/>
  <c r="K112" i="12787" s="1"/>
  <c r="I125" i="12787"/>
  <c r="K125" i="12787" s="1"/>
  <c r="I138" i="12787"/>
  <c r="K138" i="12787" s="1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I87" i="12787"/>
  <c r="I100" i="12787" s="1"/>
  <c r="K100" i="12787" s="1"/>
  <c r="C88" i="12787"/>
  <c r="D88" i="12787"/>
  <c r="I88" i="12787"/>
  <c r="O88" i="12787" s="1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I149" i="12787"/>
  <c r="O149" i="12787" s="1"/>
  <c r="C356" i="12787"/>
  <c r="C150" i="12787" s="1"/>
  <c r="D414" i="12787"/>
  <c r="E385" i="12787"/>
  <c r="G385" i="12787" s="1"/>
  <c r="E414" i="12787"/>
  <c r="G414" i="12787" s="1"/>
  <c r="I154" i="12787"/>
  <c r="I150" i="12787" s="1"/>
  <c r="I356" i="12787" s="1"/>
  <c r="I367" i="12787" s="1"/>
  <c r="E211" i="12787"/>
  <c r="H211" i="12787" s="1"/>
  <c r="E239" i="12787"/>
  <c r="E249" i="12787" s="1"/>
  <c r="G249" i="12787" s="1"/>
  <c r="C239" i="12787"/>
  <c r="C240" i="12787"/>
  <c r="E296" i="12787"/>
  <c r="C300" i="12787"/>
  <c r="C271" i="12787" s="1"/>
  <c r="C296" i="12787"/>
  <c r="C299" i="12787" s="1"/>
  <c r="E325" i="12787"/>
  <c r="G325" i="12787" s="1"/>
  <c r="D325" i="12787"/>
  <c r="E212" i="12787"/>
  <c r="H212" i="12787" s="1"/>
  <c r="E240" i="12787"/>
  <c r="E250" i="12787" s="1"/>
  <c r="G250" i="12787" s="1"/>
  <c r="E297" i="12787"/>
  <c r="H297" i="12787" s="1"/>
  <c r="E326" i="12787"/>
  <c r="E337" i="12787" s="1"/>
  <c r="G337" i="12787" s="1"/>
  <c r="I211" i="12787"/>
  <c r="C211" i="12787"/>
  <c r="C183" i="12787" s="1"/>
  <c r="I239" i="12787"/>
  <c r="I249" i="12787" s="1"/>
  <c r="K249" i="12787" s="1"/>
  <c r="I296" i="12787"/>
  <c r="I325" i="12787"/>
  <c r="K325" i="12787" s="1"/>
  <c r="C212" i="12787"/>
  <c r="C214" i="12787" s="1"/>
  <c r="C357" i="12787"/>
  <c r="C151" i="12787" s="1"/>
  <c r="C390" i="12787"/>
  <c r="C361" i="12787" s="1"/>
  <c r="C391" i="12787"/>
  <c r="C362" i="12787" s="1"/>
  <c r="E386" i="12787"/>
  <c r="G386" i="12787" s="1"/>
  <c r="E415" i="12787"/>
  <c r="E426" i="12787" s="1"/>
  <c r="G426" i="12787" s="1"/>
  <c r="I386" i="12787"/>
  <c r="K386" i="12787" s="1"/>
  <c r="I415" i="12787"/>
  <c r="K415" i="12787" s="1"/>
  <c r="O151" i="12787"/>
  <c r="C213" i="12787"/>
  <c r="E213" i="12787"/>
  <c r="E241" i="12787"/>
  <c r="E251" i="12787" s="1"/>
  <c r="G251" i="12787" s="1"/>
  <c r="C244" i="12787"/>
  <c r="C245" i="12787"/>
  <c r="C241" i="12787"/>
  <c r="E298" i="12787"/>
  <c r="E309" i="12787" s="1"/>
  <c r="G309" i="12787" s="1"/>
  <c r="E327" i="12787"/>
  <c r="H327" i="12787" s="1"/>
  <c r="I213" i="12787"/>
  <c r="I223" i="12787" s="1"/>
  <c r="I241" i="12787"/>
  <c r="K241" i="12787" s="1"/>
  <c r="I298" i="12787"/>
  <c r="K298" i="12787" s="1"/>
  <c r="I327" i="12787"/>
  <c r="K327" i="12787" s="1"/>
  <c r="E216" i="12787"/>
  <c r="E225" i="12787" s="1"/>
  <c r="E244" i="12787"/>
  <c r="E302" i="12787"/>
  <c r="E311" i="12787" s="1"/>
  <c r="G311" i="12787" s="1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26" i="12787" s="1"/>
  <c r="E245" i="12787"/>
  <c r="E254" i="12787" s="1"/>
  <c r="G254" i="12787" s="1"/>
  <c r="E303" i="12787"/>
  <c r="E312" i="12787" s="1"/>
  <c r="G312" i="12787" s="1"/>
  <c r="E332" i="12787"/>
  <c r="H332" i="12787" s="1"/>
  <c r="E189" i="12787"/>
  <c r="E391" i="12787" s="1"/>
  <c r="E218" i="12787"/>
  <c r="E227" i="12787" s="1"/>
  <c r="E246" i="12787"/>
  <c r="E255" i="12787" s="1"/>
  <c r="G255" i="12787" s="1"/>
  <c r="E304" i="12787"/>
  <c r="E333" i="12787"/>
  <c r="H333" i="12787" s="1"/>
  <c r="E392" i="12787"/>
  <c r="E401" i="12787" s="1"/>
  <c r="G401" i="12787" s="1"/>
  <c r="E421" i="12787"/>
  <c r="G421" i="12787" s="1"/>
  <c r="I216" i="12787"/>
  <c r="I225" i="12787" s="1"/>
  <c r="I244" i="12787"/>
  <c r="I302" i="12787"/>
  <c r="K302" i="12787" s="1"/>
  <c r="I331" i="12787"/>
  <c r="I390" i="12787"/>
  <c r="I419" i="12787"/>
  <c r="K419" i="12787" s="1"/>
  <c r="I160" i="12787"/>
  <c r="I303" i="12787" s="1"/>
  <c r="I161" i="12787"/>
  <c r="I304" i="12787" s="1"/>
  <c r="I313" i="12787" s="1"/>
  <c r="K313" i="12787" s="1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252" i="12787" s="1"/>
  <c r="K252" i="12787" s="1"/>
  <c r="I301" i="12787"/>
  <c r="K301" i="12787" s="1"/>
  <c r="I330" i="12787"/>
  <c r="K330" i="12787" s="1"/>
  <c r="I389" i="12787"/>
  <c r="K389" i="12787" s="1"/>
  <c r="I418" i="12787"/>
  <c r="K418" i="12787" s="1"/>
  <c r="C268" i="12787"/>
  <c r="D268" i="12787"/>
  <c r="G326" i="12787"/>
  <c r="C269" i="12787"/>
  <c r="D269" i="12787"/>
  <c r="O155" i="12787"/>
  <c r="C388" i="12787"/>
  <c r="C359" i="12787" s="1"/>
  <c r="D271" i="12787"/>
  <c r="D416" i="12787"/>
  <c r="D358" i="12787" s="1"/>
  <c r="C272" i="12787"/>
  <c r="C360" i="12787"/>
  <c r="D272" i="12787"/>
  <c r="O158" i="12787"/>
  <c r="O159" i="12787"/>
  <c r="C363" i="12787"/>
  <c r="G392" i="12787"/>
  <c r="C219" i="12787"/>
  <c r="C247" i="12787"/>
  <c r="C276" i="12787"/>
  <c r="C364" i="12787"/>
  <c r="E219" i="12787"/>
  <c r="E247" i="12787"/>
  <c r="E256" i="12787" s="1"/>
  <c r="G256" i="12787" s="1"/>
  <c r="E305" i="12787"/>
  <c r="G305" i="12787" s="1"/>
  <c r="E334" i="12787"/>
  <c r="G334" i="12787" s="1"/>
  <c r="E393" i="12787"/>
  <c r="G393" i="12787" s="1"/>
  <c r="E422" i="12787"/>
  <c r="G422" i="12787" s="1"/>
  <c r="I219" i="12787"/>
  <c r="I228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H221" i="12787" s="1"/>
  <c r="E307" i="12787"/>
  <c r="G307" i="12787" s="1"/>
  <c r="D424" i="12787"/>
  <c r="I164" i="12787"/>
  <c r="I221" i="12787"/>
  <c r="I307" i="12787"/>
  <c r="K307" i="12787" s="1"/>
  <c r="C222" i="12787"/>
  <c r="C194" i="12787" s="1"/>
  <c r="C165" i="12787" s="1"/>
  <c r="E165" i="12787"/>
  <c r="E222" i="12787"/>
  <c r="H222" i="12787" s="1"/>
  <c r="D425" i="12787"/>
  <c r="C223" i="12787"/>
  <c r="C195" i="12787" s="1"/>
  <c r="C166" i="12787" s="1"/>
  <c r="E166" i="12787"/>
  <c r="E223" i="12787"/>
  <c r="I166" i="12787"/>
  <c r="I251" i="12787"/>
  <c r="K251" i="12787" s="1"/>
  <c r="I397" i="12787"/>
  <c r="K397" i="12787" s="1"/>
  <c r="C224" i="12787"/>
  <c r="C196" i="12787" s="1"/>
  <c r="C167" i="12787" s="1"/>
  <c r="E167" i="12787"/>
  <c r="D427" i="12787"/>
  <c r="I167" i="12787"/>
  <c r="C225" i="12787"/>
  <c r="C197" i="12787" s="1"/>
  <c r="C168" i="12787" s="1"/>
  <c r="E168" i="12787"/>
  <c r="E253" i="12787"/>
  <c r="G253" i="12787" s="1"/>
  <c r="E340" i="12787"/>
  <c r="G340" i="12787" s="1"/>
  <c r="D428" i="12787"/>
  <c r="I168" i="12787"/>
  <c r="I399" i="12787"/>
  <c r="K399" i="12787" s="1"/>
  <c r="C226" i="12787"/>
  <c r="C198" i="12787" s="1"/>
  <c r="C169" i="12787" s="1"/>
  <c r="E169" i="12787"/>
  <c r="E341" i="12787"/>
  <c r="D429" i="12787"/>
  <c r="E170" i="12787"/>
  <c r="E313" i="12787"/>
  <c r="G313" i="12787" s="1"/>
  <c r="D430" i="12787"/>
  <c r="C228" i="12787"/>
  <c r="C200" i="12787" s="1"/>
  <c r="C171" i="12787" s="1"/>
  <c r="E171" i="12787"/>
  <c r="D431" i="12787"/>
  <c r="I171" i="12787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E185" i="12787"/>
  <c r="E195" i="12787" s="1"/>
  <c r="I185" i="12787"/>
  <c r="I195" i="12787" s="1"/>
  <c r="E187" i="12787"/>
  <c r="E196" i="12787" s="1"/>
  <c r="I187" i="12787"/>
  <c r="I196" i="12787" s="1"/>
  <c r="E188" i="12787"/>
  <c r="E197" i="12787" s="1"/>
  <c r="I188" i="12787"/>
  <c r="I197" i="12787" s="1"/>
  <c r="E190" i="12787"/>
  <c r="E199" i="12787" s="1"/>
  <c r="E191" i="12787"/>
  <c r="E200" i="12787" s="1"/>
  <c r="I191" i="12787"/>
  <c r="I200" i="12787" s="1"/>
  <c r="D214" i="12787"/>
  <c r="D233" i="12787"/>
  <c r="D261" i="12787"/>
  <c r="E267" i="12787"/>
  <c r="E278" i="12787" s="1"/>
  <c r="I267" i="12787"/>
  <c r="I278" i="12787" s="1"/>
  <c r="E268" i="12787"/>
  <c r="E279" i="12787" s="1"/>
  <c r="E269" i="12787"/>
  <c r="I269" i="12787"/>
  <c r="I280" i="12787" s="1"/>
  <c r="E272" i="12787"/>
  <c r="E281" i="12787" s="1"/>
  <c r="I272" i="12787"/>
  <c r="I281" i="12787" s="1"/>
  <c r="E273" i="12787"/>
  <c r="E282" i="12787" s="1"/>
  <c r="I273" i="12787"/>
  <c r="I282" i="12787" s="1"/>
  <c r="E274" i="12787"/>
  <c r="E283" i="12787" s="1"/>
  <c r="E275" i="12787"/>
  <c r="E284" i="12787" s="1"/>
  <c r="E276" i="12787"/>
  <c r="E285" i="12787" s="1"/>
  <c r="I276" i="12787"/>
  <c r="I285" i="12787" s="1"/>
  <c r="E280" i="12787"/>
  <c r="D319" i="12787"/>
  <c r="C328" i="12787"/>
  <c r="D328" i="12787" s="1"/>
  <c r="D348" i="12787"/>
  <c r="C355" i="12787"/>
  <c r="E355" i="12787"/>
  <c r="E366" i="12787" s="1"/>
  <c r="E356" i="12787"/>
  <c r="E367" i="12787" s="1"/>
  <c r="E357" i="12787"/>
  <c r="E368" i="12787" s="1"/>
  <c r="I357" i="12787"/>
  <c r="I368" i="12787" s="1"/>
  <c r="C416" i="12787"/>
  <c r="E360" i="12787"/>
  <c r="E369" i="12787" s="1"/>
  <c r="I360" i="12787"/>
  <c r="I369" i="12787" s="1"/>
  <c r="E361" i="12787"/>
  <c r="E370" i="12787" s="1"/>
  <c r="I361" i="12787"/>
  <c r="I370" i="12787" s="1"/>
  <c r="E363" i="12787"/>
  <c r="E372" i="12787" s="1"/>
  <c r="E364" i="12787"/>
  <c r="E373" i="12787" s="1"/>
  <c r="I364" i="12787"/>
  <c r="I373" i="12787" s="1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H471" i="12787"/>
  <c r="C472" i="12787"/>
  <c r="C474" i="12787" s="1"/>
  <c r="D472" i="12787"/>
  <c r="D474" i="12787" s="1"/>
  <c r="C514" i="12787"/>
  <c r="C548" i="12787"/>
  <c r="D480" i="12787"/>
  <c r="M480" i="12787" s="1"/>
  <c r="E514" i="12787"/>
  <c r="E548" i="12787"/>
  <c r="E562" i="12787" s="1"/>
  <c r="I514" i="12787"/>
  <c r="I528" i="12787" s="1"/>
  <c r="K528" i="12787" s="1"/>
  <c r="I548" i="12787"/>
  <c r="I562" i="12787" s="1"/>
  <c r="K562" i="12787" s="1"/>
  <c r="O480" i="12787"/>
  <c r="C518" i="12787"/>
  <c r="E518" i="12787"/>
  <c r="E531" i="12787" s="1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E566" i="12787" s="1"/>
  <c r="G566" i="12787" s="1"/>
  <c r="C553" i="12787"/>
  <c r="I515" i="12787"/>
  <c r="I529" i="12787" s="1"/>
  <c r="C515" i="12787"/>
  <c r="I549" i="12787"/>
  <c r="I563" i="12787" s="1"/>
  <c r="K563" i="12787" s="1"/>
  <c r="C549" i="12787"/>
  <c r="I516" i="12787"/>
  <c r="I530" i="12787" s="1"/>
  <c r="C516" i="12787"/>
  <c r="I550" i="12787"/>
  <c r="I564" i="12787" s="1"/>
  <c r="K564" i="12787" s="1"/>
  <c r="C550" i="12787"/>
  <c r="I518" i="12787"/>
  <c r="I552" i="12787"/>
  <c r="I519" i="12787"/>
  <c r="I532" i="12787" s="1"/>
  <c r="K532" i="12787" s="1"/>
  <c r="I553" i="12787"/>
  <c r="E515" i="12787"/>
  <c r="E549" i="12787"/>
  <c r="E516" i="12787"/>
  <c r="E550" i="12787"/>
  <c r="H550" i="12787" s="1"/>
  <c r="D481" i="12787"/>
  <c r="M481" i="12787" s="1"/>
  <c r="O481" i="12787"/>
  <c r="D482" i="12787"/>
  <c r="O482" i="12787"/>
  <c r="E524" i="12787"/>
  <c r="E535" i="12787" s="1"/>
  <c r="E558" i="12787"/>
  <c r="E525" i="12787"/>
  <c r="E536" i="12787" s="1"/>
  <c r="E559" i="12787"/>
  <c r="I524" i="12787"/>
  <c r="I558" i="12787"/>
  <c r="I491" i="12787"/>
  <c r="O491" i="12787" s="1"/>
  <c r="C521" i="12787"/>
  <c r="E521" i="12787"/>
  <c r="E522" i="12787" s="1"/>
  <c r="E555" i="12787"/>
  <c r="E567" i="12787" s="1"/>
  <c r="C555" i="12787"/>
  <c r="I521" i="12787"/>
  <c r="I533" i="12787" s="1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E560" i="12787"/>
  <c r="E571" i="12787" s="1"/>
  <c r="I526" i="12787"/>
  <c r="I560" i="12787"/>
  <c r="O492" i="12787"/>
  <c r="C494" i="12787"/>
  <c r="D494" i="12787"/>
  <c r="I494" i="12787"/>
  <c r="C529" i="12787"/>
  <c r="C495" i="12787" s="1"/>
  <c r="D495" i="12787"/>
  <c r="I495" i="12787"/>
  <c r="C530" i="12787"/>
  <c r="C496" i="12787" s="1"/>
  <c r="D496" i="12787"/>
  <c r="I496" i="12787"/>
  <c r="C531" i="12787"/>
  <c r="C497" i="12787" s="1"/>
  <c r="I497" i="12787"/>
  <c r="I531" i="12787"/>
  <c r="C498" i="12787"/>
  <c r="I498" i="12787"/>
  <c r="C533" i="12787"/>
  <c r="C567" i="12787"/>
  <c r="I499" i="12787"/>
  <c r="C500" i="12787"/>
  <c r="C535" i="12787"/>
  <c r="C536" i="12787" s="1"/>
  <c r="C569" i="12787"/>
  <c r="I501" i="12787"/>
  <c r="I535" i="12787"/>
  <c r="K535" i="12787" s="1"/>
  <c r="C537" i="12787"/>
  <c r="C571" i="12787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C696" i="12787"/>
  <c r="E646" i="12787"/>
  <c r="H646" i="12787" s="1"/>
  <c r="E697" i="12787"/>
  <c r="E716" i="12787" s="1"/>
  <c r="G716" i="12787" s="1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I658" i="12787" s="1"/>
  <c r="K658" i="12787" s="1"/>
  <c r="C635" i="12787"/>
  <c r="I686" i="12787"/>
  <c r="K686" i="12787" s="1"/>
  <c r="I585" i="12787"/>
  <c r="I636" i="12787" s="1"/>
  <c r="C636" i="12787"/>
  <c r="C585" i="12787" s="1"/>
  <c r="I586" i="12787"/>
  <c r="I688" i="12787" s="1"/>
  <c r="C637" i="12787"/>
  <c r="C586" i="12787" s="1"/>
  <c r="I591" i="12787"/>
  <c r="K589" i="12787" s="1"/>
  <c r="C642" i="12787"/>
  <c r="C591" i="12787" s="1"/>
  <c r="I593" i="12787"/>
  <c r="I644" i="12787" s="1"/>
  <c r="C644" i="12787"/>
  <c r="I594" i="12787"/>
  <c r="I645" i="12787" s="1"/>
  <c r="C645" i="12787"/>
  <c r="I595" i="12787"/>
  <c r="I646" i="12787" s="1"/>
  <c r="C646" i="12787"/>
  <c r="I596" i="12787"/>
  <c r="I597" i="12787"/>
  <c r="D584" i="12787"/>
  <c r="M584" i="12787" s="1"/>
  <c r="E653" i="12787"/>
  <c r="E672" i="12787" s="1"/>
  <c r="G672" i="12787" s="1"/>
  <c r="C653" i="12787"/>
  <c r="C676" i="12787" s="1"/>
  <c r="E704" i="12787"/>
  <c r="E723" i="12787" s="1"/>
  <c r="I602" i="12787"/>
  <c r="I653" i="12787" s="1"/>
  <c r="D585" i="12787"/>
  <c r="D586" i="12787"/>
  <c r="C689" i="12787"/>
  <c r="D587" i="12787"/>
  <c r="C639" i="12787"/>
  <c r="C690" i="12787"/>
  <c r="D588" i="12787"/>
  <c r="C640" i="12787"/>
  <c r="C691" i="12787"/>
  <c r="D589" i="12787"/>
  <c r="C596" i="12787"/>
  <c r="D596" i="12787"/>
  <c r="C597" i="12787"/>
  <c r="D597" i="12787"/>
  <c r="C599" i="12787"/>
  <c r="E599" i="12787"/>
  <c r="E618" i="12787" s="1"/>
  <c r="C600" i="12787"/>
  <c r="E600" i="12787"/>
  <c r="E619" i="12787" s="1"/>
  <c r="C654" i="12787"/>
  <c r="C705" i="12787"/>
  <c r="E654" i="12787"/>
  <c r="E673" i="12787" s="1"/>
  <c r="G673" i="12787" s="1"/>
  <c r="E705" i="12787"/>
  <c r="I654" i="12787"/>
  <c r="I705" i="12787"/>
  <c r="O603" i="12787"/>
  <c r="C605" i="12787"/>
  <c r="D605" i="12787"/>
  <c r="E605" i="12787"/>
  <c r="C607" i="12787"/>
  <c r="D607" i="12787"/>
  <c r="E607" i="12787"/>
  <c r="I607" i="12787"/>
  <c r="C608" i="12787"/>
  <c r="D608" i="12787"/>
  <c r="E608" i="12787"/>
  <c r="C609" i="12787"/>
  <c r="D609" i="12787"/>
  <c r="E609" i="12787"/>
  <c r="C610" i="12787"/>
  <c r="E610" i="12787"/>
  <c r="C612" i="12787"/>
  <c r="E612" i="12787"/>
  <c r="C613" i="12787"/>
  <c r="E613" i="12787"/>
  <c r="C614" i="12787"/>
  <c r="E614" i="12787"/>
  <c r="C615" i="12787"/>
  <c r="D615" i="12787"/>
  <c r="E615" i="12787"/>
  <c r="C616" i="12787"/>
  <c r="D616" i="12787"/>
  <c r="E616" i="12787"/>
  <c r="C618" i="12787"/>
  <c r="C619" i="12787"/>
  <c r="C723" i="12787"/>
  <c r="C621" i="12787" s="1"/>
  <c r="E621" i="12787"/>
  <c r="C622" i="12787"/>
  <c r="E622" i="12787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P34" i="12775"/>
  <c r="P35" i="12775"/>
  <c r="D626" i="12787"/>
  <c r="H626" i="12787"/>
  <c r="D678" i="12787"/>
  <c r="D729" i="12787"/>
  <c r="E794" i="12787"/>
  <c r="E735" i="12787" s="1"/>
  <c r="I735" i="12787"/>
  <c r="K735" i="12787" s="1"/>
  <c r="E795" i="12787"/>
  <c r="E805" i="12787" s="1"/>
  <c r="I736" i="12787"/>
  <c r="K736" i="12787" s="1"/>
  <c r="C737" i="12787"/>
  <c r="D737" i="12787"/>
  <c r="E737" i="12787"/>
  <c r="I737" i="12787"/>
  <c r="C738" i="12787"/>
  <c r="C758" i="12787"/>
  <c r="E797" i="12787"/>
  <c r="E738" i="12787" s="1"/>
  <c r="I738" i="12787"/>
  <c r="I748" i="12787" s="1"/>
  <c r="K748" i="12787" s="1"/>
  <c r="E798" i="12787"/>
  <c r="E739" i="12787" s="1"/>
  <c r="E749" i="12787" s="1"/>
  <c r="I739" i="12787"/>
  <c r="K739" i="12787" s="1"/>
  <c r="C740" i="12787"/>
  <c r="E799" i="12787"/>
  <c r="E740" i="12787" s="1"/>
  <c r="I740" i="12787"/>
  <c r="I756" i="12787" s="1"/>
  <c r="K756" i="12787" s="1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C749" i="12787"/>
  <c r="E811" i="12787"/>
  <c r="E839" i="12787" s="1"/>
  <c r="H839" i="12787" s="1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I860" i="12787" s="1"/>
  <c r="K860" i="12787" s="1"/>
  <c r="K877" i="12787"/>
  <c r="O766" i="12787"/>
  <c r="C851" i="12787"/>
  <c r="C795" i="12787" s="1"/>
  <c r="C767" i="12787" s="1"/>
  <c r="D795" i="12787"/>
  <c r="D767" i="12787" s="1"/>
  <c r="M767" i="12787" s="1"/>
  <c r="E878" i="12787"/>
  <c r="G878" i="12787" s="1"/>
  <c r="I823" i="12787"/>
  <c r="K823" i="12787" s="1"/>
  <c r="I851" i="12787"/>
  <c r="K878" i="12787"/>
  <c r="O767" i="12787"/>
  <c r="C825" i="12787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E890" i="12787" s="1"/>
  <c r="C896" i="12787"/>
  <c r="D881" i="12787" s="1"/>
  <c r="I825" i="12787"/>
  <c r="I853" i="12787"/>
  <c r="K880" i="12787"/>
  <c r="I826" i="12787"/>
  <c r="I854" i="12787"/>
  <c r="K881" i="12787"/>
  <c r="O769" i="12787"/>
  <c r="V769" i="12787"/>
  <c r="O770" i="12787"/>
  <c r="C827" i="12787"/>
  <c r="C855" i="12787"/>
  <c r="E882" i="12787"/>
  <c r="E891" i="12787" s="1"/>
  <c r="I827" i="12787"/>
  <c r="I855" i="12787"/>
  <c r="I864" i="12787" s="1"/>
  <c r="K882" i="12787"/>
  <c r="O771" i="12787"/>
  <c r="E884" i="12787"/>
  <c r="E892" i="12787" s="1"/>
  <c r="I829" i="12787"/>
  <c r="I837" i="12787" s="1"/>
  <c r="I857" i="12787"/>
  <c r="K884" i="12787"/>
  <c r="O773" i="12787"/>
  <c r="C830" i="12787"/>
  <c r="C858" i="12787"/>
  <c r="E885" i="12787"/>
  <c r="O885" i="12787" s="1"/>
  <c r="I830" i="12787"/>
  <c r="I838" i="12787" s="1"/>
  <c r="I858" i="12787"/>
  <c r="I866" i="12787" s="1"/>
  <c r="K885" i="12787"/>
  <c r="O774" i="12787"/>
  <c r="C804" i="12787"/>
  <c r="C776" i="12787" s="1"/>
  <c r="D804" i="12787"/>
  <c r="D776" i="12787" s="1"/>
  <c r="E776" i="12787"/>
  <c r="I776" i="12787"/>
  <c r="I887" i="12787"/>
  <c r="K887" i="12787" s="1"/>
  <c r="C861" i="12787"/>
  <c r="C805" i="12787" s="1"/>
  <c r="C777" i="12787" s="1"/>
  <c r="D805" i="12787"/>
  <c r="D777" i="12787" s="1"/>
  <c r="E777" i="12787"/>
  <c r="I777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I779" i="12787"/>
  <c r="I890" i="12787"/>
  <c r="C836" i="12787"/>
  <c r="C864" i="12787"/>
  <c r="C891" i="12787"/>
  <c r="E780" i="12787"/>
  <c r="I780" i="12787"/>
  <c r="I891" i="12787"/>
  <c r="C837" i="12787"/>
  <c r="C865" i="12787"/>
  <c r="C892" i="12787"/>
  <c r="E781" i="12787"/>
  <c r="I781" i="12787"/>
  <c r="I892" i="12787"/>
  <c r="C838" i="12787"/>
  <c r="C866" i="12787"/>
  <c r="C893" i="12787"/>
  <c r="E782" i="12787"/>
  <c r="I782" i="12787"/>
  <c r="I893" i="12787"/>
  <c r="C839" i="12787"/>
  <c r="C867" i="12787"/>
  <c r="D811" i="12787"/>
  <c r="D783" i="12787" s="1"/>
  <c r="E894" i="12787"/>
  <c r="G894" i="12787" s="1"/>
  <c r="C840" i="12787"/>
  <c r="C895" i="12787"/>
  <c r="C868" i="12787" s="1"/>
  <c r="E895" i="12787"/>
  <c r="D813" i="12787"/>
  <c r="D785" i="12787" s="1"/>
  <c r="D814" i="12787"/>
  <c r="D786" i="12787" s="1"/>
  <c r="H814" i="12787"/>
  <c r="H786" i="12787" s="1"/>
  <c r="I804" i="12787"/>
  <c r="I805" i="12787"/>
  <c r="I806" i="12787"/>
  <c r="I807" i="12787"/>
  <c r="I808" i="12787"/>
  <c r="I809" i="12787"/>
  <c r="I810" i="12787"/>
  <c r="D824" i="12787"/>
  <c r="D852" i="12787"/>
  <c r="C879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D917" i="12787"/>
  <c r="P917" i="12787" s="1"/>
  <c r="G917" i="12787"/>
  <c r="D918" i="12787"/>
  <c r="P918" i="12787" s="1"/>
  <c r="G918" i="12787"/>
  <c r="D919" i="12787"/>
  <c r="P919" i="12787" s="1"/>
  <c r="G919" i="12787"/>
  <c r="D920" i="12787"/>
  <c r="P920" i="12787" s="1"/>
  <c r="G920" i="12787"/>
  <c r="D921" i="12787"/>
  <c r="P921" i="12787" s="1"/>
  <c r="G921" i="12787"/>
  <c r="C922" i="12787"/>
  <c r="D43" i="12775"/>
  <c r="E43" i="12775"/>
  <c r="F43" i="12775"/>
  <c r="G43" i="12775"/>
  <c r="H43" i="12775"/>
  <c r="I43" i="12775"/>
  <c r="J43" i="12775"/>
  <c r="K43" i="12775"/>
  <c r="L43" i="12775"/>
  <c r="M43" i="12775"/>
  <c r="N43" i="12775"/>
  <c r="O43" i="12775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K941" i="12787" s="1"/>
  <c r="M941" i="12787" s="1"/>
  <c r="H941" i="12787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I964" i="12787"/>
  <c r="I965" i="12787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G1001" i="12787" s="1"/>
  <c r="C1030" i="12787"/>
  <c r="D1018" i="12787" s="1"/>
  <c r="H1018" i="12787" s="1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C1029" i="12787"/>
  <c r="D1032" i="12787"/>
  <c r="G1037" i="12787"/>
  <c r="K1037" i="12787" s="1"/>
  <c r="E34" i="12763"/>
  <c r="G46" i="12763"/>
  <c r="G89" i="12763" s="1"/>
  <c r="X27" i="12764"/>
  <c r="C84" i="12764"/>
  <c r="R36" i="12764"/>
  <c r="R38" i="12764"/>
  <c r="R39" i="12764"/>
  <c r="X39" i="12764"/>
  <c r="R51" i="12764"/>
  <c r="I1261" i="12767"/>
  <c r="I1259" i="12767"/>
  <c r="I1258" i="12767"/>
  <c r="I1257" i="12767"/>
  <c r="I1254" i="12767"/>
  <c r="I1252" i="12767"/>
  <c r="I1251" i="12767"/>
  <c r="I1250" i="12767"/>
  <c r="I1247" i="12767"/>
  <c r="I1246" i="12767"/>
  <c r="I1244" i="12767"/>
  <c r="I1242" i="12767"/>
  <c r="I1239" i="12767"/>
  <c r="I1238" i="12767"/>
  <c r="I1236" i="12767"/>
  <c r="I1234" i="12767"/>
  <c r="I1112" i="12767"/>
  <c r="I1113" i="12767"/>
  <c r="I1114" i="12767"/>
  <c r="I1115" i="12767"/>
  <c r="I1116" i="12767"/>
  <c r="I1117" i="12767"/>
  <c r="I1118" i="12767"/>
  <c r="I1119" i="12767"/>
  <c r="I1120" i="12767"/>
  <c r="I1121" i="12767"/>
  <c r="I1128" i="12767"/>
  <c r="I1129" i="12767"/>
  <c r="I1148" i="12767"/>
  <c r="C1153" i="12767"/>
  <c r="C1151" i="12767" s="1"/>
  <c r="C1209" i="12767"/>
  <c r="C1208" i="12767" s="1"/>
  <c r="I1162" i="12767"/>
  <c r="I1243" i="12767"/>
  <c r="I1255" i="12767"/>
  <c r="I42" i="12767"/>
  <c r="I78" i="12767"/>
  <c r="I1221" i="12767"/>
  <c r="I587" i="12767"/>
  <c r="I593" i="12766"/>
  <c r="R583" i="12766" s="1"/>
  <c r="I596" i="12766"/>
  <c r="O596" i="12766" s="1"/>
  <c r="I597" i="12766"/>
  <c r="I699" i="12766" s="1"/>
  <c r="K699" i="12766" s="1"/>
  <c r="I160" i="12766"/>
  <c r="I161" i="12766" s="1"/>
  <c r="I333" i="12766" s="1"/>
  <c r="K333" i="12766" s="1"/>
  <c r="I149" i="12766"/>
  <c r="I384" i="12766" s="1"/>
  <c r="I395" i="12766" s="1"/>
  <c r="I150" i="12766"/>
  <c r="I414" i="12766" s="1"/>
  <c r="H20" i="12783"/>
  <c r="C130" i="12767"/>
  <c r="C160" i="12767"/>
  <c r="C1224" i="12767"/>
  <c r="C1222" i="12767" s="1"/>
  <c r="C25" i="12767"/>
  <c r="C1197" i="12767"/>
  <c r="C1195" i="12767" s="1"/>
  <c r="C285" i="12767"/>
  <c r="F41" i="12811" s="1"/>
  <c r="C647" i="12767"/>
  <c r="F46" i="12811" s="1"/>
  <c r="C319" i="12767"/>
  <c r="F71" i="12811" s="1"/>
  <c r="E71" i="12811" s="1"/>
  <c r="C685" i="12767"/>
  <c r="F76" i="12811" s="1"/>
  <c r="C1164" i="12767"/>
  <c r="C1163" i="12767"/>
  <c r="I1133" i="12767"/>
  <c r="I1134" i="12767"/>
  <c r="I1130" i="12767"/>
  <c r="I1132" i="12767"/>
  <c r="I1131" i="12767"/>
  <c r="P31" i="12775"/>
  <c r="P29" i="12775"/>
  <c r="C594" i="12767"/>
  <c r="C596" i="12767" s="1"/>
  <c r="P6" i="12775"/>
  <c r="P8" i="12775"/>
  <c r="P9" i="12775"/>
  <c r="P10" i="12775"/>
  <c r="P14" i="12775"/>
  <c r="P16" i="12775"/>
  <c r="P17" i="12775"/>
  <c r="P18" i="12775"/>
  <c r="P19" i="12775"/>
  <c r="P20" i="12775"/>
  <c r="P21" i="12775"/>
  <c r="P24" i="12775"/>
  <c r="P25" i="12775"/>
  <c r="P26" i="12775"/>
  <c r="P27" i="12775"/>
  <c r="P28" i="12775"/>
  <c r="P30" i="12775"/>
  <c r="AD32" i="12775"/>
  <c r="D36" i="12775"/>
  <c r="E36" i="12775"/>
  <c r="F36" i="12775"/>
  <c r="G36" i="12775"/>
  <c r="H36" i="12775"/>
  <c r="I36" i="12775"/>
  <c r="J36" i="12775"/>
  <c r="K36" i="12775"/>
  <c r="L36" i="12775"/>
  <c r="M36" i="12775"/>
  <c r="N36" i="12775"/>
  <c r="O36" i="12775"/>
  <c r="P38" i="12775"/>
  <c r="P39" i="12775"/>
  <c r="P40" i="12775"/>
  <c r="P41" i="12775"/>
  <c r="P42" i="12775"/>
  <c r="AD43" i="12775"/>
  <c r="P6" i="12774"/>
  <c r="P7" i="12774"/>
  <c r="P8" i="12774"/>
  <c r="P10" i="12774"/>
  <c r="P14" i="12774"/>
  <c r="P15" i="12774"/>
  <c r="P16" i="12774"/>
  <c r="P17" i="12774"/>
  <c r="P18" i="12774"/>
  <c r="P19" i="12774"/>
  <c r="P21" i="12774"/>
  <c r="P24" i="12774"/>
  <c r="P25" i="12774"/>
  <c r="P26" i="12774"/>
  <c r="P27" i="12774"/>
  <c r="P28" i="12774"/>
  <c r="P29" i="12774"/>
  <c r="P30" i="12774"/>
  <c r="P31" i="12774"/>
  <c r="AD32" i="12774"/>
  <c r="P35" i="12774"/>
  <c r="P38" i="12774"/>
  <c r="P39" i="12774"/>
  <c r="P40" i="12774"/>
  <c r="P41" i="12774"/>
  <c r="P42" i="12774"/>
  <c r="AD43" i="12774"/>
  <c r="C33" i="12766"/>
  <c r="D33" i="12766" s="1"/>
  <c r="H33" i="12766" s="1"/>
  <c r="C50" i="12766"/>
  <c r="C67" i="12766"/>
  <c r="D67" i="12766" s="1"/>
  <c r="H67" i="12766" s="1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I35" i="12766"/>
  <c r="I52" i="12766"/>
  <c r="I69" i="12766"/>
  <c r="I37" i="12766"/>
  <c r="I54" i="12766"/>
  <c r="I71" i="12766"/>
  <c r="I38" i="12766"/>
  <c r="I55" i="12766"/>
  <c r="I72" i="12766"/>
  <c r="I39" i="12766"/>
  <c r="I56" i="12766"/>
  <c r="I73" i="12766"/>
  <c r="C75" i="12766"/>
  <c r="C24" i="12766" s="1"/>
  <c r="D24" i="12766"/>
  <c r="C25" i="12766"/>
  <c r="D25" i="12766"/>
  <c r="D27" i="12766" s="1"/>
  <c r="C26" i="12766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C104" i="12766" s="1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C130" i="12766" s="1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M87" i="12766" s="1"/>
  <c r="G100" i="12766"/>
  <c r="G113" i="12766"/>
  <c r="G126" i="12766"/>
  <c r="G139" i="12766"/>
  <c r="H126" i="12766"/>
  <c r="H139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D89" i="12766"/>
  <c r="C90" i="12766"/>
  <c r="D90" i="12766"/>
  <c r="G90" i="12766"/>
  <c r="H90" i="12766"/>
  <c r="O91" i="12766"/>
  <c r="D104" i="12766"/>
  <c r="D117" i="12766"/>
  <c r="D130" i="12766"/>
  <c r="D143" i="12766"/>
  <c r="C149" i="12766"/>
  <c r="C387" i="12766"/>
  <c r="D384" i="12766" s="1"/>
  <c r="D149" i="12766" s="1"/>
  <c r="E149" i="12766"/>
  <c r="G384" i="12766"/>
  <c r="G413" i="12766"/>
  <c r="C417" i="12766"/>
  <c r="D413" i="12766" s="1"/>
  <c r="C356" i="12766"/>
  <c r="C150" i="12766" s="1"/>
  <c r="G385" i="12766"/>
  <c r="G414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397" i="12766" s="1"/>
  <c r="I415" i="12766"/>
  <c r="K415" i="12766" s="1"/>
  <c r="O151" i="12766"/>
  <c r="C211" i="12766"/>
  <c r="C239" i="12766"/>
  <c r="G239" i="12766" s="1"/>
  <c r="C296" i="12766"/>
  <c r="C267" i="12766" s="1"/>
  <c r="C212" i="12766"/>
  <c r="G212" i="12766" s="1"/>
  <c r="C240" i="12766"/>
  <c r="C300" i="12766"/>
  <c r="D325" i="12766"/>
  <c r="H325" i="12766" s="1"/>
  <c r="G325" i="12766"/>
  <c r="H211" i="12766"/>
  <c r="I211" i="12766"/>
  <c r="K211" i="12766" s="1"/>
  <c r="I239" i="12766"/>
  <c r="I249" i="12766" s="1"/>
  <c r="I296" i="12766"/>
  <c r="I325" i="12766"/>
  <c r="O153" i="12766"/>
  <c r="C268" i="12766"/>
  <c r="C328" i="12766"/>
  <c r="D328" i="12766" s="1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33" i="12766" s="1"/>
  <c r="C244" i="12766"/>
  <c r="C188" i="12766" s="1"/>
  <c r="C245" i="12766"/>
  <c r="C331" i="12766"/>
  <c r="C333" i="12766" s="1"/>
  <c r="C346" i="12766" s="1"/>
  <c r="C302" i="12766"/>
  <c r="G302" i="12766" s="1"/>
  <c r="C303" i="12766"/>
  <c r="C274" i="12766" s="1"/>
  <c r="D269" i="12766"/>
  <c r="G298" i="12766"/>
  <c r="G327" i="12766"/>
  <c r="H298" i="12766"/>
  <c r="H327" i="12766"/>
  <c r="I213" i="12766"/>
  <c r="I223" i="12766" s="1"/>
  <c r="I241" i="12766"/>
  <c r="I251" i="12766" s="1"/>
  <c r="I298" i="12766"/>
  <c r="K298" i="12766" s="1"/>
  <c r="I327" i="12766"/>
  <c r="K327" i="12766" s="1"/>
  <c r="O155" i="12766"/>
  <c r="C416" i="12766"/>
  <c r="D271" i="12766"/>
  <c r="C215" i="12766"/>
  <c r="C243" i="12766"/>
  <c r="G243" i="12766" s="1"/>
  <c r="C272" i="12766"/>
  <c r="C389" i="12766"/>
  <c r="G389" i="12766" s="1"/>
  <c r="C418" i="12766"/>
  <c r="D272" i="12766"/>
  <c r="G301" i="12766"/>
  <c r="G330" i="12766"/>
  <c r="H301" i="12766"/>
  <c r="H330" i="12766"/>
  <c r="I215" i="12766"/>
  <c r="I224" i="12766" s="1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G216" i="12766"/>
  <c r="I216" i="12766"/>
  <c r="I225" i="12766" s="1"/>
  <c r="I244" i="12766"/>
  <c r="I253" i="12766" s="1"/>
  <c r="I302" i="12766"/>
  <c r="I331" i="12766"/>
  <c r="I340" i="12766" s="1"/>
  <c r="I390" i="12766"/>
  <c r="I399" i="12766" s="1"/>
  <c r="I419" i="12766"/>
  <c r="I428" i="12766" s="1"/>
  <c r="O159" i="12766"/>
  <c r="H332" i="12766"/>
  <c r="G217" i="12766"/>
  <c r="G332" i="12766"/>
  <c r="G218" i="12766"/>
  <c r="G421" i="12766"/>
  <c r="H333" i="12766"/>
  <c r="C219" i="12766"/>
  <c r="C247" i="12766"/>
  <c r="C276" i="12766"/>
  <c r="C393" i="12766"/>
  <c r="C364" i="12766" s="1"/>
  <c r="G219" i="12766"/>
  <c r="G305" i="12766"/>
  <c r="G334" i="12766"/>
  <c r="G393" i="12766"/>
  <c r="G422" i="12766"/>
  <c r="H334" i="12766"/>
  <c r="I219" i="12766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E249" i="12766"/>
  <c r="G249" i="12766" s="1"/>
  <c r="E307" i="12766"/>
  <c r="G307" i="12766" s="1"/>
  <c r="E336" i="12766"/>
  <c r="G336" i="12766" s="1"/>
  <c r="E395" i="12766"/>
  <c r="E424" i="12766"/>
  <c r="G424" i="12766" s="1"/>
  <c r="I164" i="12766"/>
  <c r="I221" i="12766"/>
  <c r="K221" i="12766" s="1"/>
  <c r="C222" i="12766"/>
  <c r="C194" i="12766" s="1"/>
  <c r="C165" i="12766" s="1"/>
  <c r="E165" i="12766"/>
  <c r="E222" i="12766"/>
  <c r="H222" i="12766" s="1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I165" i="12766"/>
  <c r="C223" i="12766"/>
  <c r="C195" i="12766" s="1"/>
  <c r="C166" i="12766" s="1"/>
  <c r="E166" i="12766"/>
  <c r="E223" i="12766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309" i="12766"/>
  <c r="I338" i="12766"/>
  <c r="K338" i="12766" s="1"/>
  <c r="C224" i="12766"/>
  <c r="C196" i="12766" s="1"/>
  <c r="C167" i="12766" s="1"/>
  <c r="E167" i="12766"/>
  <c r="E224" i="12766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I167" i="12766"/>
  <c r="C225" i="12766"/>
  <c r="C197" i="12766" s="1"/>
  <c r="C168" i="12766" s="1"/>
  <c r="E168" i="12766"/>
  <c r="E225" i="12766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I168" i="12766"/>
  <c r="I220" i="12766"/>
  <c r="I248" i="12766"/>
  <c r="I306" i="12766"/>
  <c r="I335" i="12766"/>
  <c r="I394" i="12766"/>
  <c r="I423" i="12766"/>
  <c r="C226" i="12766"/>
  <c r="C198" i="12766" s="1"/>
  <c r="C169" i="12766" s="1"/>
  <c r="E169" i="12766"/>
  <c r="E226" i="12766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C229" i="12766"/>
  <c r="C201" i="12766" s="1"/>
  <c r="C172" i="12766" s="1"/>
  <c r="G257" i="12766"/>
  <c r="G315" i="12766"/>
  <c r="G344" i="12766"/>
  <c r="G403" i="12766"/>
  <c r="G432" i="12766"/>
  <c r="H344" i="12766"/>
  <c r="I229" i="12766"/>
  <c r="I257" i="12766"/>
  <c r="I315" i="12766"/>
  <c r="I344" i="12766"/>
  <c r="K344" i="12766" s="1"/>
  <c r="I403" i="12766"/>
  <c r="I432" i="12766"/>
  <c r="C230" i="12766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93" i="12766" s="1"/>
  <c r="I184" i="12766"/>
  <c r="I194" i="12766" s="1"/>
  <c r="I185" i="12766"/>
  <c r="I195" i="12766" s="1"/>
  <c r="I187" i="12766"/>
  <c r="I196" i="12766" s="1"/>
  <c r="I188" i="12766"/>
  <c r="I197" i="12766" s="1"/>
  <c r="I191" i="12766"/>
  <c r="I200" i="12766" s="1"/>
  <c r="I192" i="12766"/>
  <c r="E193" i="12766"/>
  <c r="E194" i="12766"/>
  <c r="E195" i="12766"/>
  <c r="E196" i="12766"/>
  <c r="E197" i="12766"/>
  <c r="E198" i="12766"/>
  <c r="E199" i="12766"/>
  <c r="E200" i="12766"/>
  <c r="I201" i="12766"/>
  <c r="I202" i="12766"/>
  <c r="D214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48" i="12766"/>
  <c r="C355" i="12766"/>
  <c r="I357" i="12766"/>
  <c r="I368" i="12766" s="1"/>
  <c r="C388" i="12766"/>
  <c r="I360" i="12766"/>
  <c r="I369" i="12766" s="1"/>
  <c r="I361" i="12766"/>
  <c r="I370" i="12766" s="1"/>
  <c r="I364" i="12766"/>
  <c r="I373" i="12766" s="1"/>
  <c r="I365" i="12766"/>
  <c r="E366" i="12766"/>
  <c r="E367" i="12766"/>
  <c r="E368" i="12766"/>
  <c r="E369" i="12766"/>
  <c r="E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E444" i="12766"/>
  <c r="G444" i="12766" s="1"/>
  <c r="H444" i="12766"/>
  <c r="K444" i="12766"/>
  <c r="E445" i="12766"/>
  <c r="G445" i="12766" s="1"/>
  <c r="H445" i="12766"/>
  <c r="C446" i="12766"/>
  <c r="D446" i="12766"/>
  <c r="E447" i="12766"/>
  <c r="G447" i="12766" s="1"/>
  <c r="H447" i="12766"/>
  <c r="E448" i="12766"/>
  <c r="G448" i="12766" s="1"/>
  <c r="H448" i="12766"/>
  <c r="E450" i="12766"/>
  <c r="G450" i="12766" s="1"/>
  <c r="H450" i="12766"/>
  <c r="E452" i="12766"/>
  <c r="G452" i="12766" s="1"/>
  <c r="H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H457" i="12766"/>
  <c r="H458" i="12766"/>
  <c r="E459" i="12766"/>
  <c r="G459" i="12766" s="1"/>
  <c r="H459" i="12766"/>
  <c r="H460" i="12766"/>
  <c r="H461" i="12766"/>
  <c r="H462" i="12766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H471" i="12766"/>
  <c r="C472" i="12766"/>
  <c r="C474" i="12766" s="1"/>
  <c r="D472" i="12766"/>
  <c r="D474" i="12766" s="1"/>
  <c r="C514" i="12766"/>
  <c r="G514" i="12766" s="1"/>
  <c r="C548" i="12766"/>
  <c r="G548" i="12766" s="1"/>
  <c r="C515" i="12766"/>
  <c r="G515" i="12766" s="1"/>
  <c r="C516" i="12766"/>
  <c r="G516" i="12766" s="1"/>
  <c r="C549" i="12766"/>
  <c r="G549" i="12766" s="1"/>
  <c r="C550" i="12766"/>
  <c r="D480" i="12766"/>
  <c r="M480" i="12766" s="1"/>
  <c r="H514" i="12766"/>
  <c r="H548" i="12766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G518" i="12766" s="1"/>
  <c r="I518" i="12766"/>
  <c r="C558" i="12766"/>
  <c r="C559" i="12766" s="1"/>
  <c r="C574" i="12766" s="1"/>
  <c r="C552" i="12766"/>
  <c r="I552" i="12766"/>
  <c r="C519" i="12766"/>
  <c r="G519" i="12766" s="1"/>
  <c r="I519" i="12766"/>
  <c r="I532" i="12766" s="1"/>
  <c r="C553" i="12766"/>
  <c r="I553" i="12766"/>
  <c r="I566" i="12766" s="1"/>
  <c r="H515" i="12766"/>
  <c r="H549" i="12766"/>
  <c r="H516" i="12766"/>
  <c r="H550" i="12766"/>
  <c r="S480" i="12766"/>
  <c r="T480" i="12766"/>
  <c r="U480" i="12766"/>
  <c r="V480" i="12766"/>
  <c r="D481" i="12766"/>
  <c r="M481" i="12766" s="1"/>
  <c r="D482" i="12766"/>
  <c r="M482" i="12766" s="1"/>
  <c r="O481" i="12766"/>
  <c r="S481" i="12766"/>
  <c r="T481" i="12766"/>
  <c r="U481" i="12766"/>
  <c r="V481" i="12766"/>
  <c r="O482" i="12766"/>
  <c r="O484" i="12766"/>
  <c r="O485" i="12766"/>
  <c r="C521" i="12766"/>
  <c r="G521" i="12766" s="1"/>
  <c r="C555" i="12766"/>
  <c r="I521" i="12766"/>
  <c r="I533" i="12766" s="1"/>
  <c r="I555" i="12766"/>
  <c r="I567" i="12766" s="1"/>
  <c r="O487" i="12766"/>
  <c r="C522" i="12766"/>
  <c r="C556" i="12766"/>
  <c r="E488" i="12766"/>
  <c r="E500" i="12766" s="1"/>
  <c r="E522" i="12766"/>
  <c r="E534" i="12766" s="1"/>
  <c r="G534" i="12766" s="1"/>
  <c r="E556" i="12766"/>
  <c r="E568" i="12766" s="1"/>
  <c r="G568" i="12766" s="1"/>
  <c r="I488" i="12766"/>
  <c r="I500" i="12766" s="1"/>
  <c r="I556" i="12766"/>
  <c r="I568" i="12766" s="1"/>
  <c r="G524" i="12766"/>
  <c r="I524" i="12766"/>
  <c r="I535" i="12766" s="1"/>
  <c r="I558" i="12766"/>
  <c r="I569" i="12766" s="1"/>
  <c r="O490" i="12766"/>
  <c r="G525" i="12766"/>
  <c r="I525" i="12766"/>
  <c r="I536" i="12766" s="1"/>
  <c r="C526" i="12766"/>
  <c r="G526" i="12766" s="1"/>
  <c r="C560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I495" i="12766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C531" i="12766"/>
  <c r="C565" i="12766"/>
  <c r="E497" i="12766"/>
  <c r="E531" i="12766"/>
  <c r="E565" i="12766"/>
  <c r="I497" i="12766"/>
  <c r="C532" i="12766"/>
  <c r="C498" i="12766" s="1"/>
  <c r="E498" i="12766"/>
  <c r="E532" i="12766"/>
  <c r="E566" i="12766"/>
  <c r="G566" i="12766" s="1"/>
  <c r="I498" i="12766"/>
  <c r="C533" i="12766"/>
  <c r="C567" i="12766"/>
  <c r="E499" i="12766"/>
  <c r="E533" i="12766"/>
  <c r="E567" i="12766"/>
  <c r="I499" i="12766"/>
  <c r="C500" i="12766"/>
  <c r="C535" i="12766"/>
  <c r="C536" i="12766" s="1"/>
  <c r="C569" i="12766"/>
  <c r="E501" i="12766"/>
  <c r="E535" i="12766"/>
  <c r="E569" i="12766"/>
  <c r="I501" i="12766"/>
  <c r="E502" i="12766"/>
  <c r="E536" i="12766"/>
  <c r="E570" i="12766"/>
  <c r="C537" i="12766"/>
  <c r="C571" i="12766"/>
  <c r="E503" i="12766"/>
  <c r="E537" i="12766"/>
  <c r="E571" i="12766"/>
  <c r="I503" i="12766"/>
  <c r="C538" i="12766"/>
  <c r="G538" i="12766" s="1"/>
  <c r="D504" i="12766"/>
  <c r="M504" i="12766" s="1"/>
  <c r="H538" i="12766"/>
  <c r="H572" i="12766"/>
  <c r="I538" i="12766"/>
  <c r="K538" i="12766" s="1"/>
  <c r="I572" i="12766"/>
  <c r="K572" i="12766" s="1"/>
  <c r="C539" i="12766"/>
  <c r="G539" i="12766" s="1"/>
  <c r="D506" i="12766"/>
  <c r="C507" i="12766"/>
  <c r="D507" i="12766"/>
  <c r="G507" i="12766"/>
  <c r="H507" i="12766"/>
  <c r="K507" i="12766"/>
  <c r="O508" i="12766"/>
  <c r="D517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M582" i="12766" s="1"/>
  <c r="G684" i="12766"/>
  <c r="H633" i="12766"/>
  <c r="H684" i="12766"/>
  <c r="I633" i="12766"/>
  <c r="K633" i="12766" s="1"/>
  <c r="I684" i="12766"/>
  <c r="K684" i="12766" s="1"/>
  <c r="E593" i="12766"/>
  <c r="R582" i="12766" s="1"/>
  <c r="S582" i="12766"/>
  <c r="T582" i="12766"/>
  <c r="U582" i="12766"/>
  <c r="S583" i="12766"/>
  <c r="T583" i="12766"/>
  <c r="U583" i="12766"/>
  <c r="D584" i="12766"/>
  <c r="M584" i="12766" s="1"/>
  <c r="H635" i="12766"/>
  <c r="H686" i="12766"/>
  <c r="I635" i="12766"/>
  <c r="K635" i="12766" s="1"/>
  <c r="I686" i="12766"/>
  <c r="K686" i="12766" s="1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M586" i="12766" s="1"/>
  <c r="H637" i="12766"/>
  <c r="H688" i="12766"/>
  <c r="I637" i="12766"/>
  <c r="K637" i="12766" s="1"/>
  <c r="I688" i="12766"/>
  <c r="K688" i="12766" s="1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G644" i="12766" s="1"/>
  <c r="H644" i="12766"/>
  <c r="C695" i="12766"/>
  <c r="G695" i="12766" s="1"/>
  <c r="C645" i="12766"/>
  <c r="G645" i="12766" s="1"/>
  <c r="H645" i="12766"/>
  <c r="C696" i="12766"/>
  <c r="G696" i="12766" s="1"/>
  <c r="C646" i="12766"/>
  <c r="G646" i="12766" s="1"/>
  <c r="H646" i="12766"/>
  <c r="C697" i="12766"/>
  <c r="G697" i="12766" s="1"/>
  <c r="C647" i="12766"/>
  <c r="G647" i="12766" s="1"/>
  <c r="H647" i="12766"/>
  <c r="C698" i="12766"/>
  <c r="G698" i="12766" s="1"/>
  <c r="H698" i="12766"/>
  <c r="C648" i="12766"/>
  <c r="H648" i="12766"/>
  <c r="C699" i="12766"/>
  <c r="G699" i="12766" s="1"/>
  <c r="H699" i="12766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53" i="12766"/>
  <c r="I704" i="12766"/>
  <c r="O594" i="12766"/>
  <c r="O595" i="12766"/>
  <c r="D596" i="12766"/>
  <c r="D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E702" i="12766"/>
  <c r="O602" i="12766"/>
  <c r="C654" i="12766"/>
  <c r="G654" i="12766" s="1"/>
  <c r="C705" i="12766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I610" i="12766"/>
  <c r="C612" i="12766"/>
  <c r="E663" i="12766"/>
  <c r="G663" i="12766" s="1"/>
  <c r="E714" i="12766"/>
  <c r="G714" i="12766" s="1"/>
  <c r="C613" i="12766"/>
  <c r="E613" i="12766"/>
  <c r="E664" i="12766"/>
  <c r="G664" i="12766" s="1"/>
  <c r="E715" i="12766"/>
  <c r="G715" i="12766" s="1"/>
  <c r="I613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C616" i="12766"/>
  <c r="D616" i="12766"/>
  <c r="E616" i="12766"/>
  <c r="E667" i="12766"/>
  <c r="G667" i="12766" s="1"/>
  <c r="E718" i="12766"/>
  <c r="G718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H674" i="12766"/>
  <c r="H725" i="12766"/>
  <c r="I674" i="12766"/>
  <c r="K674" i="12766" s="1"/>
  <c r="I725" i="12766"/>
  <c r="K725" i="12766" s="1"/>
  <c r="C726" i="12766"/>
  <c r="C624" i="12766" s="1"/>
  <c r="G675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E752" i="12766" s="1"/>
  <c r="G752" i="12766" s="1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C749" i="12766"/>
  <c r="E753" i="12766"/>
  <c r="G753" i="12766" s="1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G822" i="12766" s="1"/>
  <c r="C850" i="12766"/>
  <c r="C851" i="12766"/>
  <c r="G851" i="12766" s="1"/>
  <c r="D794" i="12766"/>
  <c r="D766" i="12766" s="1"/>
  <c r="M766" i="12766" s="1"/>
  <c r="C879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I862" i="12766" s="1"/>
  <c r="C884" i="12766"/>
  <c r="C896" i="12766" s="1"/>
  <c r="I880" i="12766"/>
  <c r="K880" i="12766" s="1"/>
  <c r="C826" i="12766"/>
  <c r="G826" i="12766" s="1"/>
  <c r="I826" i="12766"/>
  <c r="I835" i="12766" s="1"/>
  <c r="C854" i="12766"/>
  <c r="G854" i="12766" s="1"/>
  <c r="I854" i="12766"/>
  <c r="I863" i="12766" s="1"/>
  <c r="I881" i="12766"/>
  <c r="I890" i="12766" s="1"/>
  <c r="H823" i="12766"/>
  <c r="H851" i="12766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G827" i="12766" s="1"/>
  <c r="C855" i="12766"/>
  <c r="G882" i="12766"/>
  <c r="I827" i="12766"/>
  <c r="I855" i="12766"/>
  <c r="I882" i="12766"/>
  <c r="I891" i="12766" s="1"/>
  <c r="O771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38" i="12766" s="1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I777" i="12766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C836" i="12766"/>
  <c r="C864" i="12766"/>
  <c r="E780" i="12766"/>
  <c r="E836" i="12766"/>
  <c r="E864" i="12766"/>
  <c r="E891" i="12766"/>
  <c r="G891" i="12766" s="1"/>
  <c r="I780" i="12766"/>
  <c r="C837" i="12766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C839" i="12766"/>
  <c r="G839" i="12766" s="1"/>
  <c r="C867" i="12766"/>
  <c r="G867" i="12766" s="1"/>
  <c r="D811" i="12766"/>
  <c r="D783" i="12766" s="1"/>
  <c r="M783" i="12766" s="1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G840" i="12766" s="1"/>
  <c r="C868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E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K927" i="12766" s="1"/>
  <c r="M927" i="12766" s="1"/>
  <c r="H927" i="12766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E951" i="12766"/>
  <c r="I929" i="12766"/>
  <c r="C941" i="12766"/>
  <c r="C952" i="12766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H963" i="12766"/>
  <c r="K963" i="12766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G982" i="12766"/>
  <c r="G984" i="12766"/>
  <c r="G985" i="12766"/>
  <c r="G988" i="12766"/>
  <c r="G989" i="12766"/>
  <c r="G990" i="12766"/>
  <c r="G992" i="12766"/>
  <c r="G993" i="12766"/>
  <c r="G997" i="12766"/>
  <c r="C1000" i="12766"/>
  <c r="C1003" i="12766"/>
  <c r="D1003" i="12766"/>
  <c r="K1008" i="12766"/>
  <c r="O1008" i="12766"/>
  <c r="C15" i="12767"/>
  <c r="C16" i="12767"/>
  <c r="C17" i="12767"/>
  <c r="C19" i="12767"/>
  <c r="C20" i="12767"/>
  <c r="C22" i="12767"/>
  <c r="C91" i="12767"/>
  <c r="C18" i="12859" s="1"/>
  <c r="I18" i="12859" s="1"/>
  <c r="C92" i="12767"/>
  <c r="C19" i="12859" s="1"/>
  <c r="I19" i="12859" s="1"/>
  <c r="C93" i="12767"/>
  <c r="C20" i="12859" s="1"/>
  <c r="I20" i="12859" s="1"/>
  <c r="C168" i="12767"/>
  <c r="E43" i="12811"/>
  <c r="C457" i="12767"/>
  <c r="C423" i="12767"/>
  <c r="C388" i="12767"/>
  <c r="C458" i="12767"/>
  <c r="F458" i="12767"/>
  <c r="F170" i="12767" s="1"/>
  <c r="C350" i="12767"/>
  <c r="C351" i="12767"/>
  <c r="C352" i="12767"/>
  <c r="F352" i="12767" s="1"/>
  <c r="C529" i="12767"/>
  <c r="E73" i="12811" s="1"/>
  <c r="C355" i="12767"/>
  <c r="F355" i="12767" s="1"/>
  <c r="C461" i="12767"/>
  <c r="C356" i="12767"/>
  <c r="C462" i="12767"/>
  <c r="C357" i="12767"/>
  <c r="C463" i="12767"/>
  <c r="C464" i="12767"/>
  <c r="C359" i="12767"/>
  <c r="F359" i="12767" s="1"/>
  <c r="C465" i="12767"/>
  <c r="C189" i="12767"/>
  <c r="C190" i="12767"/>
  <c r="C191" i="12767"/>
  <c r="C192" i="12767"/>
  <c r="C193" i="12767"/>
  <c r="C199" i="12767" s="1"/>
  <c r="C194" i="12767"/>
  <c r="C200" i="12767" s="1"/>
  <c r="C196" i="12767"/>
  <c r="M196" i="12767" s="1"/>
  <c r="C197" i="12767"/>
  <c r="M197" i="12767" s="1"/>
  <c r="C198" i="12767"/>
  <c r="Q198" i="12767" s="1"/>
  <c r="C456" i="12767"/>
  <c r="C564" i="12767"/>
  <c r="F604" i="12767"/>
  <c r="C606" i="12767"/>
  <c r="C607" i="12767"/>
  <c r="C609" i="12767"/>
  <c r="C610" i="12767"/>
  <c r="C614" i="12767"/>
  <c r="M614" i="12767" s="1"/>
  <c r="C620" i="12767"/>
  <c r="F620" i="12767"/>
  <c r="C621" i="12767"/>
  <c r="C622" i="12767"/>
  <c r="F622" i="12767"/>
  <c r="C623" i="12767"/>
  <c r="C624" i="12767"/>
  <c r="C625" i="12767"/>
  <c r="C626" i="12767"/>
  <c r="C627" i="12767"/>
  <c r="C629" i="12767"/>
  <c r="M629" i="12767" s="1"/>
  <c r="C630" i="12767"/>
  <c r="M630" i="12767" s="1"/>
  <c r="C720" i="12767"/>
  <c r="C722" i="12767"/>
  <c r="C723" i="12767"/>
  <c r="C724" i="12767"/>
  <c r="C726" i="12767"/>
  <c r="C727" i="12767"/>
  <c r="C729" i="12767"/>
  <c r="C731" i="12767"/>
  <c r="C732" i="12767"/>
  <c r="C733" i="12767"/>
  <c r="C734" i="12767"/>
  <c r="C735" i="12767"/>
  <c r="C737" i="12767"/>
  <c r="C738" i="12767"/>
  <c r="C740" i="12767"/>
  <c r="C742" i="12767" s="1"/>
  <c r="C741" i="12767"/>
  <c r="M741" i="12767" s="1"/>
  <c r="C745" i="12767"/>
  <c r="F745" i="12767"/>
  <c r="G745" i="12767"/>
  <c r="C747" i="12767"/>
  <c r="G747" i="12767"/>
  <c r="C748" i="12767"/>
  <c r="C749" i="12767"/>
  <c r="C750" i="12767"/>
  <c r="C752" i="12767"/>
  <c r="C753" i="12767"/>
  <c r="C754" i="12767"/>
  <c r="C755" i="12767"/>
  <c r="C756" i="12767"/>
  <c r="C758" i="12767"/>
  <c r="C759" i="12767"/>
  <c r="C761" i="12767"/>
  <c r="C765" i="12767" s="1"/>
  <c r="C762" i="12767"/>
  <c r="M762" i="12767" s="1"/>
  <c r="G884" i="12767"/>
  <c r="F1162" i="12767"/>
  <c r="C105" i="12764"/>
  <c r="G21" i="12763"/>
  <c r="K21" i="12763" s="1"/>
  <c r="L21" i="12763"/>
  <c r="I28" i="12763"/>
  <c r="L28" i="12763"/>
  <c r="I41" i="12763"/>
  <c r="I47" i="12763"/>
  <c r="K48" i="12763"/>
  <c r="K49" i="12763"/>
  <c r="K50" i="12763"/>
  <c r="I56" i="12763"/>
  <c r="N58" i="12763"/>
  <c r="I63" i="12763"/>
  <c r="N63" i="12763"/>
  <c r="N64" i="12763"/>
  <c r="I67" i="12763"/>
  <c r="N67" i="12763"/>
  <c r="I69" i="12763"/>
  <c r="N69" i="12763"/>
  <c r="E72" i="12763"/>
  <c r="E74" i="12763" s="1"/>
  <c r="I72" i="12763"/>
  <c r="N72" i="12763"/>
  <c r="I73" i="12763"/>
  <c r="N73" i="12763"/>
  <c r="I76" i="12763"/>
  <c r="N76" i="12763"/>
  <c r="I77" i="12763"/>
  <c r="N77" i="12763"/>
  <c r="I78" i="12763"/>
  <c r="N78" i="12763"/>
  <c r="I83" i="12763"/>
  <c r="N83" i="12763"/>
  <c r="N85" i="12763" s="1"/>
  <c r="I84" i="12763"/>
  <c r="N84" i="12763"/>
  <c r="I88" i="12763"/>
  <c r="N88" i="12763"/>
  <c r="I89" i="12763"/>
  <c r="N89" i="12763"/>
  <c r="I92" i="12763"/>
  <c r="N92" i="12763"/>
  <c r="N94" i="12763"/>
  <c r="N95" i="12763"/>
  <c r="I98" i="12763"/>
  <c r="N98" i="12763"/>
  <c r="I100" i="12763"/>
  <c r="N100" i="12763"/>
  <c r="I102" i="12763"/>
  <c r="N102" i="12763"/>
  <c r="I103" i="12763"/>
  <c r="N103" i="12763"/>
  <c r="I106" i="12763"/>
  <c r="N106" i="12763"/>
  <c r="I108" i="12763"/>
  <c r="N108" i="12763"/>
  <c r="R21" i="12764"/>
  <c r="AD21" i="12764" s="1"/>
  <c r="X21" i="12764"/>
  <c r="AB21" i="12764"/>
  <c r="AA27" i="12764"/>
  <c r="AB27" i="12764"/>
  <c r="E28" i="12764"/>
  <c r="K28" i="12764"/>
  <c r="O28" i="12764"/>
  <c r="AA39" i="12764"/>
  <c r="AB39" i="12764"/>
  <c r="E41" i="12764"/>
  <c r="K41" i="12764"/>
  <c r="O41" i="12764"/>
  <c r="Z41" i="12764"/>
  <c r="E47" i="12764"/>
  <c r="K47" i="12764"/>
  <c r="O47" i="12764"/>
  <c r="Z47" i="12764"/>
  <c r="E56" i="12764"/>
  <c r="K56" i="12764"/>
  <c r="O56" i="12764"/>
  <c r="Z56" i="12764"/>
  <c r="K63" i="12764"/>
  <c r="O63" i="12764"/>
  <c r="K64" i="12764"/>
  <c r="O64" i="12764"/>
  <c r="Z64" i="12764"/>
  <c r="K67" i="12764"/>
  <c r="O67" i="12764"/>
  <c r="K68" i="12764"/>
  <c r="O68" i="12764"/>
  <c r="K73" i="12764"/>
  <c r="O73" i="12764"/>
  <c r="K74" i="12764"/>
  <c r="O74" i="12764"/>
  <c r="K77" i="12764"/>
  <c r="O77" i="12764"/>
  <c r="Z77" i="12764"/>
  <c r="C78" i="12764"/>
  <c r="K78" i="12764"/>
  <c r="O78" i="12764"/>
  <c r="Z78" i="12764"/>
  <c r="K84" i="12764"/>
  <c r="O84" i="12764"/>
  <c r="K85" i="12764"/>
  <c r="O85" i="12764"/>
  <c r="T85" i="12764"/>
  <c r="Z85" i="12764"/>
  <c r="C89" i="12764"/>
  <c r="K89" i="12764"/>
  <c r="O89" i="12764"/>
  <c r="Z89" i="12764"/>
  <c r="C90" i="12764"/>
  <c r="K90" i="12764"/>
  <c r="O90" i="12764"/>
  <c r="Z90" i="12764"/>
  <c r="C93" i="12764"/>
  <c r="K93" i="12764"/>
  <c r="O93" i="12764"/>
  <c r="Z93" i="12764"/>
  <c r="K95" i="12764"/>
  <c r="O95" i="12764"/>
  <c r="Z95" i="12764"/>
  <c r="C97" i="12764"/>
  <c r="K97" i="12764"/>
  <c r="O97" i="12764"/>
  <c r="Z97" i="12764"/>
  <c r="K100" i="12764"/>
  <c r="O100" i="12764"/>
  <c r="Z100" i="12764"/>
  <c r="C102" i="12764"/>
  <c r="K102" i="12764"/>
  <c r="O102" i="12764"/>
  <c r="Z102" i="12764"/>
  <c r="C104" i="12764"/>
  <c r="K104" i="12764"/>
  <c r="O104" i="12764"/>
  <c r="Z104" i="12764"/>
  <c r="K105" i="12764"/>
  <c r="O105" i="12764"/>
  <c r="Z105" i="12764"/>
  <c r="K108" i="12764"/>
  <c r="O108" i="12764"/>
  <c r="Z108" i="12764"/>
  <c r="K110" i="12764"/>
  <c r="O110" i="12764"/>
  <c r="Z110" i="12764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M763" i="12843" l="1"/>
  <c r="M763" i="12861"/>
  <c r="K526" i="12787"/>
  <c r="K447" i="12766"/>
  <c r="E470" i="12787"/>
  <c r="O491" i="12766"/>
  <c r="E78" i="12763"/>
  <c r="E81" i="12763" s="1"/>
  <c r="E41" i="12763"/>
  <c r="E827" i="12787"/>
  <c r="E836" i="12787" s="1"/>
  <c r="S1045" i="12861"/>
  <c r="U1045" i="12861" s="1"/>
  <c r="S1027" i="12861"/>
  <c r="U1027" i="12861" s="1"/>
  <c r="E110" i="12763"/>
  <c r="I502" i="12766"/>
  <c r="I559" i="12766"/>
  <c r="I570" i="12766" s="1"/>
  <c r="C358" i="12787"/>
  <c r="I355" i="12787"/>
  <c r="I366" i="12787" s="1"/>
  <c r="K765" i="12843"/>
  <c r="K765" i="12861"/>
  <c r="U1006" i="12843"/>
  <c r="U1006" i="12861"/>
  <c r="M742" i="12843"/>
  <c r="M742" i="12861"/>
  <c r="M615" i="12843"/>
  <c r="M615" i="12861"/>
  <c r="M630" i="12843"/>
  <c r="M630" i="12861"/>
  <c r="M198" i="12843"/>
  <c r="M198" i="12861"/>
  <c r="M631" i="12843"/>
  <c r="M631" i="12861"/>
  <c r="Q199" i="12843"/>
  <c r="Q199" i="12861"/>
  <c r="M197" i="12843"/>
  <c r="M197" i="12861"/>
  <c r="F81" i="12812"/>
  <c r="S81" i="12812" s="1"/>
  <c r="F79" i="12812"/>
  <c r="S79" i="12812" s="1"/>
  <c r="F121" i="12812"/>
  <c r="S121" i="12812" s="1"/>
  <c r="H45" i="12774"/>
  <c r="I940" i="12766"/>
  <c r="O150" i="12766"/>
  <c r="G219" i="12787"/>
  <c r="D230" i="12766"/>
  <c r="H230" i="12766" s="1"/>
  <c r="I385" i="12766"/>
  <c r="I396" i="12766" s="1"/>
  <c r="K396" i="12766" s="1"/>
  <c r="C484" i="12766"/>
  <c r="D219" i="12766"/>
  <c r="D218" i="12766"/>
  <c r="H218" i="12766" s="1"/>
  <c r="C273" i="12766"/>
  <c r="I528" i="12766"/>
  <c r="K528" i="12766" s="1"/>
  <c r="E707" i="12787"/>
  <c r="G707" i="12787" s="1"/>
  <c r="D396" i="12787"/>
  <c r="D395" i="12787"/>
  <c r="E807" i="12787"/>
  <c r="E804" i="12787"/>
  <c r="D884" i="12787"/>
  <c r="H884" i="12787" s="1"/>
  <c r="E374" i="12787"/>
  <c r="E428" i="12787"/>
  <c r="G428" i="12787" s="1"/>
  <c r="D432" i="12766"/>
  <c r="H432" i="12766" s="1"/>
  <c r="G223" i="12766"/>
  <c r="E661" i="12787"/>
  <c r="G661" i="12787" s="1"/>
  <c r="E650" i="12787"/>
  <c r="G650" i="12787" s="1"/>
  <c r="E702" i="12787"/>
  <c r="G702" i="12787" s="1"/>
  <c r="K653" i="12787"/>
  <c r="E286" i="12787"/>
  <c r="K52" i="12766"/>
  <c r="I808" i="12766"/>
  <c r="I616" i="12766"/>
  <c r="M616" i="12766" s="1"/>
  <c r="I648" i="12766"/>
  <c r="K648" i="12766" s="1"/>
  <c r="K597" i="12766" s="1"/>
  <c r="I337" i="12766"/>
  <c r="K337" i="12766" s="1"/>
  <c r="K279" i="12766" s="1"/>
  <c r="O884" i="12787"/>
  <c r="C810" i="12787"/>
  <c r="C782" i="12787" s="1"/>
  <c r="C808" i="12787"/>
  <c r="C780" i="12787" s="1"/>
  <c r="O597" i="12766"/>
  <c r="H336" i="12766"/>
  <c r="H269" i="12766"/>
  <c r="G35" i="12766"/>
  <c r="D1005" i="12787"/>
  <c r="H1005" i="12787" s="1"/>
  <c r="K890" i="12787"/>
  <c r="C779" i="12787"/>
  <c r="O595" i="12787"/>
  <c r="I659" i="12766"/>
  <c r="K659" i="12766" s="1"/>
  <c r="M597" i="12766"/>
  <c r="C485" i="12766"/>
  <c r="I189" i="12766"/>
  <c r="I198" i="12766" s="1"/>
  <c r="M88" i="12766"/>
  <c r="G55" i="12766"/>
  <c r="I600" i="12787"/>
  <c r="I619" i="12787" s="1"/>
  <c r="E556" i="12787"/>
  <c r="G556" i="12787" s="1"/>
  <c r="I190" i="12787"/>
  <c r="I199" i="12787" s="1"/>
  <c r="E402" i="12787"/>
  <c r="G402" i="12787" s="1"/>
  <c r="E308" i="12787"/>
  <c r="G308" i="12787" s="1"/>
  <c r="I245" i="12766"/>
  <c r="I254" i="12766" s="1"/>
  <c r="G37" i="12766"/>
  <c r="O798" i="12787"/>
  <c r="I755" i="12787"/>
  <c r="K755" i="12787" s="1"/>
  <c r="K738" i="12787"/>
  <c r="G686" i="12787"/>
  <c r="I275" i="12787"/>
  <c r="I284" i="12787" s="1"/>
  <c r="E430" i="12787"/>
  <c r="G430" i="12787" s="1"/>
  <c r="G372" i="12787" s="1"/>
  <c r="K221" i="12787"/>
  <c r="K193" i="12787" s="1"/>
  <c r="G390" i="12787"/>
  <c r="G361" i="12787" s="1"/>
  <c r="I413" i="12787"/>
  <c r="K413" i="12787" s="1"/>
  <c r="I127" i="12787"/>
  <c r="K127" i="12787" s="1"/>
  <c r="H137" i="12787"/>
  <c r="G882" i="12787"/>
  <c r="D396" i="12766"/>
  <c r="G221" i="12766"/>
  <c r="O161" i="12766"/>
  <c r="C299" i="12766"/>
  <c r="D385" i="12766"/>
  <c r="H385" i="12766" s="1"/>
  <c r="I363" i="12787"/>
  <c r="I372" i="12787" s="1"/>
  <c r="I268" i="12787"/>
  <c r="I279" i="12787" s="1"/>
  <c r="E336" i="12787"/>
  <c r="G303" i="12787"/>
  <c r="D395" i="12766"/>
  <c r="H395" i="12766" s="1"/>
  <c r="C358" i="12766"/>
  <c r="I170" i="12787"/>
  <c r="G537" i="12766"/>
  <c r="G558" i="12766"/>
  <c r="E463" i="12766"/>
  <c r="G463" i="12766" s="1"/>
  <c r="E457" i="12766"/>
  <c r="G457" i="12766" s="1"/>
  <c r="E806" i="12787"/>
  <c r="I362" i="12787"/>
  <c r="I371" i="12787" s="1"/>
  <c r="I338" i="12787"/>
  <c r="K338" i="12787" s="1"/>
  <c r="E425" i="12787"/>
  <c r="G425" i="12787" s="1"/>
  <c r="E424" i="12787"/>
  <c r="G424" i="12787" s="1"/>
  <c r="G301" i="12787"/>
  <c r="K244" i="12787"/>
  <c r="P906" i="12787"/>
  <c r="G651" i="12766"/>
  <c r="I413" i="12766"/>
  <c r="I424" i="12766" s="1"/>
  <c r="G881" i="12787"/>
  <c r="M607" i="12787"/>
  <c r="I311" i="12787"/>
  <c r="K311" i="12787" s="1"/>
  <c r="E399" i="12787"/>
  <c r="G399" i="12787" s="1"/>
  <c r="E397" i="12787"/>
  <c r="G397" i="12787" s="1"/>
  <c r="G368" i="12787" s="1"/>
  <c r="C184" i="12787"/>
  <c r="C186" i="12787" s="1"/>
  <c r="C157" i="12787" s="1"/>
  <c r="G940" i="12766"/>
  <c r="D518" i="12766"/>
  <c r="H518" i="12766" s="1"/>
  <c r="G137" i="12766"/>
  <c r="G141" i="12766" s="1"/>
  <c r="G143" i="12766" s="1"/>
  <c r="O881" i="12787"/>
  <c r="I697" i="12787"/>
  <c r="K697" i="12787" s="1"/>
  <c r="I274" i="12787"/>
  <c r="I283" i="12787" s="1"/>
  <c r="I189" i="12787"/>
  <c r="I198" i="12787" s="1"/>
  <c r="E338" i="12787"/>
  <c r="G338" i="12787" s="1"/>
  <c r="G280" i="12787" s="1"/>
  <c r="D385" i="12787"/>
  <c r="D356" i="12787" s="1"/>
  <c r="D150" i="12787" s="1"/>
  <c r="M150" i="12787" s="1"/>
  <c r="D57" i="12787"/>
  <c r="H57" i="12787" s="1"/>
  <c r="L45" i="12774"/>
  <c r="D45" i="12774"/>
  <c r="G391" i="12787"/>
  <c r="G226" i="12787"/>
  <c r="G198" i="12787" s="1"/>
  <c r="M993" i="12766"/>
  <c r="I888" i="12766"/>
  <c r="K888" i="12766" s="1"/>
  <c r="H667" i="12766"/>
  <c r="I695" i="12766"/>
  <c r="I714" i="12766" s="1"/>
  <c r="G571" i="12766"/>
  <c r="C503" i="12766"/>
  <c r="I355" i="12766"/>
  <c r="I366" i="12766" s="1"/>
  <c r="D205" i="12766"/>
  <c r="H341" i="12766"/>
  <c r="H339" i="12766"/>
  <c r="O149" i="12766"/>
  <c r="H920" i="12787"/>
  <c r="E868" i="12787"/>
  <c r="G868" i="12787" s="1"/>
  <c r="E664" i="12787"/>
  <c r="G664" i="12787" s="1"/>
  <c r="K555" i="12787"/>
  <c r="D388" i="12787"/>
  <c r="D359" i="12787" s="1"/>
  <c r="G418" i="12787"/>
  <c r="G360" i="12787" s="1"/>
  <c r="I333" i="12787"/>
  <c r="I342" i="12787" s="1"/>
  <c r="K342" i="12787" s="1"/>
  <c r="K284" i="12787" s="1"/>
  <c r="G68" i="12787"/>
  <c r="G39" i="12787"/>
  <c r="K979" i="12787"/>
  <c r="M988" i="12766"/>
  <c r="G738" i="12766"/>
  <c r="G726" i="12766"/>
  <c r="G624" i="12766" s="1"/>
  <c r="I612" i="12766"/>
  <c r="I600" i="12766"/>
  <c r="I619" i="12766" s="1"/>
  <c r="I644" i="12766"/>
  <c r="K450" i="12766"/>
  <c r="M149" i="12766"/>
  <c r="G298" i="12787"/>
  <c r="H413" i="12787"/>
  <c r="D50" i="12787"/>
  <c r="H50" i="12787" s="1"/>
  <c r="G999" i="12766"/>
  <c r="G981" i="12766"/>
  <c r="E667" i="12787"/>
  <c r="G704" i="12787"/>
  <c r="G648" i="12787"/>
  <c r="G696" i="12787"/>
  <c r="C492" i="12787"/>
  <c r="C487" i="12787"/>
  <c r="K228" i="12787"/>
  <c r="K200" i="12787" s="1"/>
  <c r="K223" i="12787"/>
  <c r="K195" i="12787" s="1"/>
  <c r="G50" i="12787"/>
  <c r="N45" i="12774"/>
  <c r="J45" i="12774"/>
  <c r="F45" i="12774"/>
  <c r="O45" i="12774"/>
  <c r="K45" i="12774"/>
  <c r="G45" i="12774"/>
  <c r="F497" i="12843"/>
  <c r="F462" i="12843" s="1"/>
  <c r="F178" i="12843" s="1"/>
  <c r="C462" i="12843"/>
  <c r="C178" i="12843" s="1"/>
  <c r="C466" i="12767"/>
  <c r="C169" i="12767"/>
  <c r="U169" i="12767" s="1"/>
  <c r="C460" i="12843"/>
  <c r="C467" i="12767"/>
  <c r="F501" i="12843"/>
  <c r="F466" i="12843" s="1"/>
  <c r="F182" i="12843" s="1"/>
  <c r="C466" i="12843"/>
  <c r="C182" i="12843" s="1"/>
  <c r="M182" i="12843" s="1"/>
  <c r="M501" i="12843"/>
  <c r="M466" i="12843" s="1"/>
  <c r="C169" i="12843"/>
  <c r="C457" i="12843"/>
  <c r="F492" i="12843"/>
  <c r="U492" i="12843"/>
  <c r="U457" i="12843" s="1"/>
  <c r="Q492" i="12843"/>
  <c r="Q457" i="12843" s="1"/>
  <c r="C468" i="12767"/>
  <c r="C170" i="12767"/>
  <c r="Q170" i="12767" s="1"/>
  <c r="H23" i="12783"/>
  <c r="I24" i="12831"/>
  <c r="I34" i="12831" s="1"/>
  <c r="I46" i="12831" s="1"/>
  <c r="I50" i="12831" s="1"/>
  <c r="M102" i="12764"/>
  <c r="R102" i="12764" s="1"/>
  <c r="Q51" i="12764"/>
  <c r="S51" i="12764" s="1"/>
  <c r="P997" i="12766"/>
  <c r="I809" i="12766"/>
  <c r="I832" i="12766"/>
  <c r="K832" i="12766" s="1"/>
  <c r="C824" i="12766"/>
  <c r="H753" i="12766"/>
  <c r="E748" i="12766"/>
  <c r="G748" i="12766" s="1"/>
  <c r="C596" i="12766"/>
  <c r="C542" i="12766"/>
  <c r="G532" i="12766"/>
  <c r="G552" i="12766"/>
  <c r="G484" i="12766" s="1"/>
  <c r="E461" i="12766"/>
  <c r="G461" i="12766" s="1"/>
  <c r="I275" i="12766"/>
  <c r="I284" i="12766" s="1"/>
  <c r="H340" i="12766"/>
  <c r="K219" i="12766"/>
  <c r="I392" i="12766"/>
  <c r="I401" i="12766" s="1"/>
  <c r="G67" i="12766"/>
  <c r="O45" i="12775"/>
  <c r="G45" i="12775"/>
  <c r="G884" i="12787"/>
  <c r="I613" i="12787"/>
  <c r="O586" i="12787"/>
  <c r="G539" i="12787"/>
  <c r="E310" i="12787"/>
  <c r="G310" i="12787" s="1"/>
  <c r="E396" i="12787"/>
  <c r="G396" i="12787" s="1"/>
  <c r="G367" i="12787" s="1"/>
  <c r="I246" i="12787"/>
  <c r="I255" i="12787" s="1"/>
  <c r="K255" i="12787" s="1"/>
  <c r="K225" i="12787"/>
  <c r="G244" i="12787"/>
  <c r="K296" i="12787"/>
  <c r="K267" i="12787" s="1"/>
  <c r="C603" i="12766"/>
  <c r="H529" i="12766"/>
  <c r="G553" i="12766"/>
  <c r="G485" i="12766" s="1"/>
  <c r="I362" i="12766"/>
  <c r="I371" i="12766" s="1"/>
  <c r="I304" i="12766"/>
  <c r="I313" i="12766" s="1"/>
  <c r="I420" i="12766"/>
  <c r="I429" i="12766" s="1"/>
  <c r="H115" i="12766"/>
  <c r="H117" i="12766" s="1"/>
  <c r="M596" i="12766"/>
  <c r="H919" i="12787"/>
  <c r="D299" i="12787"/>
  <c r="E342" i="12787"/>
  <c r="G342" i="12787" s="1"/>
  <c r="G284" i="12787" s="1"/>
  <c r="I309" i="12787"/>
  <c r="K309" i="12787" s="1"/>
  <c r="K331" i="12787"/>
  <c r="K273" i="12787" s="1"/>
  <c r="M45" i="12774"/>
  <c r="I45" i="12774"/>
  <c r="E45" i="12774"/>
  <c r="G725" i="12766"/>
  <c r="G623" i="12766" s="1"/>
  <c r="I308" i="12766"/>
  <c r="K308" i="12766" s="1"/>
  <c r="I218" i="12766"/>
  <c r="I227" i="12766" s="1"/>
  <c r="I332" i="12766"/>
  <c r="H272" i="12766"/>
  <c r="M45" i="12775"/>
  <c r="I45" i="12775"/>
  <c r="E45" i="12775"/>
  <c r="I610" i="12787"/>
  <c r="E711" i="12787"/>
  <c r="G711" i="12787" s="1"/>
  <c r="I608" i="12787"/>
  <c r="M608" i="12787" s="1"/>
  <c r="E431" i="12787"/>
  <c r="G431" i="12787" s="1"/>
  <c r="G373" i="12787" s="1"/>
  <c r="I421" i="12787"/>
  <c r="I425" i="12766"/>
  <c r="K688" i="12787"/>
  <c r="I711" i="12787"/>
  <c r="K711" i="12787" s="1"/>
  <c r="K340" i="12766"/>
  <c r="G709" i="12843"/>
  <c r="I709" i="12843" s="1"/>
  <c r="G671" i="12843"/>
  <c r="I671" i="12843" s="1"/>
  <c r="K964" i="12766"/>
  <c r="K966" i="12766" s="1"/>
  <c r="P967" i="12766" s="1"/>
  <c r="G907" i="12766"/>
  <c r="D837" i="12766"/>
  <c r="K837" i="12766" s="1"/>
  <c r="I833" i="12766"/>
  <c r="K833" i="12766" s="1"/>
  <c r="G857" i="12766"/>
  <c r="H795" i="12766"/>
  <c r="H767" i="12766" s="1"/>
  <c r="C794" i="12766"/>
  <c r="C766" i="12766" s="1"/>
  <c r="I615" i="12766"/>
  <c r="M615" i="12766" s="1"/>
  <c r="I664" i="12766"/>
  <c r="H661" i="12766"/>
  <c r="I698" i="12766"/>
  <c r="K698" i="12766" s="1"/>
  <c r="K596" i="12766" s="1"/>
  <c r="G535" i="12766"/>
  <c r="I564" i="12766"/>
  <c r="K564" i="12766" s="1"/>
  <c r="I563" i="12766"/>
  <c r="K563" i="12766" s="1"/>
  <c r="V486" i="12766"/>
  <c r="V485" i="12766"/>
  <c r="D519" i="12766"/>
  <c r="H519" i="12766" s="1"/>
  <c r="E471" i="12766"/>
  <c r="G471" i="12766" s="1"/>
  <c r="K448" i="12766"/>
  <c r="K445" i="12766"/>
  <c r="I363" i="12766"/>
  <c r="I372" i="12766" s="1"/>
  <c r="D403" i="12766"/>
  <c r="H403" i="12766" s="1"/>
  <c r="I343" i="12766"/>
  <c r="K343" i="12766" s="1"/>
  <c r="I170" i="12766"/>
  <c r="I426" i="12766"/>
  <c r="G395" i="12766"/>
  <c r="G276" i="12766"/>
  <c r="I421" i="12766"/>
  <c r="I430" i="12766" s="1"/>
  <c r="I246" i="12766"/>
  <c r="I255" i="12766" s="1"/>
  <c r="I303" i="12766"/>
  <c r="I312" i="12766" s="1"/>
  <c r="D414" i="12766"/>
  <c r="K384" i="12766"/>
  <c r="H127" i="12766"/>
  <c r="H128" i="12766" s="1"/>
  <c r="H130" i="12766" s="1"/>
  <c r="K963" i="12787"/>
  <c r="D980" i="12787"/>
  <c r="P915" i="12787"/>
  <c r="O801" i="12787"/>
  <c r="K866" i="12787"/>
  <c r="G892" i="12787"/>
  <c r="C799" i="12787"/>
  <c r="C771" i="12787" s="1"/>
  <c r="K851" i="12787"/>
  <c r="K795" i="12787" s="1"/>
  <c r="K767" i="12787" s="1"/>
  <c r="I750" i="12787"/>
  <c r="K750" i="12787" s="1"/>
  <c r="I747" i="12787"/>
  <c r="K747" i="12787" s="1"/>
  <c r="K740" i="12787"/>
  <c r="E665" i="12787"/>
  <c r="G665" i="12787" s="1"/>
  <c r="G614" i="12787" s="1"/>
  <c r="E715" i="12787"/>
  <c r="G715" i="12787" s="1"/>
  <c r="E710" i="12787"/>
  <c r="G710" i="12787" s="1"/>
  <c r="C603" i="12787"/>
  <c r="E362" i="12787"/>
  <c r="E371" i="12787" s="1"/>
  <c r="E198" i="12787"/>
  <c r="I402" i="12787"/>
  <c r="K402" i="12787" s="1"/>
  <c r="E228" i="12787"/>
  <c r="G228" i="12787" s="1"/>
  <c r="G200" i="12787" s="1"/>
  <c r="E400" i="12787"/>
  <c r="G400" i="12787" s="1"/>
  <c r="I340" i="12787"/>
  <c r="K340" i="12787" s="1"/>
  <c r="E398" i="12787"/>
  <c r="G398" i="12787" s="1"/>
  <c r="G369" i="12787" s="1"/>
  <c r="I426" i="12787"/>
  <c r="K426" i="12787" s="1"/>
  <c r="K368" i="12787" s="1"/>
  <c r="G223" i="12787"/>
  <c r="G195" i="12787" s="1"/>
  <c r="I165" i="12787"/>
  <c r="I424" i="12787"/>
  <c r="K424" i="12787" s="1"/>
  <c r="E395" i="12787"/>
  <c r="G395" i="12787" s="1"/>
  <c r="G366" i="12787" s="1"/>
  <c r="O161" i="12787"/>
  <c r="O160" i="12787"/>
  <c r="C273" i="12787"/>
  <c r="G327" i="12787"/>
  <c r="O154" i="12787"/>
  <c r="I392" i="12787"/>
  <c r="I218" i="12787"/>
  <c r="I227" i="12787" s="1"/>
  <c r="G331" i="12787"/>
  <c r="H298" i="12787"/>
  <c r="I297" i="12787"/>
  <c r="H326" i="12787"/>
  <c r="H268" i="12787" s="1"/>
  <c r="G240" i="12787"/>
  <c r="D296" i="12787"/>
  <c r="H296" i="12787" s="1"/>
  <c r="G239" i="12787"/>
  <c r="H385" i="12787"/>
  <c r="I384" i="12787"/>
  <c r="H126" i="12787"/>
  <c r="I137" i="12787"/>
  <c r="K137" i="12787" s="1"/>
  <c r="D39" i="12787"/>
  <c r="H39" i="12787" s="1"/>
  <c r="G409" i="12843"/>
  <c r="I409" i="12843" s="1"/>
  <c r="G550" i="12843"/>
  <c r="I550" i="12843" s="1"/>
  <c r="G444" i="12843"/>
  <c r="I444" i="12843" s="1"/>
  <c r="G515" i="12843"/>
  <c r="I515" i="12843" s="1"/>
  <c r="G339" i="12843"/>
  <c r="I339" i="12843" s="1"/>
  <c r="G480" i="12843"/>
  <c r="G270" i="12843"/>
  <c r="I270" i="12843" s="1"/>
  <c r="G305" i="12843"/>
  <c r="I305" i="12843" s="1"/>
  <c r="G374" i="12843"/>
  <c r="G236" i="12843"/>
  <c r="K869" i="12843"/>
  <c r="M869" i="12843" s="1"/>
  <c r="K817" i="12843"/>
  <c r="M817" i="12843" s="1"/>
  <c r="M777" i="12766"/>
  <c r="H666" i="12766"/>
  <c r="G702" i="12766"/>
  <c r="I531" i="12766"/>
  <c r="G226" i="12766"/>
  <c r="G198" i="12766" s="1"/>
  <c r="G225" i="12766"/>
  <c r="G224" i="12766"/>
  <c r="G196" i="12766" s="1"/>
  <c r="H221" i="12766"/>
  <c r="C27" i="12766"/>
  <c r="H921" i="12787"/>
  <c r="H917" i="12787"/>
  <c r="P910" i="12787"/>
  <c r="O878" i="12787"/>
  <c r="E888" i="12787"/>
  <c r="K857" i="12787"/>
  <c r="E857" i="12787"/>
  <c r="I612" i="12787"/>
  <c r="E651" i="12787"/>
  <c r="G651" i="12787" s="1"/>
  <c r="I695" i="12787"/>
  <c r="I702" i="12787" s="1"/>
  <c r="I687" i="12787"/>
  <c r="G571" i="12787"/>
  <c r="G222" i="12787"/>
  <c r="G194" i="12787" s="1"/>
  <c r="K219" i="12787"/>
  <c r="K213" i="12787"/>
  <c r="K185" i="12787" s="1"/>
  <c r="I139" i="12787"/>
  <c r="K139" i="12787" s="1"/>
  <c r="H125" i="12787"/>
  <c r="D71" i="12787"/>
  <c r="H71" i="12787" s="1"/>
  <c r="G963" i="12766"/>
  <c r="G964" i="12766" s="1"/>
  <c r="G966" i="12766" s="1"/>
  <c r="C930" i="12766"/>
  <c r="G951" i="12766"/>
  <c r="H861" i="12766"/>
  <c r="I661" i="12766"/>
  <c r="K661" i="12766" s="1"/>
  <c r="C501" i="12766"/>
  <c r="G567" i="12766"/>
  <c r="T485" i="12766"/>
  <c r="H481" i="12766"/>
  <c r="H480" i="12766"/>
  <c r="K452" i="12766"/>
  <c r="K443" i="12766"/>
  <c r="I356" i="12766"/>
  <c r="I367" i="12766" s="1"/>
  <c r="I274" i="12766"/>
  <c r="I283" i="12766" s="1"/>
  <c r="I190" i="12766"/>
  <c r="I199" i="12766" s="1"/>
  <c r="K403" i="12766"/>
  <c r="I169" i="12766"/>
  <c r="K395" i="12766"/>
  <c r="G364" i="12766"/>
  <c r="O160" i="12766"/>
  <c r="I391" i="12766"/>
  <c r="I400" i="12766" s="1"/>
  <c r="I217" i="12766"/>
  <c r="H87" i="12766"/>
  <c r="G57" i="12766"/>
  <c r="K965" i="12787"/>
  <c r="H918" i="12787"/>
  <c r="P908" i="12787"/>
  <c r="O882" i="12787"/>
  <c r="E809" i="12787"/>
  <c r="D796" i="12787"/>
  <c r="K837" i="12787"/>
  <c r="K827" i="12787"/>
  <c r="G890" i="12787"/>
  <c r="H878" i="12787"/>
  <c r="E717" i="12787"/>
  <c r="I614" i="12787"/>
  <c r="E663" i="12787"/>
  <c r="G663" i="12787" s="1"/>
  <c r="G612" i="12787" s="1"/>
  <c r="E709" i="12787"/>
  <c r="I605" i="12787"/>
  <c r="M605" i="12787" s="1"/>
  <c r="G698" i="12787"/>
  <c r="M585" i="12787"/>
  <c r="I696" i="12787"/>
  <c r="C593" i="12787"/>
  <c r="G535" i="12787"/>
  <c r="K531" i="12787"/>
  <c r="G526" i="12787"/>
  <c r="I184" i="12787"/>
  <c r="I194" i="12787" s="1"/>
  <c r="E314" i="12787"/>
  <c r="G314" i="12787" s="1"/>
  <c r="I169" i="12787"/>
  <c r="I336" i="12787"/>
  <c r="K336" i="12787" s="1"/>
  <c r="K278" i="12787" s="1"/>
  <c r="G333" i="12787"/>
  <c r="G297" i="12787"/>
  <c r="G268" i="12787" s="1"/>
  <c r="I332" i="12787"/>
  <c r="G245" i="12787"/>
  <c r="G241" i="12787"/>
  <c r="G213" i="12787"/>
  <c r="K211" i="12787"/>
  <c r="H325" i="12787"/>
  <c r="I113" i="12787"/>
  <c r="K113" i="12787" s="1"/>
  <c r="K631" i="12767"/>
  <c r="G632" i="12843"/>
  <c r="Q750" i="12767"/>
  <c r="U750" i="12767"/>
  <c r="U754" i="12767"/>
  <c r="Q754" i="12767"/>
  <c r="U749" i="12767"/>
  <c r="Q749" i="12767"/>
  <c r="Q756" i="12767"/>
  <c r="U756" i="12767"/>
  <c r="Q745" i="12767"/>
  <c r="U745" i="12767"/>
  <c r="U755" i="12767"/>
  <c r="Q755" i="12767"/>
  <c r="Q759" i="12767"/>
  <c r="U759" i="12767"/>
  <c r="Q758" i="12767"/>
  <c r="U758" i="12767"/>
  <c r="Q753" i="12767"/>
  <c r="U753" i="12767"/>
  <c r="U748" i="12767"/>
  <c r="Q748" i="12767"/>
  <c r="Q38" i="12764"/>
  <c r="S38" i="12764" s="1"/>
  <c r="C932" i="12767"/>
  <c r="G949" i="12843"/>
  <c r="M50" i="12828"/>
  <c r="Q1195" i="12767"/>
  <c r="M1195" i="12767"/>
  <c r="M1222" i="12767"/>
  <c r="Q1222" i="12767"/>
  <c r="Q1151" i="12767"/>
  <c r="M1151" i="12767"/>
  <c r="U22" i="12767"/>
  <c r="Q22" i="12767"/>
  <c r="U734" i="12767"/>
  <c r="Q734" i="12767"/>
  <c r="U621" i="12767"/>
  <c r="Q621" i="12767"/>
  <c r="U604" i="12767"/>
  <c r="Q604" i="12767"/>
  <c r="U738" i="12767"/>
  <c r="Q738" i="12767"/>
  <c r="C632" i="12767"/>
  <c r="M627" i="12767"/>
  <c r="U752" i="12767"/>
  <c r="Q752" i="12767"/>
  <c r="U737" i="12767"/>
  <c r="Q737" i="12767"/>
  <c r="U732" i="12767"/>
  <c r="Q732" i="12767"/>
  <c r="U720" i="12767"/>
  <c r="Q720" i="12767"/>
  <c r="U620" i="12767"/>
  <c r="Q620" i="12767"/>
  <c r="U607" i="12767"/>
  <c r="Q607" i="12767"/>
  <c r="Q189" i="12767"/>
  <c r="U189" i="12767"/>
  <c r="Q168" i="12767"/>
  <c r="U168" i="12767"/>
  <c r="U602" i="12767"/>
  <c r="Q602" i="12767"/>
  <c r="Q742" i="12767"/>
  <c r="M742" i="12767"/>
  <c r="U729" i="12767"/>
  <c r="Q729" i="12767"/>
  <c r="U723" i="12767"/>
  <c r="Q723" i="12767"/>
  <c r="U624" i="12767"/>
  <c r="Q624" i="12767"/>
  <c r="U191" i="12767"/>
  <c r="Q191" i="12767"/>
  <c r="U733" i="12767"/>
  <c r="Q733" i="12767"/>
  <c r="U722" i="12767"/>
  <c r="Q722" i="12767"/>
  <c r="U623" i="12767"/>
  <c r="Q623" i="12767"/>
  <c r="U190" i="12767"/>
  <c r="Q190" i="12767"/>
  <c r="U603" i="12767"/>
  <c r="Q603" i="12767"/>
  <c r="M765" i="12767"/>
  <c r="U747" i="12767"/>
  <c r="Q747" i="12767"/>
  <c r="U735" i="12767"/>
  <c r="Q735" i="12767"/>
  <c r="U731" i="12767"/>
  <c r="Q731" i="12767"/>
  <c r="U724" i="12767"/>
  <c r="Q724" i="12767"/>
  <c r="Q622" i="12767"/>
  <c r="U622" i="12767"/>
  <c r="U606" i="12767"/>
  <c r="Q606" i="12767"/>
  <c r="U631" i="12767"/>
  <c r="Q631" i="12767"/>
  <c r="U870" i="12767"/>
  <c r="U817" i="12767"/>
  <c r="S372" i="12767"/>
  <c r="M1208" i="12767"/>
  <c r="U709" i="12767"/>
  <c r="U671" i="12767"/>
  <c r="U549" i="12767"/>
  <c r="U443" i="12767"/>
  <c r="U408" i="12767"/>
  <c r="U514" i="12767"/>
  <c r="S373" i="12767"/>
  <c r="S235" i="12767"/>
  <c r="Q514" i="12767"/>
  <c r="Q408" i="12767"/>
  <c r="Q549" i="12767"/>
  <c r="O235" i="12767"/>
  <c r="Q443" i="12767"/>
  <c r="O373" i="12767"/>
  <c r="O372" i="12767"/>
  <c r="Q671" i="12767"/>
  <c r="Q709" i="12767"/>
  <c r="Q870" i="12767"/>
  <c r="Q817" i="12767"/>
  <c r="O849" i="12767"/>
  <c r="Q849" i="12767" s="1"/>
  <c r="O765" i="12767"/>
  <c r="Q765" i="12767" s="1"/>
  <c r="O796" i="12767"/>
  <c r="Q796" i="12767" s="1"/>
  <c r="I269" i="12767"/>
  <c r="M269" i="12767" s="1"/>
  <c r="K549" i="12767"/>
  <c r="M549" i="12767" s="1"/>
  <c r="K408" i="12767"/>
  <c r="M408" i="12767" s="1"/>
  <c r="K373" i="12767"/>
  <c r="K479" i="12767"/>
  <c r="K443" i="12767"/>
  <c r="M443" i="12767" s="1"/>
  <c r="K235" i="12767"/>
  <c r="K514" i="12767"/>
  <c r="M514" i="12767" s="1"/>
  <c r="K870" i="12767"/>
  <c r="M870" i="12767" s="1"/>
  <c r="K817" i="12767"/>
  <c r="M817" i="12767" s="1"/>
  <c r="I268" i="12767"/>
  <c r="M513" i="12767"/>
  <c r="M548" i="12767"/>
  <c r="M407" i="12767"/>
  <c r="K372" i="12767"/>
  <c r="M442" i="12767"/>
  <c r="K234" i="12767"/>
  <c r="M816" i="12767"/>
  <c r="M869" i="12767"/>
  <c r="K970" i="12767"/>
  <c r="M970" i="12767" s="1"/>
  <c r="K895" i="12767"/>
  <c r="M895" i="12767" s="1"/>
  <c r="K988" i="12767"/>
  <c r="M988" i="12767" s="1"/>
  <c r="M1082" i="12767" s="1"/>
  <c r="K671" i="12767"/>
  <c r="M671" i="12767" s="1"/>
  <c r="K709" i="12767"/>
  <c r="M709" i="12767" s="1"/>
  <c r="M708" i="12767"/>
  <c r="M670" i="12767"/>
  <c r="G798" i="12767"/>
  <c r="I798" i="12767" s="1"/>
  <c r="F357" i="12767"/>
  <c r="G869" i="12767"/>
  <c r="I869" i="12767" s="1"/>
  <c r="J46" i="12763"/>
  <c r="L46" i="12763" s="1"/>
  <c r="C766" i="12767"/>
  <c r="K997" i="12766"/>
  <c r="G996" i="12766"/>
  <c r="M990" i="12766"/>
  <c r="M984" i="12766"/>
  <c r="G974" i="12766"/>
  <c r="H811" i="12766"/>
  <c r="H783" i="12766" s="1"/>
  <c r="G866" i="12766"/>
  <c r="G864" i="12766"/>
  <c r="H832" i="12766"/>
  <c r="C798" i="12766"/>
  <c r="C770" i="12766" s="1"/>
  <c r="H739" i="12766"/>
  <c r="H735" i="12766"/>
  <c r="E612" i="12766"/>
  <c r="H585" i="12766"/>
  <c r="H584" i="12766"/>
  <c r="C586" i="12766"/>
  <c r="C584" i="12766"/>
  <c r="G533" i="12766"/>
  <c r="C499" i="12766"/>
  <c r="G556" i="12766"/>
  <c r="G375" i="12766"/>
  <c r="G228" i="12766"/>
  <c r="G200" i="12766" s="1"/>
  <c r="D228" i="12766"/>
  <c r="H228" i="12766" s="1"/>
  <c r="G268" i="12766"/>
  <c r="D296" i="12766"/>
  <c r="C183" i="12766"/>
  <c r="C153" i="12766" s="1"/>
  <c r="G356" i="12766"/>
  <c r="G150" i="12766" s="1"/>
  <c r="G33" i="12766"/>
  <c r="G885" i="12787"/>
  <c r="E893" i="12787"/>
  <c r="G893" i="12787" s="1"/>
  <c r="E736" i="12787"/>
  <c r="G736" i="12787" s="1"/>
  <c r="E851" i="12787"/>
  <c r="G851" i="12787" s="1"/>
  <c r="O795" i="12787"/>
  <c r="I648" i="12787"/>
  <c r="K648" i="12787" s="1"/>
  <c r="I699" i="12787"/>
  <c r="M597" i="12787"/>
  <c r="I616" i="12787"/>
  <c r="M616" i="12787" s="1"/>
  <c r="H597" i="12766"/>
  <c r="G595" i="12766"/>
  <c r="C595" i="12766"/>
  <c r="G593" i="12766"/>
  <c r="C593" i="12766"/>
  <c r="I861" i="12787"/>
  <c r="K861" i="12787" s="1"/>
  <c r="E753" i="12787"/>
  <c r="E867" i="12787"/>
  <c r="H867" i="12787" s="1"/>
  <c r="H811" i="12787" s="1"/>
  <c r="I647" i="12787"/>
  <c r="I698" i="12787"/>
  <c r="O596" i="12787"/>
  <c r="I637" i="12787"/>
  <c r="K637" i="12787" s="1"/>
  <c r="I609" i="12787"/>
  <c r="M609" i="12787" s="1"/>
  <c r="G567" i="12787"/>
  <c r="G224" i="12787"/>
  <c r="G196" i="12787" s="1"/>
  <c r="G363" i="12787"/>
  <c r="D67" i="12787"/>
  <c r="M783" i="12787"/>
  <c r="K864" i="12787"/>
  <c r="K838" i="12787"/>
  <c r="C802" i="12787"/>
  <c r="C774" i="12787" s="1"/>
  <c r="K826" i="12787"/>
  <c r="C797" i="12787"/>
  <c r="C769" i="12787" s="1"/>
  <c r="D627" i="12787"/>
  <c r="E666" i="12787"/>
  <c r="E660" i="12787"/>
  <c r="E659" i="12787"/>
  <c r="G659" i="12787" s="1"/>
  <c r="G608" i="12787" s="1"/>
  <c r="E658" i="12787"/>
  <c r="G658" i="12787" s="1"/>
  <c r="K705" i="12787"/>
  <c r="G705" i="12787"/>
  <c r="G637" i="12787"/>
  <c r="G645" i="12787"/>
  <c r="C503" i="12787"/>
  <c r="D483" i="12787"/>
  <c r="K516" i="12787"/>
  <c r="C551" i="12787"/>
  <c r="C517" i="12787"/>
  <c r="G514" i="12787"/>
  <c r="C480" i="12787"/>
  <c r="I469" i="12766"/>
  <c r="D290" i="12787"/>
  <c r="I314" i="12787"/>
  <c r="K314" i="12787" s="1"/>
  <c r="I428" i="12787"/>
  <c r="K428" i="12787" s="1"/>
  <c r="K370" i="12787" s="1"/>
  <c r="I253" i="12787"/>
  <c r="K253" i="12787" s="1"/>
  <c r="H340" i="12787"/>
  <c r="G225" i="12787"/>
  <c r="G197" i="12787" s="1"/>
  <c r="I427" i="12787"/>
  <c r="K427" i="12787" s="1"/>
  <c r="I339" i="12787"/>
  <c r="K339" i="12787" s="1"/>
  <c r="C191" i="12787"/>
  <c r="C162" i="12787" s="1"/>
  <c r="I101" i="12787"/>
  <c r="K101" i="12787" s="1"/>
  <c r="H136" i="12787"/>
  <c r="D68" i="12787"/>
  <c r="H68" i="12787" s="1"/>
  <c r="G73" i="12787"/>
  <c r="G71" i="12787"/>
  <c r="G69" i="12787"/>
  <c r="G67" i="12787"/>
  <c r="G33" i="12787"/>
  <c r="P32" i="12775"/>
  <c r="AA28" i="12775" s="1"/>
  <c r="N74" i="12775" s="1"/>
  <c r="I85" i="12763"/>
  <c r="I81" i="12763"/>
  <c r="N74" i="12763"/>
  <c r="O86" i="12764"/>
  <c r="K86" i="12764"/>
  <c r="C483" i="12767"/>
  <c r="C21" i="12767"/>
  <c r="G853" i="12767"/>
  <c r="I853" i="12767" s="1"/>
  <c r="P992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7" i="12766" s="1"/>
  <c r="G779" i="12766" s="1"/>
  <c r="G806" i="12766"/>
  <c r="G778" i="12766" s="1"/>
  <c r="G805" i="12766"/>
  <c r="G777" i="12766" s="1"/>
  <c r="I860" i="12766"/>
  <c r="K860" i="12766" s="1"/>
  <c r="C799" i="12766"/>
  <c r="C771" i="12766" s="1"/>
  <c r="H754" i="12766"/>
  <c r="H752" i="12766"/>
  <c r="E747" i="12766"/>
  <c r="I718" i="12766"/>
  <c r="K718" i="12766" s="1"/>
  <c r="I717" i="12766"/>
  <c r="K717" i="12766" s="1"/>
  <c r="I710" i="12766"/>
  <c r="K710" i="12766" s="1"/>
  <c r="I709" i="12766"/>
  <c r="K709" i="12766" s="1"/>
  <c r="G705" i="12766"/>
  <c r="G603" i="12766" s="1"/>
  <c r="G704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H16" i="12766" s="1"/>
  <c r="G50" i="12766"/>
  <c r="O97" i="12761"/>
  <c r="H102" i="12766"/>
  <c r="H104" i="12766" s="1"/>
  <c r="D693" i="12787"/>
  <c r="D695" i="12787"/>
  <c r="D697" i="12787"/>
  <c r="D595" i="12787" s="1"/>
  <c r="M595" i="12787" s="1"/>
  <c r="D721" i="12787"/>
  <c r="D724" i="12787"/>
  <c r="D715" i="12787"/>
  <c r="D716" i="12787"/>
  <c r="H716" i="12787" s="1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G923" i="12787" s="1"/>
  <c r="O880" i="12787"/>
  <c r="G895" i="12787"/>
  <c r="G839" i="12787"/>
  <c r="C811" i="12787"/>
  <c r="C783" i="12787" s="1"/>
  <c r="K893" i="12787"/>
  <c r="D892" i="12787"/>
  <c r="H892" i="12787" s="1"/>
  <c r="C809" i="12787"/>
  <c r="C781" i="12787" s="1"/>
  <c r="K891" i="12787"/>
  <c r="I836" i="12787"/>
  <c r="K836" i="12787" s="1"/>
  <c r="G891" i="12787"/>
  <c r="I833" i="12787"/>
  <c r="K833" i="12787" s="1"/>
  <c r="K855" i="12787"/>
  <c r="K799" i="12787" s="1"/>
  <c r="K771" i="12787" s="1"/>
  <c r="U770" i="12787" s="1"/>
  <c r="W770" i="12787" s="1"/>
  <c r="K854" i="12787"/>
  <c r="I752" i="12787"/>
  <c r="I621" i="12787"/>
  <c r="I599" i="12787"/>
  <c r="I618" i="12787" s="1"/>
  <c r="G647" i="12787"/>
  <c r="G646" i="12787"/>
  <c r="O593" i="12787"/>
  <c r="G688" i="12787"/>
  <c r="M586" i="12787"/>
  <c r="I704" i="12787"/>
  <c r="K704" i="12787" s="1"/>
  <c r="K602" i="12787" s="1"/>
  <c r="U584" i="12787" s="1"/>
  <c r="W584" i="12787" s="1"/>
  <c r="C595" i="12787"/>
  <c r="G644" i="12787"/>
  <c r="I642" i="12787"/>
  <c r="I661" i="12787" s="1"/>
  <c r="K661" i="12787" s="1"/>
  <c r="K635" i="12787"/>
  <c r="K584" i="12787" s="1"/>
  <c r="K539" i="12787"/>
  <c r="E563" i="12787"/>
  <c r="G563" i="12787" s="1"/>
  <c r="I525" i="12787"/>
  <c r="I536" i="12787" s="1"/>
  <c r="K536" i="12787" s="1"/>
  <c r="I559" i="12787"/>
  <c r="I502" i="12787"/>
  <c r="M482" i="12787"/>
  <c r="H516" i="12787"/>
  <c r="H482" i="12787" s="1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H426" i="12787" s="1"/>
  <c r="G221" i="12787"/>
  <c r="G193" i="12787" s="1"/>
  <c r="C185" i="12787"/>
  <c r="C155" i="12787" s="1"/>
  <c r="K243" i="12787"/>
  <c r="D418" i="12787"/>
  <c r="H418" i="12787" s="1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H73" i="12787" s="1"/>
  <c r="D55" i="12787"/>
  <c r="H55" i="12787" s="1"/>
  <c r="H35" i="12787"/>
  <c r="G55" i="12787"/>
  <c r="G52" i="12787"/>
  <c r="G51" i="12787"/>
  <c r="G40" i="12787"/>
  <c r="C1167" i="12767"/>
  <c r="C1166" i="12767" s="1"/>
  <c r="M54" i="12828"/>
  <c r="M52" i="12828"/>
  <c r="H907" i="12766"/>
  <c r="M907" i="12766"/>
  <c r="I750" i="12766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G810" i="12766" s="1"/>
  <c r="G782" i="12766" s="1"/>
  <c r="C810" i="12766"/>
  <c r="C782" i="12766" s="1"/>
  <c r="G865" i="12766"/>
  <c r="H889" i="12766"/>
  <c r="I861" i="12766"/>
  <c r="K861" i="12766" s="1"/>
  <c r="H887" i="12766"/>
  <c r="G853" i="12766"/>
  <c r="G797" i="12766" s="1"/>
  <c r="G769" i="12766" s="1"/>
  <c r="S769" i="12766"/>
  <c r="C795" i="12766"/>
  <c r="C767" i="12766" s="1"/>
  <c r="K795" i="12766"/>
  <c r="K767" i="12766" s="1"/>
  <c r="K794" i="12766"/>
  <c r="K766" i="12766" s="1"/>
  <c r="H794" i="12766"/>
  <c r="H766" i="12766" s="1"/>
  <c r="E749" i="12766"/>
  <c r="E746" i="12766"/>
  <c r="G743" i="12766"/>
  <c r="G740" i="12766"/>
  <c r="H736" i="12766"/>
  <c r="H623" i="12766"/>
  <c r="G622" i="12766"/>
  <c r="G723" i="12766"/>
  <c r="G621" i="12766" s="1"/>
  <c r="H718" i="12766"/>
  <c r="H616" i="12766" s="1"/>
  <c r="I666" i="12766"/>
  <c r="K666" i="12766" s="1"/>
  <c r="H717" i="12766"/>
  <c r="I665" i="12766"/>
  <c r="G613" i="12766"/>
  <c r="H711" i="12766"/>
  <c r="G609" i="12766"/>
  <c r="H710" i="12766"/>
  <c r="G608" i="12766"/>
  <c r="I658" i="12766"/>
  <c r="K658" i="12766" s="1"/>
  <c r="H709" i="12766"/>
  <c r="G607" i="12766"/>
  <c r="H707" i="12766"/>
  <c r="G605" i="12766"/>
  <c r="C600" i="12766"/>
  <c r="G650" i="12766"/>
  <c r="C599" i="12766"/>
  <c r="G648" i="12766"/>
  <c r="G597" i="12766" s="1"/>
  <c r="G635" i="12766"/>
  <c r="G584" i="12766" s="1"/>
  <c r="S585" i="12766"/>
  <c r="H582" i="12766"/>
  <c r="G633" i="12766"/>
  <c r="G582" i="12766" s="1"/>
  <c r="C638" i="12766"/>
  <c r="K504" i="12766"/>
  <c r="C570" i="12766"/>
  <c r="G570" i="12766" s="1"/>
  <c r="G536" i="12766"/>
  <c r="G565" i="12766"/>
  <c r="H563" i="12766"/>
  <c r="H495" i="12766" s="1"/>
  <c r="G490" i="12766"/>
  <c r="I522" i="12766"/>
  <c r="C517" i="12766"/>
  <c r="C480" i="12766"/>
  <c r="G286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G188" i="12766" s="1"/>
  <c r="D216" i="12766"/>
  <c r="G272" i="12766"/>
  <c r="G241" i="12766"/>
  <c r="G185" i="12766" s="1"/>
  <c r="C304" i="12766"/>
  <c r="C317" i="12766" s="1"/>
  <c r="C246" i="12766"/>
  <c r="C190" i="12766" s="1"/>
  <c r="G296" i="12766"/>
  <c r="G267" i="12766" s="1"/>
  <c r="C242" i="12766"/>
  <c r="D240" i="12766" s="1"/>
  <c r="C214" i="12766"/>
  <c r="C434" i="12766"/>
  <c r="D427" i="12766" s="1"/>
  <c r="G363" i="12766"/>
  <c r="C115" i="12766"/>
  <c r="C89" i="12766" s="1"/>
  <c r="C91" i="12766" s="1"/>
  <c r="G111" i="12766"/>
  <c r="I101" i="12766"/>
  <c r="K101" i="12766" s="1"/>
  <c r="K102" i="12766" s="1"/>
  <c r="I114" i="12766"/>
  <c r="K114" i="12766" s="1"/>
  <c r="K115" i="12766" s="1"/>
  <c r="K117" i="12766" s="1"/>
  <c r="I127" i="12766"/>
  <c r="K127" i="12766" s="1"/>
  <c r="D69" i="12766"/>
  <c r="H69" i="12766" s="1"/>
  <c r="G69" i="12766"/>
  <c r="D51" i="12766"/>
  <c r="C17" i="12766"/>
  <c r="D39" i="12766"/>
  <c r="H39" i="12766" s="1"/>
  <c r="H22" i="12766" s="1"/>
  <c r="C22" i="12766"/>
  <c r="D829" i="12787"/>
  <c r="D843" i="12787" s="1"/>
  <c r="D827" i="12787"/>
  <c r="H827" i="12787" s="1"/>
  <c r="D834" i="12787"/>
  <c r="T51" i="12764"/>
  <c r="V51" i="12764" s="1"/>
  <c r="V102" i="12764" s="1"/>
  <c r="M776" i="12766"/>
  <c r="G798" i="12766"/>
  <c r="G770" i="12766" s="1"/>
  <c r="G596" i="12766"/>
  <c r="G594" i="12766"/>
  <c r="C594" i="12766"/>
  <c r="G481" i="12766"/>
  <c r="G480" i="12766"/>
  <c r="C83" i="12766"/>
  <c r="G96" i="12766"/>
  <c r="T85" i="12766"/>
  <c r="D91" i="12766"/>
  <c r="H86" i="12766"/>
  <c r="G84" i="12766"/>
  <c r="K71" i="12766"/>
  <c r="K37" i="12766"/>
  <c r="K67" i="12766"/>
  <c r="K33" i="12766"/>
  <c r="C16" i="12766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82" i="12787" s="1"/>
  <c r="G968" i="12787"/>
  <c r="G971" i="12787" s="1"/>
  <c r="C971" i="12787"/>
  <c r="D932" i="12787"/>
  <c r="K932" i="12787" s="1"/>
  <c r="K934" i="12787" s="1"/>
  <c r="G934" i="12787"/>
  <c r="K45" i="12775"/>
  <c r="P916" i="12787"/>
  <c r="P912" i="12787"/>
  <c r="P909" i="12787"/>
  <c r="P907" i="12787"/>
  <c r="O877" i="12787"/>
  <c r="E810" i="12787"/>
  <c r="E808" i="12787"/>
  <c r="E840" i="12787"/>
  <c r="G840" i="12787" s="1"/>
  <c r="H894" i="12787"/>
  <c r="I863" i="12787"/>
  <c r="K863" i="12787" s="1"/>
  <c r="I835" i="12787"/>
  <c r="K835" i="12787" s="1"/>
  <c r="D890" i="12787"/>
  <c r="H890" i="12787" s="1"/>
  <c r="K858" i="12787"/>
  <c r="D885" i="12787"/>
  <c r="H885" i="12787" s="1"/>
  <c r="K829" i="12787"/>
  <c r="D882" i="12787"/>
  <c r="H882" i="12787" s="1"/>
  <c r="E823" i="12787"/>
  <c r="H823" i="12787" s="1"/>
  <c r="K822" i="12787"/>
  <c r="C794" i="12787"/>
  <c r="C766" i="12787" s="1"/>
  <c r="C768" i="12787" s="1"/>
  <c r="I757" i="12787"/>
  <c r="K757" i="12787" s="1"/>
  <c r="I751" i="12787"/>
  <c r="G749" i="12787"/>
  <c r="D738" i="12787"/>
  <c r="M738" i="12787" s="1"/>
  <c r="M736" i="12787"/>
  <c r="M735" i="12787"/>
  <c r="E724" i="12787"/>
  <c r="I615" i="12787"/>
  <c r="M615" i="12787" s="1"/>
  <c r="G654" i="12787"/>
  <c r="O602" i="12787"/>
  <c r="M596" i="12787"/>
  <c r="C589" i="12787"/>
  <c r="G723" i="12787"/>
  <c r="G621" i="12787" s="1"/>
  <c r="H684" i="12787"/>
  <c r="G633" i="12787"/>
  <c r="G582" i="12787" s="1"/>
  <c r="G538" i="12787"/>
  <c r="K533" i="12787"/>
  <c r="C499" i="12787"/>
  <c r="G498" i="12787"/>
  <c r="G531" i="12787"/>
  <c r="G497" i="12787" s="1"/>
  <c r="K529" i="12787"/>
  <c r="K495" i="12787" s="1"/>
  <c r="K521" i="12787"/>
  <c r="G555" i="12787"/>
  <c r="K558" i="12787"/>
  <c r="G559" i="12787"/>
  <c r="G558" i="12787"/>
  <c r="C482" i="12787"/>
  <c r="K519" i="12787"/>
  <c r="K549" i="12787"/>
  <c r="K515" i="12787"/>
  <c r="K230" i="12787"/>
  <c r="D947" i="12787"/>
  <c r="N45" i="12775"/>
  <c r="L45" i="12775"/>
  <c r="J45" i="12775"/>
  <c r="H45" i="12775"/>
  <c r="F45" i="12775"/>
  <c r="D45" i="12775"/>
  <c r="D838" i="12787"/>
  <c r="D836" i="12787"/>
  <c r="H836" i="12787" s="1"/>
  <c r="G836" i="12787"/>
  <c r="K530" i="12787"/>
  <c r="K496" i="12787" s="1"/>
  <c r="D174" i="12787"/>
  <c r="H342" i="12787"/>
  <c r="G341" i="12787"/>
  <c r="G283" i="12787" s="1"/>
  <c r="H341" i="12787"/>
  <c r="M84" i="12787"/>
  <c r="G296" i="12787"/>
  <c r="G267" i="12787" s="1"/>
  <c r="F53" i="12811"/>
  <c r="F81" i="12811"/>
  <c r="G230" i="12787"/>
  <c r="G202" i="12787" s="1"/>
  <c r="K229" i="12787"/>
  <c r="K224" i="12787"/>
  <c r="K196" i="12787" s="1"/>
  <c r="K247" i="12787"/>
  <c r="G247" i="12787"/>
  <c r="D422" i="12787"/>
  <c r="H422" i="12787" s="1"/>
  <c r="G332" i="12787"/>
  <c r="G274" i="12787" s="1"/>
  <c r="G330" i="12787"/>
  <c r="G215" i="12787"/>
  <c r="K360" i="12787"/>
  <c r="K215" i="12787"/>
  <c r="G243" i="12787"/>
  <c r="K390" i="12787"/>
  <c r="K361" i="12787" s="1"/>
  <c r="E420" i="12787"/>
  <c r="C304" i="12787"/>
  <c r="C275" i="12787" s="1"/>
  <c r="G302" i="12787"/>
  <c r="C405" i="12787"/>
  <c r="G212" i="12787"/>
  <c r="K239" i="12787"/>
  <c r="I140" i="12787"/>
  <c r="K140" i="12787" s="1"/>
  <c r="I114" i="12787"/>
  <c r="K114" i="12787" s="1"/>
  <c r="D98" i="12787"/>
  <c r="D102" i="12787" s="1"/>
  <c r="H110" i="12787"/>
  <c r="H135" i="12787"/>
  <c r="C21" i="12787"/>
  <c r="G74" i="12787"/>
  <c r="G57" i="12787"/>
  <c r="G56" i="12787"/>
  <c r="G37" i="12787"/>
  <c r="F79" i="12811"/>
  <c r="F103" i="12811"/>
  <c r="E101" i="12811"/>
  <c r="E103" i="12811" s="1"/>
  <c r="E117" i="12811" s="1"/>
  <c r="F356" i="12767"/>
  <c r="C178" i="12767"/>
  <c r="C182" i="12767" s="1"/>
  <c r="F44" i="12811"/>
  <c r="E41" i="12811"/>
  <c r="E44" i="12811" s="1"/>
  <c r="F74" i="12811"/>
  <c r="E74" i="12811"/>
  <c r="E46" i="12811"/>
  <c r="E47" i="12811" s="1"/>
  <c r="F47" i="12811"/>
  <c r="F77" i="12811"/>
  <c r="E76" i="12811"/>
  <c r="E77" i="12811" s="1"/>
  <c r="I65" i="12763"/>
  <c r="M989" i="12787"/>
  <c r="I867" i="12787"/>
  <c r="K867" i="12787" s="1"/>
  <c r="E573" i="12787"/>
  <c r="G573" i="12787" s="1"/>
  <c r="E572" i="12787"/>
  <c r="G572" i="12787" s="1"/>
  <c r="M97" i="12764"/>
  <c r="Q97" i="12764" s="1"/>
  <c r="S97" i="12764" s="1"/>
  <c r="M93" i="12764"/>
  <c r="Q93" i="12764" s="1"/>
  <c r="S93" i="12764" s="1"/>
  <c r="C77" i="12764"/>
  <c r="S36" i="12764"/>
  <c r="C89" i="12763"/>
  <c r="AD22" i="12775"/>
  <c r="AD44" i="12775" s="1"/>
  <c r="I894" i="12787"/>
  <c r="K894" i="12787" s="1"/>
  <c r="I839" i="12787"/>
  <c r="K839" i="12787" s="1"/>
  <c r="I725" i="12787"/>
  <c r="K725" i="12787" s="1"/>
  <c r="K623" i="12787" s="1"/>
  <c r="M504" i="12787"/>
  <c r="I375" i="12787"/>
  <c r="E287" i="12787"/>
  <c r="I201" i="12787"/>
  <c r="I345" i="12787"/>
  <c r="K345" i="12787" s="1"/>
  <c r="I1235" i="12767"/>
  <c r="G800" i="12767"/>
  <c r="I800" i="12767" s="1"/>
  <c r="I303" i="12767"/>
  <c r="G670" i="12767"/>
  <c r="I670" i="12767" s="1"/>
  <c r="G817" i="12767"/>
  <c r="I817" i="12767" s="1"/>
  <c r="I304" i="12767"/>
  <c r="M304" i="12767" s="1"/>
  <c r="G671" i="12767"/>
  <c r="I671" i="12767" s="1"/>
  <c r="G816" i="12767"/>
  <c r="I816" i="12767" s="1"/>
  <c r="C459" i="12767"/>
  <c r="C110" i="12764"/>
  <c r="R11" i="12764"/>
  <c r="F13" i="12812" s="1"/>
  <c r="Q11" i="12764"/>
  <c r="S11" i="12764" s="1"/>
  <c r="G45" i="12763"/>
  <c r="K45" i="12763" s="1"/>
  <c r="I101" i="12811" s="1"/>
  <c r="E345" i="12787"/>
  <c r="G345" i="12787" s="1"/>
  <c r="I895" i="12787"/>
  <c r="K895" i="12787" s="1"/>
  <c r="T27" i="12775"/>
  <c r="G73" i="12775" s="1"/>
  <c r="E433" i="12787"/>
  <c r="E258" i="12787"/>
  <c r="G258" i="12787" s="1"/>
  <c r="I443" i="12767"/>
  <c r="E726" i="12787"/>
  <c r="G726" i="12787" s="1"/>
  <c r="G624" i="12787" s="1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G549" i="12767"/>
  <c r="I549" i="12767" s="1"/>
  <c r="I408" i="12767"/>
  <c r="F1261" i="12767"/>
  <c r="F1264" i="12767" s="1"/>
  <c r="F75" i="12767"/>
  <c r="F19" i="12767" s="1"/>
  <c r="F73" i="12767"/>
  <c r="F17" i="12767" s="1"/>
  <c r="F885" i="12767"/>
  <c r="I338" i="12767"/>
  <c r="M338" i="12767" s="1"/>
  <c r="M582" i="12787"/>
  <c r="G514" i="12767"/>
  <c r="I514" i="12767" s="1"/>
  <c r="G708" i="12767"/>
  <c r="I708" i="12767" s="1"/>
  <c r="G870" i="12767"/>
  <c r="I870" i="12767" s="1"/>
  <c r="C1064" i="12767"/>
  <c r="C1056" i="12767"/>
  <c r="F49" i="12811" s="1"/>
  <c r="C943" i="12767"/>
  <c r="C173" i="12767"/>
  <c r="F351" i="12767"/>
  <c r="F173" i="12767" s="1"/>
  <c r="H43" i="12783"/>
  <c r="P43" i="12774"/>
  <c r="V41" i="12774" s="1"/>
  <c r="I87" i="12774" s="1"/>
  <c r="P43" i="12775"/>
  <c r="W42" i="12775" s="1"/>
  <c r="J88" i="12775" s="1"/>
  <c r="P22" i="12775"/>
  <c r="X15" i="12775" s="1"/>
  <c r="K61" i="12775" s="1"/>
  <c r="P22" i="12774"/>
  <c r="S19" i="12774" s="1"/>
  <c r="F65" i="12774" s="1"/>
  <c r="P12" i="12774"/>
  <c r="X9" i="12774" s="1"/>
  <c r="K55" i="12774" s="1"/>
  <c r="P12" i="12775"/>
  <c r="Z82" i="12764"/>
  <c r="AA19" i="12774"/>
  <c r="N65" i="12774" s="1"/>
  <c r="C725" i="12767"/>
  <c r="F755" i="12767"/>
  <c r="F693" i="12767"/>
  <c r="C605" i="12767"/>
  <c r="C172" i="12767"/>
  <c r="F350" i="12767"/>
  <c r="F172" i="12767" s="1"/>
  <c r="C216" i="12767"/>
  <c r="C176" i="12767" s="1"/>
  <c r="C177" i="12767"/>
  <c r="F92" i="12767"/>
  <c r="F88" i="12767"/>
  <c r="F549" i="12767"/>
  <c r="F514" i="12767"/>
  <c r="F443" i="12767"/>
  <c r="F408" i="12767"/>
  <c r="F373" i="12767"/>
  <c r="F338" i="12767"/>
  <c r="F304" i="12767"/>
  <c r="F548" i="12767"/>
  <c r="F513" i="12767"/>
  <c r="F442" i="12767"/>
  <c r="F407" i="12767"/>
  <c r="F372" i="12767"/>
  <c r="F337" i="12767"/>
  <c r="F709" i="12767"/>
  <c r="F708" i="12767"/>
  <c r="F630" i="12767" s="1"/>
  <c r="C174" i="12767"/>
  <c r="F602" i="12767"/>
  <c r="F594" i="12767"/>
  <c r="F596" i="12767" s="1"/>
  <c r="F457" i="12767"/>
  <c r="F169" i="12767" s="1"/>
  <c r="F91" i="12767"/>
  <c r="F15" i="12767"/>
  <c r="I1163" i="12767"/>
  <c r="F720" i="12767"/>
  <c r="I722" i="12767"/>
  <c r="M722" i="12767" s="1"/>
  <c r="I74" i="12763"/>
  <c r="C91" i="12764"/>
  <c r="K75" i="12764"/>
  <c r="K58" i="12764"/>
  <c r="F155" i="12812" s="1"/>
  <c r="I58" i="12763"/>
  <c r="E58" i="12763"/>
  <c r="E112" i="12763" s="1"/>
  <c r="O79" i="12764"/>
  <c r="O82" i="12764" s="1"/>
  <c r="R46" i="12764"/>
  <c r="Q34" i="12764"/>
  <c r="S34" i="12764" s="1"/>
  <c r="Q33" i="12764"/>
  <c r="S33" i="12764" s="1"/>
  <c r="K79" i="12764"/>
  <c r="K82" i="12764" s="1"/>
  <c r="K106" i="12764"/>
  <c r="K91" i="12764"/>
  <c r="X81" i="12764"/>
  <c r="I90" i="12763"/>
  <c r="R45" i="12764"/>
  <c r="E58" i="12764"/>
  <c r="Q18" i="12764"/>
  <c r="S18" i="12764" s="1"/>
  <c r="AB81" i="12764"/>
  <c r="T96" i="12764"/>
  <c r="X96" i="12764" s="1"/>
  <c r="C96" i="12764"/>
  <c r="M96" i="12764"/>
  <c r="AA81" i="12764"/>
  <c r="C79" i="12764"/>
  <c r="Q12" i="12764"/>
  <c r="S12" i="12764" s="1"/>
  <c r="C88" i="12763"/>
  <c r="G10" i="12763"/>
  <c r="K10" i="12763" s="1"/>
  <c r="I16" i="12811" s="1"/>
  <c r="G26" i="12763"/>
  <c r="G80" i="12763" s="1"/>
  <c r="K80" i="12763" s="1"/>
  <c r="G51" i="12763"/>
  <c r="G9" i="12763"/>
  <c r="G11" i="12763"/>
  <c r="K11" i="12763" s="1"/>
  <c r="K98" i="12764"/>
  <c r="O106" i="12764"/>
  <c r="I104" i="12763"/>
  <c r="N104" i="12763"/>
  <c r="I96" i="12763"/>
  <c r="N90" i="12763"/>
  <c r="N65" i="12763"/>
  <c r="N81" i="12763"/>
  <c r="N70" i="12763"/>
  <c r="N96" i="12763"/>
  <c r="C73" i="12764"/>
  <c r="G22" i="12763"/>
  <c r="K22" i="12763" s="1"/>
  <c r="C73" i="12763"/>
  <c r="G37" i="12763"/>
  <c r="J37" i="12763" s="1"/>
  <c r="L37" i="12763" s="1"/>
  <c r="C347" i="12787"/>
  <c r="C106" i="12764"/>
  <c r="Q19" i="12764"/>
  <c r="S19" i="12764" s="1"/>
  <c r="M78" i="12764"/>
  <c r="J89" i="12763"/>
  <c r="L89" i="12763" s="1"/>
  <c r="G40" i="12763"/>
  <c r="J40" i="12763" s="1"/>
  <c r="L40" i="12763" s="1"/>
  <c r="G19" i="12763"/>
  <c r="H974" i="12766"/>
  <c r="M974" i="12766"/>
  <c r="D950" i="12766"/>
  <c r="H950" i="12766" s="1"/>
  <c r="D951" i="12766"/>
  <c r="H951" i="12766" s="1"/>
  <c r="D917" i="12766"/>
  <c r="K917" i="12766" s="1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F474" i="12767"/>
  <c r="H981" i="12766"/>
  <c r="M981" i="12766"/>
  <c r="K904" i="12766"/>
  <c r="M904" i="12766"/>
  <c r="H904" i="12766"/>
  <c r="D857" i="12766"/>
  <c r="D871" i="12766" s="1"/>
  <c r="D858" i="12766"/>
  <c r="H858" i="12766" s="1"/>
  <c r="D862" i="12766"/>
  <c r="K862" i="12766" s="1"/>
  <c r="D865" i="12766"/>
  <c r="K865" i="12766" s="1"/>
  <c r="C871" i="12766"/>
  <c r="D853" i="12766"/>
  <c r="D854" i="12766"/>
  <c r="D855" i="12766"/>
  <c r="H855" i="12766" s="1"/>
  <c r="D864" i="12766"/>
  <c r="H864" i="12766" s="1"/>
  <c r="D868" i="12766"/>
  <c r="I751" i="12766"/>
  <c r="I757" i="12766"/>
  <c r="C492" i="12766"/>
  <c r="G560" i="12766"/>
  <c r="G492" i="12766" s="1"/>
  <c r="C487" i="12766"/>
  <c r="G555" i="12766"/>
  <c r="G487" i="12766" s="1"/>
  <c r="D522" i="12766"/>
  <c r="H522" i="12766" s="1"/>
  <c r="D521" i="12766"/>
  <c r="H521" i="12766" s="1"/>
  <c r="D526" i="12766"/>
  <c r="H526" i="12766" s="1"/>
  <c r="D531" i="12766"/>
  <c r="K515" i="12766"/>
  <c r="K481" i="12766" s="1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C162" i="12766" s="1"/>
  <c r="G247" i="12766"/>
  <c r="G191" i="12766" s="1"/>
  <c r="O69" i="12761"/>
  <c r="O54" i="12761"/>
  <c r="K65" i="12764"/>
  <c r="K89" i="12763"/>
  <c r="I70" i="12763"/>
  <c r="F1224" i="12767"/>
  <c r="F748" i="12767"/>
  <c r="F621" i="12767"/>
  <c r="F603" i="12767"/>
  <c r="F465" i="12767"/>
  <c r="F456" i="12767"/>
  <c r="F168" i="12767" s="1"/>
  <c r="F93" i="12767"/>
  <c r="M996" i="12766"/>
  <c r="K992" i="12766"/>
  <c r="K989" i="12766"/>
  <c r="K985" i="12766"/>
  <c r="K982" i="12766"/>
  <c r="M977" i="12766"/>
  <c r="P989" i="12766"/>
  <c r="P982" i="12766"/>
  <c r="G972" i="12766"/>
  <c r="G905" i="12766"/>
  <c r="H888" i="12766"/>
  <c r="H833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G742" i="12766"/>
  <c r="M736" i="12766"/>
  <c r="D627" i="12766"/>
  <c r="G701" i="12766"/>
  <c r="H596" i="12766"/>
  <c r="C591" i="12766"/>
  <c r="C588" i="12766"/>
  <c r="U585" i="12766"/>
  <c r="H504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G366" i="12766"/>
  <c r="G193" i="12766"/>
  <c r="G88" i="12766"/>
  <c r="G343" i="12766"/>
  <c r="G285" i="12766" s="1"/>
  <c r="H343" i="12766"/>
  <c r="C360" i="12766"/>
  <c r="G418" i="12766"/>
  <c r="G360" i="12766" s="1"/>
  <c r="D215" i="12766"/>
  <c r="G215" i="12766"/>
  <c r="G187" i="12766" s="1"/>
  <c r="O33" i="12761"/>
  <c r="Z91" i="12764"/>
  <c r="AA85" i="12764"/>
  <c r="F741" i="12767"/>
  <c r="F476" i="12767"/>
  <c r="C181" i="12767"/>
  <c r="M181" i="12767" s="1"/>
  <c r="F461" i="12767"/>
  <c r="F160" i="12767"/>
  <c r="M964" i="12766"/>
  <c r="H964" i="12766"/>
  <c r="H966" i="12766" s="1"/>
  <c r="K811" i="12766"/>
  <c r="K783" i="12766" s="1"/>
  <c r="G616" i="12766"/>
  <c r="G615" i="12766"/>
  <c r="G614" i="12766"/>
  <c r="G612" i="12766"/>
  <c r="G610" i="12766"/>
  <c r="K585" i="12766"/>
  <c r="K584" i="12766"/>
  <c r="C585" i="12766"/>
  <c r="G500" i="12766"/>
  <c r="G498" i="12766"/>
  <c r="G495" i="12766"/>
  <c r="W480" i="12766"/>
  <c r="D175" i="12766"/>
  <c r="G373" i="12766"/>
  <c r="G283" i="12766"/>
  <c r="G281" i="12766"/>
  <c r="G279" i="12766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K645" i="12787"/>
  <c r="I664" i="12787"/>
  <c r="K664" i="12787" s="1"/>
  <c r="I453" i="12787"/>
  <c r="K453" i="12787" s="1"/>
  <c r="I464" i="12766"/>
  <c r="C115" i="12787"/>
  <c r="G111" i="12787"/>
  <c r="C496" i="12766"/>
  <c r="T486" i="12766"/>
  <c r="H482" i="12766"/>
  <c r="C482" i="12766"/>
  <c r="C481" i="12766"/>
  <c r="D290" i="12766"/>
  <c r="D378" i="12766"/>
  <c r="D174" i="12766"/>
  <c r="G287" i="12766"/>
  <c r="K432" i="12766"/>
  <c r="H374" i="12766"/>
  <c r="G374" i="12766"/>
  <c r="G372" i="12766"/>
  <c r="G371" i="12766"/>
  <c r="G370" i="12766"/>
  <c r="G197" i="12766"/>
  <c r="I222" i="12766"/>
  <c r="K222" i="12766" s="1"/>
  <c r="D425" i="12766"/>
  <c r="G367" i="12766"/>
  <c r="G222" i="12766"/>
  <c r="G194" i="12766" s="1"/>
  <c r="G278" i="12766"/>
  <c r="C363" i="12766"/>
  <c r="G303" i="12766"/>
  <c r="G274" i="12766" s="1"/>
  <c r="C362" i="12766"/>
  <c r="C189" i="12766"/>
  <c r="C187" i="12766"/>
  <c r="G269" i="12766"/>
  <c r="H268" i="12766"/>
  <c r="G240" i="12766"/>
  <c r="G184" i="12766" s="1"/>
  <c r="C184" i="12766"/>
  <c r="K325" i="12766"/>
  <c r="G386" i="12766"/>
  <c r="G357" i="12766" s="1"/>
  <c r="G151" i="12766" s="1"/>
  <c r="G355" i="12766"/>
  <c r="G149" i="12766" s="1"/>
  <c r="H140" i="12766"/>
  <c r="G87" i="12766"/>
  <c r="H85" i="12766"/>
  <c r="H84" i="12766"/>
  <c r="N81" i="12766"/>
  <c r="K73" i="12766"/>
  <c r="G73" i="12766"/>
  <c r="G39" i="12766"/>
  <c r="K54" i="12766"/>
  <c r="G54" i="12766"/>
  <c r="C20" i="12766"/>
  <c r="G52" i="12766"/>
  <c r="K68" i="12766"/>
  <c r="K34" i="12766"/>
  <c r="G68" i="12766"/>
  <c r="G34" i="12766"/>
  <c r="K74" i="12766"/>
  <c r="K40" i="12766"/>
  <c r="R37" i="12764"/>
  <c r="F80" i="12812" s="1"/>
  <c r="Q35" i="12764"/>
  <c r="S35" i="12764" s="1"/>
  <c r="K46" i="12763"/>
  <c r="I102" i="12811" s="1"/>
  <c r="G86" i="12787"/>
  <c r="G742" i="12787"/>
  <c r="E751" i="12787"/>
  <c r="E534" i="12787"/>
  <c r="G534" i="12787" s="1"/>
  <c r="G522" i="12787"/>
  <c r="D267" i="12787"/>
  <c r="D270" i="12787" s="1"/>
  <c r="D149" i="12787"/>
  <c r="M149" i="12787" s="1"/>
  <c r="H384" i="12787"/>
  <c r="D355" i="12787"/>
  <c r="K269" i="12766"/>
  <c r="C405" i="12766"/>
  <c r="D390" i="12766" s="1"/>
  <c r="G86" i="12766"/>
  <c r="H83" i="12766"/>
  <c r="T84" i="12766" s="1"/>
  <c r="G128" i="12766"/>
  <c r="G130" i="12766" s="1"/>
  <c r="K57" i="12766"/>
  <c r="G34" i="12763"/>
  <c r="K364" i="12787"/>
  <c r="G364" i="12787"/>
  <c r="G87" i="12787"/>
  <c r="U21" i="12774"/>
  <c r="H67" i="12774" s="1"/>
  <c r="Y20" i="12774"/>
  <c r="L66" i="12774" s="1"/>
  <c r="R20" i="12774"/>
  <c r="E66" i="12774" s="1"/>
  <c r="V19" i="12774"/>
  <c r="I65" i="12774" s="1"/>
  <c r="C94" i="12763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H979" i="12787"/>
  <c r="D911" i="12787"/>
  <c r="D898" i="12787"/>
  <c r="C852" i="12787"/>
  <c r="O802" i="12787"/>
  <c r="O799" i="12787"/>
  <c r="O797" i="12787"/>
  <c r="O794" i="12787"/>
  <c r="D895" i="12787"/>
  <c r="H895" i="12787" s="1"/>
  <c r="D893" i="12787"/>
  <c r="K892" i="12787"/>
  <c r="I865" i="12787"/>
  <c r="K865" i="12787" s="1"/>
  <c r="D837" i="12787"/>
  <c r="D891" i="12787"/>
  <c r="H891" i="12787" s="1"/>
  <c r="D835" i="12787"/>
  <c r="H889" i="12787"/>
  <c r="M777" i="12787"/>
  <c r="I832" i="12787"/>
  <c r="K832" i="12787" s="1"/>
  <c r="K804" i="12787" s="1"/>
  <c r="K776" i="12787" s="1"/>
  <c r="E858" i="12787"/>
  <c r="E830" i="12787"/>
  <c r="D830" i="12787"/>
  <c r="E829" i="12787"/>
  <c r="E855" i="12787"/>
  <c r="E853" i="12787"/>
  <c r="E862" i="12787" s="1"/>
  <c r="G862" i="12787" s="1"/>
  <c r="E825" i="12787"/>
  <c r="D757" i="12787"/>
  <c r="M757" i="12787" s="1"/>
  <c r="D756" i="12787"/>
  <c r="M756" i="12787" s="1"/>
  <c r="D755" i="12787"/>
  <c r="H754" i="12787"/>
  <c r="H749" i="12787"/>
  <c r="D743" i="12787"/>
  <c r="M743" i="12787" s="1"/>
  <c r="D742" i="12787"/>
  <c r="D740" i="12787"/>
  <c r="M740" i="12787" s="1"/>
  <c r="M739" i="12787"/>
  <c r="P36" i="12775"/>
  <c r="Q34" i="12775" s="1"/>
  <c r="D80" i="12775" s="1"/>
  <c r="M623" i="12787"/>
  <c r="I672" i="12787"/>
  <c r="K672" i="12787" s="1"/>
  <c r="D720" i="12787"/>
  <c r="E718" i="12787"/>
  <c r="I716" i="12787"/>
  <c r="K716" i="12787" s="1"/>
  <c r="D714" i="12787"/>
  <c r="H714" i="12787" s="1"/>
  <c r="E712" i="12787"/>
  <c r="G712" i="12787" s="1"/>
  <c r="D712" i="12787"/>
  <c r="D610" i="12787" s="1"/>
  <c r="H711" i="12787"/>
  <c r="I709" i="12787"/>
  <c r="K709" i="12787" s="1"/>
  <c r="K607" i="12787" s="1"/>
  <c r="H707" i="12787"/>
  <c r="E656" i="12787"/>
  <c r="G656" i="12787" s="1"/>
  <c r="G605" i="12787" s="1"/>
  <c r="K654" i="12787"/>
  <c r="D705" i="12787"/>
  <c r="H705" i="12787" s="1"/>
  <c r="E701" i="12787"/>
  <c r="G701" i="12787" s="1"/>
  <c r="G599" i="12787" s="1"/>
  <c r="O597" i="12787"/>
  <c r="O594" i="12787"/>
  <c r="C588" i="12787"/>
  <c r="G687" i="12787"/>
  <c r="G635" i="12787"/>
  <c r="C584" i="12787"/>
  <c r="K538" i="12787"/>
  <c r="C504" i="12787"/>
  <c r="E537" i="12787"/>
  <c r="G537" i="12787" s="1"/>
  <c r="E570" i="12787"/>
  <c r="C570" i="12787"/>
  <c r="D570" i="12787" s="1"/>
  <c r="I569" i="12787"/>
  <c r="K569" i="12787" s="1"/>
  <c r="K501" i="12787" s="1"/>
  <c r="E569" i="12787"/>
  <c r="G569" i="12787" s="1"/>
  <c r="I567" i="12787"/>
  <c r="K567" i="12787" s="1"/>
  <c r="E533" i="12787"/>
  <c r="G533" i="12787" s="1"/>
  <c r="I566" i="12787"/>
  <c r="K566" i="12787" s="1"/>
  <c r="K498" i="12787" s="1"/>
  <c r="E564" i="12787"/>
  <c r="E528" i="12787"/>
  <c r="K560" i="12787"/>
  <c r="G560" i="12787"/>
  <c r="G521" i="12787"/>
  <c r="G515" i="12787"/>
  <c r="C481" i="12787"/>
  <c r="C485" i="12787"/>
  <c r="G552" i="12787"/>
  <c r="K514" i="12787"/>
  <c r="E471" i="12787"/>
  <c r="G471" i="12787" s="1"/>
  <c r="G472" i="12787" s="1"/>
  <c r="G474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I404" i="12787"/>
  <c r="K404" i="12787" s="1"/>
  <c r="I316" i="12787"/>
  <c r="K316" i="12787" s="1"/>
  <c r="E404" i="12787"/>
  <c r="E316" i="12787"/>
  <c r="G316" i="12787" s="1"/>
  <c r="I315" i="12787"/>
  <c r="K315" i="12787" s="1"/>
  <c r="H427" i="12787"/>
  <c r="H338" i="12787"/>
  <c r="H308" i="12787"/>
  <c r="H307" i="12787"/>
  <c r="C274" i="12787"/>
  <c r="C154" i="12787"/>
  <c r="G211" i="12787"/>
  <c r="C267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E101" i="12787"/>
  <c r="G101" i="12787" s="1"/>
  <c r="H139" i="12787"/>
  <c r="H87" i="12787" s="1"/>
  <c r="M87" i="12787"/>
  <c r="H138" i="12787"/>
  <c r="O85" i="12787"/>
  <c r="I111" i="12787"/>
  <c r="K111" i="12787" s="1"/>
  <c r="K96" i="12787"/>
  <c r="H109" i="12787"/>
  <c r="G96" i="12787"/>
  <c r="C83" i="12787"/>
  <c r="C24" i="12787"/>
  <c r="K40" i="12787"/>
  <c r="C23" i="12787"/>
  <c r="D37" i="12787"/>
  <c r="H37" i="12787" s="1"/>
  <c r="D52" i="12787"/>
  <c r="H52" i="12787" s="1"/>
  <c r="C18" i="12787"/>
  <c r="G72" i="12787"/>
  <c r="G54" i="12787"/>
  <c r="G38" i="12787"/>
  <c r="G34" i="12787"/>
  <c r="C16" i="12787"/>
  <c r="I1164" i="12767"/>
  <c r="F740" i="12767"/>
  <c r="F734" i="12767"/>
  <c r="F722" i="12767"/>
  <c r="F462" i="12767"/>
  <c r="G993" i="12787"/>
  <c r="C812" i="12787"/>
  <c r="C784" i="12787" s="1"/>
  <c r="M776" i="12787"/>
  <c r="H596" i="12787"/>
  <c r="C594" i="12787"/>
  <c r="H586" i="12787"/>
  <c r="H584" i="12787"/>
  <c r="M496" i="12787"/>
  <c r="M495" i="12787"/>
  <c r="M494" i="12787"/>
  <c r="K492" i="12787"/>
  <c r="H175" i="12787"/>
  <c r="H272" i="12787"/>
  <c r="M88" i="12787"/>
  <c r="K86" i="12787"/>
  <c r="F428" i="12767"/>
  <c r="F393" i="12767"/>
  <c r="G709" i="12767"/>
  <c r="I709" i="12767" s="1"/>
  <c r="P36" i="12774"/>
  <c r="T34" i="12774" s="1"/>
  <c r="G80" i="12774" s="1"/>
  <c r="P32" i="12774"/>
  <c r="T27" i="12774" s="1"/>
  <c r="G73" i="12774" s="1"/>
  <c r="I754" i="12787"/>
  <c r="I840" i="12787"/>
  <c r="K840" i="12787" s="1"/>
  <c r="I868" i="12787"/>
  <c r="K868" i="12787" s="1"/>
  <c r="N47" i="12783"/>
  <c r="S47" i="12783" s="1"/>
  <c r="S39" i="12774"/>
  <c r="F85" i="12774" s="1"/>
  <c r="Z98" i="12764"/>
  <c r="X85" i="12764"/>
  <c r="E315" i="12787"/>
  <c r="G315" i="12787" s="1"/>
  <c r="R33" i="12764"/>
  <c r="R19" i="12764"/>
  <c r="M990" i="12787"/>
  <c r="G548" i="12767"/>
  <c r="I548" i="12767" s="1"/>
  <c r="G513" i="12767"/>
  <c r="I513" i="12767" s="1"/>
  <c r="I442" i="12767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H906" i="12766"/>
  <c r="P906" i="12766"/>
  <c r="K906" i="12766"/>
  <c r="D884" i="12766"/>
  <c r="K884" i="12766" s="1"/>
  <c r="D890" i="12766"/>
  <c r="D893" i="12766"/>
  <c r="D881" i="12766"/>
  <c r="D882" i="12766"/>
  <c r="D885" i="12766"/>
  <c r="D891" i="12766"/>
  <c r="D895" i="12766"/>
  <c r="C898" i="12766"/>
  <c r="D827" i="12766"/>
  <c r="K827" i="12766" s="1"/>
  <c r="D830" i="12766"/>
  <c r="K830" i="12766" s="1"/>
  <c r="D834" i="12766"/>
  <c r="K834" i="12766" s="1"/>
  <c r="D836" i="12766"/>
  <c r="D840" i="12766"/>
  <c r="K840" i="12766" s="1"/>
  <c r="C813" i="12766"/>
  <c r="C843" i="12766"/>
  <c r="D825" i="12766"/>
  <c r="D826" i="12766"/>
  <c r="D829" i="12766"/>
  <c r="D835" i="12766"/>
  <c r="K835" i="12766" s="1"/>
  <c r="D838" i="12766"/>
  <c r="K838" i="12766" s="1"/>
  <c r="G795" i="12766"/>
  <c r="G767" i="12766" s="1"/>
  <c r="M753" i="12766"/>
  <c r="K753" i="12766"/>
  <c r="I752" i="12766"/>
  <c r="M739" i="12766"/>
  <c r="K739" i="12766"/>
  <c r="I749" i="12766"/>
  <c r="M735" i="12766"/>
  <c r="K735" i="12766"/>
  <c r="I746" i="12766"/>
  <c r="D654" i="12766"/>
  <c r="K654" i="12766" s="1"/>
  <c r="D663" i="12766"/>
  <c r="D664" i="12766"/>
  <c r="D665" i="12766"/>
  <c r="D669" i="12766"/>
  <c r="D670" i="12766"/>
  <c r="C625" i="12766"/>
  <c r="C627" i="12766" s="1"/>
  <c r="C678" i="12766"/>
  <c r="D653" i="12766"/>
  <c r="K653" i="12766" s="1"/>
  <c r="D650" i="12766"/>
  <c r="H650" i="12766" s="1"/>
  <c r="D651" i="12766"/>
  <c r="H651" i="12766" s="1"/>
  <c r="D672" i="12766"/>
  <c r="H672" i="12766" s="1"/>
  <c r="D673" i="12766"/>
  <c r="H673" i="12766" s="1"/>
  <c r="D675" i="12766"/>
  <c r="G494" i="12766"/>
  <c r="D552" i="12766"/>
  <c r="K552" i="12766" s="1"/>
  <c r="D555" i="12766"/>
  <c r="D560" i="12766"/>
  <c r="D565" i="12766"/>
  <c r="D553" i="12766"/>
  <c r="D556" i="12766"/>
  <c r="H556" i="12766" s="1"/>
  <c r="D558" i="12766"/>
  <c r="K558" i="12766" s="1"/>
  <c r="D559" i="12766"/>
  <c r="D566" i="12766"/>
  <c r="H566" i="12766" s="1"/>
  <c r="D567" i="12766"/>
  <c r="H567" i="12766" s="1"/>
  <c r="D568" i="12766"/>
  <c r="H568" i="12766" s="1"/>
  <c r="D569" i="12766"/>
  <c r="D571" i="12766"/>
  <c r="C506" i="12766"/>
  <c r="C508" i="12766" s="1"/>
  <c r="C576" i="12766"/>
  <c r="H219" i="12766"/>
  <c r="D331" i="12766"/>
  <c r="C348" i="12766"/>
  <c r="D239" i="12766"/>
  <c r="D389" i="12766"/>
  <c r="D398" i="12766"/>
  <c r="H398" i="12766" s="1"/>
  <c r="D404" i="12766"/>
  <c r="D393" i="12766"/>
  <c r="K393" i="12766" s="1"/>
  <c r="H413" i="12766"/>
  <c r="D355" i="12766"/>
  <c r="K83" i="12766"/>
  <c r="U84" i="12766" s="1"/>
  <c r="W84" i="12766" s="1"/>
  <c r="H40" i="12766"/>
  <c r="H23" i="12766" s="1"/>
  <c r="D23" i="12766"/>
  <c r="M23" i="12766" s="1"/>
  <c r="H35" i="12766"/>
  <c r="K35" i="12766"/>
  <c r="F22" i="12767"/>
  <c r="F20" i="12767"/>
  <c r="G369" i="12766"/>
  <c r="K128" i="12766"/>
  <c r="K130" i="12766" s="1"/>
  <c r="K87" i="12766"/>
  <c r="K85" i="12766"/>
  <c r="H20" i="12766"/>
  <c r="F45" i="12767"/>
  <c r="F16" i="12767"/>
  <c r="M980" i="12766"/>
  <c r="H980" i="12766"/>
  <c r="P980" i="12766"/>
  <c r="K980" i="12766"/>
  <c r="M973" i="12766"/>
  <c r="H973" i="12766"/>
  <c r="P973" i="12766"/>
  <c r="K973" i="12766"/>
  <c r="H917" i="12766"/>
  <c r="M917" i="12766"/>
  <c r="H837" i="12766"/>
  <c r="M767" i="12766"/>
  <c r="D768" i="12766"/>
  <c r="H857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K693" i="12766" s="1"/>
  <c r="K591" i="12766" s="1"/>
  <c r="D695" i="12766"/>
  <c r="D696" i="12766"/>
  <c r="D697" i="12766"/>
  <c r="K697" i="12766" s="1"/>
  <c r="K595" i="12766" s="1"/>
  <c r="D704" i="12766"/>
  <c r="H704" i="12766" s="1"/>
  <c r="D705" i="12766"/>
  <c r="H705" i="12766" s="1"/>
  <c r="D712" i="12766"/>
  <c r="K712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C117" i="12766"/>
  <c r="H72" i="12766"/>
  <c r="K72" i="12766"/>
  <c r="D21" i="12766"/>
  <c r="H38" i="12766"/>
  <c r="K38" i="12766"/>
  <c r="R97" i="12761"/>
  <c r="F464" i="12767"/>
  <c r="F21" i="12767"/>
  <c r="G804" i="12766"/>
  <c r="G776" i="12766" s="1"/>
  <c r="K623" i="12766"/>
  <c r="G600" i="12766"/>
  <c r="K586" i="12766"/>
  <c r="K272" i="12766"/>
  <c r="K268" i="12766"/>
  <c r="K86" i="12766"/>
  <c r="K84" i="12766"/>
  <c r="Z106" i="12764"/>
  <c r="O98" i="12764"/>
  <c r="O91" i="12764"/>
  <c r="AB85" i="12764"/>
  <c r="O75" i="12764"/>
  <c r="O69" i="12764"/>
  <c r="K69" i="12764"/>
  <c r="O65" i="12764"/>
  <c r="O58" i="12764"/>
  <c r="C69" i="12763"/>
  <c r="F762" i="12767"/>
  <c r="F761" i="12767"/>
  <c r="F754" i="12767"/>
  <c r="F753" i="12767"/>
  <c r="C353" i="12767"/>
  <c r="F130" i="12767"/>
  <c r="T8" i="12764" s="1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K905" i="12766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I836" i="12766"/>
  <c r="D863" i="12766"/>
  <c r="K863" i="12766" s="1"/>
  <c r="I889" i="12766"/>
  <c r="K889" i="12766" s="1"/>
  <c r="I887" i="12766"/>
  <c r="K887" i="12766" s="1"/>
  <c r="H860" i="12766"/>
  <c r="G858" i="12766"/>
  <c r="G802" i="12766" s="1"/>
  <c r="G774" i="12766" s="1"/>
  <c r="G829" i="12766"/>
  <c r="G855" i="12766"/>
  <c r="G799" i="12766" s="1"/>
  <c r="G771" i="12766" s="1"/>
  <c r="C852" i="12766"/>
  <c r="C760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I673" i="12766"/>
  <c r="I723" i="12766"/>
  <c r="I672" i="12766"/>
  <c r="E721" i="12766"/>
  <c r="E670" i="12766"/>
  <c r="E720" i="12766"/>
  <c r="E669" i="12766"/>
  <c r="I711" i="12766"/>
  <c r="K711" i="12766" s="1"/>
  <c r="I660" i="12766"/>
  <c r="K660" i="12766" s="1"/>
  <c r="H660" i="12766"/>
  <c r="H659" i="12766"/>
  <c r="H608" i="12766" s="1"/>
  <c r="H658" i="12766"/>
  <c r="I707" i="12766"/>
  <c r="K707" i="12766" s="1"/>
  <c r="I656" i="12766"/>
  <c r="K656" i="12766" s="1"/>
  <c r="H656" i="12766"/>
  <c r="G653" i="12766"/>
  <c r="C602" i="12766"/>
  <c r="E600" i="12766"/>
  <c r="E619" i="12766" s="1"/>
  <c r="I701" i="12766"/>
  <c r="I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H530" i="12766"/>
  <c r="H528" i="12766"/>
  <c r="G559" i="12766"/>
  <c r="G491" i="12766" s="1"/>
  <c r="D525" i="12766"/>
  <c r="D524" i="12766"/>
  <c r="K524" i="12766" s="1"/>
  <c r="G550" i="12766"/>
  <c r="G482" i="12766" s="1"/>
  <c r="W481" i="12766"/>
  <c r="C551" i="12766"/>
  <c r="D299" i="12766"/>
  <c r="G229" i="12766"/>
  <c r="G201" i="12766" s="1"/>
  <c r="D229" i="12766"/>
  <c r="I431" i="12766"/>
  <c r="I402" i="12766"/>
  <c r="I256" i="12766"/>
  <c r="I228" i="12766"/>
  <c r="K228" i="12766" s="1"/>
  <c r="I342" i="12766"/>
  <c r="K342" i="12766" s="1"/>
  <c r="D226" i="12766"/>
  <c r="I311" i="12766"/>
  <c r="D225" i="12766"/>
  <c r="I339" i="12766"/>
  <c r="K339" i="12766" s="1"/>
  <c r="I310" i="12766"/>
  <c r="D224" i="12766"/>
  <c r="K224" i="12766" s="1"/>
  <c r="D223" i="12766"/>
  <c r="H396" i="12766"/>
  <c r="I307" i="12766"/>
  <c r="K307" i="12766" s="1"/>
  <c r="I336" i="12766"/>
  <c r="K336" i="12766" s="1"/>
  <c r="D424" i="12766"/>
  <c r="H424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271" i="12766"/>
  <c r="G211" i="12766"/>
  <c r="H384" i="12766"/>
  <c r="O88" i="12766"/>
  <c r="U85" i="12766"/>
  <c r="W85" i="12766" s="1"/>
  <c r="M85" i="12766"/>
  <c r="C85" i="12766"/>
  <c r="I140" i="12766"/>
  <c r="K140" i="12766" s="1"/>
  <c r="K141" i="12766" s="1"/>
  <c r="K143" i="12766" s="1"/>
  <c r="G74" i="12766"/>
  <c r="G40" i="12766"/>
  <c r="C23" i="12766"/>
  <c r="C21" i="12766"/>
  <c r="C18" i="12766"/>
  <c r="D20" i="12766"/>
  <c r="H931" i="12787"/>
  <c r="M931" i="12787"/>
  <c r="AD39" i="12764"/>
  <c r="G1030" i="12787"/>
  <c r="G943" i="12787"/>
  <c r="G827" i="12787"/>
  <c r="K825" i="12787"/>
  <c r="I834" i="12787"/>
  <c r="K834" i="12787" s="1"/>
  <c r="D826" i="12787"/>
  <c r="C798" i="12787"/>
  <c r="C770" i="12787" s="1"/>
  <c r="H880" i="12787"/>
  <c r="G880" i="12787"/>
  <c r="E833" i="12787"/>
  <c r="M766" i="12787"/>
  <c r="U767" i="12787"/>
  <c r="G739" i="12787"/>
  <c r="H739" i="12787"/>
  <c r="S34" i="12775"/>
  <c r="F80" i="12775" s="1"/>
  <c r="W34" i="12775"/>
  <c r="J80" i="12775" s="1"/>
  <c r="AA34" i="12775"/>
  <c r="N80" i="12775" s="1"/>
  <c r="R35" i="12775"/>
  <c r="E81" i="12775" s="1"/>
  <c r="X35" i="12775"/>
  <c r="K81" i="12775" s="1"/>
  <c r="Z35" i="12775"/>
  <c r="M81" i="12775" s="1"/>
  <c r="AB35" i="12775"/>
  <c r="O81" i="12775" s="1"/>
  <c r="V34" i="12775"/>
  <c r="I80" i="12775" s="1"/>
  <c r="X34" i="12775"/>
  <c r="K80" i="12775" s="1"/>
  <c r="AB34" i="12775"/>
  <c r="O80" i="12775" s="1"/>
  <c r="S35" i="12775"/>
  <c r="F81" i="12775" s="1"/>
  <c r="W35" i="12775"/>
  <c r="J81" i="12775" s="1"/>
  <c r="Y35" i="12775"/>
  <c r="L81" i="12775" s="1"/>
  <c r="G674" i="12787"/>
  <c r="H674" i="12787"/>
  <c r="D653" i="12787"/>
  <c r="D650" i="12787"/>
  <c r="H650" i="12787" s="1"/>
  <c r="D651" i="12787"/>
  <c r="H651" i="12787" s="1"/>
  <c r="D672" i="12787"/>
  <c r="H672" i="12787" s="1"/>
  <c r="D673" i="12787"/>
  <c r="H673" i="12787" s="1"/>
  <c r="D675" i="12787"/>
  <c r="H675" i="12787" s="1"/>
  <c r="D654" i="12787"/>
  <c r="D663" i="12787"/>
  <c r="D664" i="12787"/>
  <c r="D665" i="12787"/>
  <c r="D669" i="12787"/>
  <c r="D670" i="12787"/>
  <c r="C625" i="12787"/>
  <c r="I663" i="12787"/>
  <c r="K663" i="12787" s="1"/>
  <c r="K644" i="12787"/>
  <c r="I651" i="12787"/>
  <c r="K633" i="12787"/>
  <c r="I656" i="12787"/>
  <c r="K656" i="12787" s="1"/>
  <c r="G536" i="12787"/>
  <c r="D553" i="12787"/>
  <c r="H553" i="12787" s="1"/>
  <c r="D559" i="12787"/>
  <c r="H559" i="12787" s="1"/>
  <c r="D556" i="12787"/>
  <c r="H556" i="12787" s="1"/>
  <c r="D560" i="12787"/>
  <c r="H560" i="12787" s="1"/>
  <c r="D566" i="12787"/>
  <c r="H566" i="12787" s="1"/>
  <c r="D568" i="12787"/>
  <c r="D569" i="12787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3" i="12787"/>
  <c r="G276" i="12787"/>
  <c r="K272" i="12787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13" i="12787"/>
  <c r="D905" i="12787"/>
  <c r="D840" i="12787"/>
  <c r="K830" i="12787"/>
  <c r="K802" i="12787" s="1"/>
  <c r="K774" i="12787" s="1"/>
  <c r="H881" i="12787"/>
  <c r="D825" i="12787"/>
  <c r="D768" i="12787"/>
  <c r="T767" i="12787"/>
  <c r="K850" i="12787"/>
  <c r="M753" i="12787"/>
  <c r="M748" i="12787"/>
  <c r="G600" i="12787"/>
  <c r="H597" i="12787"/>
  <c r="H585" i="12787"/>
  <c r="K497" i="12787"/>
  <c r="K494" i="12787"/>
  <c r="G282" i="12787"/>
  <c r="G279" i="12787"/>
  <c r="K276" i="12787"/>
  <c r="K853" i="12787"/>
  <c r="I862" i="12787"/>
  <c r="K862" i="12787" s="1"/>
  <c r="C869" i="12787"/>
  <c r="C801" i="12787"/>
  <c r="C773" i="12787" s="1"/>
  <c r="G877" i="12787"/>
  <c r="E887" i="12787"/>
  <c r="G735" i="12787"/>
  <c r="E746" i="12787"/>
  <c r="H735" i="12787"/>
  <c r="I665" i="12787"/>
  <c r="K665" i="12787" s="1"/>
  <c r="K646" i="12787"/>
  <c r="K595" i="12787" s="1"/>
  <c r="K636" i="12787"/>
  <c r="I659" i="12787"/>
  <c r="K659" i="12787" s="1"/>
  <c r="G229" i="12787"/>
  <c r="K303" i="12787"/>
  <c r="I312" i="12787"/>
  <c r="K312" i="12787" s="1"/>
  <c r="G415" i="12787"/>
  <c r="H415" i="12787"/>
  <c r="I385" i="12787"/>
  <c r="I414" i="12787"/>
  <c r="O150" i="12787"/>
  <c r="E854" i="12787"/>
  <c r="E826" i="12787"/>
  <c r="E850" i="12787"/>
  <c r="E822" i="12787"/>
  <c r="E757" i="12787"/>
  <c r="G757" i="12787" s="1"/>
  <c r="E755" i="12787"/>
  <c r="I749" i="12787"/>
  <c r="E748" i="12787"/>
  <c r="I746" i="12787"/>
  <c r="I726" i="12787"/>
  <c r="K726" i="12787" s="1"/>
  <c r="K624" i="12787" s="1"/>
  <c r="D726" i="12787"/>
  <c r="E725" i="12787"/>
  <c r="I724" i="12787"/>
  <c r="K724" i="12787" s="1"/>
  <c r="I673" i="12787"/>
  <c r="K673" i="12787" s="1"/>
  <c r="D723" i="12787"/>
  <c r="H723" i="12787" s="1"/>
  <c r="E721" i="12787"/>
  <c r="E670" i="12787"/>
  <c r="H656" i="12787"/>
  <c r="G653" i="12787"/>
  <c r="C602" i="12787"/>
  <c r="D702" i="12787"/>
  <c r="H702" i="12787" s="1"/>
  <c r="D701" i="12787"/>
  <c r="G699" i="12787"/>
  <c r="G697" i="12787"/>
  <c r="G695" i="12787"/>
  <c r="O591" i="12787"/>
  <c r="G642" i="12787"/>
  <c r="G591" i="12787" s="1"/>
  <c r="C638" i="12787"/>
  <c r="C587" i="12787" s="1"/>
  <c r="O585" i="12787"/>
  <c r="G636" i="12787"/>
  <c r="D704" i="12787"/>
  <c r="H704" i="12787" s="1"/>
  <c r="I693" i="12787"/>
  <c r="D696" i="12787"/>
  <c r="I684" i="12787"/>
  <c r="H633" i="12787"/>
  <c r="I573" i="12787"/>
  <c r="K573" i="12787" s="1"/>
  <c r="I572" i="12787"/>
  <c r="K572" i="12787" s="1"/>
  <c r="H538" i="12787"/>
  <c r="I571" i="12787"/>
  <c r="K571" i="12787" s="1"/>
  <c r="I537" i="12787"/>
  <c r="K537" i="12787" s="1"/>
  <c r="G519" i="12787"/>
  <c r="I556" i="12787"/>
  <c r="I522" i="12787"/>
  <c r="G550" i="12787"/>
  <c r="H514" i="12787"/>
  <c r="I471" i="12766"/>
  <c r="I432" i="12787"/>
  <c r="K432" i="12787" s="1"/>
  <c r="I403" i="12787"/>
  <c r="K403" i="12787" s="1"/>
  <c r="I257" i="12787"/>
  <c r="K257" i="12787" s="1"/>
  <c r="E432" i="12787"/>
  <c r="E403" i="12787"/>
  <c r="E257" i="12787"/>
  <c r="C227" i="12787"/>
  <c r="H337" i="12787"/>
  <c r="H424" i="12787"/>
  <c r="H334" i="12787"/>
  <c r="C346" i="12787"/>
  <c r="G355" i="12787"/>
  <c r="G149" i="12787" s="1"/>
  <c r="I217" i="12787"/>
  <c r="I245" i="12787"/>
  <c r="I391" i="12787"/>
  <c r="I420" i="12787"/>
  <c r="D419" i="12787"/>
  <c r="H419" i="12787" s="1"/>
  <c r="D420" i="12787"/>
  <c r="K269" i="12787"/>
  <c r="H269" i="12787"/>
  <c r="X29" i="12775"/>
  <c r="I240" i="12787"/>
  <c r="H414" i="12787"/>
  <c r="H122" i="12787"/>
  <c r="H96" i="12787"/>
  <c r="I74" i="12787"/>
  <c r="K74" i="12787" s="1"/>
  <c r="I57" i="12787"/>
  <c r="K57" i="12787" s="1"/>
  <c r="D74" i="12787"/>
  <c r="H74" i="12787" s="1"/>
  <c r="D40" i="12787"/>
  <c r="D56" i="12787"/>
  <c r="H56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C17" i="12787"/>
  <c r="H33" i="12787"/>
  <c r="F971" i="12767"/>
  <c r="G827" i="12767"/>
  <c r="B25" i="12783"/>
  <c r="B26" i="12783" s="1"/>
  <c r="Y18" i="12774"/>
  <c r="L64" i="12774" s="1"/>
  <c r="R15" i="12774"/>
  <c r="E61" i="12774" s="1"/>
  <c r="U16" i="12774"/>
  <c r="H62" i="12774" s="1"/>
  <c r="Z18" i="12774"/>
  <c r="M64" i="12774" s="1"/>
  <c r="Q15" i="12774"/>
  <c r="V16" i="12774"/>
  <c r="I62" i="12774" s="1"/>
  <c r="T8" i="12774"/>
  <c r="G54" i="12774" s="1"/>
  <c r="X38" i="12774"/>
  <c r="F668" i="12767"/>
  <c r="F323" i="12767"/>
  <c r="F301" i="12767"/>
  <c r="F232" i="12767" s="1"/>
  <c r="I107" i="12767"/>
  <c r="I88" i="12767" s="1"/>
  <c r="I407" i="12767"/>
  <c r="I337" i="12767"/>
  <c r="K869" i="12861" l="1"/>
  <c r="M869" i="12861" s="1"/>
  <c r="K817" i="12861"/>
  <c r="M817" i="12861" s="1"/>
  <c r="Q760" i="12843"/>
  <c r="Q760" i="12861"/>
  <c r="Q746" i="12843"/>
  <c r="Q746" i="12861"/>
  <c r="Q751" i="12843"/>
  <c r="Q751" i="12861"/>
  <c r="K217" i="12766"/>
  <c r="Z14" i="12774"/>
  <c r="M60" i="12774" s="1"/>
  <c r="Q16" i="12774"/>
  <c r="R19" i="12774"/>
  <c r="E65" i="12774" s="1"/>
  <c r="Z21" i="12774"/>
  <c r="M67" i="12774" s="1"/>
  <c r="U20" i="12774"/>
  <c r="H66" i="12774" s="1"/>
  <c r="Q21" i="12774"/>
  <c r="D67" i="12774" s="1"/>
  <c r="Q749" i="12843"/>
  <c r="Q749" i="12861"/>
  <c r="U759" i="12843"/>
  <c r="U759" i="12861"/>
  <c r="Q756" i="12843"/>
  <c r="Q756" i="12861"/>
  <c r="U757" i="12843"/>
  <c r="U757" i="12861"/>
  <c r="Q755" i="12843"/>
  <c r="Q755" i="12861"/>
  <c r="Y15" i="12774"/>
  <c r="L61" i="12774" s="1"/>
  <c r="V14" i="12774"/>
  <c r="I60" i="12774" s="1"/>
  <c r="R18" i="12774"/>
  <c r="E64" i="12774" s="1"/>
  <c r="Z15" i="12774"/>
  <c r="M61" i="12774" s="1"/>
  <c r="U14" i="12774"/>
  <c r="H60" i="12774" s="1"/>
  <c r="Q18" i="12774"/>
  <c r="D64" i="12774" s="1"/>
  <c r="G823" i="12787"/>
  <c r="G795" i="12787" s="1"/>
  <c r="G767" i="12787" s="1"/>
  <c r="C159" i="12766"/>
  <c r="H609" i="12766"/>
  <c r="K556" i="12766"/>
  <c r="D430" i="12766"/>
  <c r="H430" i="12766" s="1"/>
  <c r="Z20" i="12774"/>
  <c r="M66" i="12774" s="1"/>
  <c r="V21" i="12774"/>
  <c r="I67" i="12774" s="1"/>
  <c r="Q20" i="12774"/>
  <c r="D66" i="12774" s="1"/>
  <c r="U6" i="12775"/>
  <c r="H52" i="12775" s="1"/>
  <c r="Q6" i="12775"/>
  <c r="T6" i="12775"/>
  <c r="S6" i="12775"/>
  <c r="R6" i="12775"/>
  <c r="E52" i="12775" s="1"/>
  <c r="U749" i="12843"/>
  <c r="U749" i="12861"/>
  <c r="Q759" i="12843"/>
  <c r="Q759" i="12861"/>
  <c r="U756" i="12843"/>
  <c r="U756" i="12861"/>
  <c r="Q757" i="12843"/>
  <c r="Q757" i="12861"/>
  <c r="U755" i="12843"/>
  <c r="U755" i="12861"/>
  <c r="K632" i="12843"/>
  <c r="K672" i="12843" s="1"/>
  <c r="M672" i="12843" s="1"/>
  <c r="K632" i="12861"/>
  <c r="K385" i="12766"/>
  <c r="Q754" i="12843"/>
  <c r="Q754" i="12861"/>
  <c r="U750" i="12843"/>
  <c r="U750" i="12861"/>
  <c r="R16" i="12774"/>
  <c r="E62" i="12774" s="1"/>
  <c r="V18" i="12774"/>
  <c r="I64" i="12774" s="1"/>
  <c r="Y14" i="12774"/>
  <c r="L60" i="12774" s="1"/>
  <c r="U18" i="12774"/>
  <c r="H64" i="12774" s="1"/>
  <c r="Z16" i="12774"/>
  <c r="M62" i="12774" s="1"/>
  <c r="U15" i="12774"/>
  <c r="H61" i="12774" s="1"/>
  <c r="R14" i="12774"/>
  <c r="E60" i="12774" s="1"/>
  <c r="Y16" i="12774"/>
  <c r="L62" i="12774" s="1"/>
  <c r="V15" i="12774"/>
  <c r="I61" i="12774" s="1"/>
  <c r="Q14" i="12774"/>
  <c r="D60" i="12774" s="1"/>
  <c r="M993" i="12787"/>
  <c r="H829" i="12787"/>
  <c r="Z19" i="12774"/>
  <c r="M65" i="12774" s="1"/>
  <c r="V20" i="12774"/>
  <c r="I66" i="12774" s="1"/>
  <c r="R21" i="12774"/>
  <c r="E67" i="12774" s="1"/>
  <c r="Y21" i="12774"/>
  <c r="L67" i="12774" s="1"/>
  <c r="U754" i="12843"/>
  <c r="U754" i="12861"/>
  <c r="U760" i="12843"/>
  <c r="U760" i="12861"/>
  <c r="U746" i="12843"/>
  <c r="U746" i="12861"/>
  <c r="Q750" i="12843"/>
  <c r="Q750" i="12861"/>
  <c r="U751" i="12843"/>
  <c r="U751" i="12861"/>
  <c r="U607" i="12843"/>
  <c r="U607" i="12861"/>
  <c r="Q624" i="12843"/>
  <c r="Q624" i="12861"/>
  <c r="Q625" i="12843"/>
  <c r="Q625" i="12861"/>
  <c r="Q603" i="12843"/>
  <c r="Q603" i="12861"/>
  <c r="U190" i="12843"/>
  <c r="U190" i="12861"/>
  <c r="Q753" i="12843"/>
  <c r="Q753" i="12861"/>
  <c r="Q622" i="12843"/>
  <c r="Q622" i="12861"/>
  <c r="Q632" i="12843"/>
  <c r="Q632" i="12861"/>
  <c r="Q748" i="12843"/>
  <c r="Q748" i="12861"/>
  <c r="U604" i="12843"/>
  <c r="U604" i="12861"/>
  <c r="U734" i="12843"/>
  <c r="U734" i="12861"/>
  <c r="U730" i="12843"/>
  <c r="U730" i="12861"/>
  <c r="U621" i="12843"/>
  <c r="U621" i="12861"/>
  <c r="U753" i="12843"/>
  <c r="U753" i="12861"/>
  <c r="U739" i="12843"/>
  <c r="U739" i="12861"/>
  <c r="U22" i="12843"/>
  <c r="U22" i="12861"/>
  <c r="M894" i="12843"/>
  <c r="M894" i="12861"/>
  <c r="U632" i="12843"/>
  <c r="U632" i="12861"/>
  <c r="Q623" i="12843"/>
  <c r="Q623" i="12861"/>
  <c r="U732" i="12843"/>
  <c r="U732" i="12861"/>
  <c r="U748" i="12843"/>
  <c r="U748" i="12861"/>
  <c r="Q191" i="12843"/>
  <c r="Q191" i="12861"/>
  <c r="Q723" i="12843"/>
  <c r="Q723" i="12861"/>
  <c r="Q192" i="12843"/>
  <c r="Q192" i="12861"/>
  <c r="Q724" i="12843"/>
  <c r="Q724" i="12861"/>
  <c r="M743" i="12843"/>
  <c r="M743" i="12861"/>
  <c r="Q608" i="12843"/>
  <c r="Q608" i="12861"/>
  <c r="Q721" i="12843"/>
  <c r="Q721" i="12861"/>
  <c r="Q738" i="12843"/>
  <c r="Q738" i="12861"/>
  <c r="M628" i="12843"/>
  <c r="M628" i="12861"/>
  <c r="Q605" i="12843"/>
  <c r="Q605" i="12861"/>
  <c r="Q735" i="12843"/>
  <c r="Q735" i="12861"/>
  <c r="M1152" i="12843"/>
  <c r="M1154" i="12861"/>
  <c r="M1197" i="12843"/>
  <c r="M1199" i="12861"/>
  <c r="Q766" i="12843"/>
  <c r="Q766" i="12861"/>
  <c r="U725" i="12843"/>
  <c r="U725" i="12861"/>
  <c r="U736" i="12843"/>
  <c r="U736" i="12861"/>
  <c r="Q604" i="12843"/>
  <c r="Q604" i="12861"/>
  <c r="Q734" i="12843"/>
  <c r="Q734" i="12861"/>
  <c r="Q730" i="12843"/>
  <c r="Q730" i="12861"/>
  <c r="Q621" i="12843"/>
  <c r="Q621" i="12861"/>
  <c r="Q733" i="12843"/>
  <c r="Q733" i="12861"/>
  <c r="Q739" i="12843"/>
  <c r="Q739" i="12861"/>
  <c r="Q22" i="12843"/>
  <c r="Q22" i="12861"/>
  <c r="M723" i="12843"/>
  <c r="M723" i="12861"/>
  <c r="U623" i="12843"/>
  <c r="U623" i="12861"/>
  <c r="Q732" i="12843"/>
  <c r="Q732" i="12861"/>
  <c r="U624" i="12843"/>
  <c r="U624" i="12861"/>
  <c r="U625" i="12843"/>
  <c r="U625" i="12861"/>
  <c r="U603" i="12843"/>
  <c r="U603" i="12861"/>
  <c r="Q190" i="12843"/>
  <c r="Q190" i="12861"/>
  <c r="U733" i="12843"/>
  <c r="U733" i="12861"/>
  <c r="U622" i="12843"/>
  <c r="U622" i="12861"/>
  <c r="Q607" i="12843"/>
  <c r="Q607" i="12861"/>
  <c r="Q725" i="12843"/>
  <c r="Q725" i="12861"/>
  <c r="Q736" i="12843"/>
  <c r="Q736" i="12861"/>
  <c r="M766" i="12843"/>
  <c r="M766" i="12861"/>
  <c r="U191" i="12843"/>
  <c r="U191" i="12861"/>
  <c r="U723" i="12843"/>
  <c r="U723" i="12861"/>
  <c r="U192" i="12843"/>
  <c r="U192" i="12861"/>
  <c r="U724" i="12843"/>
  <c r="U724" i="12861"/>
  <c r="U608" i="12843"/>
  <c r="U608" i="12861"/>
  <c r="U721" i="12843"/>
  <c r="U721" i="12861"/>
  <c r="U738" i="12843"/>
  <c r="U738" i="12861"/>
  <c r="U605" i="12843"/>
  <c r="U605" i="12861"/>
  <c r="U735" i="12843"/>
  <c r="U735" i="12861"/>
  <c r="Q1152" i="12843"/>
  <c r="Q1154" i="12861"/>
  <c r="Q1197" i="12843"/>
  <c r="Q1199" i="12861"/>
  <c r="Q1226" i="12843"/>
  <c r="Q1228" i="12861"/>
  <c r="M1226" i="12843"/>
  <c r="M1228" i="12861"/>
  <c r="H16" i="12826"/>
  <c r="H27" i="12826" s="1"/>
  <c r="H16" i="12869"/>
  <c r="R10" i="12775"/>
  <c r="E56" i="12775" s="1"/>
  <c r="Q10" i="12775"/>
  <c r="AB6" i="12775"/>
  <c r="O52" i="12775" s="1"/>
  <c r="X8" i="12764"/>
  <c r="V8" i="12764"/>
  <c r="F72" i="12812"/>
  <c r="S72" i="12812" s="1"/>
  <c r="F42" i="12812"/>
  <c r="S42" i="12812" s="1"/>
  <c r="F101" i="12812"/>
  <c r="S101" i="12812" s="1"/>
  <c r="F102" i="12812"/>
  <c r="S102" i="12812" s="1"/>
  <c r="S34" i="12774"/>
  <c r="F80" i="12774" s="1"/>
  <c r="U19" i="12775"/>
  <c r="H65" i="12775" s="1"/>
  <c r="W21" i="12775"/>
  <c r="J67" i="12775" s="1"/>
  <c r="Q169" i="12767"/>
  <c r="F146" i="12812"/>
  <c r="E113" i="12764"/>
  <c r="Y35" i="12774"/>
  <c r="L81" i="12774" s="1"/>
  <c r="G597" i="12787"/>
  <c r="C436" i="12766"/>
  <c r="D429" i="12766"/>
  <c r="H429" i="12766" s="1"/>
  <c r="G191" i="12787"/>
  <c r="K202" i="12787"/>
  <c r="K281" i="12787"/>
  <c r="G370" i="12787"/>
  <c r="G168" i="12787" s="1"/>
  <c r="Z35" i="12774"/>
  <c r="M81" i="12774" s="1"/>
  <c r="K942" i="12787"/>
  <c r="H428" i="12787"/>
  <c r="X35" i="12774"/>
  <c r="K81" i="12774" s="1"/>
  <c r="Q35" i="12774"/>
  <c r="D81" i="12774" s="1"/>
  <c r="M89" i="12766"/>
  <c r="D420" i="12766"/>
  <c r="D362" i="12766" s="1"/>
  <c r="D426" i="12766"/>
  <c r="K426" i="12766" s="1"/>
  <c r="AA8" i="12775"/>
  <c r="N54" i="12775" s="1"/>
  <c r="V28" i="12774"/>
  <c r="I74" i="12774" s="1"/>
  <c r="R35" i="12774"/>
  <c r="E81" i="12774" s="1"/>
  <c r="V34" i="12774"/>
  <c r="I80" i="12774" s="1"/>
  <c r="E669" i="12787"/>
  <c r="D419" i="12766"/>
  <c r="K419" i="12766" s="1"/>
  <c r="D422" i="12766"/>
  <c r="H422" i="12766" s="1"/>
  <c r="G584" i="12787"/>
  <c r="W20" i="12775"/>
  <c r="J66" i="12775" s="1"/>
  <c r="R18" i="12775"/>
  <c r="E64" i="12775" s="1"/>
  <c r="W18" i="12775"/>
  <c r="J64" i="12775" s="1"/>
  <c r="I226" i="12766"/>
  <c r="K226" i="12766" s="1"/>
  <c r="D619" i="12787"/>
  <c r="M619" i="12787" s="1"/>
  <c r="K413" i="12766"/>
  <c r="K355" i="12766" s="1"/>
  <c r="K149" i="12766" s="1"/>
  <c r="D570" i="12766"/>
  <c r="H570" i="12766" s="1"/>
  <c r="D485" i="12766"/>
  <c r="M485" i="12766" s="1"/>
  <c r="Y15" i="12775"/>
  <c r="L61" i="12775" s="1"/>
  <c r="AA14" i="12775"/>
  <c r="N60" i="12775" s="1"/>
  <c r="G184" i="12787"/>
  <c r="G154" i="12787" s="1"/>
  <c r="Z21" i="12775"/>
  <c r="M67" i="12775" s="1"/>
  <c r="V14" i="12775"/>
  <c r="I60" i="12775" s="1"/>
  <c r="G610" i="12787"/>
  <c r="K282" i="12787"/>
  <c r="Y26" i="12774"/>
  <c r="L72" i="12774" s="1"/>
  <c r="I702" i="12766"/>
  <c r="K702" i="12766" s="1"/>
  <c r="G488" i="12787"/>
  <c r="H748" i="12766"/>
  <c r="I667" i="12766"/>
  <c r="K667" i="12766" s="1"/>
  <c r="K616" i="12766" s="1"/>
  <c r="X7" i="12775"/>
  <c r="K53" i="12775" s="1"/>
  <c r="C317" i="12787"/>
  <c r="D304" i="12787" s="1"/>
  <c r="X42" i="12775"/>
  <c r="K88" i="12775" s="1"/>
  <c r="K855" i="12766"/>
  <c r="E568" i="12787"/>
  <c r="G568" i="12787" s="1"/>
  <c r="G500" i="12787" s="1"/>
  <c r="Y7" i="12775"/>
  <c r="L53" i="12775" s="1"/>
  <c r="Q9" i="12775"/>
  <c r="D55" i="12775" s="1"/>
  <c r="W10" i="12775"/>
  <c r="J56" i="12775" s="1"/>
  <c r="AA25" i="12774"/>
  <c r="N71" i="12774" s="1"/>
  <c r="Y38" i="12775"/>
  <c r="L84" i="12775" s="1"/>
  <c r="V6" i="12775"/>
  <c r="I52" i="12775" s="1"/>
  <c r="H851" i="12787"/>
  <c r="H795" i="12787" s="1"/>
  <c r="H767" i="12787" s="1"/>
  <c r="M743" i="12766"/>
  <c r="S40" i="12775"/>
  <c r="F86" i="12775" s="1"/>
  <c r="K20" i="12766"/>
  <c r="H661" i="12787"/>
  <c r="K197" i="12787"/>
  <c r="K168" i="12787" s="1"/>
  <c r="K807" i="12787"/>
  <c r="K779" i="12787" s="1"/>
  <c r="G183" i="12787"/>
  <c r="C768" i="12766"/>
  <c r="G497" i="12766"/>
  <c r="G18" i="12787"/>
  <c r="D311" i="12766"/>
  <c r="H311" i="12766" s="1"/>
  <c r="H282" i="12766" s="1"/>
  <c r="D305" i="12766"/>
  <c r="K305" i="12766" s="1"/>
  <c r="K276" i="12766" s="1"/>
  <c r="D316" i="12766"/>
  <c r="H316" i="12766" s="1"/>
  <c r="H287" i="12766" s="1"/>
  <c r="D310" i="12766"/>
  <c r="H310" i="12766" s="1"/>
  <c r="H281" i="12766" s="1"/>
  <c r="T42" i="12774"/>
  <c r="G88" i="12774" s="1"/>
  <c r="C158" i="12766"/>
  <c r="G272" i="12787"/>
  <c r="G867" i="12787"/>
  <c r="G811" i="12787" s="1"/>
  <c r="G783" i="12787" s="1"/>
  <c r="G166" i="12766"/>
  <c r="I660" i="12787"/>
  <c r="K660" i="12787" s="1"/>
  <c r="K609" i="12787" s="1"/>
  <c r="K798" i="12787"/>
  <c r="K770" i="12787" s="1"/>
  <c r="G613" i="12787"/>
  <c r="K518" i="12766"/>
  <c r="K484" i="12766" s="1"/>
  <c r="G595" i="12787"/>
  <c r="H569" i="12787"/>
  <c r="C796" i="12766"/>
  <c r="M747" i="12787"/>
  <c r="K369" i="12787"/>
  <c r="G269" i="12787"/>
  <c r="K496" i="12766"/>
  <c r="H366" i="12766"/>
  <c r="H752" i="12787"/>
  <c r="H494" i="12766"/>
  <c r="G602" i="12766"/>
  <c r="D227" i="12766"/>
  <c r="K227" i="12766" s="1"/>
  <c r="S42" i="12774"/>
  <c r="F88" i="12774" s="1"/>
  <c r="K499" i="12787"/>
  <c r="H710" i="12787"/>
  <c r="G20" i="12766"/>
  <c r="K757" i="12766"/>
  <c r="K218" i="12766"/>
  <c r="G505" i="12787"/>
  <c r="K801" i="12787"/>
  <c r="K773" i="12787" s="1"/>
  <c r="U771" i="12787" s="1"/>
  <c r="W771" i="12787" s="1"/>
  <c r="K608" i="12766"/>
  <c r="G594" i="12787"/>
  <c r="K333" i="12787"/>
  <c r="Z9" i="12775"/>
  <c r="M55" i="12775" s="1"/>
  <c r="C319" i="12766"/>
  <c r="D303" i="12766"/>
  <c r="K303" i="12766" s="1"/>
  <c r="D313" i="12766"/>
  <c r="H313" i="12766" s="1"/>
  <c r="H284" i="12766" s="1"/>
  <c r="D309" i="12766"/>
  <c r="H309" i="12766" s="1"/>
  <c r="H280" i="12766" s="1"/>
  <c r="D391" i="12766"/>
  <c r="D401" i="12766"/>
  <c r="H401" i="12766" s="1"/>
  <c r="D397" i="12766"/>
  <c r="H397" i="12766" s="1"/>
  <c r="K664" i="12766"/>
  <c r="H909" i="12766"/>
  <c r="H911" i="12766" s="1"/>
  <c r="P909" i="12766" s="1"/>
  <c r="T40" i="12775"/>
  <c r="G86" i="12775" s="1"/>
  <c r="Z38" i="12775"/>
  <c r="M84" i="12775" s="1"/>
  <c r="K115" i="12787"/>
  <c r="H396" i="12787"/>
  <c r="I667" i="12787"/>
  <c r="K667" i="12787" s="1"/>
  <c r="H88" i="12766"/>
  <c r="G165" i="12766"/>
  <c r="H865" i="12766"/>
  <c r="H572" i="12787"/>
  <c r="H504" i="12787" s="1"/>
  <c r="H563" i="12787"/>
  <c r="O967" i="12766"/>
  <c r="K805" i="12766"/>
  <c r="K777" i="12766" s="1"/>
  <c r="G503" i="12766"/>
  <c r="K280" i="12787"/>
  <c r="K166" i="12787" s="1"/>
  <c r="G336" i="12787"/>
  <c r="G278" i="12787" s="1"/>
  <c r="G164" i="12787" s="1"/>
  <c r="H336" i="12787"/>
  <c r="R7" i="12775"/>
  <c r="E53" i="12775" s="1"/>
  <c r="M755" i="12787"/>
  <c r="U41" i="12775"/>
  <c r="H87" i="12775" s="1"/>
  <c r="AA7" i="12775"/>
  <c r="N53" i="12775" s="1"/>
  <c r="S8" i="12775"/>
  <c r="F54" i="12775" s="1"/>
  <c r="AA6" i="12775"/>
  <c r="N52" i="12775" s="1"/>
  <c r="D312" i="12766"/>
  <c r="H312" i="12766" s="1"/>
  <c r="D809" i="12766"/>
  <c r="Q41" i="12775"/>
  <c r="D87" i="12775" s="1"/>
  <c r="AB38" i="12775"/>
  <c r="O84" i="12775" s="1"/>
  <c r="H697" i="12787"/>
  <c r="H595" i="12787" s="1"/>
  <c r="G83" i="12787"/>
  <c r="H425" i="12787"/>
  <c r="H367" i="12787" s="1"/>
  <c r="M610" i="12787"/>
  <c r="G273" i="12787"/>
  <c r="H430" i="12787"/>
  <c r="W9" i="12775"/>
  <c r="J55" i="12775" s="1"/>
  <c r="T8" i="12775"/>
  <c r="G54" i="12775" s="1"/>
  <c r="U8" i="12775"/>
  <c r="H54" i="12775" s="1"/>
  <c r="Y10" i="12775"/>
  <c r="L56" i="12775" s="1"/>
  <c r="H279" i="12787"/>
  <c r="S9" i="12775"/>
  <c r="F55" i="12775" s="1"/>
  <c r="X6" i="12775"/>
  <c r="K52" i="12775" s="1"/>
  <c r="X9" i="12775"/>
  <c r="K55" i="12775" s="1"/>
  <c r="G593" i="12787"/>
  <c r="AA41" i="12775"/>
  <c r="N87" i="12775" s="1"/>
  <c r="G801" i="12766"/>
  <c r="G773" i="12766" s="1"/>
  <c r="D315" i="12766"/>
  <c r="H315" i="12766" s="1"/>
  <c r="H286" i="12766" s="1"/>
  <c r="D302" i="12766"/>
  <c r="K302" i="12766" s="1"/>
  <c r="D304" i="12766"/>
  <c r="H304" i="12766" s="1"/>
  <c r="H275" i="12766" s="1"/>
  <c r="D386" i="12766"/>
  <c r="K386" i="12766" s="1"/>
  <c r="K357" i="12766" s="1"/>
  <c r="K151" i="12766" s="1"/>
  <c r="D400" i="12766"/>
  <c r="H400" i="12766" s="1"/>
  <c r="D392" i="12766"/>
  <c r="H392" i="12766" s="1"/>
  <c r="R8" i="12775"/>
  <c r="E54" i="12775" s="1"/>
  <c r="U9" i="12775"/>
  <c r="H55" i="12775" s="1"/>
  <c r="Z6" i="12775"/>
  <c r="M52" i="12775" s="1"/>
  <c r="R9" i="12775"/>
  <c r="E55" i="12775" s="1"/>
  <c r="Z7" i="12775"/>
  <c r="M53" i="12775" s="1"/>
  <c r="U34" i="12774"/>
  <c r="H80" i="12774" s="1"/>
  <c r="AB34" i="12774"/>
  <c r="O80" i="12774" s="1"/>
  <c r="K155" i="12787"/>
  <c r="U151" i="12787" s="1"/>
  <c r="W151" i="12787" s="1"/>
  <c r="H395" i="12787"/>
  <c r="H366" i="12787" s="1"/>
  <c r="Q38" i="12775"/>
  <c r="D84" i="12775" s="1"/>
  <c r="AA35" i="12775"/>
  <c r="N81" i="12775" s="1"/>
  <c r="N82" i="12775" s="1"/>
  <c r="Q35" i="12775"/>
  <c r="Q36" i="12775" s="1"/>
  <c r="T34" i="12775"/>
  <c r="G80" i="12775" s="1"/>
  <c r="T35" i="12775"/>
  <c r="G81" i="12775" s="1"/>
  <c r="U34" i="12775"/>
  <c r="H80" i="12775" s="1"/>
  <c r="K724" i="12766"/>
  <c r="D314" i="12766"/>
  <c r="K314" i="12766" s="1"/>
  <c r="K285" i="12766" s="1"/>
  <c r="C288" i="12766"/>
  <c r="C290" i="12766" s="1"/>
  <c r="D402" i="12766"/>
  <c r="H402" i="12766" s="1"/>
  <c r="C407" i="12766"/>
  <c r="D399" i="12766"/>
  <c r="H399" i="12766" s="1"/>
  <c r="K743" i="12766"/>
  <c r="K521" i="12766"/>
  <c r="H278" i="12787"/>
  <c r="H953" i="12766"/>
  <c r="H955" i="12766" s="1"/>
  <c r="K607" i="12766"/>
  <c r="G596" i="12787"/>
  <c r="T10" i="12774"/>
  <c r="G56" i="12774" s="1"/>
  <c r="S10" i="12774"/>
  <c r="F56" i="12774" s="1"/>
  <c r="S7" i="12774"/>
  <c r="F53" i="12774" s="1"/>
  <c r="X8" i="12774"/>
  <c r="K54" i="12774" s="1"/>
  <c r="AA9" i="12774"/>
  <c r="N55" i="12774" s="1"/>
  <c r="T7" i="12774"/>
  <c r="G53" i="12774" s="1"/>
  <c r="W8" i="12774"/>
  <c r="J54" i="12774" s="1"/>
  <c r="AB9" i="12774"/>
  <c r="O55" i="12774" s="1"/>
  <c r="T6" i="12774"/>
  <c r="G52" i="12774" s="1"/>
  <c r="W7" i="12774"/>
  <c r="J53" i="12774" s="1"/>
  <c r="AB8" i="12774"/>
  <c r="O54" i="12774" s="1"/>
  <c r="X7" i="12774"/>
  <c r="K53" i="12774" s="1"/>
  <c r="AA8" i="12774"/>
  <c r="N54" i="12774" s="1"/>
  <c r="X6" i="12774"/>
  <c r="K52" i="12774" s="1"/>
  <c r="AA7" i="12774"/>
  <c r="N53" i="12774" s="1"/>
  <c r="S9" i="12774"/>
  <c r="F55" i="12774" s="1"/>
  <c r="AB7" i="12774"/>
  <c r="O53" i="12774" s="1"/>
  <c r="AA10" i="12774"/>
  <c r="N56" i="12774" s="1"/>
  <c r="S6" i="12774"/>
  <c r="F52" i="12774" s="1"/>
  <c r="W6" i="12774"/>
  <c r="J52" i="12774" s="1"/>
  <c r="T9" i="12774"/>
  <c r="G55" i="12774" s="1"/>
  <c r="D391" i="12787"/>
  <c r="H391" i="12787" s="1"/>
  <c r="D404" i="12787"/>
  <c r="H404" i="12787" s="1"/>
  <c r="D392" i="12787"/>
  <c r="D363" i="12787" s="1"/>
  <c r="D399" i="12787"/>
  <c r="H399" i="12787" s="1"/>
  <c r="H370" i="12787" s="1"/>
  <c r="D393" i="12787"/>
  <c r="H393" i="12787" s="1"/>
  <c r="H364" i="12787" s="1"/>
  <c r="C376" i="12787"/>
  <c r="G667" i="12787"/>
  <c r="H667" i="12787"/>
  <c r="S41" i="12774"/>
  <c r="F87" i="12774" s="1"/>
  <c r="T39" i="12774"/>
  <c r="G85" i="12774" s="1"/>
  <c r="AB42" i="12774"/>
  <c r="O88" i="12774" s="1"/>
  <c r="S8" i="12774"/>
  <c r="F54" i="12774" s="1"/>
  <c r="AB6" i="12774"/>
  <c r="O52" i="12774" s="1"/>
  <c r="K526" i="12766"/>
  <c r="U39" i="12774"/>
  <c r="H85" i="12774" s="1"/>
  <c r="T41" i="12774"/>
  <c r="G87" i="12774" s="1"/>
  <c r="T29" i="12774"/>
  <c r="G75" i="12774" s="1"/>
  <c r="R29" i="12774"/>
  <c r="E75" i="12774" s="1"/>
  <c r="T24" i="12774"/>
  <c r="G70" i="12774" s="1"/>
  <c r="AB26" i="12774"/>
  <c r="O72" i="12774" s="1"/>
  <c r="R25" i="12774"/>
  <c r="E71" i="12774" s="1"/>
  <c r="Y28" i="12774"/>
  <c r="L74" i="12774" s="1"/>
  <c r="U31" i="12774"/>
  <c r="H77" i="12774" s="1"/>
  <c r="V29" i="12774"/>
  <c r="I75" i="12774" s="1"/>
  <c r="X24" i="12774"/>
  <c r="K70" i="12774" s="1"/>
  <c r="U29" i="12774"/>
  <c r="H75" i="12774" s="1"/>
  <c r="V25" i="12774"/>
  <c r="I71" i="12774" s="1"/>
  <c r="R31" i="12774"/>
  <c r="E77" i="12774" s="1"/>
  <c r="Y31" i="12774"/>
  <c r="L77" i="12774" s="1"/>
  <c r="AA29" i="12774"/>
  <c r="N75" i="12774" s="1"/>
  <c r="W25" i="12774"/>
  <c r="J71" i="12774" s="1"/>
  <c r="Y27" i="12774"/>
  <c r="L73" i="12774" s="1"/>
  <c r="U26" i="12774"/>
  <c r="H72" i="12774" s="1"/>
  <c r="R28" i="12774"/>
  <c r="E74" i="12774" s="1"/>
  <c r="U28" i="12775"/>
  <c r="H74" i="12775" s="1"/>
  <c r="H693" i="12787"/>
  <c r="H591" i="12787" s="1"/>
  <c r="D591" i="12787"/>
  <c r="M591" i="12787" s="1"/>
  <c r="K804" i="12766"/>
  <c r="K776" i="12766" s="1"/>
  <c r="K644" i="12766"/>
  <c r="I651" i="12766"/>
  <c r="I670" i="12766" s="1"/>
  <c r="K670" i="12766" s="1"/>
  <c r="I663" i="12766"/>
  <c r="AB39" i="12774"/>
  <c r="O85" i="12774" s="1"/>
  <c r="H569" i="12766"/>
  <c r="K569" i="12766"/>
  <c r="G173" i="12766"/>
  <c r="Q30" i="12775"/>
  <c r="D76" i="12775" s="1"/>
  <c r="K738" i="12766"/>
  <c r="M738" i="12766"/>
  <c r="X41" i="12774"/>
  <c r="K87" i="12774" s="1"/>
  <c r="AB41" i="12774"/>
  <c r="O87" i="12774" s="1"/>
  <c r="W39" i="12774"/>
  <c r="J85" i="12774" s="1"/>
  <c r="Q42" i="12774"/>
  <c r="D88" i="12774" s="1"/>
  <c r="Q38" i="12774"/>
  <c r="D84" i="12774" s="1"/>
  <c r="Y39" i="12774"/>
  <c r="L85" i="12774" s="1"/>
  <c r="W42" i="12774"/>
  <c r="J88" i="12774" s="1"/>
  <c r="Z42" i="12774"/>
  <c r="M88" i="12774" s="1"/>
  <c r="R42" i="12774"/>
  <c r="E88" i="12774" s="1"/>
  <c r="U40" i="12774"/>
  <c r="H86" i="12774" s="1"/>
  <c r="Z39" i="12774"/>
  <c r="M85" i="12774" s="1"/>
  <c r="R39" i="12774"/>
  <c r="E85" i="12774" s="1"/>
  <c r="V38" i="12774"/>
  <c r="I84" i="12774" s="1"/>
  <c r="Y41" i="12774"/>
  <c r="L87" i="12774" s="1"/>
  <c r="X42" i="12774"/>
  <c r="K88" i="12774" s="1"/>
  <c r="AA40" i="12774"/>
  <c r="N86" i="12774" s="1"/>
  <c r="S40" i="12774"/>
  <c r="X39" i="12774"/>
  <c r="K85" i="12774" s="1"/>
  <c r="AB38" i="12774"/>
  <c r="O84" i="12774" s="1"/>
  <c r="W41" i="12774"/>
  <c r="J87" i="12774" s="1"/>
  <c r="Y40" i="12774"/>
  <c r="L86" i="12774" s="1"/>
  <c r="Z38" i="12774"/>
  <c r="S38" i="12774"/>
  <c r="F84" i="12774" s="1"/>
  <c r="AA39" i="12774"/>
  <c r="N85" i="12774" s="1"/>
  <c r="Y42" i="12774"/>
  <c r="L88" i="12774" s="1"/>
  <c r="U38" i="12774"/>
  <c r="H84" i="12774" s="1"/>
  <c r="R40" i="12774"/>
  <c r="E86" i="12774" s="1"/>
  <c r="T38" i="12774"/>
  <c r="V42" i="12774"/>
  <c r="I88" i="12774" s="1"/>
  <c r="V39" i="12774"/>
  <c r="I85" i="12774" s="1"/>
  <c r="W38" i="12774"/>
  <c r="J84" i="12774" s="1"/>
  <c r="X40" i="12774"/>
  <c r="K86" i="12774" s="1"/>
  <c r="R41" i="12774"/>
  <c r="E87" i="12774" s="1"/>
  <c r="Y38" i="12774"/>
  <c r="L84" i="12774" s="1"/>
  <c r="Z40" i="12774"/>
  <c r="M86" i="12774" s="1"/>
  <c r="Q41" i="12774"/>
  <c r="D87" i="12774" s="1"/>
  <c r="Q40" i="12774"/>
  <c r="R38" i="12774"/>
  <c r="G83" i="12766"/>
  <c r="G102" i="12766"/>
  <c r="G104" i="12766" s="1"/>
  <c r="H51" i="12766"/>
  <c r="H17" i="12766" s="1"/>
  <c r="D17" i="12766"/>
  <c r="O17" i="12766" s="1"/>
  <c r="G747" i="12766"/>
  <c r="H747" i="12766"/>
  <c r="U24" i="12775"/>
  <c r="H70" i="12775" s="1"/>
  <c r="Z30" i="12775"/>
  <c r="M76" i="12775" s="1"/>
  <c r="W31" i="12775"/>
  <c r="J77" i="12775" s="1"/>
  <c r="X26" i="12775"/>
  <c r="K72" i="12775" s="1"/>
  <c r="R29" i="12775"/>
  <c r="E75" i="12775" s="1"/>
  <c r="Z29" i="12775"/>
  <c r="M75" i="12775" s="1"/>
  <c r="W29" i="12775"/>
  <c r="J75" i="12775" s="1"/>
  <c r="T29" i="12775"/>
  <c r="G75" i="12775" s="1"/>
  <c r="AB29" i="12775"/>
  <c r="O75" i="12775" s="1"/>
  <c r="U29" i="12775"/>
  <c r="H75" i="12775" s="1"/>
  <c r="S24" i="12775"/>
  <c r="F70" i="12775" s="1"/>
  <c r="Y25" i="12775"/>
  <c r="L71" i="12775" s="1"/>
  <c r="W26" i="12775"/>
  <c r="J72" i="12775" s="1"/>
  <c r="X28" i="12775"/>
  <c r="K74" i="12775" s="1"/>
  <c r="AB25" i="12775"/>
  <c r="O71" i="12775" s="1"/>
  <c r="AA29" i="12775"/>
  <c r="N75" i="12775" s="1"/>
  <c r="S27" i="12775"/>
  <c r="F73" i="12775" s="1"/>
  <c r="Q27" i="12775"/>
  <c r="D73" i="12775" s="1"/>
  <c r="X30" i="12775"/>
  <c r="K76" i="12775" s="1"/>
  <c r="Y30" i="12775"/>
  <c r="L76" i="12775" s="1"/>
  <c r="AB27" i="12775"/>
  <c r="O73" i="12775" s="1"/>
  <c r="T25" i="12775"/>
  <c r="G71" i="12775" s="1"/>
  <c r="X31" i="12775"/>
  <c r="K77" i="12775" s="1"/>
  <c r="V29" i="12775"/>
  <c r="I75" i="12775" s="1"/>
  <c r="S29" i="12775"/>
  <c r="F75" i="12775" s="1"/>
  <c r="G660" i="12787"/>
  <c r="G609" i="12787" s="1"/>
  <c r="H660" i="12787"/>
  <c r="H609" i="12787" s="1"/>
  <c r="K296" i="12766"/>
  <c r="K267" i="12766" s="1"/>
  <c r="D267" i="12766"/>
  <c r="D270" i="12766" s="1"/>
  <c r="K687" i="12787"/>
  <c r="K585" i="12787" s="1"/>
  <c r="I710" i="12787"/>
  <c r="K710" i="12787" s="1"/>
  <c r="K608" i="12787" s="1"/>
  <c r="P45" i="12775"/>
  <c r="U41" i="12774"/>
  <c r="H87" i="12774" s="1"/>
  <c r="Y29" i="12775"/>
  <c r="L75" i="12775" s="1"/>
  <c r="AA6" i="12774"/>
  <c r="N52" i="12774" s="1"/>
  <c r="AA41" i="12774"/>
  <c r="N87" i="12774" s="1"/>
  <c r="W40" i="12774"/>
  <c r="W9" i="12774"/>
  <c r="J55" i="12774" s="1"/>
  <c r="Q24" i="12774"/>
  <c r="D70" i="12774" s="1"/>
  <c r="H296" i="12766"/>
  <c r="H267" i="12766" s="1"/>
  <c r="AB40" i="12774"/>
  <c r="O86" i="12774" s="1"/>
  <c r="X10" i="12774"/>
  <c r="K56" i="12774" s="1"/>
  <c r="D397" i="12787"/>
  <c r="H397" i="12787" s="1"/>
  <c r="H368" i="12787" s="1"/>
  <c r="X24" i="12775"/>
  <c r="K70" i="12775" s="1"/>
  <c r="H701" i="12787"/>
  <c r="H599" i="12787" s="1"/>
  <c r="H605" i="12787"/>
  <c r="H573" i="12787"/>
  <c r="K663" i="12766"/>
  <c r="H570" i="12787"/>
  <c r="G168" i="12766"/>
  <c r="G23" i="12787"/>
  <c r="G942" i="12787"/>
  <c r="G945" i="12787" s="1"/>
  <c r="K808" i="12787"/>
  <c r="G16" i="12787"/>
  <c r="K603" i="12787"/>
  <c r="G808" i="12766"/>
  <c r="G780" i="12766" s="1"/>
  <c r="K183" i="12787"/>
  <c r="K153" i="12787" s="1"/>
  <c r="K809" i="12787"/>
  <c r="K781" i="12787" s="1"/>
  <c r="G499" i="12766"/>
  <c r="K191" i="12787"/>
  <c r="K162" i="12787" s="1"/>
  <c r="G599" i="12766"/>
  <c r="G603" i="12787"/>
  <c r="G85" i="12766"/>
  <c r="H279" i="12766"/>
  <c r="G540" i="12766"/>
  <c r="K665" i="12766"/>
  <c r="G59" i="12787"/>
  <c r="K83" i="12787"/>
  <c r="U84" i="12787" s="1"/>
  <c r="W84" i="12787" s="1"/>
  <c r="K485" i="12787"/>
  <c r="G472" i="12766"/>
  <c r="G474" i="12766" s="1"/>
  <c r="K311" i="12766"/>
  <c r="K282" i="12766" s="1"/>
  <c r="H605" i="12766"/>
  <c r="H621" i="12766"/>
  <c r="H283" i="12766"/>
  <c r="G21" i="12787"/>
  <c r="H355" i="12787"/>
  <c r="H149" i="12787" s="1"/>
  <c r="G164" i="12766"/>
  <c r="K487" i="12787"/>
  <c r="K285" i="12787"/>
  <c r="G185" i="12787"/>
  <c r="G155" i="12787" s="1"/>
  <c r="P45" i="12774"/>
  <c r="K614" i="12787"/>
  <c r="H783" i="12787"/>
  <c r="H496" i="12766"/>
  <c r="H738" i="12766"/>
  <c r="C259" i="12766"/>
  <c r="D241" i="12766" s="1"/>
  <c r="K806" i="12766"/>
  <c r="K778" i="12766" s="1"/>
  <c r="Q20" i="12775"/>
  <c r="D66" i="12775" s="1"/>
  <c r="X21" i="12775"/>
  <c r="K67" i="12775" s="1"/>
  <c r="S19" i="12775"/>
  <c r="F65" i="12775" s="1"/>
  <c r="AB16" i="12775"/>
  <c r="O62" i="12775" s="1"/>
  <c r="W15" i="12775"/>
  <c r="J61" i="12775" s="1"/>
  <c r="T14" i="12775"/>
  <c r="G60" i="12775" s="1"/>
  <c r="U21" i="12775"/>
  <c r="H67" i="12775" s="1"/>
  <c r="AA16" i="12775"/>
  <c r="N62" i="12775" s="1"/>
  <c r="S14" i="12775"/>
  <c r="F60" i="12775" s="1"/>
  <c r="W10" i="12774"/>
  <c r="J56" i="12774" s="1"/>
  <c r="H431" i="12787"/>
  <c r="K480" i="12787"/>
  <c r="H830" i="12787"/>
  <c r="H738" i="12787"/>
  <c r="G162" i="12766"/>
  <c r="G812" i="12787"/>
  <c r="G784" i="12787" s="1"/>
  <c r="K484" i="12787"/>
  <c r="G162" i="12787"/>
  <c r="K836" i="12766"/>
  <c r="K857" i="12766"/>
  <c r="R21" i="12775"/>
  <c r="E67" i="12775" s="1"/>
  <c r="X20" i="12775"/>
  <c r="K66" i="12775" s="1"/>
  <c r="R10" i="12774"/>
  <c r="E56" i="12774" s="1"/>
  <c r="Q6" i="12774"/>
  <c r="D52" i="12774" s="1"/>
  <c r="G22" i="12787"/>
  <c r="K187" i="12787"/>
  <c r="G487" i="12787"/>
  <c r="D16" i="12766"/>
  <c r="M16" i="12766" s="1"/>
  <c r="G501" i="12766"/>
  <c r="H712" i="12787"/>
  <c r="Z18" i="12775"/>
  <c r="M64" i="12775" s="1"/>
  <c r="V16" i="12775"/>
  <c r="I62" i="12775" s="1"/>
  <c r="Q15" i="12775"/>
  <c r="D61" i="12775" s="1"/>
  <c r="AB19" i="12775"/>
  <c r="O65" i="12775" s="1"/>
  <c r="S16" i="12775"/>
  <c r="F62" i="12775" s="1"/>
  <c r="R20" i="12775"/>
  <c r="E66" i="12775" s="1"/>
  <c r="C796" i="12787"/>
  <c r="U20" i="12775"/>
  <c r="H66" i="12775" s="1"/>
  <c r="AA34" i="12774"/>
  <c r="N80" i="12774" s="1"/>
  <c r="W35" i="12774"/>
  <c r="J81" i="12774" s="1"/>
  <c r="C259" i="12787"/>
  <c r="D243" i="12787" s="1"/>
  <c r="H243" i="12787" s="1"/>
  <c r="K505" i="12787"/>
  <c r="G602" i="12787"/>
  <c r="E861" i="12787"/>
  <c r="G861" i="12787" s="1"/>
  <c r="H750" i="12787"/>
  <c r="D618" i="12787"/>
  <c r="M618" i="12787" s="1"/>
  <c r="U35" i="12775"/>
  <c r="H81" i="12775" s="1"/>
  <c r="Z34" i="12775"/>
  <c r="M80" i="12775" s="1"/>
  <c r="M82" i="12775" s="1"/>
  <c r="R34" i="12775"/>
  <c r="E80" i="12775" s="1"/>
  <c r="E82" i="12775" s="1"/>
  <c r="V35" i="12775"/>
  <c r="I81" i="12775" s="1"/>
  <c r="I82" i="12775" s="1"/>
  <c r="Y34" i="12775"/>
  <c r="L80" i="12775" s="1"/>
  <c r="L82" i="12775" s="1"/>
  <c r="H600" i="12766"/>
  <c r="H862" i="12766"/>
  <c r="K864" i="12766"/>
  <c r="K566" i="12766"/>
  <c r="K799" i="12766"/>
  <c r="K422" i="12766"/>
  <c r="K364" i="12766" s="1"/>
  <c r="AA42" i="12774"/>
  <c r="N88" i="12774" s="1"/>
  <c r="V40" i="12774"/>
  <c r="I86" i="12774" s="1"/>
  <c r="Q39" i="12774"/>
  <c r="D85" i="12774" s="1"/>
  <c r="Z41" i="12774"/>
  <c r="M87" i="12774" s="1"/>
  <c r="U42" i="12774"/>
  <c r="H88" i="12774" s="1"/>
  <c r="T40" i="12774"/>
  <c r="G86" i="12774" s="1"/>
  <c r="AA38" i="12774"/>
  <c r="N84" i="12774" s="1"/>
  <c r="AA19" i="12775"/>
  <c r="N65" i="12775" s="1"/>
  <c r="X18" i="12775"/>
  <c r="K64" i="12775" s="1"/>
  <c r="T16" i="12775"/>
  <c r="G62" i="12775" s="1"/>
  <c r="AB14" i="12775"/>
  <c r="O60" i="12775" s="1"/>
  <c r="T20" i="12775"/>
  <c r="G66" i="12775" s="1"/>
  <c r="T19" i="12775"/>
  <c r="G65" i="12775" s="1"/>
  <c r="AB10" i="12774"/>
  <c r="O56" i="12774" s="1"/>
  <c r="G17" i="12787"/>
  <c r="D364" i="12787"/>
  <c r="K286" i="12787"/>
  <c r="G492" i="12787"/>
  <c r="K494" i="12766"/>
  <c r="K951" i="12766"/>
  <c r="K780" i="12787"/>
  <c r="K586" i="12787"/>
  <c r="G16" i="12766"/>
  <c r="U170" i="12767"/>
  <c r="J16" i="12826"/>
  <c r="T16" i="12826"/>
  <c r="T27" i="12826" s="1"/>
  <c r="F500" i="12843"/>
  <c r="F465" i="12843" s="1"/>
  <c r="F181" i="12843" s="1"/>
  <c r="C465" i="12843"/>
  <c r="F457" i="12843"/>
  <c r="F169" i="12843" s="1"/>
  <c r="U169" i="12843"/>
  <c r="Q169" i="12843"/>
  <c r="F493" i="12843"/>
  <c r="F458" i="12843" s="1"/>
  <c r="F170" i="12843" s="1"/>
  <c r="C458" i="12843"/>
  <c r="C170" i="12843" s="1"/>
  <c r="U493" i="12843"/>
  <c r="U458" i="12843" s="1"/>
  <c r="Q493" i="12843"/>
  <c r="Q458" i="12843" s="1"/>
  <c r="F494" i="12843"/>
  <c r="F459" i="12843" s="1"/>
  <c r="F171" i="12843" s="1"/>
  <c r="C459" i="12843"/>
  <c r="C171" i="12843" s="1"/>
  <c r="U494" i="12843"/>
  <c r="U459" i="12843" s="1"/>
  <c r="Q494" i="12843"/>
  <c r="Q459" i="12843" s="1"/>
  <c r="F499" i="12843"/>
  <c r="F464" i="12843" s="1"/>
  <c r="F180" i="12843" s="1"/>
  <c r="C464" i="12843"/>
  <c r="C463" i="12843"/>
  <c r="C519" i="12843"/>
  <c r="C484" i="12843" s="1"/>
  <c r="C203" i="12843" s="1"/>
  <c r="F498" i="12843"/>
  <c r="F463" i="12843" s="1"/>
  <c r="F179" i="12843" s="1"/>
  <c r="Q102" i="12764"/>
  <c r="S102" i="12764" s="1"/>
  <c r="D22" i="12766"/>
  <c r="K567" i="12766"/>
  <c r="M742" i="12787"/>
  <c r="D760" i="12787"/>
  <c r="K531" i="12766"/>
  <c r="H531" i="12766"/>
  <c r="G502" i="12766"/>
  <c r="K332" i="12787"/>
  <c r="K274" i="12787" s="1"/>
  <c r="I341" i="12787"/>
  <c r="K341" i="12787" s="1"/>
  <c r="K283" i="12787" s="1"/>
  <c r="K696" i="12787"/>
  <c r="K594" i="12787" s="1"/>
  <c r="I715" i="12787"/>
  <c r="K715" i="12787" s="1"/>
  <c r="K613" i="12787" s="1"/>
  <c r="G709" i="12787"/>
  <c r="G607" i="12787" s="1"/>
  <c r="H709" i="12787"/>
  <c r="G717" i="12787"/>
  <c r="H717" i="12787"/>
  <c r="G929" i="12766"/>
  <c r="G953" i="12766"/>
  <c r="G955" i="12766" s="1"/>
  <c r="K332" i="12766"/>
  <c r="I341" i="12766"/>
  <c r="K341" i="12766" s="1"/>
  <c r="H571" i="12766"/>
  <c r="K571" i="12766"/>
  <c r="H853" i="12766"/>
  <c r="K853" i="12766"/>
  <c r="H216" i="12766"/>
  <c r="K216" i="12766"/>
  <c r="I534" i="12766"/>
  <c r="K534" i="12766" s="1"/>
  <c r="K522" i="12766"/>
  <c r="H314" i="12766"/>
  <c r="H285" i="12766" s="1"/>
  <c r="K69" i="12766"/>
  <c r="K76" i="12766" s="1"/>
  <c r="K78" i="12766" s="1"/>
  <c r="G246" i="12766"/>
  <c r="G190" i="12766" s="1"/>
  <c r="H331" i="12766"/>
  <c r="H346" i="12766" s="1"/>
  <c r="H348" i="12766" s="1"/>
  <c r="K331" i="12766"/>
  <c r="H891" i="12766"/>
  <c r="K891" i="12766"/>
  <c r="K750" i="12766"/>
  <c r="M750" i="12766"/>
  <c r="H67" i="12787"/>
  <c r="H16" i="12787" s="1"/>
  <c r="D16" i="12787"/>
  <c r="K647" i="12787"/>
  <c r="I666" i="12787"/>
  <c r="K666" i="12787" s="1"/>
  <c r="K699" i="12787"/>
  <c r="K597" i="12787" s="1"/>
  <c r="I718" i="12787"/>
  <c r="K718" i="12787" s="1"/>
  <c r="H868" i="12766"/>
  <c r="K868" i="12766"/>
  <c r="H76" i="12766"/>
  <c r="H78" i="12766" s="1"/>
  <c r="D18" i="12766"/>
  <c r="O18" i="12766" s="1"/>
  <c r="K39" i="12766"/>
  <c r="K22" i="12766" s="1"/>
  <c r="F52" i="12775"/>
  <c r="V10" i="12775"/>
  <c r="I56" i="12775" s="1"/>
  <c r="X10" i="12775"/>
  <c r="K56" i="12775" s="1"/>
  <c r="AB10" i="12775"/>
  <c r="O56" i="12775" s="1"/>
  <c r="AB41" i="12775"/>
  <c r="O87" i="12775" s="1"/>
  <c r="T41" i="12775"/>
  <c r="G87" i="12775" s="1"/>
  <c r="V39" i="12775"/>
  <c r="I85" i="12775" s="1"/>
  <c r="Y40" i="12775"/>
  <c r="L86" i="12775" s="1"/>
  <c r="R41" i="12775"/>
  <c r="E87" i="12775" s="1"/>
  <c r="U39" i="12775"/>
  <c r="H85" i="12775" s="1"/>
  <c r="Z40" i="12775"/>
  <c r="M86" i="12775" s="1"/>
  <c r="W38" i="12775"/>
  <c r="J84" i="12775" s="1"/>
  <c r="S41" i="12775"/>
  <c r="F87" i="12775" s="1"/>
  <c r="X41" i="12775"/>
  <c r="K87" i="12775" s="1"/>
  <c r="X39" i="12775"/>
  <c r="K85" i="12775" s="1"/>
  <c r="AA40" i="12775"/>
  <c r="N86" i="12775" s="1"/>
  <c r="V41" i="12775"/>
  <c r="I87" i="12775" s="1"/>
  <c r="W39" i="12775"/>
  <c r="J85" i="12775" s="1"/>
  <c r="AB40" i="12775"/>
  <c r="O86" i="12775" s="1"/>
  <c r="V38" i="12775"/>
  <c r="I84" i="12775" s="1"/>
  <c r="Q40" i="12775"/>
  <c r="D86" i="12775" s="1"/>
  <c r="U42" i="12775"/>
  <c r="H88" i="12775" s="1"/>
  <c r="X38" i="12775"/>
  <c r="K84" i="12775" s="1"/>
  <c r="R40" i="12775"/>
  <c r="E86" i="12775" s="1"/>
  <c r="V42" i="12775"/>
  <c r="I88" i="12775" s="1"/>
  <c r="G344" i="12787"/>
  <c r="G286" i="12787" s="1"/>
  <c r="H344" i="12787"/>
  <c r="G433" i="12787"/>
  <c r="H433" i="12787"/>
  <c r="AA24" i="12775"/>
  <c r="N70" i="12775" s="1"/>
  <c r="AA27" i="12775"/>
  <c r="N73" i="12775" s="1"/>
  <c r="AB30" i="12775"/>
  <c r="O76" i="12775" s="1"/>
  <c r="Y24" i="12775"/>
  <c r="L70" i="12775" s="1"/>
  <c r="Q26" i="12775"/>
  <c r="D72" i="12775" s="1"/>
  <c r="U27" i="12775"/>
  <c r="H73" i="12775" s="1"/>
  <c r="Y28" i="12775"/>
  <c r="L74" i="12775" s="1"/>
  <c r="W24" i="12775"/>
  <c r="J70" i="12775" s="1"/>
  <c r="AA26" i="12775"/>
  <c r="N72" i="12775" s="1"/>
  <c r="Y31" i="12775"/>
  <c r="L77" i="12775" s="1"/>
  <c r="S31" i="12775"/>
  <c r="F77" i="12775" s="1"/>
  <c r="W30" i="12775"/>
  <c r="J76" i="12775" s="1"/>
  <c r="V28" i="12775"/>
  <c r="I74" i="12775" s="1"/>
  <c r="Z27" i="12775"/>
  <c r="M73" i="12775" s="1"/>
  <c r="R27" i="12775"/>
  <c r="E73" i="12775" s="1"/>
  <c r="V26" i="12775"/>
  <c r="I72" i="12775" s="1"/>
  <c r="Z25" i="12775"/>
  <c r="M71" i="12775" s="1"/>
  <c r="R25" i="12775"/>
  <c r="E71" i="12775" s="1"/>
  <c r="V24" i="12775"/>
  <c r="I70" i="12775" s="1"/>
  <c r="V31" i="12775"/>
  <c r="I77" i="12775" s="1"/>
  <c r="Q29" i="12775"/>
  <c r="D75" i="12775" s="1"/>
  <c r="W25" i="12775"/>
  <c r="J71" i="12775" s="1"/>
  <c r="S28" i="12775"/>
  <c r="F74" i="12775" s="1"/>
  <c r="Q31" i="12775"/>
  <c r="D77" i="12775" s="1"/>
  <c r="Q25" i="12775"/>
  <c r="D71" i="12775" s="1"/>
  <c r="U26" i="12775"/>
  <c r="H72" i="12775" s="1"/>
  <c r="Y27" i="12775"/>
  <c r="L73" i="12775" s="1"/>
  <c r="R30" i="12775"/>
  <c r="E76" i="12775" s="1"/>
  <c r="S25" i="12775"/>
  <c r="F71" i="12775" s="1"/>
  <c r="W27" i="12775"/>
  <c r="J73" i="12775" s="1"/>
  <c r="AA31" i="12775"/>
  <c r="N77" i="12775" s="1"/>
  <c r="U30" i="12775"/>
  <c r="H76" i="12775" s="1"/>
  <c r="AB28" i="12775"/>
  <c r="O74" i="12775" s="1"/>
  <c r="T28" i="12775"/>
  <c r="G74" i="12775" s="1"/>
  <c r="X27" i="12775"/>
  <c r="K73" i="12775" s="1"/>
  <c r="AB26" i="12775"/>
  <c r="O72" i="12775" s="1"/>
  <c r="T26" i="12775"/>
  <c r="G72" i="12775" s="1"/>
  <c r="X25" i="12775"/>
  <c r="K71" i="12775" s="1"/>
  <c r="AB24" i="12775"/>
  <c r="O70" i="12775" s="1"/>
  <c r="T24" i="12775"/>
  <c r="G70" i="12775" s="1"/>
  <c r="AB31" i="12775"/>
  <c r="O77" i="12775" s="1"/>
  <c r="T31" i="12775"/>
  <c r="G77" i="12775" s="1"/>
  <c r="S26" i="12775"/>
  <c r="F72" i="12775" s="1"/>
  <c r="W28" i="12775"/>
  <c r="J74" i="12775" s="1"/>
  <c r="Q24" i="12775"/>
  <c r="D70" i="12775" s="1"/>
  <c r="U25" i="12775"/>
  <c r="H71" i="12775" s="1"/>
  <c r="Y26" i="12775"/>
  <c r="L72" i="12775" s="1"/>
  <c r="Q28" i="12775"/>
  <c r="D74" i="12775" s="1"/>
  <c r="V30" i="12775"/>
  <c r="I76" i="12775" s="1"/>
  <c r="AA25" i="12775"/>
  <c r="N71" i="12775" s="1"/>
  <c r="T30" i="12775"/>
  <c r="G76" i="12775" s="1"/>
  <c r="R31" i="12775"/>
  <c r="E77" i="12775" s="1"/>
  <c r="U31" i="12775"/>
  <c r="H77" i="12775" s="1"/>
  <c r="AA30" i="12775"/>
  <c r="N76" i="12775" s="1"/>
  <c r="S30" i="12775"/>
  <c r="F76" i="12775" s="1"/>
  <c r="Z28" i="12775"/>
  <c r="M74" i="12775" s="1"/>
  <c r="R28" i="12775"/>
  <c r="E74" i="12775" s="1"/>
  <c r="V27" i="12775"/>
  <c r="I73" i="12775" s="1"/>
  <c r="Z26" i="12775"/>
  <c r="M72" i="12775" s="1"/>
  <c r="R26" i="12775"/>
  <c r="E72" i="12775" s="1"/>
  <c r="V25" i="12775"/>
  <c r="I71" i="12775" s="1"/>
  <c r="Z24" i="12775"/>
  <c r="M70" i="12775" s="1"/>
  <c r="R24" i="12775"/>
  <c r="E70" i="12775" s="1"/>
  <c r="Z31" i="12775"/>
  <c r="M77" i="12775" s="1"/>
  <c r="D176" i="12787"/>
  <c r="G171" i="12766"/>
  <c r="K481" i="12787"/>
  <c r="G504" i="12787"/>
  <c r="K615" i="12766"/>
  <c r="G76" i="12787"/>
  <c r="C483" i="12787"/>
  <c r="K373" i="12787"/>
  <c r="H86" i="12787"/>
  <c r="K23" i="12766"/>
  <c r="C483" i="12766"/>
  <c r="C587" i="12766"/>
  <c r="G480" i="12787"/>
  <c r="K87" i="12787"/>
  <c r="G501" i="12787"/>
  <c r="G503" i="12787"/>
  <c r="H267" i="12787"/>
  <c r="K495" i="12766"/>
  <c r="G165" i="12787"/>
  <c r="K672" i="12766"/>
  <c r="H809" i="12766"/>
  <c r="K42" i="12766"/>
  <c r="K44" i="12766" s="1"/>
  <c r="H488" i="12766"/>
  <c r="K167" i="12787"/>
  <c r="K287" i="12787"/>
  <c r="T86" i="12766"/>
  <c r="M755" i="12766"/>
  <c r="K375" i="12787"/>
  <c r="K896" i="12787"/>
  <c r="K811" i="12787"/>
  <c r="K783" i="12787" s="1"/>
  <c r="H84" i="12787"/>
  <c r="K141" i="12787"/>
  <c r="H481" i="12787"/>
  <c r="G21" i="12766"/>
  <c r="K805" i="12787"/>
  <c r="K777" i="12787" s="1"/>
  <c r="G488" i="12766"/>
  <c r="K374" i="12766"/>
  <c r="G169" i="12766"/>
  <c r="K421" i="12787"/>
  <c r="I430" i="12787"/>
  <c r="K430" i="12787" s="1"/>
  <c r="I374" i="12843"/>
  <c r="D603" i="12787"/>
  <c r="M603" i="12787" s="1"/>
  <c r="H654" i="12787"/>
  <c r="H603" i="12787" s="1"/>
  <c r="K88" i="12787"/>
  <c r="K158" i="12787"/>
  <c r="H426" i="12766"/>
  <c r="H622" i="12766"/>
  <c r="M754" i="12787"/>
  <c r="K754" i="12787"/>
  <c r="X34" i="12774"/>
  <c r="K80" i="12774" s="1"/>
  <c r="S35" i="12774"/>
  <c r="F81" i="12774" s="1"/>
  <c r="AA35" i="12774"/>
  <c r="N81" i="12774" s="1"/>
  <c r="W34" i="12774"/>
  <c r="J80" i="12774" s="1"/>
  <c r="T35" i="12774"/>
  <c r="G81" i="12774" s="1"/>
  <c r="G82" i="12774" s="1"/>
  <c r="AB35" i="12774"/>
  <c r="O81" i="12774" s="1"/>
  <c r="R34" i="12774"/>
  <c r="E80" i="12774" s="1"/>
  <c r="Z34" i="12774"/>
  <c r="M80" i="12774" s="1"/>
  <c r="U35" i="12774"/>
  <c r="H81" i="12774" s="1"/>
  <c r="Q34" i="12774"/>
  <c r="D80" i="12774" s="1"/>
  <c r="Y34" i="12774"/>
  <c r="L80" i="12774" s="1"/>
  <c r="V35" i="12774"/>
  <c r="I81" i="12774" s="1"/>
  <c r="H854" i="12766"/>
  <c r="K854" i="12766"/>
  <c r="Q17" i="12775"/>
  <c r="D63" i="12775" s="1"/>
  <c r="V20" i="12775"/>
  <c r="I66" i="12775" s="1"/>
  <c r="U14" i="12775"/>
  <c r="H60" i="12775" s="1"/>
  <c r="R15" i="12775"/>
  <c r="E61" i="12775" s="1"/>
  <c r="Z15" i="12775"/>
  <c r="M61" i="12775" s="1"/>
  <c r="U16" i="12775"/>
  <c r="H62" i="12775" s="1"/>
  <c r="Q18" i="12775"/>
  <c r="D64" i="12775" s="1"/>
  <c r="Y18" i="12775"/>
  <c r="L64" i="12775" s="1"/>
  <c r="V19" i="12775"/>
  <c r="I65" i="12775" s="1"/>
  <c r="Q21" i="12775"/>
  <c r="D67" i="12775" s="1"/>
  <c r="Y21" i="12775"/>
  <c r="L67" i="12775" s="1"/>
  <c r="AB20" i="12775"/>
  <c r="O66" i="12775" s="1"/>
  <c r="X14" i="12775"/>
  <c r="K60" i="12775" s="1"/>
  <c r="S15" i="12775"/>
  <c r="F61" i="12775" s="1"/>
  <c r="AA15" i="12775"/>
  <c r="N61" i="12775" s="1"/>
  <c r="X16" i="12775"/>
  <c r="K62" i="12775" s="1"/>
  <c r="T18" i="12775"/>
  <c r="G64" i="12775" s="1"/>
  <c r="AB18" i="12775"/>
  <c r="O64" i="12775" s="1"/>
  <c r="W19" i="12775"/>
  <c r="J65" i="12775" s="1"/>
  <c r="T21" i="12775"/>
  <c r="G67" i="12775" s="1"/>
  <c r="AB21" i="12775"/>
  <c r="O67" i="12775" s="1"/>
  <c r="AA20" i="12775"/>
  <c r="N66" i="12775" s="1"/>
  <c r="S20" i="12775"/>
  <c r="F66" i="12775" s="1"/>
  <c r="Q14" i="12775"/>
  <c r="D60" i="12775" s="1"/>
  <c r="Y14" i="12775"/>
  <c r="L60" i="12775" s="1"/>
  <c r="V15" i="12775"/>
  <c r="I61" i="12775" s="1"/>
  <c r="Q16" i="12775"/>
  <c r="D62" i="12775" s="1"/>
  <c r="Y16" i="12775"/>
  <c r="L62" i="12775" s="1"/>
  <c r="U18" i="12775"/>
  <c r="H64" i="12775" s="1"/>
  <c r="Z19" i="12775"/>
  <c r="M65" i="12775" s="1"/>
  <c r="Z20" i="12775"/>
  <c r="M66" i="12775" s="1"/>
  <c r="W14" i="12775"/>
  <c r="J60" i="12775" s="1"/>
  <c r="T15" i="12775"/>
  <c r="G61" i="12775" s="1"/>
  <c r="AB15" i="12775"/>
  <c r="O61" i="12775" s="1"/>
  <c r="W16" i="12775"/>
  <c r="J62" i="12775" s="1"/>
  <c r="S18" i="12775"/>
  <c r="F64" i="12775" s="1"/>
  <c r="AA18" i="12775"/>
  <c r="N64" i="12775" s="1"/>
  <c r="X19" i="12775"/>
  <c r="K65" i="12775" s="1"/>
  <c r="S21" i="12775"/>
  <c r="F67" i="12775" s="1"/>
  <c r="AA21" i="12775"/>
  <c r="N67" i="12775" s="1"/>
  <c r="R14" i="12775"/>
  <c r="E60" i="12775" s="1"/>
  <c r="Z14" i="12775"/>
  <c r="M60" i="12775" s="1"/>
  <c r="U15" i="12775"/>
  <c r="H61" i="12775" s="1"/>
  <c r="R16" i="12775"/>
  <c r="E62" i="12775" s="1"/>
  <c r="Z16" i="12775"/>
  <c r="M62" i="12775" s="1"/>
  <c r="V18" i="12775"/>
  <c r="I64" i="12775" s="1"/>
  <c r="Q19" i="12775"/>
  <c r="D65" i="12775" s="1"/>
  <c r="Y19" i="12775"/>
  <c r="L65" i="12775" s="1"/>
  <c r="V21" i="12775"/>
  <c r="I67" i="12775" s="1"/>
  <c r="Y20" i="12775"/>
  <c r="L66" i="12775" s="1"/>
  <c r="R19" i="12775"/>
  <c r="E65" i="12775" s="1"/>
  <c r="K971" i="12787"/>
  <c r="D593" i="12787"/>
  <c r="M593" i="12787" s="1"/>
  <c r="H695" i="12787"/>
  <c r="H593" i="12787" s="1"/>
  <c r="H213" i="12766"/>
  <c r="K213" i="12766"/>
  <c r="G809" i="12766"/>
  <c r="K392" i="12787"/>
  <c r="I401" i="12787"/>
  <c r="K401" i="12787" s="1"/>
  <c r="H414" i="12766"/>
  <c r="H356" i="12766" s="1"/>
  <c r="H150" i="12766" s="1"/>
  <c r="D356" i="12766"/>
  <c r="D150" i="12766" s="1"/>
  <c r="M150" i="12766" s="1"/>
  <c r="D416" i="12766"/>
  <c r="D358" i="12766" s="1"/>
  <c r="K414" i="12766"/>
  <c r="K356" i="12766" s="1"/>
  <c r="K150" i="12766" s="1"/>
  <c r="I570" i="12787"/>
  <c r="K570" i="12787" s="1"/>
  <c r="K502" i="12787" s="1"/>
  <c r="K559" i="12787"/>
  <c r="H59" i="12787"/>
  <c r="H61" i="12787" s="1"/>
  <c r="H22" i="12787"/>
  <c r="H658" i="12787"/>
  <c r="G482" i="12787"/>
  <c r="G42" i="12787"/>
  <c r="K673" i="12766"/>
  <c r="G1001" i="12766"/>
  <c r="G1003" i="12766" s="1"/>
  <c r="H559" i="12766"/>
  <c r="K559" i="12766"/>
  <c r="H345" i="12787"/>
  <c r="N110" i="12763"/>
  <c r="I723" i="12787"/>
  <c r="K723" i="12787" s="1"/>
  <c r="K621" i="12787" s="1"/>
  <c r="D968" i="12787"/>
  <c r="D969" i="12787"/>
  <c r="D943" i="12787" s="1"/>
  <c r="M943" i="12787" s="1"/>
  <c r="C945" i="12787"/>
  <c r="H427" i="12766"/>
  <c r="H369" i="12766" s="1"/>
  <c r="K427" i="12766"/>
  <c r="G888" i="12787"/>
  <c r="H888" i="12787"/>
  <c r="G166" i="12787"/>
  <c r="K312" i="12766"/>
  <c r="K283" i="12766" s="1"/>
  <c r="G481" i="12787"/>
  <c r="G499" i="12787"/>
  <c r="H615" i="12766"/>
  <c r="K384" i="12787"/>
  <c r="K355" i="12787" s="1"/>
  <c r="K149" i="12787" s="1"/>
  <c r="I395" i="12787"/>
  <c r="K395" i="12787" s="1"/>
  <c r="K366" i="12787" s="1"/>
  <c r="K164" i="12787" s="1"/>
  <c r="Z8" i="12775"/>
  <c r="M54" i="12775" s="1"/>
  <c r="U7" i="12775"/>
  <c r="H53" i="12775" s="1"/>
  <c r="G52" i="12775"/>
  <c r="AB8" i="12775"/>
  <c r="O54" i="12775" s="1"/>
  <c r="W7" i="12775"/>
  <c r="J53" i="12775" s="1"/>
  <c r="V9" i="12775"/>
  <c r="I55" i="12775" s="1"/>
  <c r="Y8" i="12775"/>
  <c r="L54" i="12775" s="1"/>
  <c r="Q8" i="12775"/>
  <c r="D54" i="12775" s="1"/>
  <c r="V7" i="12775"/>
  <c r="I53" i="12775" s="1"/>
  <c r="Y6" i="12775"/>
  <c r="L52" i="12775" s="1"/>
  <c r="S10" i="12775"/>
  <c r="F56" i="12775" s="1"/>
  <c r="AA10" i="12775"/>
  <c r="N56" i="12775" s="1"/>
  <c r="Q31" i="12774"/>
  <c r="D77" i="12774" s="1"/>
  <c r="Z31" i="12774"/>
  <c r="M77" i="12774" s="1"/>
  <c r="U28" i="12774"/>
  <c r="H74" i="12774" s="1"/>
  <c r="Q26" i="12774"/>
  <c r="D72" i="12774" s="1"/>
  <c r="Y24" i="12774"/>
  <c r="L70" i="12774" s="1"/>
  <c r="U27" i="12774"/>
  <c r="H73" i="12774" s="1"/>
  <c r="X26" i="12774"/>
  <c r="K72" i="12774" s="1"/>
  <c r="S25" i="12774"/>
  <c r="F71" i="12774" s="1"/>
  <c r="AB27" i="12774"/>
  <c r="O73" i="12774" s="1"/>
  <c r="S29" i="12774"/>
  <c r="F75" i="12774" s="1"/>
  <c r="D390" i="12787"/>
  <c r="H390" i="12787" s="1"/>
  <c r="H361" i="12787" s="1"/>
  <c r="G585" i="12787"/>
  <c r="H659" i="12787"/>
  <c r="E720" i="12787"/>
  <c r="G720" i="12787" s="1"/>
  <c r="W41" i="12775"/>
  <c r="J87" i="12775" s="1"/>
  <c r="S38" i="12775"/>
  <c r="AA38" i="12775"/>
  <c r="N84" i="12775" s="1"/>
  <c r="D622" i="12787"/>
  <c r="M622" i="12787" s="1"/>
  <c r="G172" i="12766"/>
  <c r="K565" i="12766"/>
  <c r="K723" i="12766"/>
  <c r="H804" i="12766"/>
  <c r="H776" i="12766" s="1"/>
  <c r="K909" i="12766"/>
  <c r="K911" i="12766" s="1"/>
  <c r="P912" i="12766" s="1"/>
  <c r="C376" i="12766"/>
  <c r="C378" i="12766" s="1"/>
  <c r="D431" i="12766"/>
  <c r="H431" i="12766" s="1"/>
  <c r="D418" i="12766"/>
  <c r="K418" i="12766" s="1"/>
  <c r="D428" i="12766"/>
  <c r="K428" i="12766" s="1"/>
  <c r="AB42" i="12775"/>
  <c r="O88" i="12775" s="1"/>
  <c r="T42" i="12775"/>
  <c r="G88" i="12775" s="1"/>
  <c r="X40" i="12775"/>
  <c r="K86" i="12775" s="1"/>
  <c r="AA39" i="12775"/>
  <c r="N85" i="12775" s="1"/>
  <c r="S39" i="12775"/>
  <c r="F85" i="12775" s="1"/>
  <c r="T38" i="12775"/>
  <c r="G84" i="12775" s="1"/>
  <c r="AA42" i="12775"/>
  <c r="N88" i="12775" s="1"/>
  <c r="S42" i="12775"/>
  <c r="F88" i="12775" s="1"/>
  <c r="W40" i="12775"/>
  <c r="J86" i="12775" s="1"/>
  <c r="AB39" i="12775"/>
  <c r="O85" i="12775" s="1"/>
  <c r="T39" i="12775"/>
  <c r="G85" i="12775" s="1"/>
  <c r="R38" i="12775"/>
  <c r="E84" i="12775" s="1"/>
  <c r="G20" i="12787"/>
  <c r="H115" i="12787"/>
  <c r="H117" i="12787" s="1"/>
  <c r="G115" i="12787"/>
  <c r="G287" i="12787"/>
  <c r="G484" i="12787"/>
  <c r="G59" i="12766"/>
  <c r="G61" i="12766" s="1"/>
  <c r="T10" i="12775"/>
  <c r="G56" i="12775" s="1"/>
  <c r="D56" i="12775"/>
  <c r="D401" i="12787"/>
  <c r="H401" i="12787" s="1"/>
  <c r="D402" i="12787"/>
  <c r="H402" i="12787" s="1"/>
  <c r="D389" i="12787"/>
  <c r="D360" i="12787" s="1"/>
  <c r="K858" i="12766"/>
  <c r="K802" i="12766" s="1"/>
  <c r="K482" i="12787"/>
  <c r="G586" i="12787"/>
  <c r="K810" i="12787"/>
  <c r="K782" i="12787" s="1"/>
  <c r="M750" i="12787"/>
  <c r="G672" i="12843"/>
  <c r="I672" i="12843" s="1"/>
  <c r="G710" i="12843"/>
  <c r="I710" i="12843" s="1"/>
  <c r="K695" i="12787"/>
  <c r="K593" i="12787" s="1"/>
  <c r="I714" i="12787"/>
  <c r="K714" i="12787" s="1"/>
  <c r="K612" i="12787" s="1"/>
  <c r="E865" i="12787"/>
  <c r="G865" i="12787" s="1"/>
  <c r="G857" i="12787"/>
  <c r="I236" i="12843"/>
  <c r="I480" i="12843"/>
  <c r="G154" i="12766"/>
  <c r="K425" i="12766"/>
  <c r="K367" i="12766" s="1"/>
  <c r="AA9" i="12775"/>
  <c r="N55" i="12775" s="1"/>
  <c r="V8" i="12775"/>
  <c r="I54" i="12775" s="1"/>
  <c r="Q7" i="12775"/>
  <c r="D53" i="12775" s="1"/>
  <c r="Y9" i="12775"/>
  <c r="L55" i="12775" s="1"/>
  <c r="X8" i="12775"/>
  <c r="K54" i="12775" s="1"/>
  <c r="S7" i="12775"/>
  <c r="F53" i="12775" s="1"/>
  <c r="AB9" i="12775"/>
  <c r="O55" i="12775" s="1"/>
  <c r="T9" i="12775"/>
  <c r="G55" i="12775" s="1"/>
  <c r="W8" i="12775"/>
  <c r="J54" i="12775" s="1"/>
  <c r="AB7" i="12775"/>
  <c r="O53" i="12775" s="1"/>
  <c r="T7" i="12775"/>
  <c r="G53" i="12775" s="1"/>
  <c r="W6" i="12775"/>
  <c r="J52" i="12775" s="1"/>
  <c r="U10" i="12775"/>
  <c r="H56" i="12775" s="1"/>
  <c r="Z28" i="12774"/>
  <c r="M74" i="12774" s="1"/>
  <c r="V31" i="12774"/>
  <c r="I77" i="12774" s="1"/>
  <c r="Q28" i="12774"/>
  <c r="D74" i="12774" s="1"/>
  <c r="Z25" i="12774"/>
  <c r="M71" i="12774" s="1"/>
  <c r="U24" i="12774"/>
  <c r="H70" i="12774" s="1"/>
  <c r="Q27" i="12774"/>
  <c r="D73" i="12774" s="1"/>
  <c r="T26" i="12774"/>
  <c r="G72" i="12774" s="1"/>
  <c r="AB24" i="12774"/>
  <c r="O70" i="12774" s="1"/>
  <c r="X27" i="12774"/>
  <c r="K73" i="12774" s="1"/>
  <c r="Z29" i="12774"/>
  <c r="M75" i="12774" s="1"/>
  <c r="D386" i="12787"/>
  <c r="D357" i="12787" s="1"/>
  <c r="D151" i="12787" s="1"/>
  <c r="M151" i="12787" s="1"/>
  <c r="K201" i="12787"/>
  <c r="G485" i="12787"/>
  <c r="K504" i="12787"/>
  <c r="H726" i="12787"/>
  <c r="H624" i="12787" s="1"/>
  <c r="E747" i="12787"/>
  <c r="H747" i="12787" s="1"/>
  <c r="Y41" i="12775"/>
  <c r="L87" i="12775" s="1"/>
  <c r="U38" i="12775"/>
  <c r="H84" i="12775" s="1"/>
  <c r="C502" i="12787"/>
  <c r="G76" i="12766"/>
  <c r="G78" i="12766" s="1"/>
  <c r="H425" i="12766"/>
  <c r="H367" i="12766" s="1"/>
  <c r="H607" i="12766"/>
  <c r="G909" i="12766"/>
  <c r="G911" i="12766" s="1"/>
  <c r="K812" i="12766"/>
  <c r="K610" i="12766"/>
  <c r="D421" i="12766"/>
  <c r="D433" i="12766"/>
  <c r="K433" i="12766" s="1"/>
  <c r="M909" i="12766"/>
  <c r="Z42" i="12775"/>
  <c r="M88" i="12775" s="1"/>
  <c r="R42" i="12775"/>
  <c r="E88" i="12775" s="1"/>
  <c r="V40" i="12775"/>
  <c r="I86" i="12775" s="1"/>
  <c r="Y39" i="12775"/>
  <c r="L85" i="12775" s="1"/>
  <c r="Q39" i="12775"/>
  <c r="D85" i="12775" s="1"/>
  <c r="Z41" i="12775"/>
  <c r="M87" i="12775" s="1"/>
  <c r="Y42" i="12775"/>
  <c r="L88" i="12775" s="1"/>
  <c r="Q42" i="12775"/>
  <c r="U40" i="12775"/>
  <c r="H86" i="12775" s="1"/>
  <c r="Z39" i="12775"/>
  <c r="M85" i="12775" s="1"/>
  <c r="R39" i="12775"/>
  <c r="E85" i="12775" s="1"/>
  <c r="G153" i="12787"/>
  <c r="H715" i="12787"/>
  <c r="H736" i="12787"/>
  <c r="H893" i="12787"/>
  <c r="Z10" i="12775"/>
  <c r="M56" i="12775" s="1"/>
  <c r="D400" i="12787"/>
  <c r="H400" i="12787" s="1"/>
  <c r="D398" i="12787"/>
  <c r="H398" i="12787" s="1"/>
  <c r="H369" i="12787" s="1"/>
  <c r="C502" i="12766"/>
  <c r="G158" i="12766"/>
  <c r="H805" i="12766"/>
  <c r="H777" i="12766" s="1"/>
  <c r="M479" i="12767"/>
  <c r="K710" i="12843"/>
  <c r="M710" i="12843" s="1"/>
  <c r="K297" i="12787"/>
  <c r="I308" i="12787"/>
  <c r="K308" i="12787" s="1"/>
  <c r="I631" i="12843"/>
  <c r="K519" i="12766"/>
  <c r="G69" i="12763"/>
  <c r="J69" i="12763" s="1"/>
  <c r="L69" i="12763" s="1"/>
  <c r="G987" i="12843"/>
  <c r="I987" i="12843" s="1"/>
  <c r="I1082" i="12843" s="1"/>
  <c r="G894" i="12843"/>
  <c r="I894" i="12843" s="1"/>
  <c r="I949" i="12843"/>
  <c r="G969" i="12843"/>
  <c r="I969" i="12843" s="1"/>
  <c r="I1063" i="12843" s="1"/>
  <c r="S742" i="12767"/>
  <c r="G743" i="12843"/>
  <c r="Q1166" i="12767"/>
  <c r="M1166" i="12767"/>
  <c r="G765" i="12767"/>
  <c r="G818" i="12767" s="1"/>
  <c r="I818" i="12767" s="1"/>
  <c r="G796" i="12767"/>
  <c r="I796" i="12767" s="1"/>
  <c r="G849" i="12767"/>
  <c r="I849" i="12767" s="1"/>
  <c r="Q235" i="12767"/>
  <c r="Q632" i="12767"/>
  <c r="Q173" i="12767"/>
  <c r="U173" i="12767"/>
  <c r="Q182" i="12767"/>
  <c r="M182" i="12767"/>
  <c r="Q174" i="12767"/>
  <c r="U174" i="12767"/>
  <c r="Q172" i="12767"/>
  <c r="U172" i="12767"/>
  <c r="U373" i="12767"/>
  <c r="U235" i="12767"/>
  <c r="U479" i="12767"/>
  <c r="Q373" i="12767"/>
  <c r="M373" i="12767"/>
  <c r="O818" i="12767"/>
  <c r="Q818" i="12767" s="1"/>
  <c r="O871" i="12767"/>
  <c r="Q871" i="12767" s="1"/>
  <c r="Q479" i="12767"/>
  <c r="M1063" i="12767"/>
  <c r="M372" i="12767"/>
  <c r="M478" i="12767"/>
  <c r="M234" i="12767"/>
  <c r="M235" i="12767"/>
  <c r="C914" i="12767"/>
  <c r="C913" i="12767"/>
  <c r="I747" i="12767"/>
  <c r="M747" i="12767" s="1"/>
  <c r="I373" i="12767"/>
  <c r="I763" i="12767"/>
  <c r="G73" i="12763"/>
  <c r="K73" i="12763" s="1"/>
  <c r="J11" i="12763"/>
  <c r="L11" i="12763" s="1"/>
  <c r="K40" i="12763"/>
  <c r="I84" i="12811" s="1"/>
  <c r="I85" i="12811" s="1"/>
  <c r="K37" i="12763"/>
  <c r="I80" i="12811" s="1"/>
  <c r="C90" i="12763"/>
  <c r="R18" i="12764"/>
  <c r="AA96" i="12764"/>
  <c r="I110" i="12763"/>
  <c r="I112" i="12763" s="1"/>
  <c r="K112" i="12764"/>
  <c r="K113" i="12764" s="1"/>
  <c r="O112" i="12764"/>
  <c r="O113" i="12764" s="1"/>
  <c r="F82" i="12812"/>
  <c r="S80" i="12812"/>
  <c r="S82" i="12812" s="1"/>
  <c r="H600" i="12787"/>
  <c r="K278" i="12766"/>
  <c r="K398" i="12766"/>
  <c r="D176" i="12766"/>
  <c r="G115" i="12766"/>
  <c r="K50" i="12766"/>
  <c r="K16" i="12766" s="1"/>
  <c r="G227" i="12766"/>
  <c r="G199" i="12766" s="1"/>
  <c r="G170" i="12766" s="1"/>
  <c r="K698" i="12787"/>
  <c r="I717" i="12787"/>
  <c r="K717" i="12787" s="1"/>
  <c r="H42" i="12766"/>
  <c r="H44" i="12766" s="1"/>
  <c r="O99" i="12761"/>
  <c r="I469" i="12787"/>
  <c r="K469" i="12787" s="1"/>
  <c r="K469" i="12766"/>
  <c r="G666" i="12787"/>
  <c r="H666" i="12787"/>
  <c r="H753" i="12787"/>
  <c r="G753" i="12787"/>
  <c r="R34" i="12764"/>
  <c r="S76" i="12812"/>
  <c r="J10" i="12763"/>
  <c r="L10" i="12763" s="1"/>
  <c r="I60" i="12767"/>
  <c r="I22" i="12767" s="1"/>
  <c r="M22" i="12767" s="1"/>
  <c r="F553" i="12767"/>
  <c r="T34" i="12764" s="1"/>
  <c r="V34" i="12764" s="1"/>
  <c r="K714" i="12766"/>
  <c r="K716" i="12766"/>
  <c r="G18" i="12766"/>
  <c r="G22" i="12766"/>
  <c r="G155" i="12766"/>
  <c r="C160" i="12766"/>
  <c r="K950" i="12766"/>
  <c r="G187" i="12787"/>
  <c r="G343" i="12787"/>
  <c r="G285" i="12787" s="1"/>
  <c r="G171" i="12787" s="1"/>
  <c r="H343" i="12787"/>
  <c r="G529" i="12787"/>
  <c r="G495" i="12787" s="1"/>
  <c r="H529" i="12787"/>
  <c r="H530" i="12787"/>
  <c r="G530" i="12787"/>
  <c r="I650" i="12787"/>
  <c r="K642" i="12787"/>
  <c r="K752" i="12787"/>
  <c r="M752" i="12787"/>
  <c r="G339" i="12787"/>
  <c r="H339" i="12787"/>
  <c r="I479" i="12767"/>
  <c r="M53" i="12828"/>
  <c r="M56" i="12828" s="1"/>
  <c r="F81" i="12767"/>
  <c r="T40" i="12764" s="1"/>
  <c r="V40" i="12764" s="1"/>
  <c r="F234" i="12767"/>
  <c r="I235" i="12767"/>
  <c r="I630" i="12767"/>
  <c r="M756" i="12766"/>
  <c r="K705" i="12766"/>
  <c r="K603" i="12766" s="1"/>
  <c r="K246" i="12787"/>
  <c r="G570" i="12787"/>
  <c r="G502" i="12787" s="1"/>
  <c r="T10" i="12764"/>
  <c r="M757" i="12766"/>
  <c r="F117" i="12811"/>
  <c r="D85" i="12787"/>
  <c r="H98" i="12787"/>
  <c r="H85" i="12787" s="1"/>
  <c r="G724" i="12787"/>
  <c r="G622" i="12787" s="1"/>
  <c r="H724" i="12787"/>
  <c r="H622" i="12787" s="1"/>
  <c r="H980" i="12787"/>
  <c r="H982" i="12787" s="1"/>
  <c r="H984" i="12787" s="1"/>
  <c r="K51" i="12766"/>
  <c r="G746" i="12766"/>
  <c r="H746" i="12766"/>
  <c r="H20" i="12787"/>
  <c r="T54" i="12764"/>
  <c r="V54" i="12764" s="1"/>
  <c r="V100" i="12764" s="1"/>
  <c r="T12" i="12764"/>
  <c r="T24" i="12764"/>
  <c r="V24" i="12764" s="1"/>
  <c r="T55" i="12764"/>
  <c r="T25" i="12764"/>
  <c r="F50" i="12811"/>
  <c r="E49" i="12811"/>
  <c r="E50" i="12811" s="1"/>
  <c r="F82" i="12811"/>
  <c r="F97" i="12811" s="1"/>
  <c r="E79" i="12811"/>
  <c r="D89" i="12787"/>
  <c r="D104" i="12787"/>
  <c r="G420" i="12787"/>
  <c r="G362" i="12787" s="1"/>
  <c r="E429" i="12787"/>
  <c r="E81" i="12811"/>
  <c r="F54" i="12811"/>
  <c r="E53" i="12811"/>
  <c r="E54" i="12811" s="1"/>
  <c r="G304" i="12787"/>
  <c r="K304" i="12787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319" i="12766" s="1"/>
  <c r="G749" i="12766"/>
  <c r="H749" i="12766"/>
  <c r="I234" i="12767"/>
  <c r="I103" i="12811"/>
  <c r="I117" i="12811" s="1"/>
  <c r="F235" i="12767"/>
  <c r="AB16" i="12774"/>
  <c r="O62" i="12774" s="1"/>
  <c r="X16" i="12774"/>
  <c r="K62" i="12774" s="1"/>
  <c r="T16" i="12774"/>
  <c r="G62" i="12774" s="1"/>
  <c r="AA15" i="12774"/>
  <c r="N61" i="12774" s="1"/>
  <c r="W15" i="12774"/>
  <c r="J61" i="12774" s="1"/>
  <c r="S15" i="12774"/>
  <c r="F61" i="12774" s="1"/>
  <c r="AB14" i="12774"/>
  <c r="O60" i="12774" s="1"/>
  <c r="X14" i="12774"/>
  <c r="K60" i="12774" s="1"/>
  <c r="T14" i="12774"/>
  <c r="G60" i="12774" s="1"/>
  <c r="AB18" i="12774"/>
  <c r="O64" i="12774" s="1"/>
  <c r="X18" i="12774"/>
  <c r="K64" i="12774" s="1"/>
  <c r="T18" i="12774"/>
  <c r="G64" i="12774" s="1"/>
  <c r="AA16" i="12774"/>
  <c r="N62" i="12774" s="1"/>
  <c r="W16" i="12774"/>
  <c r="J62" i="12774" s="1"/>
  <c r="S16" i="12774"/>
  <c r="F62" i="12774" s="1"/>
  <c r="AB15" i="12774"/>
  <c r="O61" i="12774" s="1"/>
  <c r="X15" i="12774"/>
  <c r="K61" i="12774" s="1"/>
  <c r="T15" i="12774"/>
  <c r="G61" i="12774" s="1"/>
  <c r="AA14" i="12774"/>
  <c r="N60" i="12774" s="1"/>
  <c r="W14" i="12774"/>
  <c r="J60" i="12774" s="1"/>
  <c r="S14" i="12774"/>
  <c r="F60" i="12774" s="1"/>
  <c r="AA18" i="12774"/>
  <c r="N64" i="12774" s="1"/>
  <c r="W18" i="12774"/>
  <c r="J64" i="12774" s="1"/>
  <c r="S18" i="12774"/>
  <c r="F64" i="12774" s="1"/>
  <c r="AB19" i="12774"/>
  <c r="O65" i="12774" s="1"/>
  <c r="X19" i="12774"/>
  <c r="K65" i="12774" s="1"/>
  <c r="T19" i="12774"/>
  <c r="G65" i="12774" s="1"/>
  <c r="AB20" i="12774"/>
  <c r="O66" i="12774" s="1"/>
  <c r="X20" i="12774"/>
  <c r="K66" i="12774" s="1"/>
  <c r="T20" i="12774"/>
  <c r="G66" i="12774" s="1"/>
  <c r="AB21" i="12774"/>
  <c r="O67" i="12774" s="1"/>
  <c r="X21" i="12774"/>
  <c r="K67" i="12774" s="1"/>
  <c r="T21" i="12774"/>
  <c r="G67" i="12774" s="1"/>
  <c r="AA20" i="12774"/>
  <c r="N66" i="12774" s="1"/>
  <c r="W20" i="12774"/>
  <c r="J66" i="12774" s="1"/>
  <c r="S20" i="12774"/>
  <c r="F66" i="12774" s="1"/>
  <c r="AA21" i="12774"/>
  <c r="N67" i="12774" s="1"/>
  <c r="W21" i="12774"/>
  <c r="J67" i="12774" s="1"/>
  <c r="S21" i="12774"/>
  <c r="F67" i="12774" s="1"/>
  <c r="Z9" i="12774"/>
  <c r="M55" i="12774" s="1"/>
  <c r="V9" i="12774"/>
  <c r="I55" i="12774" s="1"/>
  <c r="R9" i="12774"/>
  <c r="E55" i="12774" s="1"/>
  <c r="Y8" i="12774"/>
  <c r="L54" i="12774" s="1"/>
  <c r="U8" i="12774"/>
  <c r="H54" i="12774" s="1"/>
  <c r="Q8" i="12774"/>
  <c r="D54" i="12774" s="1"/>
  <c r="Z7" i="12774"/>
  <c r="M53" i="12774" s="1"/>
  <c r="V7" i="12774"/>
  <c r="I53" i="12774" s="1"/>
  <c r="R7" i="12774"/>
  <c r="E53" i="12774" s="1"/>
  <c r="Y6" i="12774"/>
  <c r="L52" i="12774" s="1"/>
  <c r="U6" i="12774"/>
  <c r="H52" i="12774" s="1"/>
  <c r="Y9" i="12774"/>
  <c r="L55" i="12774" s="1"/>
  <c r="U9" i="12774"/>
  <c r="H55" i="12774" s="1"/>
  <c r="Q9" i="12774"/>
  <c r="D55" i="12774" s="1"/>
  <c r="Z8" i="12774"/>
  <c r="M54" i="12774" s="1"/>
  <c r="V8" i="12774"/>
  <c r="I54" i="12774" s="1"/>
  <c r="R8" i="12774"/>
  <c r="E54" i="12774" s="1"/>
  <c r="Y7" i="12774"/>
  <c r="L53" i="12774" s="1"/>
  <c r="U7" i="12774"/>
  <c r="H53" i="12774" s="1"/>
  <c r="Q7" i="12774"/>
  <c r="D53" i="12774" s="1"/>
  <c r="Z6" i="12774"/>
  <c r="M52" i="12774" s="1"/>
  <c r="V6" i="12774"/>
  <c r="I52" i="12774" s="1"/>
  <c r="R6" i="12774"/>
  <c r="Y10" i="12774"/>
  <c r="L56" i="12774" s="1"/>
  <c r="U10" i="12774"/>
  <c r="H56" i="12774" s="1"/>
  <c r="Q10" i="12774"/>
  <c r="D56" i="12774" s="1"/>
  <c r="Z10" i="12774"/>
  <c r="M56" i="12774" s="1"/>
  <c r="V10" i="12774"/>
  <c r="I56" i="12774" s="1"/>
  <c r="AA31" i="12774"/>
  <c r="N77" i="12774" s="1"/>
  <c r="W31" i="12774"/>
  <c r="J77" i="12774" s="1"/>
  <c r="S31" i="12774"/>
  <c r="F77" i="12774" s="1"/>
  <c r="AB28" i="12774"/>
  <c r="O74" i="12774" s="1"/>
  <c r="X28" i="12774"/>
  <c r="K74" i="12774" s="1"/>
  <c r="T28" i="12774"/>
  <c r="G74" i="12774" s="1"/>
  <c r="AB31" i="12774"/>
  <c r="O77" i="12774" s="1"/>
  <c r="X31" i="12774"/>
  <c r="K77" i="12774" s="1"/>
  <c r="T31" i="12774"/>
  <c r="G77" i="12774" s="1"/>
  <c r="AA28" i="12774"/>
  <c r="N74" i="12774" s="1"/>
  <c r="W28" i="12774"/>
  <c r="J74" i="12774" s="1"/>
  <c r="S28" i="12774"/>
  <c r="F74" i="12774" s="1"/>
  <c r="AA26" i="12774"/>
  <c r="N72" i="12774" s="1"/>
  <c r="W26" i="12774"/>
  <c r="J72" i="12774" s="1"/>
  <c r="S26" i="12774"/>
  <c r="F72" i="12774" s="1"/>
  <c r="AB25" i="12774"/>
  <c r="O71" i="12774" s="1"/>
  <c r="X25" i="12774"/>
  <c r="K71" i="12774" s="1"/>
  <c r="T25" i="12774"/>
  <c r="G71" i="12774" s="1"/>
  <c r="AA24" i="12774"/>
  <c r="N70" i="12774" s="1"/>
  <c r="W24" i="12774"/>
  <c r="J70" i="12774" s="1"/>
  <c r="S24" i="12774"/>
  <c r="F70" i="12774" s="1"/>
  <c r="AA27" i="12774"/>
  <c r="N73" i="12774" s="1"/>
  <c r="W27" i="12774"/>
  <c r="J73" i="12774" s="1"/>
  <c r="S27" i="12774"/>
  <c r="F73" i="12774" s="1"/>
  <c r="Y29" i="12774"/>
  <c r="L75" i="12774" s="1"/>
  <c r="Q29" i="12774"/>
  <c r="D75" i="12774" s="1"/>
  <c r="Z26" i="12774"/>
  <c r="M72" i="12774" s="1"/>
  <c r="V26" i="12774"/>
  <c r="I72" i="12774" s="1"/>
  <c r="R26" i="12774"/>
  <c r="E72" i="12774" s="1"/>
  <c r="Y25" i="12774"/>
  <c r="L71" i="12774" s="1"/>
  <c r="U25" i="12774"/>
  <c r="H71" i="12774" s="1"/>
  <c r="Q25" i="12774"/>
  <c r="D71" i="12774" s="1"/>
  <c r="Z24" i="12774"/>
  <c r="M70" i="12774" s="1"/>
  <c r="V24" i="12774"/>
  <c r="I70" i="12774" s="1"/>
  <c r="R24" i="12774"/>
  <c r="Z27" i="12774"/>
  <c r="M73" i="12774" s="1"/>
  <c r="V27" i="12774"/>
  <c r="I73" i="12774" s="1"/>
  <c r="R27" i="12774"/>
  <c r="E73" i="12774" s="1"/>
  <c r="W29" i="12774"/>
  <c r="J75" i="12774" s="1"/>
  <c r="AB29" i="12774"/>
  <c r="O75" i="12774" s="1"/>
  <c r="X29" i="12774"/>
  <c r="K75" i="12774" s="1"/>
  <c r="C175" i="12767"/>
  <c r="R93" i="12764"/>
  <c r="R97" i="12764"/>
  <c r="Y11" i="12775"/>
  <c r="L57" i="12775" s="1"/>
  <c r="U11" i="12775"/>
  <c r="H57" i="12775" s="1"/>
  <c r="Q11" i="12775"/>
  <c r="D57" i="12775" s="1"/>
  <c r="Z11" i="12775"/>
  <c r="M57" i="12775" s="1"/>
  <c r="V11" i="12775"/>
  <c r="I57" i="12775" s="1"/>
  <c r="R11" i="12775"/>
  <c r="E57" i="12775" s="1"/>
  <c r="AA11" i="12775"/>
  <c r="N57" i="12775" s="1"/>
  <c r="W11" i="12775"/>
  <c r="J57" i="12775" s="1"/>
  <c r="S11" i="12775"/>
  <c r="F57" i="12775" s="1"/>
  <c r="AB11" i="12775"/>
  <c r="O57" i="12775" s="1"/>
  <c r="X11" i="12775"/>
  <c r="K57" i="12775" s="1"/>
  <c r="T11" i="12775"/>
  <c r="G57" i="12775" s="1"/>
  <c r="Y11" i="12774"/>
  <c r="L57" i="12774" s="1"/>
  <c r="U11" i="12774"/>
  <c r="H57" i="12774" s="1"/>
  <c r="Q11" i="12774"/>
  <c r="D57" i="12774" s="1"/>
  <c r="Z11" i="12774"/>
  <c r="M57" i="12774" s="1"/>
  <c r="V11" i="12774"/>
  <c r="I57" i="12774" s="1"/>
  <c r="R11" i="12774"/>
  <c r="E57" i="12774" s="1"/>
  <c r="AA11" i="12774"/>
  <c r="N57" i="12774" s="1"/>
  <c r="W11" i="12774"/>
  <c r="J57" i="12774" s="1"/>
  <c r="S11" i="12774"/>
  <c r="F57" i="12774" s="1"/>
  <c r="AB11" i="12774"/>
  <c r="O57" i="12774" s="1"/>
  <c r="X11" i="12774"/>
  <c r="K57" i="12774" s="1"/>
  <c r="T11" i="12774"/>
  <c r="G57" i="12774" s="1"/>
  <c r="M79" i="12764"/>
  <c r="Q79" i="12764" s="1"/>
  <c r="S79" i="12764" s="1"/>
  <c r="M80" i="12764"/>
  <c r="C273" i="12767"/>
  <c r="F252" i="12767"/>
  <c r="F253" i="12767"/>
  <c r="C100" i="12763"/>
  <c r="K568" i="12766"/>
  <c r="C72" i="12763"/>
  <c r="C74" i="12763" s="1"/>
  <c r="K26" i="12763"/>
  <c r="J26" i="12763"/>
  <c r="L26" i="12763" s="1"/>
  <c r="C80" i="12763"/>
  <c r="K23" i="12787"/>
  <c r="I764" i="12767"/>
  <c r="M764" i="12767" s="1"/>
  <c r="AB17" i="12775"/>
  <c r="O63" i="12775" s="1"/>
  <c r="Z17" i="12775"/>
  <c r="M63" i="12775" s="1"/>
  <c r="X17" i="12775"/>
  <c r="K63" i="12775" s="1"/>
  <c r="V17" i="12775"/>
  <c r="I63" i="12775" s="1"/>
  <c r="T17" i="12775"/>
  <c r="G63" i="12775" s="1"/>
  <c r="R47" i="12764"/>
  <c r="J80" i="12763"/>
  <c r="L80" i="12763" s="1"/>
  <c r="R12" i="12764"/>
  <c r="M63" i="12764"/>
  <c r="Q63" i="12764" s="1"/>
  <c r="S63" i="12764" s="1"/>
  <c r="C95" i="12764"/>
  <c r="C98" i="12764" s="1"/>
  <c r="X51" i="12764"/>
  <c r="L121" i="12812" s="1"/>
  <c r="W51" i="12764"/>
  <c r="AB51" i="12764"/>
  <c r="AA51" i="12764"/>
  <c r="T102" i="12764"/>
  <c r="F1102" i="12767"/>
  <c r="C925" i="12767"/>
  <c r="Z8" i="12764"/>
  <c r="Z68" i="12764" s="1"/>
  <c r="R17" i="12775"/>
  <c r="E63" i="12775" s="1"/>
  <c r="AA17" i="12775"/>
  <c r="N63" i="12775" s="1"/>
  <c r="W17" i="12775"/>
  <c r="J63" i="12775" s="1"/>
  <c r="S17" i="12775"/>
  <c r="F63" i="12775" s="1"/>
  <c r="Y17" i="12775"/>
  <c r="L63" i="12775" s="1"/>
  <c r="U17" i="12775"/>
  <c r="H63" i="12775" s="1"/>
  <c r="W19" i="12774"/>
  <c r="J65" i="12774" s="1"/>
  <c r="U19" i="12774"/>
  <c r="H65" i="12774" s="1"/>
  <c r="Q17" i="12774"/>
  <c r="S17" i="12774"/>
  <c r="U17" i="12774"/>
  <c r="W17" i="12774"/>
  <c r="Y17" i="12774"/>
  <c r="AA17" i="12774"/>
  <c r="R63" i="12774"/>
  <c r="T63" i="12774"/>
  <c r="V63" i="12774"/>
  <c r="X63" i="12774"/>
  <c r="Z63" i="12774"/>
  <c r="AB63" i="12774"/>
  <c r="Q19" i="12774"/>
  <c r="D65" i="12774" s="1"/>
  <c r="Y19" i="12774"/>
  <c r="L65" i="12774" s="1"/>
  <c r="R17" i="12774"/>
  <c r="T17" i="12774"/>
  <c r="V17" i="12774"/>
  <c r="X17" i="12774"/>
  <c r="Z17" i="12774"/>
  <c r="Z22" i="12774" s="1"/>
  <c r="AB17" i="12774"/>
  <c r="S63" i="12774"/>
  <c r="U63" i="12774"/>
  <c r="W63" i="12774"/>
  <c r="Y63" i="12774"/>
  <c r="AA63" i="12774"/>
  <c r="W96" i="12764"/>
  <c r="F478" i="12767"/>
  <c r="F764" i="12767"/>
  <c r="F738" i="12767"/>
  <c r="F477" i="12767"/>
  <c r="J22" i="12763"/>
  <c r="L22" i="12763" s="1"/>
  <c r="Q46" i="12764"/>
  <c r="S46" i="12764" s="1"/>
  <c r="M90" i="12764"/>
  <c r="C81" i="12764"/>
  <c r="C82" i="12764" s="1"/>
  <c r="C71" i="12764"/>
  <c r="R20" i="12764"/>
  <c r="Q20" i="12764"/>
  <c r="S20" i="12764" s="1"/>
  <c r="Q45" i="12764"/>
  <c r="S45" i="12764" s="1"/>
  <c r="M47" i="12764"/>
  <c r="M89" i="12764"/>
  <c r="AB96" i="12764"/>
  <c r="R40" i="12764"/>
  <c r="Q40" i="12764"/>
  <c r="S40" i="12764" s="1"/>
  <c r="R96" i="12764"/>
  <c r="AD96" i="12764" s="1"/>
  <c r="Q96" i="12764"/>
  <c r="S96" i="12764" s="1"/>
  <c r="C64" i="12764"/>
  <c r="C65" i="12764" s="1"/>
  <c r="C85" i="12764"/>
  <c r="C86" i="12764" s="1"/>
  <c r="J45" i="12763"/>
  <c r="L45" i="12763" s="1"/>
  <c r="G47" i="12763"/>
  <c r="K47" i="12763" s="1"/>
  <c r="G88" i="12763"/>
  <c r="G12" i="12763"/>
  <c r="J12" i="12763" s="1"/>
  <c r="L12" i="12763" s="1"/>
  <c r="C68" i="12763"/>
  <c r="G8" i="12763"/>
  <c r="C68" i="12764"/>
  <c r="C67" i="12764"/>
  <c r="J9" i="12763"/>
  <c r="L9" i="12763" s="1"/>
  <c r="G72" i="12763"/>
  <c r="K9" i="12763"/>
  <c r="I15" i="12811" s="1"/>
  <c r="K51" i="12763"/>
  <c r="I121" i="12811" s="1"/>
  <c r="J51" i="12763"/>
  <c r="L51" i="12763" s="1"/>
  <c r="G100" i="12763"/>
  <c r="R9" i="12764"/>
  <c r="Q9" i="12764"/>
  <c r="S9" i="12764" s="1"/>
  <c r="M73" i="12764"/>
  <c r="G52" i="12763"/>
  <c r="C102" i="12763"/>
  <c r="C74" i="12764"/>
  <c r="C75" i="12764" s="1"/>
  <c r="G55" i="12763"/>
  <c r="C108" i="12763"/>
  <c r="C575" i="12787"/>
  <c r="C576" i="12787" s="1"/>
  <c r="C77" i="12787"/>
  <c r="C78" i="12787" s="1"/>
  <c r="K19" i="12763"/>
  <c r="I42" i="12811" s="1"/>
  <c r="J19" i="12763"/>
  <c r="L19" i="12763" s="1"/>
  <c r="R78" i="12764"/>
  <c r="Q78" i="12764"/>
  <c r="S78" i="12764" s="1"/>
  <c r="S53" i="12812"/>
  <c r="Q25" i="12764"/>
  <c r="S25" i="12764" s="1"/>
  <c r="M108" i="12764"/>
  <c r="C412" i="12767"/>
  <c r="C358" i="12767"/>
  <c r="F358" i="12767" s="1"/>
  <c r="F747" i="12767"/>
  <c r="F756" i="12767"/>
  <c r="F463" i="12767"/>
  <c r="F731" i="12767"/>
  <c r="F733" i="12767"/>
  <c r="G127" i="12787"/>
  <c r="H127" i="12787"/>
  <c r="H128" i="12787" s="1"/>
  <c r="H130" i="12787" s="1"/>
  <c r="K212" i="12787"/>
  <c r="I222" i="12787"/>
  <c r="K222" i="12787" s="1"/>
  <c r="C153" i="12787"/>
  <c r="C156" i="12787" s="1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H718" i="12787"/>
  <c r="G855" i="12787"/>
  <c r="G799" i="12787" s="1"/>
  <c r="G771" i="12787" s="1"/>
  <c r="E864" i="12787"/>
  <c r="G864" i="12787" s="1"/>
  <c r="G808" i="12787" s="1"/>
  <c r="G780" i="12787" s="1"/>
  <c r="G858" i="12787"/>
  <c r="E866" i="12787"/>
  <c r="G866" i="12787" s="1"/>
  <c r="H911" i="12787"/>
  <c r="P911" i="12787"/>
  <c r="G7" i="12763"/>
  <c r="C67" i="12763"/>
  <c r="G24" i="12763"/>
  <c r="C64" i="12763"/>
  <c r="G25" i="12763"/>
  <c r="C106" i="12763"/>
  <c r="K34" i="12763"/>
  <c r="I73" i="12811" s="1"/>
  <c r="J34" i="12763"/>
  <c r="L34" i="12763" s="1"/>
  <c r="G53" i="12763"/>
  <c r="C103" i="12763"/>
  <c r="R22" i="12764"/>
  <c r="Q22" i="12764"/>
  <c r="S22" i="12764" s="1"/>
  <c r="M84" i="12764"/>
  <c r="Q37" i="12764"/>
  <c r="S37" i="12764" s="1"/>
  <c r="R52" i="12764"/>
  <c r="M104" i="12764"/>
  <c r="Q52" i="12764"/>
  <c r="S52" i="12764" s="1"/>
  <c r="M56" i="12764"/>
  <c r="R54" i="12764"/>
  <c r="Q54" i="12764"/>
  <c r="S54" i="12764" s="1"/>
  <c r="M100" i="12764"/>
  <c r="C154" i="12766"/>
  <c r="C156" i="12766" s="1"/>
  <c r="C186" i="12766"/>
  <c r="C157" i="12766" s="1"/>
  <c r="G39" i="12763"/>
  <c r="G95" i="12763" s="1"/>
  <c r="J95" i="12763" s="1"/>
  <c r="G32" i="12763"/>
  <c r="K751" i="12766"/>
  <c r="M751" i="12766"/>
  <c r="B27" i="12783"/>
  <c r="B29" i="12783" s="1"/>
  <c r="K374" i="12787"/>
  <c r="K503" i="12787"/>
  <c r="G23" i="12766"/>
  <c r="K605" i="12766"/>
  <c r="K808" i="12766"/>
  <c r="H866" i="12766"/>
  <c r="K809" i="12766"/>
  <c r="H742" i="12787"/>
  <c r="H743" i="12787"/>
  <c r="R30" i="12774"/>
  <c r="T30" i="12774"/>
  <c r="G76" i="12774" s="1"/>
  <c r="V30" i="12774"/>
  <c r="I76" i="12774" s="1"/>
  <c r="X30" i="12774"/>
  <c r="K76" i="12774" s="1"/>
  <c r="Z30" i="12774"/>
  <c r="M76" i="12774" s="1"/>
  <c r="AB30" i="12774"/>
  <c r="O76" i="12774" s="1"/>
  <c r="S30" i="12774"/>
  <c r="F76" i="12774" s="1"/>
  <c r="W30" i="12774"/>
  <c r="J76" i="12774" s="1"/>
  <c r="AA30" i="12774"/>
  <c r="N76" i="12774" s="1"/>
  <c r="Q30" i="12774"/>
  <c r="D76" i="12774" s="1"/>
  <c r="U30" i="12774"/>
  <c r="H76" i="12774" s="1"/>
  <c r="Y30" i="12774"/>
  <c r="L76" i="12774" s="1"/>
  <c r="F472" i="12767"/>
  <c r="C447" i="12767"/>
  <c r="C362" i="12767" s="1"/>
  <c r="F737" i="12767"/>
  <c r="F749" i="12767"/>
  <c r="G18" i="12763"/>
  <c r="C76" i="12763"/>
  <c r="F475" i="12767"/>
  <c r="F732" i="12767"/>
  <c r="G140" i="12787"/>
  <c r="G141" i="12787" s="1"/>
  <c r="H140" i="12787"/>
  <c r="H141" i="12787" s="1"/>
  <c r="H143" i="12787" s="1"/>
  <c r="D239" i="12787"/>
  <c r="D240" i="12787"/>
  <c r="K326" i="12787"/>
  <c r="I337" i="12787"/>
  <c r="K337" i="12787" s="1"/>
  <c r="K279" i="12787" s="1"/>
  <c r="G404" i="12787"/>
  <c r="G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H564" i="12787"/>
  <c r="E834" i="12787"/>
  <c r="G825" i="12787"/>
  <c r="G829" i="12787"/>
  <c r="E837" i="12787"/>
  <c r="G830" i="12787"/>
  <c r="E838" i="12787"/>
  <c r="G23" i="12763"/>
  <c r="G33" i="12763"/>
  <c r="C77" i="12763"/>
  <c r="G35" i="12763"/>
  <c r="C83" i="12763"/>
  <c r="G54" i="12763"/>
  <c r="C98" i="12763"/>
  <c r="R27" i="12764"/>
  <c r="AD27" i="12764" s="1"/>
  <c r="Q27" i="12764"/>
  <c r="S27" i="12764" s="1"/>
  <c r="W27" i="12764"/>
  <c r="M85" i="12764"/>
  <c r="G751" i="12787"/>
  <c r="H751" i="12787"/>
  <c r="R32" i="12764"/>
  <c r="F71" i="12812" s="1"/>
  <c r="M41" i="12764"/>
  <c r="Q32" i="12764"/>
  <c r="S32" i="12764" s="1"/>
  <c r="M77" i="12764"/>
  <c r="R53" i="12764"/>
  <c r="Q53" i="12764"/>
  <c r="S53" i="12764" s="1"/>
  <c r="M105" i="12764"/>
  <c r="R55" i="12764"/>
  <c r="Q55" i="12764"/>
  <c r="S55" i="12764" s="1"/>
  <c r="M110" i="12764"/>
  <c r="I464" i="12787"/>
  <c r="K464" i="12787" s="1"/>
  <c r="K464" i="12766"/>
  <c r="G756" i="12787"/>
  <c r="H756" i="12787"/>
  <c r="G36" i="12763"/>
  <c r="C92" i="12763"/>
  <c r="H215" i="12766"/>
  <c r="K215" i="12766"/>
  <c r="K918" i="12766"/>
  <c r="K920" i="12766" s="1"/>
  <c r="K922" i="12766" s="1"/>
  <c r="M918" i="12766"/>
  <c r="M920" i="12766" s="1"/>
  <c r="H918" i="12766"/>
  <c r="H920" i="12766" s="1"/>
  <c r="H922" i="12766" s="1"/>
  <c r="F1028" i="12767"/>
  <c r="H1030" i="12787"/>
  <c r="H1032" i="12787" s="1"/>
  <c r="G160" i="12766"/>
  <c r="G434" i="12766"/>
  <c r="G436" i="12766" s="1"/>
  <c r="P908" i="12766"/>
  <c r="P910" i="12766" s="1"/>
  <c r="K21" i="12766"/>
  <c r="K18" i="12766"/>
  <c r="D488" i="12766"/>
  <c r="M488" i="12766" s="1"/>
  <c r="I478" i="12767"/>
  <c r="G853" i="12787"/>
  <c r="G17" i="12766"/>
  <c r="H740" i="12787"/>
  <c r="H141" i="12766"/>
  <c r="G60" i="12787"/>
  <c r="K60" i="12787" s="1"/>
  <c r="C435" i="12787"/>
  <c r="C436" i="12787" s="1"/>
  <c r="C260" i="12787"/>
  <c r="K812" i="12787"/>
  <c r="K784" i="12787" s="1"/>
  <c r="F763" i="12767"/>
  <c r="I372" i="12767"/>
  <c r="M88" i="12767"/>
  <c r="F473" i="12767"/>
  <c r="C342" i="12767"/>
  <c r="C628" i="12767"/>
  <c r="K490" i="12766"/>
  <c r="F471" i="12767"/>
  <c r="C195" i="12767"/>
  <c r="C201" i="12767" s="1"/>
  <c r="K84" i="12774"/>
  <c r="F759" i="12767"/>
  <c r="Z10" i="12764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K75" i="12775"/>
  <c r="I429" i="12787"/>
  <c r="K429" i="12787" s="1"/>
  <c r="K420" i="12787"/>
  <c r="K245" i="12787"/>
  <c r="I254" i="12787"/>
  <c r="K254" i="12787" s="1"/>
  <c r="D255" i="12787"/>
  <c r="H255" i="12787" s="1"/>
  <c r="G257" i="12787"/>
  <c r="G259" i="12787" s="1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05" i="12787" s="1"/>
  <c r="K693" i="12787"/>
  <c r="I712" i="12787"/>
  <c r="K712" i="12787" s="1"/>
  <c r="K610" i="12787" s="1"/>
  <c r="I701" i="12787"/>
  <c r="C1048" i="12787"/>
  <c r="C1049" i="12787"/>
  <c r="K702" i="12787"/>
  <c r="I721" i="12787"/>
  <c r="K721" i="12787" s="1"/>
  <c r="H720" i="12787"/>
  <c r="G721" i="12787"/>
  <c r="H721" i="12787"/>
  <c r="G725" i="12787"/>
  <c r="G623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G887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G27" i="12763"/>
  <c r="C84" i="12763"/>
  <c r="H558" i="12787"/>
  <c r="D576" i="12787"/>
  <c r="K651" i="12787"/>
  <c r="I670" i="12787"/>
  <c r="K670" i="12787" s="1"/>
  <c r="H664" i="12787"/>
  <c r="D613" i="12787"/>
  <c r="M613" i="12787" s="1"/>
  <c r="D602" i="12787"/>
  <c r="M602" i="12787" s="1"/>
  <c r="H653" i="12787"/>
  <c r="H602" i="12787" s="1"/>
  <c r="T584" i="12787" s="1"/>
  <c r="K841" i="12787"/>
  <c r="K797" i="12787"/>
  <c r="K769" i="12787" s="1"/>
  <c r="M20" i="12766"/>
  <c r="O20" i="12766"/>
  <c r="H355" i="12766"/>
  <c r="H149" i="12766" s="1"/>
  <c r="G361" i="12766"/>
  <c r="G159" i="12766" s="1"/>
  <c r="G405" i="12766"/>
  <c r="H226" i="12766"/>
  <c r="W482" i="12766"/>
  <c r="D491" i="12766"/>
  <c r="M491" i="12766" s="1"/>
  <c r="H525" i="12766"/>
  <c r="D498" i="12766"/>
  <c r="M498" i="12766" s="1"/>
  <c r="H532" i="12766"/>
  <c r="H498" i="12766" s="1"/>
  <c r="D500" i="12766"/>
  <c r="M500" i="12766" s="1"/>
  <c r="H534" i="12766"/>
  <c r="H500" i="12766" s="1"/>
  <c r="H536" i="12766"/>
  <c r="G572" i="12766"/>
  <c r="G504" i="12766" s="1"/>
  <c r="C504" i="12766"/>
  <c r="H539" i="12766"/>
  <c r="K539" i="12766"/>
  <c r="K650" i="12766"/>
  <c r="I669" i="12766"/>
  <c r="K669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H393" i="12766"/>
  <c r="H404" i="12766"/>
  <c r="K404" i="12766"/>
  <c r="H389" i="12766"/>
  <c r="K389" i="12766"/>
  <c r="K420" i="12766"/>
  <c r="D183" i="12766"/>
  <c r="H239" i="12766"/>
  <c r="K239" i="12766"/>
  <c r="D249" i="12766"/>
  <c r="D497" i="12766"/>
  <c r="M497" i="12766" s="1"/>
  <c r="H565" i="12766"/>
  <c r="H555" i="12766"/>
  <c r="H487" i="12766" s="1"/>
  <c r="D487" i="12766"/>
  <c r="M487" i="12766" s="1"/>
  <c r="K555" i="12766"/>
  <c r="K487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H826" i="12766"/>
  <c r="D812" i="12766"/>
  <c r="D784" i="12766" s="1"/>
  <c r="M784" i="12766" s="1"/>
  <c r="H840" i="12766"/>
  <c r="D806" i="12766"/>
  <c r="D778" i="12766" s="1"/>
  <c r="M778" i="12766" s="1"/>
  <c r="H834" i="12766"/>
  <c r="D799" i="12766"/>
  <c r="D771" i="12766" s="1"/>
  <c r="M771" i="12766" s="1"/>
  <c r="H827" i="12766"/>
  <c r="H799" i="12766" s="1"/>
  <c r="H895" i="12766"/>
  <c r="K895" i="12766"/>
  <c r="H882" i="12766"/>
  <c r="K882" i="12766"/>
  <c r="H893" i="12766"/>
  <c r="K893" i="12766"/>
  <c r="H884" i="12766"/>
  <c r="D898" i="12766"/>
  <c r="H17" i="12787"/>
  <c r="D17" i="12787"/>
  <c r="D22" i="12787"/>
  <c r="H621" i="12787"/>
  <c r="K622" i="12787"/>
  <c r="D600" i="12787"/>
  <c r="M600" i="12787" s="1"/>
  <c r="K982" i="12787"/>
  <c r="K609" i="12766"/>
  <c r="H863" i="12766"/>
  <c r="U86" i="12766"/>
  <c r="W86" i="12766" s="1"/>
  <c r="K88" i="12766"/>
  <c r="H757" i="12766"/>
  <c r="H21" i="12766"/>
  <c r="K424" i="12766"/>
  <c r="K366" i="12766" s="1"/>
  <c r="G167" i="12766"/>
  <c r="K695" i="12766"/>
  <c r="K715" i="12766"/>
  <c r="K613" i="12766" s="1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D86" i="12774"/>
  <c r="F479" i="12767"/>
  <c r="D61" i="12774"/>
  <c r="D62" i="12774"/>
  <c r="F896" i="12767"/>
  <c r="I827" i="12767"/>
  <c r="G851" i="12767"/>
  <c r="D18" i="12787"/>
  <c r="H69" i="12787"/>
  <c r="H18" i="12787" s="1"/>
  <c r="K240" i="12787"/>
  <c r="I250" i="12787"/>
  <c r="K250" i="12787" s="1"/>
  <c r="K391" i="12787"/>
  <c r="I400" i="12787"/>
  <c r="K400" i="12787" s="1"/>
  <c r="I226" i="12787"/>
  <c r="K226" i="12787" s="1"/>
  <c r="D331" i="12787"/>
  <c r="H331" i="12787" s="1"/>
  <c r="C348" i="12787"/>
  <c r="C199" i="12787"/>
  <c r="C170" i="12787" s="1"/>
  <c r="G227" i="12787"/>
  <c r="G199" i="12787" s="1"/>
  <c r="G170" i="12787" s="1"/>
  <c r="K227" i="12787"/>
  <c r="K199" i="12787" s="1"/>
  <c r="G403" i="12787"/>
  <c r="H403" i="12787"/>
  <c r="I471" i="12787"/>
  <c r="K471" i="12787" s="1"/>
  <c r="K471" i="12766"/>
  <c r="K556" i="12787"/>
  <c r="I568" i="12787"/>
  <c r="K568" i="12787" s="1"/>
  <c r="H582" i="12787"/>
  <c r="H696" i="12787"/>
  <c r="D594" i="12787"/>
  <c r="M594" i="12787" s="1"/>
  <c r="G669" i="12787"/>
  <c r="H669" i="12787"/>
  <c r="G670" i="12787"/>
  <c r="H670" i="12787"/>
  <c r="M749" i="12787"/>
  <c r="K749" i="12787"/>
  <c r="H822" i="12787"/>
  <c r="G822" i="12787"/>
  <c r="E832" i="12787"/>
  <c r="G826" i="12787"/>
  <c r="H826" i="12787"/>
  <c r="E835" i="12787"/>
  <c r="K385" i="12787"/>
  <c r="I396" i="12787"/>
  <c r="K396" i="12787" s="1"/>
  <c r="G357" i="12787"/>
  <c r="G151" i="12787" s="1"/>
  <c r="K794" i="12787"/>
  <c r="K766" i="12787" s="1"/>
  <c r="K869" i="12787"/>
  <c r="H825" i="12787"/>
  <c r="H840" i="12787"/>
  <c r="H913" i="12787"/>
  <c r="P913" i="12787"/>
  <c r="G20" i="12763"/>
  <c r="G79" i="12763" s="1"/>
  <c r="C78" i="12763"/>
  <c r="H665" i="12787"/>
  <c r="H614" i="12787" s="1"/>
  <c r="D614" i="12787"/>
  <c r="M614" i="12787" s="1"/>
  <c r="H663" i="12787"/>
  <c r="H612" i="12787" s="1"/>
  <c r="D612" i="12787"/>
  <c r="M612" i="12787" s="1"/>
  <c r="AB36" i="12775"/>
  <c r="O82" i="12775"/>
  <c r="X36" i="12775"/>
  <c r="K82" i="12775"/>
  <c r="W36" i="12775"/>
  <c r="J82" i="12775"/>
  <c r="S36" i="12775"/>
  <c r="F82" i="12775"/>
  <c r="W767" i="12787"/>
  <c r="H833" i="12787"/>
  <c r="G833" i="12787"/>
  <c r="T71" i="12764"/>
  <c r="X71" i="12764" s="1"/>
  <c r="M17" i="12766"/>
  <c r="M22" i="12766"/>
  <c r="O22" i="12766"/>
  <c r="G183" i="12766"/>
  <c r="G153" i="12766" s="1"/>
  <c r="G346" i="12766"/>
  <c r="G348" i="12766" s="1"/>
  <c r="H223" i="12766"/>
  <c r="H224" i="12766"/>
  <c r="H225" i="12766"/>
  <c r="K225" i="12766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F750" i="12767"/>
  <c r="K89" i="12766"/>
  <c r="K91" i="12766" s="1"/>
  <c r="K104" i="12766"/>
  <c r="O21" i="12766"/>
  <c r="M21" i="12766"/>
  <c r="H305" i="12766"/>
  <c r="H276" i="12766" s="1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H391" i="12766"/>
  <c r="K391" i="12766"/>
  <c r="D361" i="12766"/>
  <c r="H390" i="12766"/>
  <c r="K390" i="12766"/>
  <c r="H421" i="12766"/>
  <c r="K421" i="12766"/>
  <c r="H419" i="12766"/>
  <c r="H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D801" i="12766"/>
  <c r="H829" i="12766"/>
  <c r="H801" i="12766" s="1"/>
  <c r="K829" i="12766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H881" i="12766"/>
  <c r="K881" i="12766"/>
  <c r="H890" i="12766"/>
  <c r="K890" i="12766"/>
  <c r="I631" i="12767"/>
  <c r="M631" i="12767" s="1"/>
  <c r="F712" i="12767"/>
  <c r="D20" i="12787"/>
  <c r="H420" i="12787"/>
  <c r="H362" i="12787" s="1"/>
  <c r="H757" i="12787"/>
  <c r="D624" i="12787"/>
  <c r="M624" i="12787" s="1"/>
  <c r="D621" i="12787"/>
  <c r="M621" i="12787" s="1"/>
  <c r="D599" i="12787"/>
  <c r="M599" i="12787" s="1"/>
  <c r="K806" i="12787"/>
  <c r="K778" i="12787" s="1"/>
  <c r="G42" i="12766"/>
  <c r="K223" i="12766"/>
  <c r="K533" i="12766"/>
  <c r="K535" i="12766"/>
  <c r="K537" i="12766"/>
  <c r="K742" i="12766"/>
  <c r="K229" i="12766"/>
  <c r="K525" i="12766"/>
  <c r="K532" i="12766"/>
  <c r="K536" i="12766"/>
  <c r="K704" i="12766"/>
  <c r="K602" i="12766" s="1"/>
  <c r="S593" i="12766" s="1"/>
  <c r="U593" i="12766" s="1"/>
  <c r="K740" i="12766"/>
  <c r="G841" i="12766"/>
  <c r="K810" i="12766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M1001" i="12766"/>
  <c r="K710" i="12861" l="1"/>
  <c r="M710" i="12861" s="1"/>
  <c r="K672" i="12861"/>
  <c r="M672" i="12861" s="1"/>
  <c r="H420" i="12766"/>
  <c r="D247" i="12787"/>
  <c r="H247" i="12787" s="1"/>
  <c r="R22" i="12774"/>
  <c r="H372" i="12766"/>
  <c r="K194" i="12787"/>
  <c r="H798" i="12766"/>
  <c r="H770" i="12766" s="1"/>
  <c r="H364" i="12766"/>
  <c r="H502" i="12766"/>
  <c r="D254" i="12787"/>
  <c r="H254" i="12787" s="1"/>
  <c r="K570" i="12766"/>
  <c r="K502" i="12766" s="1"/>
  <c r="D275" i="12766"/>
  <c r="D364" i="12766"/>
  <c r="D502" i="12766"/>
  <c r="M502" i="12766" s="1"/>
  <c r="D246" i="12787"/>
  <c r="H246" i="12787" s="1"/>
  <c r="V22" i="12774"/>
  <c r="K316" i="12766"/>
  <c r="K287" i="12766" s="1"/>
  <c r="G158" i="12787"/>
  <c r="S743" i="12843"/>
  <c r="S766" i="12843" s="1"/>
  <c r="S743" i="12861"/>
  <c r="K430" i="12766"/>
  <c r="K372" i="12766" s="1"/>
  <c r="K173" i="12787"/>
  <c r="K488" i="12766"/>
  <c r="T495" i="12766" s="1"/>
  <c r="V495" i="12766" s="1"/>
  <c r="AC6" i="12775"/>
  <c r="AE6" i="12775" s="1"/>
  <c r="D52" i="12775"/>
  <c r="M765" i="12843"/>
  <c r="M765" i="12861"/>
  <c r="M22" i="12843"/>
  <c r="M22" i="12861"/>
  <c r="M632" i="12843"/>
  <c r="M632" i="12861"/>
  <c r="M748" i="12843"/>
  <c r="M748" i="12861"/>
  <c r="Q633" i="12843"/>
  <c r="Q633" i="12861"/>
  <c r="T16" i="12869"/>
  <c r="T27" i="12869" s="1"/>
  <c r="J16" i="12869"/>
  <c r="H27" i="12869"/>
  <c r="E68" i="12811"/>
  <c r="F82" i="12774"/>
  <c r="M82" i="12774"/>
  <c r="V64" i="12764"/>
  <c r="T64" i="12764"/>
  <c r="T63" i="12764"/>
  <c r="V12" i="12764"/>
  <c r="V63" i="12764" s="1"/>
  <c r="S103" i="12812"/>
  <c r="F46" i="12812"/>
  <c r="S46" i="12812" s="1"/>
  <c r="X25" i="12764"/>
  <c r="L53" i="12812" s="1"/>
  <c r="V25" i="12764"/>
  <c r="V108" i="12764" s="1"/>
  <c r="F73" i="12812"/>
  <c r="S73" i="12812" s="1"/>
  <c r="F43" i="12812"/>
  <c r="S43" i="12812" s="1"/>
  <c r="S17" i="12812"/>
  <c r="F15" i="12812"/>
  <c r="S15" i="12812" s="1"/>
  <c r="V68" i="12764"/>
  <c r="F84" i="12812"/>
  <c r="S84" i="12812" s="1"/>
  <c r="F21" i="12812"/>
  <c r="S21" i="12812" s="1"/>
  <c r="X12" i="12764"/>
  <c r="L21" i="12812" s="1"/>
  <c r="F125" i="12812"/>
  <c r="S125" i="12812" s="1"/>
  <c r="F124" i="12812"/>
  <c r="S124" i="12812" s="1"/>
  <c r="F123" i="12812"/>
  <c r="S123" i="12812" s="1"/>
  <c r="F122" i="12812"/>
  <c r="S122" i="12812" s="1"/>
  <c r="X55" i="12764"/>
  <c r="L125" i="12812" s="1"/>
  <c r="V55" i="12764"/>
  <c r="V110" i="12764" s="1"/>
  <c r="X10" i="12764"/>
  <c r="L16" i="12812" s="1"/>
  <c r="V10" i="12764"/>
  <c r="V74" i="12764" s="1"/>
  <c r="L82" i="12774"/>
  <c r="E82" i="12774"/>
  <c r="I82" i="12774"/>
  <c r="H302" i="12766"/>
  <c r="H501" i="12766"/>
  <c r="K392" i="12766"/>
  <c r="K363" i="12766" s="1"/>
  <c r="D310" i="12787"/>
  <c r="H310" i="12787" s="1"/>
  <c r="H281" i="12787" s="1"/>
  <c r="H608" i="12787"/>
  <c r="H375" i="12787"/>
  <c r="H371" i="12766"/>
  <c r="H392" i="12787"/>
  <c r="H363" i="12787" s="1"/>
  <c r="K275" i="12787"/>
  <c r="K429" i="12766"/>
  <c r="D363" i="12766"/>
  <c r="D313" i="12787"/>
  <c r="H313" i="12787" s="1"/>
  <c r="H284" i="12787" s="1"/>
  <c r="K198" i="12787"/>
  <c r="K593" i="12766"/>
  <c r="D303" i="12787"/>
  <c r="D274" i="12787" s="1"/>
  <c r="G616" i="12787"/>
  <c r="K369" i="12766"/>
  <c r="K82" i="12774"/>
  <c r="D316" i="12787"/>
  <c r="H316" i="12787" s="1"/>
  <c r="D305" i="12787"/>
  <c r="H305" i="12787" s="1"/>
  <c r="H276" i="12787" s="1"/>
  <c r="D311" i="12787"/>
  <c r="H311" i="12787" s="1"/>
  <c r="H282" i="12787" s="1"/>
  <c r="D302" i="12787"/>
  <c r="D273" i="12787" s="1"/>
  <c r="K315" i="12766"/>
  <c r="K286" i="12766" s="1"/>
  <c r="H618" i="12787"/>
  <c r="D252" i="12766"/>
  <c r="D196" i="12766" s="1"/>
  <c r="D167" i="12766" s="1"/>
  <c r="M167" i="12766" s="1"/>
  <c r="D314" i="12787"/>
  <c r="H314" i="12787" s="1"/>
  <c r="H285" i="12787" s="1"/>
  <c r="C288" i="12787"/>
  <c r="D309" i="12787"/>
  <c r="H309" i="12787" s="1"/>
  <c r="H280" i="12787" s="1"/>
  <c r="D244" i="12766"/>
  <c r="D274" i="12766"/>
  <c r="D312" i="12787"/>
  <c r="H312" i="12787" s="1"/>
  <c r="H283" i="12787" s="1"/>
  <c r="D315" i="12787"/>
  <c r="H315" i="12787" s="1"/>
  <c r="H286" i="12787" s="1"/>
  <c r="I89" i="12774"/>
  <c r="K310" i="12766"/>
  <c r="K281" i="12766" s="1"/>
  <c r="K400" i="12766"/>
  <c r="K371" i="12766" s="1"/>
  <c r="K614" i="12766"/>
  <c r="G618" i="12787"/>
  <c r="H82" i="12775"/>
  <c r="K304" i="12766"/>
  <c r="K275" i="12766" s="1"/>
  <c r="K498" i="12766"/>
  <c r="D273" i="12766"/>
  <c r="G747" i="12787"/>
  <c r="G758" i="12787" s="1"/>
  <c r="K771" i="12766"/>
  <c r="S776" i="12766" s="1"/>
  <c r="U776" i="12766" s="1"/>
  <c r="D257" i="12766"/>
  <c r="D201" i="12766" s="1"/>
  <c r="D172" i="12766" s="1"/>
  <c r="M172" i="12766" s="1"/>
  <c r="K651" i="12766"/>
  <c r="H227" i="12766"/>
  <c r="H231" i="12766" s="1"/>
  <c r="H615" i="12787"/>
  <c r="H373" i="12787"/>
  <c r="H373" i="12766"/>
  <c r="K622" i="12766"/>
  <c r="O16" i="12766"/>
  <c r="O23" i="12766" s="1"/>
  <c r="O25" i="12766" s="1"/>
  <c r="K171" i="12787"/>
  <c r="H610" i="12787"/>
  <c r="H568" i="12787"/>
  <c r="H574" i="12787" s="1"/>
  <c r="H576" i="12787" s="1"/>
  <c r="D276" i="12766"/>
  <c r="K362" i="12787"/>
  <c r="K363" i="12787"/>
  <c r="K273" i="12766"/>
  <c r="S43" i="12774"/>
  <c r="K621" i="12766"/>
  <c r="L89" i="12774"/>
  <c r="AA36" i="12775"/>
  <c r="O82" i="12774"/>
  <c r="K399" i="12766"/>
  <c r="K370" i="12766" s="1"/>
  <c r="D251" i="12766"/>
  <c r="D195" i="12766" s="1"/>
  <c r="D166" i="12766" s="1"/>
  <c r="M166" i="12766" s="1"/>
  <c r="D246" i="12766"/>
  <c r="D190" i="12766" s="1"/>
  <c r="D161" i="12766" s="1"/>
  <c r="M161" i="12766" s="1"/>
  <c r="H303" i="12766"/>
  <c r="H274" i="12766" s="1"/>
  <c r="K616" i="12787"/>
  <c r="D362" i="12787"/>
  <c r="AC38" i="12774"/>
  <c r="E121" i="12812" s="1"/>
  <c r="Q43" i="12774"/>
  <c r="D255" i="12766"/>
  <c r="D199" i="12766" s="1"/>
  <c r="D170" i="12766" s="1"/>
  <c r="M170" i="12766" s="1"/>
  <c r="H812" i="12766"/>
  <c r="D250" i="12766"/>
  <c r="H250" i="12766" s="1"/>
  <c r="H194" i="12766" s="1"/>
  <c r="H165" i="12766" s="1"/>
  <c r="K591" i="12787"/>
  <c r="F86" i="12774"/>
  <c r="F89" i="12774" s="1"/>
  <c r="K596" i="12787"/>
  <c r="D243" i="12766"/>
  <c r="D187" i="12766" s="1"/>
  <c r="C261" i="12766"/>
  <c r="D254" i="12766"/>
  <c r="H254" i="12766" s="1"/>
  <c r="H198" i="12766" s="1"/>
  <c r="D258" i="12766"/>
  <c r="D245" i="12766"/>
  <c r="K245" i="12766" s="1"/>
  <c r="K189" i="12766" s="1"/>
  <c r="C203" i="12766"/>
  <c r="D253" i="12766"/>
  <c r="D197" i="12766" s="1"/>
  <c r="D168" i="12766" s="1"/>
  <c r="M168" i="12766" s="1"/>
  <c r="D247" i="12766"/>
  <c r="D256" i="12766"/>
  <c r="K256" i="12766" s="1"/>
  <c r="K200" i="12766" s="1"/>
  <c r="H613" i="12787"/>
  <c r="K612" i="12766"/>
  <c r="K401" i="12766"/>
  <c r="D81" i="12775"/>
  <c r="P81" i="12775" s="1"/>
  <c r="G82" i="12775"/>
  <c r="V36" i="12775"/>
  <c r="H82" i="12774"/>
  <c r="T36" i="12775"/>
  <c r="X43" i="12774"/>
  <c r="H372" i="12787"/>
  <c r="K402" i="12766"/>
  <c r="K313" i="12766"/>
  <c r="K284" i="12766" s="1"/>
  <c r="K801" i="12766"/>
  <c r="K773" i="12766" s="1"/>
  <c r="S777" i="12766" s="1"/>
  <c r="U777" i="12766" s="1"/>
  <c r="H386" i="12766"/>
  <c r="H357" i="12766" s="1"/>
  <c r="H151" i="12766" s="1"/>
  <c r="H616" i="12787"/>
  <c r="K397" i="12766"/>
  <c r="K368" i="12766" s="1"/>
  <c r="W43" i="12774"/>
  <c r="R43" i="12774"/>
  <c r="Z43" i="12774"/>
  <c r="H89" i="12774"/>
  <c r="D781" i="12766"/>
  <c r="M781" i="12766" s="1"/>
  <c r="H969" i="12787"/>
  <c r="H943" i="12787" s="1"/>
  <c r="G84" i="12774"/>
  <c r="G89" i="12774" s="1"/>
  <c r="K501" i="12766"/>
  <c r="K317" i="12787"/>
  <c r="G619" i="12787"/>
  <c r="D357" i="12766"/>
  <c r="D151" i="12766" s="1"/>
  <c r="M151" i="12766" s="1"/>
  <c r="H861" i="12787"/>
  <c r="H805" i="12787" s="1"/>
  <c r="H777" i="12787" s="1"/>
  <c r="P87" i="12774"/>
  <c r="H495" i="12787"/>
  <c r="AC35" i="12775"/>
  <c r="D798" i="12787"/>
  <c r="D770" i="12787" s="1"/>
  <c r="M770" i="12787" s="1"/>
  <c r="D253" i="12787"/>
  <c r="H253" i="12787" s="1"/>
  <c r="D241" i="12787"/>
  <c r="H241" i="12787" s="1"/>
  <c r="D252" i="12787"/>
  <c r="H252" i="12787" s="1"/>
  <c r="D245" i="12787"/>
  <c r="H245" i="12787" s="1"/>
  <c r="J86" i="12774"/>
  <c r="J89" i="12774" s="1"/>
  <c r="O89" i="12774"/>
  <c r="V43" i="12774"/>
  <c r="C261" i="12787"/>
  <c r="U481" i="12787"/>
  <c r="W481" i="12787" s="1"/>
  <c r="H59" i="12766"/>
  <c r="H61" i="12766" s="1"/>
  <c r="K492" i="12766"/>
  <c r="H287" i="12787"/>
  <c r="D244" i="12787"/>
  <c r="H244" i="12787" s="1"/>
  <c r="M18" i="12766"/>
  <c r="D812" i="12787"/>
  <c r="D784" i="12787" s="1"/>
  <c r="M784" i="12787" s="1"/>
  <c r="Y43" i="12774"/>
  <c r="AC40" i="12774"/>
  <c r="E123" i="12812" s="1"/>
  <c r="H273" i="12766"/>
  <c r="H812" i="12787"/>
  <c r="H784" i="12787" s="1"/>
  <c r="P85" i="12774"/>
  <c r="H806" i="12766"/>
  <c r="H778" i="12766" s="1"/>
  <c r="H497" i="12766"/>
  <c r="D251" i="12787"/>
  <c r="H251" i="12787" s="1"/>
  <c r="D258" i="12787"/>
  <c r="H258" i="12787" s="1"/>
  <c r="D249" i="12787"/>
  <c r="AB43" i="12774"/>
  <c r="T43" i="12774"/>
  <c r="M84" i="12774"/>
  <c r="M89" i="12774" s="1"/>
  <c r="E84" i="12774"/>
  <c r="K499" i="12766"/>
  <c r="H76" i="12787"/>
  <c r="H78" i="12787" s="1"/>
  <c r="H773" i="12766"/>
  <c r="R777" i="12766" s="1"/>
  <c r="G798" i="12787"/>
  <c r="G770" i="12787" s="1"/>
  <c r="P88" i="12774"/>
  <c r="AC39" i="12774"/>
  <c r="E122" i="12812" s="1"/>
  <c r="H869" i="12766"/>
  <c r="H871" i="12766" s="1"/>
  <c r="G896" i="12787"/>
  <c r="D257" i="12787"/>
  <c r="H257" i="12787" s="1"/>
  <c r="D250" i="12787"/>
  <c r="D194" i="12787" s="1"/>
  <c r="D165" i="12787" s="1"/>
  <c r="M165" i="12787" s="1"/>
  <c r="D256" i="12787"/>
  <c r="H256" i="12787" s="1"/>
  <c r="K89" i="12774"/>
  <c r="AC41" i="12774"/>
  <c r="E124" i="12812" s="1"/>
  <c r="R36" i="12775"/>
  <c r="U36" i="12775"/>
  <c r="Y36" i="12775"/>
  <c r="N82" i="12774"/>
  <c r="AC42" i="12774"/>
  <c r="E125" i="12812" s="1"/>
  <c r="U43" i="12774"/>
  <c r="C1019" i="12766"/>
  <c r="H418" i="12766"/>
  <c r="AC34" i="12775"/>
  <c r="G805" i="12787"/>
  <c r="G777" i="12787" s="1"/>
  <c r="C1020" i="12766"/>
  <c r="K953" i="12766"/>
  <c r="K955" i="12766" s="1"/>
  <c r="K615" i="12787"/>
  <c r="J82" i="12774"/>
  <c r="N89" i="12774"/>
  <c r="K503" i="12766"/>
  <c r="G275" i="12766"/>
  <c r="G161" i="12766" s="1"/>
  <c r="D797" i="12787"/>
  <c r="D769" i="12787" s="1"/>
  <c r="M769" i="12787" s="1"/>
  <c r="H619" i="12787"/>
  <c r="K798" i="12766"/>
  <c r="K770" i="12766" s="1"/>
  <c r="H491" i="12766"/>
  <c r="Z36" i="12775"/>
  <c r="AA43" i="12774"/>
  <c r="H389" i="12787"/>
  <c r="H360" i="12787" s="1"/>
  <c r="K497" i="12766"/>
  <c r="K372" i="12787"/>
  <c r="K170" i="12787" s="1"/>
  <c r="H368" i="12766"/>
  <c r="G25" i="12787"/>
  <c r="K346" i="12766"/>
  <c r="K348" i="12766" s="1"/>
  <c r="V16" i="12826"/>
  <c r="J27" i="12826"/>
  <c r="E10" i="12826" s="1"/>
  <c r="C468" i="12843"/>
  <c r="C180" i="12843"/>
  <c r="C184" i="12843" s="1"/>
  <c r="Q170" i="12843"/>
  <c r="U170" i="12843"/>
  <c r="F519" i="12843"/>
  <c r="F484" i="12843" s="1"/>
  <c r="F203" i="12843" s="1"/>
  <c r="Q504" i="12843"/>
  <c r="Q469" i="12843" s="1"/>
  <c r="M504" i="12843"/>
  <c r="M469" i="12843" s="1"/>
  <c r="C467" i="12843"/>
  <c r="C179" i="12843"/>
  <c r="C183" i="12843" s="1"/>
  <c r="Q502" i="12843"/>
  <c r="Q467" i="12843" s="1"/>
  <c r="M502" i="12843"/>
  <c r="M467" i="12843" s="1"/>
  <c r="Q171" i="12843"/>
  <c r="U171" i="12843"/>
  <c r="M503" i="12843"/>
  <c r="M468" i="12843" s="1"/>
  <c r="Q503" i="12843"/>
  <c r="Q468" i="12843" s="1"/>
  <c r="C469" i="12843"/>
  <c r="C181" i="12843"/>
  <c r="C185" i="12843" s="1"/>
  <c r="E52" i="12774"/>
  <c r="P52" i="12774" s="1"/>
  <c r="AC6" i="12774"/>
  <c r="C69" i="12764"/>
  <c r="C112" i="12764" s="1"/>
  <c r="C113" i="12764" s="1"/>
  <c r="P87" i="12775"/>
  <c r="T43" i="12775"/>
  <c r="U43" i="12775"/>
  <c r="C70" i="12763"/>
  <c r="C65" i="12763"/>
  <c r="K89" i="12775"/>
  <c r="AC8" i="12775"/>
  <c r="H15" i="12811" s="1"/>
  <c r="AC41" i="12775"/>
  <c r="N89" i="12775"/>
  <c r="H89" i="12775"/>
  <c r="AC38" i="12775"/>
  <c r="S43" i="12775"/>
  <c r="V43" i="12775"/>
  <c r="P56" i="12775"/>
  <c r="AC9" i="12775"/>
  <c r="H16" i="12811" s="1"/>
  <c r="K69" i="12763"/>
  <c r="N68" i="12775"/>
  <c r="G68" i="12775"/>
  <c r="H68" i="12775"/>
  <c r="L68" i="12775"/>
  <c r="P65" i="12775"/>
  <c r="AC20" i="12775"/>
  <c r="H52" i="12811" s="1"/>
  <c r="S22" i="12775"/>
  <c r="M68" i="12775"/>
  <c r="J68" i="12775"/>
  <c r="R79" i="12764"/>
  <c r="Q32" i="12775"/>
  <c r="D78" i="12775"/>
  <c r="AC29" i="12775"/>
  <c r="S32" i="12775"/>
  <c r="O78" i="12775"/>
  <c r="P77" i="12775"/>
  <c r="AC27" i="12775"/>
  <c r="Z32" i="12775"/>
  <c r="N78" i="12775"/>
  <c r="AB32" i="12775"/>
  <c r="P70" i="12775"/>
  <c r="P76" i="12775"/>
  <c r="P74" i="12775"/>
  <c r="P72" i="12775"/>
  <c r="P71" i="12775"/>
  <c r="P73" i="12775"/>
  <c r="R32" i="12775"/>
  <c r="G78" i="12775"/>
  <c r="AC28" i="12775"/>
  <c r="F78" i="12775"/>
  <c r="Y32" i="12775"/>
  <c r="AC26" i="12775"/>
  <c r="O923" i="12766"/>
  <c r="P923" i="12766"/>
  <c r="H797" i="12787"/>
  <c r="H769" i="12787" s="1"/>
  <c r="I78" i="12775"/>
  <c r="H428" i="12766"/>
  <c r="H370" i="12766" s="1"/>
  <c r="T32" i="12775"/>
  <c r="L78" i="12775"/>
  <c r="Z22" i="12775"/>
  <c r="R43" i="12775"/>
  <c r="O89" i="12775"/>
  <c r="P62" i="12775"/>
  <c r="G173" i="12787"/>
  <c r="K172" i="12787"/>
  <c r="AC31" i="12775"/>
  <c r="G615" i="12787"/>
  <c r="AC42" i="12775"/>
  <c r="K784" i="12766"/>
  <c r="P54" i="12775"/>
  <c r="P53" i="12775"/>
  <c r="AA32" i="12775"/>
  <c r="S495" i="12766"/>
  <c r="G676" i="12787"/>
  <c r="K78" i="12775"/>
  <c r="U32" i="12775"/>
  <c r="K869" i="12766"/>
  <c r="K871" i="12766" s="1"/>
  <c r="AC19" i="12775"/>
  <c r="H49" i="12811" s="1"/>
  <c r="M89" i="12775"/>
  <c r="X22" i="12775"/>
  <c r="AC30" i="12775"/>
  <c r="G89" i="12775"/>
  <c r="H362" i="12766"/>
  <c r="F84" i="12775"/>
  <c r="F89" i="12775" s="1"/>
  <c r="V32" i="12775"/>
  <c r="J78" i="12775"/>
  <c r="K274" i="12766"/>
  <c r="AA22" i="12775"/>
  <c r="K782" i="12766"/>
  <c r="U768" i="12787"/>
  <c r="W768" i="12787" s="1"/>
  <c r="M78" i="12775"/>
  <c r="W32" i="12775"/>
  <c r="G259" i="12766"/>
  <c r="G261" i="12766" s="1"/>
  <c r="X32" i="12775"/>
  <c r="H78" i="12775"/>
  <c r="Z43" i="12775"/>
  <c r="I89" i="12775"/>
  <c r="P86" i="12775"/>
  <c r="K780" i="12766"/>
  <c r="AC24" i="12775"/>
  <c r="AC25" i="12775"/>
  <c r="H607" i="12787"/>
  <c r="P64" i="12775"/>
  <c r="K68" i="12775"/>
  <c r="O68" i="12775"/>
  <c r="F68" i="12775"/>
  <c r="P66" i="12775"/>
  <c r="S36" i="12774"/>
  <c r="Q36" i="12774"/>
  <c r="AB36" i="12774"/>
  <c r="I199" i="12843"/>
  <c r="R36" i="12774"/>
  <c r="AA36" i="12774"/>
  <c r="X36" i="12774"/>
  <c r="Z36" i="12774"/>
  <c r="U36" i="12774"/>
  <c r="AC34" i="12774"/>
  <c r="T36" i="12774"/>
  <c r="G574" i="12787"/>
  <c r="AA43" i="12775"/>
  <c r="H346" i="12787"/>
  <c r="H348" i="12787" s="1"/>
  <c r="P81" i="12774"/>
  <c r="Y22" i="12775"/>
  <c r="D360" i="12766"/>
  <c r="O912" i="12766"/>
  <c r="AC16" i="12775"/>
  <c r="H43" i="12811" s="1"/>
  <c r="X43" i="12775"/>
  <c r="G802" i="12787"/>
  <c r="G774" i="12787" s="1"/>
  <c r="J73" i="12763"/>
  <c r="L73" i="12763" s="1"/>
  <c r="H810" i="12766"/>
  <c r="H782" i="12766" s="1"/>
  <c r="J89" i="12775"/>
  <c r="V36" i="12774"/>
  <c r="AC35" i="12774"/>
  <c r="W22" i="12775"/>
  <c r="H386" i="12787"/>
  <c r="H357" i="12787" s="1"/>
  <c r="H151" i="12787" s="1"/>
  <c r="G676" i="12766"/>
  <c r="G678" i="12766" s="1"/>
  <c r="L89" i="12775"/>
  <c r="H896" i="12787"/>
  <c r="H898" i="12787" s="1"/>
  <c r="D361" i="12787"/>
  <c r="W36" i="12774"/>
  <c r="AC7" i="12775"/>
  <c r="H14" i="12811" s="1"/>
  <c r="R22" i="12775"/>
  <c r="AC18" i="12775"/>
  <c r="H46" i="12811" s="1"/>
  <c r="AC21" i="12775"/>
  <c r="H53" i="12811" s="1"/>
  <c r="AB43" i="12775"/>
  <c r="P61" i="12775"/>
  <c r="T22" i="12775"/>
  <c r="AB22" i="12775"/>
  <c r="D88" i="12775"/>
  <c r="P88" i="12775" s="1"/>
  <c r="P85" i="12775"/>
  <c r="H496" i="12787"/>
  <c r="I68" i="12775"/>
  <c r="I632" i="12843"/>
  <c r="D942" i="12787"/>
  <c r="M942" i="12787" s="1"/>
  <c r="M945" i="12787" s="1"/>
  <c r="H968" i="12787"/>
  <c r="H942" i="12787" s="1"/>
  <c r="K500" i="12766"/>
  <c r="K472" i="12766"/>
  <c r="K474" i="12766" s="1"/>
  <c r="P67" i="12775"/>
  <c r="AC14" i="12775"/>
  <c r="H41" i="12811" s="1"/>
  <c r="AC40" i="12775"/>
  <c r="Q22" i="12775"/>
  <c r="K491" i="12766"/>
  <c r="T494" i="12766" s="1"/>
  <c r="V494" i="12766" s="1"/>
  <c r="K774" i="12766"/>
  <c r="G231" i="12766"/>
  <c r="G233" i="12766" s="1"/>
  <c r="W43" i="12775"/>
  <c r="K367" i="12787"/>
  <c r="K165" i="12787" s="1"/>
  <c r="H374" i="12787"/>
  <c r="K371" i="12787"/>
  <c r="K169" i="12787" s="1"/>
  <c r="Y36" i="12774"/>
  <c r="U22" i="12775"/>
  <c r="AC10" i="12775"/>
  <c r="H21" i="12811" s="1"/>
  <c r="Y43" i="12775"/>
  <c r="Q43" i="12775"/>
  <c r="G727" i="12787"/>
  <c r="P55" i="12775"/>
  <c r="V22" i="12775"/>
  <c r="AC15" i="12775"/>
  <c r="H42" i="12811" s="1"/>
  <c r="AC39" i="12775"/>
  <c r="G801" i="12787"/>
  <c r="G773" i="12787" s="1"/>
  <c r="G496" i="12787"/>
  <c r="K431" i="12766"/>
  <c r="K373" i="12766" s="1"/>
  <c r="S849" i="12767"/>
  <c r="U849" i="12767" s="1"/>
  <c r="S765" i="12767"/>
  <c r="S818" i="12767" s="1"/>
  <c r="U818" i="12767" s="1"/>
  <c r="G74" i="12763"/>
  <c r="K74" i="12763" s="1"/>
  <c r="I931" i="12843"/>
  <c r="S796" i="12767"/>
  <c r="U796" i="12767" s="1"/>
  <c r="G766" i="12843"/>
  <c r="G848" i="12843"/>
  <c r="I848" i="12843" s="1"/>
  <c r="I742" i="12767"/>
  <c r="U742" i="12767" s="1"/>
  <c r="G871" i="12767"/>
  <c r="I871" i="12767" s="1"/>
  <c r="I765" i="12767" s="1"/>
  <c r="C633" i="12767"/>
  <c r="M628" i="12767"/>
  <c r="I851" i="12767"/>
  <c r="I745" i="12767" s="1"/>
  <c r="M745" i="12767" s="1"/>
  <c r="W10" i="12764"/>
  <c r="W25" i="12764"/>
  <c r="T74" i="12764"/>
  <c r="X74" i="12764" s="1"/>
  <c r="W12" i="12764"/>
  <c r="G14" i="12763"/>
  <c r="F25" i="12767"/>
  <c r="W55" i="12764"/>
  <c r="F74" i="12812"/>
  <c r="S71" i="12812"/>
  <c r="E70" i="12774"/>
  <c r="P70" i="12774" s="1"/>
  <c r="H758" i="12787"/>
  <c r="H760" i="12787" s="1"/>
  <c r="H758" i="12766"/>
  <c r="H760" i="12766" s="1"/>
  <c r="K600" i="12787"/>
  <c r="C85" i="12763"/>
  <c r="G117" i="12766"/>
  <c r="G89" i="12766"/>
  <c r="G91" i="12766" s="1"/>
  <c r="C81" i="12763"/>
  <c r="M86" i="12764"/>
  <c r="D68" i="12775"/>
  <c r="I198" i="12767"/>
  <c r="M198" i="12767" s="1"/>
  <c r="Z11" i="12764"/>
  <c r="Z71" i="12764" s="1"/>
  <c r="AB71" i="12764" s="1"/>
  <c r="AA55" i="12764"/>
  <c r="AA25" i="12764"/>
  <c r="T110" i="12764"/>
  <c r="AB55" i="12764"/>
  <c r="AB25" i="12764"/>
  <c r="T108" i="12764"/>
  <c r="W108" i="12764" s="1"/>
  <c r="G281" i="12787"/>
  <c r="G167" i="12787" s="1"/>
  <c r="G346" i="12787"/>
  <c r="K362" i="12766"/>
  <c r="G288" i="12766"/>
  <c r="G290" i="12766" s="1"/>
  <c r="I669" i="12787"/>
  <c r="K669" i="12787" s="1"/>
  <c r="K650" i="12787"/>
  <c r="G201" i="12787"/>
  <c r="J55" i="12828"/>
  <c r="V1269" i="12861" s="1"/>
  <c r="J53" i="12828"/>
  <c r="J51" i="12828"/>
  <c r="J54" i="12828"/>
  <c r="V1228" i="12861" s="1"/>
  <c r="J52" i="12828"/>
  <c r="V1154" i="12861" s="1"/>
  <c r="J50" i="12828"/>
  <c r="V23" i="12860" s="1"/>
  <c r="AB12" i="12764"/>
  <c r="AA12" i="12764"/>
  <c r="F68" i="12811"/>
  <c r="F140" i="12811" s="1"/>
  <c r="T36" i="12764"/>
  <c r="V36" i="12764" s="1"/>
  <c r="V93" i="12764" s="1"/>
  <c r="U583" i="12787"/>
  <c r="W583" i="12787" s="1"/>
  <c r="T38" i="12764"/>
  <c r="V38" i="12764" s="1"/>
  <c r="V97" i="12764" s="1"/>
  <c r="U85" i="12787"/>
  <c r="W85" i="12787" s="1"/>
  <c r="T85" i="12787"/>
  <c r="T86" i="12787" s="1"/>
  <c r="D91" i="12787"/>
  <c r="M85" i="12787"/>
  <c r="M89" i="12787" s="1"/>
  <c r="T35" i="12764"/>
  <c r="K758" i="12766"/>
  <c r="K760" i="12766" s="1"/>
  <c r="P761" i="12766" s="1"/>
  <c r="G574" i="12766"/>
  <c r="G576" i="12766" s="1"/>
  <c r="K619" i="12787"/>
  <c r="T52" i="12764"/>
  <c r="G275" i="12787"/>
  <c r="G317" i="12787"/>
  <c r="G429" i="12787"/>
  <c r="H429" i="12787"/>
  <c r="H371" i="12787" s="1"/>
  <c r="E82" i="12811"/>
  <c r="E97" i="12811" s="1"/>
  <c r="K59" i="12766"/>
  <c r="K17" i="12766"/>
  <c r="M14" i="12764"/>
  <c r="P67" i="12774"/>
  <c r="AC14" i="12774"/>
  <c r="E41" i="12812" s="1"/>
  <c r="AC16" i="12774"/>
  <c r="E43" i="12812" s="1"/>
  <c r="AC15" i="12774"/>
  <c r="E42" i="12812" s="1"/>
  <c r="N68" i="12774"/>
  <c r="AC9" i="12774"/>
  <c r="AE9" i="12774" s="1"/>
  <c r="Q55" i="12774" s="1"/>
  <c r="AC7" i="12774"/>
  <c r="E14" i="12812" s="1"/>
  <c r="AC8" i="12774"/>
  <c r="E15" i="12812" s="1"/>
  <c r="P56" i="12774"/>
  <c r="AB22" i="12774"/>
  <c r="X22" i="12774"/>
  <c r="T22" i="12774"/>
  <c r="AA22" i="12774"/>
  <c r="S22" i="12774"/>
  <c r="P66" i="12774"/>
  <c r="P53" i="12774"/>
  <c r="P55" i="12774"/>
  <c r="AC10" i="12774"/>
  <c r="E21" i="12812" s="1"/>
  <c r="F68" i="12774"/>
  <c r="AC18" i="12774"/>
  <c r="E46" i="12812" s="1"/>
  <c r="P62" i="12774"/>
  <c r="P61" i="12774"/>
  <c r="AC21" i="12774"/>
  <c r="E53" i="12812" s="1"/>
  <c r="AC20" i="12774"/>
  <c r="E52" i="12812" s="1"/>
  <c r="R63" i="12764"/>
  <c r="AC24" i="12774"/>
  <c r="P71" i="12774"/>
  <c r="AC27" i="12774"/>
  <c r="AC26" i="12774"/>
  <c r="AC28" i="12774"/>
  <c r="AC31" i="12774"/>
  <c r="P75" i="12774"/>
  <c r="P73" i="12774"/>
  <c r="P72" i="12774"/>
  <c r="P74" i="12774"/>
  <c r="P77" i="12774"/>
  <c r="AC25" i="12774"/>
  <c r="AC29" i="12774"/>
  <c r="R32" i="12774"/>
  <c r="Q22" i="12774"/>
  <c r="T32" i="12774"/>
  <c r="X32" i="12774"/>
  <c r="AB32" i="12774"/>
  <c r="I17" i="12812"/>
  <c r="N17" i="12811" s="1"/>
  <c r="L17" i="12811"/>
  <c r="J78" i="12774"/>
  <c r="V32" i="12774"/>
  <c r="Z32" i="12774"/>
  <c r="F78" i="12774"/>
  <c r="N78" i="12774"/>
  <c r="U32" i="12774"/>
  <c r="U22" i="12774"/>
  <c r="G78" i="12774"/>
  <c r="K78" i="12774"/>
  <c r="O78" i="12774"/>
  <c r="Q32" i="12774"/>
  <c r="L78" i="12774"/>
  <c r="Y22" i="12774"/>
  <c r="H78" i="12774"/>
  <c r="W22" i="12774"/>
  <c r="Y32" i="12774"/>
  <c r="W32" i="12774"/>
  <c r="T12" i="12774"/>
  <c r="G58" i="12774"/>
  <c r="AB12" i="12774"/>
  <c r="O58" i="12774"/>
  <c r="W12" i="12774"/>
  <c r="J58" i="12774"/>
  <c r="R12" i="12774"/>
  <c r="Z12" i="12774"/>
  <c r="M58" i="12774"/>
  <c r="U12" i="12774"/>
  <c r="H58" i="12774"/>
  <c r="X12" i="12774"/>
  <c r="K58" i="12774"/>
  <c r="S12" i="12774"/>
  <c r="F58" i="12774"/>
  <c r="AA12" i="12774"/>
  <c r="N58" i="12774"/>
  <c r="V12" i="12774"/>
  <c r="I58" i="12774"/>
  <c r="Q12" i="12774"/>
  <c r="D58" i="12774"/>
  <c r="Y12" i="12774"/>
  <c r="L58" i="12774"/>
  <c r="X12" i="12775"/>
  <c r="K58" i="12775"/>
  <c r="S12" i="12775"/>
  <c r="F58" i="12775"/>
  <c r="AA12" i="12775"/>
  <c r="N58" i="12775"/>
  <c r="V12" i="12775"/>
  <c r="I58" i="12775"/>
  <c r="Q12" i="12775"/>
  <c r="D58" i="12775"/>
  <c r="Y12" i="12775"/>
  <c r="L58" i="12775"/>
  <c r="T12" i="12775"/>
  <c r="G58" i="12775"/>
  <c r="AB12" i="12775"/>
  <c r="O58" i="12775"/>
  <c r="W12" i="12775"/>
  <c r="J58" i="12775"/>
  <c r="R12" i="12775"/>
  <c r="E58" i="12775"/>
  <c r="Z12" i="12775"/>
  <c r="M58" i="12775"/>
  <c r="U12" i="12775"/>
  <c r="H58" i="12775"/>
  <c r="AC11" i="12775"/>
  <c r="H18" i="12811" s="1"/>
  <c r="AC11" i="12774"/>
  <c r="P63" i="12775"/>
  <c r="K79" i="12763"/>
  <c r="J79" i="12763"/>
  <c r="L79" i="12763" s="1"/>
  <c r="R80" i="12764"/>
  <c r="Q80" i="12764"/>
  <c r="S80" i="12764" s="1"/>
  <c r="F273" i="12767"/>
  <c r="T13" i="12764" s="1"/>
  <c r="V13" i="12764" s="1"/>
  <c r="M28" i="12764"/>
  <c r="J68" i="12774"/>
  <c r="K472" i="12787"/>
  <c r="K474" i="12787" s="1"/>
  <c r="I197" i="12767"/>
  <c r="I78" i="12774"/>
  <c r="M78" i="12774"/>
  <c r="S32" i="12774"/>
  <c r="AA32" i="12774"/>
  <c r="R41" i="12764"/>
  <c r="M95" i="12764"/>
  <c r="M98" i="12764" s="1"/>
  <c r="C104" i="12763"/>
  <c r="R23" i="12764"/>
  <c r="F49" i="12812" s="1"/>
  <c r="Q23" i="12764"/>
  <c r="S23" i="12764" s="1"/>
  <c r="W102" i="12764"/>
  <c r="AB102" i="12764"/>
  <c r="X102" i="12764"/>
  <c r="AD102" i="12764" s="1"/>
  <c r="AA102" i="12764"/>
  <c r="AD51" i="12764"/>
  <c r="F289" i="12767"/>
  <c r="F220" i="12767" s="1"/>
  <c r="F288" i="12767"/>
  <c r="F219" i="12767" s="1"/>
  <c r="F287" i="12767"/>
  <c r="F218" i="12767" s="1"/>
  <c r="F654" i="12767"/>
  <c r="F138" i="12767"/>
  <c r="R56" i="12764"/>
  <c r="F108" i="12767"/>
  <c r="C906" i="12767"/>
  <c r="C1285" i="12767" s="1"/>
  <c r="H33" i="12783"/>
  <c r="H45" i="12783" s="1"/>
  <c r="H49" i="12783" s="1"/>
  <c r="AC17" i="12775"/>
  <c r="AE17" i="12775" s="1"/>
  <c r="P65" i="12774"/>
  <c r="AC19" i="12774"/>
  <c r="E49" i="12812" s="1"/>
  <c r="D63" i="12774"/>
  <c r="P63" i="12774" s="1"/>
  <c r="AC17" i="12774"/>
  <c r="AE17" i="12774" s="1"/>
  <c r="Q63" i="12774" s="1"/>
  <c r="AC63" i="12774" s="1"/>
  <c r="F1064" i="12767"/>
  <c r="R90" i="12764"/>
  <c r="Q90" i="12764"/>
  <c r="S90" i="12764" s="1"/>
  <c r="M81" i="12764"/>
  <c r="W81" i="12764" s="1"/>
  <c r="M71" i="12764"/>
  <c r="R89" i="12764"/>
  <c r="M91" i="12764"/>
  <c r="Q89" i="12764"/>
  <c r="S89" i="12764" s="1"/>
  <c r="Q47" i="12764"/>
  <c r="S47" i="12764" s="1"/>
  <c r="R24" i="12764"/>
  <c r="Q24" i="12764"/>
  <c r="S24" i="12764" s="1"/>
  <c r="M64" i="12764"/>
  <c r="J88" i="12763"/>
  <c r="L88" i="12763" s="1"/>
  <c r="K88" i="12763"/>
  <c r="G90" i="12763"/>
  <c r="Q26" i="12764"/>
  <c r="S26" i="12764" s="1"/>
  <c r="R26" i="12764"/>
  <c r="F41" i="12812" s="1"/>
  <c r="W26" i="12764"/>
  <c r="G68" i="12763"/>
  <c r="K8" i="12763"/>
  <c r="I14" i="12811" s="1"/>
  <c r="J8" i="12763"/>
  <c r="L8" i="12763" s="1"/>
  <c r="K12" i="12763"/>
  <c r="I21" i="12811" s="1"/>
  <c r="G63" i="12763"/>
  <c r="R8" i="12764"/>
  <c r="Q8" i="12764"/>
  <c r="S8" i="12764" s="1"/>
  <c r="M68" i="12764"/>
  <c r="S7" i="12764"/>
  <c r="AE7" i="12764" s="1"/>
  <c r="M67" i="12764"/>
  <c r="K72" i="12763"/>
  <c r="J72" i="12763"/>
  <c r="L72" i="12763" s="1"/>
  <c r="K100" i="12763"/>
  <c r="J100" i="12763"/>
  <c r="L100" i="12763" s="1"/>
  <c r="R73" i="12764"/>
  <c r="Q73" i="12764"/>
  <c r="S73" i="12764" s="1"/>
  <c r="R10" i="12764"/>
  <c r="F16" i="12812" s="1"/>
  <c r="M74" i="12764"/>
  <c r="Q10" i="12764"/>
  <c r="S10" i="12764" s="1"/>
  <c r="K52" i="12763"/>
  <c r="I122" i="12811" s="1"/>
  <c r="J52" i="12763"/>
  <c r="L52" i="12763" s="1"/>
  <c r="G102" i="12763"/>
  <c r="K55" i="12763"/>
  <c r="I125" i="12811" s="1"/>
  <c r="J55" i="12763"/>
  <c r="L55" i="12763" s="1"/>
  <c r="G108" i="12763"/>
  <c r="E68" i="12775"/>
  <c r="E89" i="12775"/>
  <c r="R108" i="12764"/>
  <c r="Q108" i="12764"/>
  <c r="S108" i="12764" s="1"/>
  <c r="K36" i="12763"/>
  <c r="I79" i="12811" s="1"/>
  <c r="I82" i="12811" s="1"/>
  <c r="G92" i="12763"/>
  <c r="J36" i="12763"/>
  <c r="L36" i="12763" s="1"/>
  <c r="Q110" i="12764"/>
  <c r="S110" i="12764" s="1"/>
  <c r="R110" i="12764"/>
  <c r="R77" i="12764"/>
  <c r="Q77" i="12764"/>
  <c r="S77" i="12764" s="1"/>
  <c r="Q41" i="12764"/>
  <c r="S41" i="12764" s="1"/>
  <c r="K54" i="12763"/>
  <c r="I124" i="12811" s="1"/>
  <c r="J54" i="12763"/>
  <c r="L54" i="12763" s="1"/>
  <c r="G98" i="12763"/>
  <c r="K35" i="12763"/>
  <c r="I76" i="12811" s="1"/>
  <c r="I77" i="12811" s="1"/>
  <c r="G83" i="12763"/>
  <c r="J35" i="12763"/>
  <c r="L35" i="12763" s="1"/>
  <c r="K33" i="12763"/>
  <c r="I72" i="12811" s="1"/>
  <c r="J33" i="12763"/>
  <c r="L33" i="12763" s="1"/>
  <c r="G77" i="12763"/>
  <c r="K23" i="12763"/>
  <c r="I49" i="12811" s="1"/>
  <c r="J23" i="12763"/>
  <c r="L23" i="1276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F1209" i="12767"/>
  <c r="AC30" i="12774"/>
  <c r="E76" i="12774"/>
  <c r="P76" i="12774" s="1"/>
  <c r="K32" i="12763"/>
  <c r="I71" i="12811" s="1"/>
  <c r="J32" i="12763"/>
  <c r="L32" i="12763" s="1"/>
  <c r="G41" i="12763"/>
  <c r="K39" i="12763"/>
  <c r="J39" i="12763"/>
  <c r="L39" i="12763" s="1"/>
  <c r="Q56" i="12764"/>
  <c r="S56" i="12764" s="1"/>
  <c r="R104" i="12764"/>
  <c r="M106" i="12764"/>
  <c r="Q104" i="12764"/>
  <c r="S104" i="12764" s="1"/>
  <c r="R84" i="12764"/>
  <c r="Q84" i="12764"/>
  <c r="S84" i="12764" s="1"/>
  <c r="K53" i="12763"/>
  <c r="I123" i="12811" s="1"/>
  <c r="G56" i="12763"/>
  <c r="G103" i="12763"/>
  <c r="J53" i="12763"/>
  <c r="L53" i="12763" s="1"/>
  <c r="K25" i="12763"/>
  <c r="I53" i="12811" s="1"/>
  <c r="G106" i="12763"/>
  <c r="J25" i="12763"/>
  <c r="L25" i="12763" s="1"/>
  <c r="K24" i="12763"/>
  <c r="I52" i="12811" s="1"/>
  <c r="G64" i="12763"/>
  <c r="J64" i="12763" s="1"/>
  <c r="L64" i="12763" s="1"/>
  <c r="J24" i="12763"/>
  <c r="L24" i="12763" s="1"/>
  <c r="J7" i="12763"/>
  <c r="L7" i="12763" s="1"/>
  <c r="G67" i="12763"/>
  <c r="K7" i="12763"/>
  <c r="M758" i="12766"/>
  <c r="G727" i="12766"/>
  <c r="G729" i="12766" s="1"/>
  <c r="K574" i="12787"/>
  <c r="H771" i="12766"/>
  <c r="R776" i="12766" s="1"/>
  <c r="H784" i="12766"/>
  <c r="G61" i="12787"/>
  <c r="G88" i="12787"/>
  <c r="B28" i="12783"/>
  <c r="H88" i="12787"/>
  <c r="H143" i="12766"/>
  <c r="H89" i="12766"/>
  <c r="H91" i="12766" s="1"/>
  <c r="R105" i="12764"/>
  <c r="Q105" i="12764"/>
  <c r="S105" i="12764" s="1"/>
  <c r="W85" i="12764"/>
  <c r="Q85" i="12764"/>
  <c r="S85" i="12764" s="1"/>
  <c r="R85" i="12764"/>
  <c r="AD85" i="12764" s="1"/>
  <c r="G94" i="12763"/>
  <c r="C96" i="12763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K288" i="12787" s="1"/>
  <c r="D183" i="12787"/>
  <c r="H239" i="12787"/>
  <c r="H183" i="12787" s="1"/>
  <c r="H153" i="12787" s="1"/>
  <c r="J18" i="12763"/>
  <c r="L18" i="12763" s="1"/>
  <c r="G76" i="12763"/>
  <c r="K18" i="12763"/>
  <c r="I41" i="12811" s="1"/>
  <c r="R100" i="12764"/>
  <c r="Q100" i="12764"/>
  <c r="S100" i="12764" s="1"/>
  <c r="C377" i="12767"/>
  <c r="M625" i="12787"/>
  <c r="S592" i="12766"/>
  <c r="U592" i="12766" s="1"/>
  <c r="G797" i="12787"/>
  <c r="G769" i="12787" s="1"/>
  <c r="C870" i="12787"/>
  <c r="C871" i="12787" s="1"/>
  <c r="G68" i="12774"/>
  <c r="K68" i="12774"/>
  <c r="O68" i="12774"/>
  <c r="P60" i="12775"/>
  <c r="H68" i="12774"/>
  <c r="L68" i="12774"/>
  <c r="C217" i="12787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M506" i="12766" s="1"/>
  <c r="D508" i="12766"/>
  <c r="J20" i="12763"/>
  <c r="L20" i="12763" s="1"/>
  <c r="G28" i="12763"/>
  <c r="G78" i="12763"/>
  <c r="K20" i="12763"/>
  <c r="I43" i="12811" s="1"/>
  <c r="G835" i="12787"/>
  <c r="H835" i="12787"/>
  <c r="G794" i="12787"/>
  <c r="G766" i="12787" s="1"/>
  <c r="G374" i="12787"/>
  <c r="G405" i="12787"/>
  <c r="P75" i="12775"/>
  <c r="E78" i="12775"/>
  <c r="P60" i="12774"/>
  <c r="C97" i="12787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K254" i="12766"/>
  <c r="K198" i="12766" s="1"/>
  <c r="K252" i="12766"/>
  <c r="K196" i="12766" s="1"/>
  <c r="H252" i="12766"/>
  <c r="H196" i="12766" s="1"/>
  <c r="H167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K183" i="12766"/>
  <c r="K153" i="12766" s="1"/>
  <c r="S166" i="12766" s="1"/>
  <c r="U166" i="12766" s="1"/>
  <c r="D153" i="12766"/>
  <c r="D186" i="12766"/>
  <c r="X40" i="12764"/>
  <c r="L84" i="12812" s="1"/>
  <c r="W40" i="12764"/>
  <c r="AB40" i="12764"/>
  <c r="AA40" i="12764"/>
  <c r="X24" i="12764"/>
  <c r="L52" i="12812" s="1"/>
  <c r="W24" i="12764"/>
  <c r="AB24" i="12764"/>
  <c r="AA24" i="12764"/>
  <c r="P80" i="12775"/>
  <c r="K27" i="12763"/>
  <c r="I46" i="12811" s="1"/>
  <c r="I47" i="12811" s="1"/>
  <c r="J27" i="12763"/>
  <c r="L27" i="12763" s="1"/>
  <c r="G84" i="12763"/>
  <c r="H857" i="12787"/>
  <c r="H801" i="12787" s="1"/>
  <c r="H773" i="12787" s="1"/>
  <c r="T771" i="12787" s="1"/>
  <c r="D871" i="12787"/>
  <c r="D801" i="12787"/>
  <c r="H865" i="12787"/>
  <c r="D809" i="12787"/>
  <c r="D781" i="12787" s="1"/>
  <c r="M781" i="12787" s="1"/>
  <c r="H862" i="12787"/>
  <c r="D806" i="12787"/>
  <c r="D778" i="12787" s="1"/>
  <c r="M778" i="12787" s="1"/>
  <c r="G863" i="12787"/>
  <c r="H863" i="12787"/>
  <c r="K701" i="12787"/>
  <c r="I720" i="12787"/>
  <c r="K720" i="12787" s="1"/>
  <c r="K488" i="12787"/>
  <c r="U483" i="12787" s="1"/>
  <c r="W483" i="12787" s="1"/>
  <c r="D276" i="12787"/>
  <c r="D275" i="12787"/>
  <c r="H304" i="12787"/>
  <c r="H275" i="12787" s="1"/>
  <c r="H104" i="12787"/>
  <c r="H89" i="12787"/>
  <c r="H91" i="12787" s="1"/>
  <c r="AA10" i="12764"/>
  <c r="Z74" i="12764"/>
  <c r="AB10" i="12764"/>
  <c r="Z63" i="12764"/>
  <c r="C524" i="12787"/>
  <c r="F470" i="12767"/>
  <c r="F518" i="12767"/>
  <c r="K361" i="12766"/>
  <c r="G758" i="12766"/>
  <c r="G760" i="12766" s="1"/>
  <c r="H676" i="12766"/>
  <c r="K779" i="12766"/>
  <c r="K727" i="12766"/>
  <c r="K729" i="12766" s="1"/>
  <c r="H807" i="12766"/>
  <c r="H779" i="12766" s="1"/>
  <c r="K624" i="12766"/>
  <c r="G506" i="12766"/>
  <c r="G508" i="12766" s="1"/>
  <c r="H375" i="12766"/>
  <c r="H619" i="12766"/>
  <c r="H618" i="12766"/>
  <c r="K619" i="12766"/>
  <c r="K618" i="12766"/>
  <c r="P922" i="12787"/>
  <c r="K758" i="12787"/>
  <c r="H42" i="1278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G813" i="12766"/>
  <c r="G843" i="12766"/>
  <c r="K231" i="12766"/>
  <c r="G25" i="12766"/>
  <c r="G27" i="12766" s="1"/>
  <c r="G44" i="12766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H540" i="12766"/>
  <c r="AA8" i="12764"/>
  <c r="W8" i="12764"/>
  <c r="AB8" i="12764"/>
  <c r="T68" i="12764"/>
  <c r="X54" i="12764"/>
  <c r="L124" i="12812" s="1"/>
  <c r="AA54" i="12764"/>
  <c r="W54" i="12764"/>
  <c r="AB54" i="12764"/>
  <c r="T100" i="12764"/>
  <c r="X11" i="12764"/>
  <c r="W11" i="12764"/>
  <c r="K356" i="12787"/>
  <c r="K150" i="12787" s="1"/>
  <c r="K405" i="12787"/>
  <c r="G832" i="12787"/>
  <c r="H832" i="12787"/>
  <c r="H794" i="12787"/>
  <c r="H766" i="12787" s="1"/>
  <c r="H594" i="12787"/>
  <c r="T583" i="12787" s="1"/>
  <c r="H727" i="12787"/>
  <c r="H729" i="12787" s="1"/>
  <c r="P80" i="12774"/>
  <c r="D82" i="12774"/>
  <c r="D78" i="12774"/>
  <c r="K259" i="12787"/>
  <c r="K184" i="12787"/>
  <c r="I720" i="12767"/>
  <c r="M720" i="12767" s="1"/>
  <c r="P52" i="12775"/>
  <c r="C216" i="12787"/>
  <c r="D89" i="12774"/>
  <c r="AE40" i="12774"/>
  <c r="Q86" i="12774" s="1"/>
  <c r="O1004" i="12766"/>
  <c r="P1004" i="12766"/>
  <c r="G781" i="12766"/>
  <c r="G896" i="12766"/>
  <c r="G898" i="12766" s="1"/>
  <c r="Q905" i="12766"/>
  <c r="R905" i="12766" s="1"/>
  <c r="Q907" i="12766"/>
  <c r="R907" i="12766" s="1"/>
  <c r="Q904" i="12766"/>
  <c r="R904" i="12766" s="1"/>
  <c r="Q906" i="12766"/>
  <c r="R906" i="12766" s="1"/>
  <c r="C174" i="12766"/>
  <c r="C176" i="12766" s="1"/>
  <c r="C1006" i="12766" s="1"/>
  <c r="C1009" i="12766" s="1"/>
  <c r="C1016" i="12766" s="1"/>
  <c r="C205" i="12766"/>
  <c r="K253" i="12766"/>
  <c r="K197" i="12766" s="1"/>
  <c r="K251" i="12766"/>
  <c r="K195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X37" i="12764"/>
  <c r="L80" i="12812" s="1"/>
  <c r="AA37" i="12764"/>
  <c r="AB37" i="12764"/>
  <c r="W37" i="12764"/>
  <c r="K813" i="12787"/>
  <c r="C759" i="12787"/>
  <c r="C760" i="12787" s="1"/>
  <c r="H866" i="12787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H860" i="12787"/>
  <c r="H303" i="12787"/>
  <c r="H274" i="12787" s="1"/>
  <c r="D193" i="12787"/>
  <c r="D164" i="12787" s="1"/>
  <c r="M164" i="12787" s="1"/>
  <c r="H249" i="12787"/>
  <c r="H193" i="12787" s="1"/>
  <c r="H164" i="12787" s="1"/>
  <c r="F752" i="12767"/>
  <c r="V45" i="12764"/>
  <c r="C123" i="12787"/>
  <c r="H774" i="12766"/>
  <c r="H361" i="12766"/>
  <c r="M625" i="12766"/>
  <c r="M25" i="12766"/>
  <c r="H798" i="12787"/>
  <c r="H770" i="12787" s="1"/>
  <c r="H676" i="12787"/>
  <c r="P64" i="12774"/>
  <c r="E68" i="12774"/>
  <c r="I68" i="12774"/>
  <c r="M68" i="12774"/>
  <c r="P54" i="12774"/>
  <c r="H624" i="12766"/>
  <c r="K360" i="12766"/>
  <c r="H363" i="12766"/>
  <c r="K375" i="12766"/>
  <c r="G619" i="12766"/>
  <c r="G618" i="12766"/>
  <c r="K600" i="12766"/>
  <c r="H405" i="12766"/>
  <c r="H923" i="12787"/>
  <c r="H925" i="12787" s="1"/>
  <c r="K434" i="12787"/>
  <c r="M758" i="12787"/>
  <c r="K500" i="12787"/>
  <c r="K540" i="12766"/>
  <c r="F1269" i="12843" l="1"/>
  <c r="F1270" i="12843" s="1"/>
  <c r="F1265" i="12860"/>
  <c r="F1271" i="12861"/>
  <c r="F1200" i="12843"/>
  <c r="I1200" i="12843" s="1"/>
  <c r="F1202" i="12861"/>
  <c r="F1198" i="12860"/>
  <c r="C274" i="12860"/>
  <c r="C275" i="12860" s="1"/>
  <c r="C275" i="12861"/>
  <c r="C276" i="12861" s="1"/>
  <c r="F47" i="12843"/>
  <c r="F47" i="12861"/>
  <c r="F46" i="12860"/>
  <c r="C65" i="12843"/>
  <c r="C66" i="12843" s="1"/>
  <c r="C65" i="12861"/>
  <c r="C66" i="12861" s="1"/>
  <c r="C64" i="12860"/>
  <c r="C65" i="12860" s="1"/>
  <c r="H246" i="12766"/>
  <c r="H190" i="12766" s="1"/>
  <c r="H161" i="12766" s="1"/>
  <c r="M746" i="12843"/>
  <c r="M746" i="12861"/>
  <c r="C47" i="12843"/>
  <c r="C48" i="12843" s="1"/>
  <c r="C46" i="12860"/>
  <c r="C47" i="12860" s="1"/>
  <c r="C47" i="12861"/>
  <c r="C48" i="12861" s="1"/>
  <c r="H47" i="12811"/>
  <c r="C676" i="12861"/>
  <c r="C677" i="12861" s="1"/>
  <c r="C675" i="12860"/>
  <c r="C676" i="12860" s="1"/>
  <c r="F65" i="12843"/>
  <c r="I65" i="12843" s="1"/>
  <c r="F65" i="12861"/>
  <c r="F64" i="12860"/>
  <c r="F676" i="12861"/>
  <c r="F675" i="12860"/>
  <c r="F147" i="12843"/>
  <c r="F147" i="12861"/>
  <c r="F146" i="12860"/>
  <c r="F414" i="12843"/>
  <c r="F415" i="12843" s="1"/>
  <c r="F414" i="12861"/>
  <c r="F413" i="12860"/>
  <c r="S848" i="12843"/>
  <c r="U848" i="12843" s="1"/>
  <c r="C520" i="12843"/>
  <c r="C521" i="12843" s="1"/>
  <c r="C520" i="12861"/>
  <c r="C521" i="12861" s="1"/>
  <c r="C519" i="12860"/>
  <c r="C520" i="12860" s="1"/>
  <c r="F1138" i="12843"/>
  <c r="I1138" i="12843" s="1"/>
  <c r="F1140" i="12861"/>
  <c r="F1138" i="12860"/>
  <c r="H169" i="12766"/>
  <c r="F310" i="12843"/>
  <c r="F310" i="12861"/>
  <c r="F309" i="12860"/>
  <c r="C1229" i="12843"/>
  <c r="C1230" i="12843" s="1"/>
  <c r="C1225" i="12860"/>
  <c r="C1226" i="12860" s="1"/>
  <c r="C1231" i="12861"/>
  <c r="C1232" i="12861" s="1"/>
  <c r="C1065" i="12843"/>
  <c r="C1029" i="12843" s="1"/>
  <c r="C1030" i="12843" s="1"/>
  <c r="C1065" i="12861"/>
  <c r="C1065" i="12860"/>
  <c r="F1155" i="12843"/>
  <c r="F1156" i="12843" s="1"/>
  <c r="O39" i="12831" s="1"/>
  <c r="F1157" i="12861"/>
  <c r="F1154" i="12860"/>
  <c r="C310" i="12843"/>
  <c r="C311" i="12843" s="1"/>
  <c r="C310" i="12861"/>
  <c r="C311" i="12861" s="1"/>
  <c r="C309" i="12860"/>
  <c r="C310" i="12860" s="1"/>
  <c r="K599" i="12787"/>
  <c r="K169" i="12766"/>
  <c r="F1065" i="12861"/>
  <c r="F1065" i="12860"/>
  <c r="F1231" i="12861"/>
  <c r="F1225" i="12860"/>
  <c r="F132" i="12843"/>
  <c r="I132" i="12843" s="1"/>
  <c r="F132" i="12861"/>
  <c r="F131" i="12860"/>
  <c r="F520" i="12843"/>
  <c r="F520" i="12861"/>
  <c r="F519" i="12860"/>
  <c r="C414" i="12843"/>
  <c r="C415" i="12843" s="1"/>
  <c r="C413" i="12860"/>
  <c r="C414" i="12860" s="1"/>
  <c r="C414" i="12861"/>
  <c r="C415" i="12861" s="1"/>
  <c r="C132" i="12843"/>
  <c r="C133" i="12843" s="1"/>
  <c r="C132" i="12861"/>
  <c r="C133" i="12861" s="1"/>
  <c r="C131" i="12860"/>
  <c r="C132" i="12860" s="1"/>
  <c r="C161" i="12767"/>
  <c r="C162" i="12861"/>
  <c r="C163" i="12861" s="1"/>
  <c r="C161" i="12860"/>
  <c r="C162" i="12860" s="1"/>
  <c r="C147" i="12843"/>
  <c r="C148" i="12843" s="1"/>
  <c r="C147" i="12861"/>
  <c r="C146" i="12860"/>
  <c r="C147" i="12860" s="1"/>
  <c r="E13" i="12812"/>
  <c r="AE6" i="12774"/>
  <c r="P84" i="12774"/>
  <c r="P89" i="12774" s="1"/>
  <c r="F1213" i="12843"/>
  <c r="F1215" i="12861"/>
  <c r="F1210" i="12860"/>
  <c r="S848" i="12861"/>
  <c r="U848" i="12861" s="1"/>
  <c r="S766" i="12861"/>
  <c r="S870" i="12861" s="1"/>
  <c r="U870" i="12861" s="1"/>
  <c r="AD25" i="12764"/>
  <c r="M721" i="12843"/>
  <c r="M721" i="12861"/>
  <c r="I13" i="12811"/>
  <c r="I19" i="12811" s="1"/>
  <c r="M629" i="12843"/>
  <c r="M629" i="12861"/>
  <c r="M199" i="12843"/>
  <c r="M199" i="12861"/>
  <c r="U743" i="12843"/>
  <c r="U743" i="12861"/>
  <c r="J27" i="12869"/>
  <c r="V1169" i="12861"/>
  <c r="V1166" i="12860"/>
  <c r="C1286" i="12860"/>
  <c r="C1287" i="12860" s="1"/>
  <c r="V1136" i="12860"/>
  <c r="V1138" i="12861"/>
  <c r="E72" i="12812"/>
  <c r="E73" i="12812"/>
  <c r="H76" i="12811"/>
  <c r="H73" i="12811"/>
  <c r="H102" i="12811"/>
  <c r="E84" i="12812"/>
  <c r="E102" i="12812"/>
  <c r="E101" i="12812"/>
  <c r="AE25" i="12775"/>
  <c r="Q71" i="12775" s="1"/>
  <c r="R71" i="12775" s="1"/>
  <c r="H121" i="12811"/>
  <c r="H122" i="12811"/>
  <c r="H80" i="12811"/>
  <c r="AE28" i="12775"/>
  <c r="Q74" i="12775" s="1"/>
  <c r="R74" i="12775" s="1"/>
  <c r="H81" i="12811"/>
  <c r="E76" i="12812"/>
  <c r="H125" i="12811"/>
  <c r="H124" i="12811"/>
  <c r="H101" i="12811"/>
  <c r="E80" i="12812"/>
  <c r="E81" i="12812"/>
  <c r="E79" i="12812"/>
  <c r="E71" i="12812"/>
  <c r="H123" i="12811"/>
  <c r="H71" i="12811"/>
  <c r="H84" i="12811"/>
  <c r="V65" i="12764"/>
  <c r="T23" i="12764"/>
  <c r="V23" i="12764" s="1"/>
  <c r="V95" i="12764" s="1"/>
  <c r="V98" i="12764" s="1"/>
  <c r="S74" i="12812"/>
  <c r="S41" i="12812"/>
  <c r="S44" i="12812" s="1"/>
  <c r="AD55" i="12764"/>
  <c r="AD12" i="12764"/>
  <c r="F52" i="12812"/>
  <c r="S52" i="12812" s="1"/>
  <c r="S54" i="12812" s="1"/>
  <c r="F22" i="12812"/>
  <c r="S127" i="12812"/>
  <c r="X52" i="12764"/>
  <c r="L122" i="12812" s="1"/>
  <c r="V52" i="12764"/>
  <c r="V104" i="12764" s="1"/>
  <c r="F14" i="12812"/>
  <c r="S14" i="12812" s="1"/>
  <c r="X35" i="12764"/>
  <c r="L76" i="12812" s="1"/>
  <c r="V35" i="12764"/>
  <c r="I1213" i="12843"/>
  <c r="D189" i="12766"/>
  <c r="D160" i="12766" s="1"/>
  <c r="M160" i="12766" s="1"/>
  <c r="I122" i="12812"/>
  <c r="N122" i="12811" s="1"/>
  <c r="I121" i="12812"/>
  <c r="N121" i="12811" s="1"/>
  <c r="I125" i="12812"/>
  <c r="N125" i="12811" s="1"/>
  <c r="S494" i="12766"/>
  <c r="K166" i="12766"/>
  <c r="K250" i="12766"/>
  <c r="K194" i="12766" s="1"/>
  <c r="K165" i="12766" s="1"/>
  <c r="H257" i="12766"/>
  <c r="H201" i="12766" s="1"/>
  <c r="H172" i="12766" s="1"/>
  <c r="F1210" i="12767"/>
  <c r="I1210" i="12767" s="1"/>
  <c r="K255" i="12766"/>
  <c r="K199" i="12766" s="1"/>
  <c r="K170" i="12766" s="1"/>
  <c r="H302" i="12787"/>
  <c r="E89" i="12774"/>
  <c r="F1214" i="12843"/>
  <c r="F1169" i="12843"/>
  <c r="F1170" i="12843" s="1"/>
  <c r="D198" i="12766"/>
  <c r="D169" i="12766" s="1"/>
  <c r="M169" i="12766" s="1"/>
  <c r="K167" i="12766"/>
  <c r="H971" i="12787"/>
  <c r="H973" i="12787" s="1"/>
  <c r="H253" i="12766"/>
  <c r="H197" i="12766" s="1"/>
  <c r="H168" i="12766" s="1"/>
  <c r="H809" i="12787"/>
  <c r="H781" i="12787" s="1"/>
  <c r="D200" i="12766"/>
  <c r="D171" i="12766" s="1"/>
  <c r="M171" i="12766" s="1"/>
  <c r="H251" i="12766"/>
  <c r="H195" i="12766" s="1"/>
  <c r="H166" i="12766" s="1"/>
  <c r="H255" i="12766"/>
  <c r="H199" i="12766" s="1"/>
  <c r="H170" i="12766" s="1"/>
  <c r="K257" i="12766"/>
  <c r="K201" i="12766" s="1"/>
  <c r="K172" i="12766" s="1"/>
  <c r="I1155" i="12843"/>
  <c r="H245" i="12766"/>
  <c r="H189" i="12766" s="1"/>
  <c r="D194" i="12766"/>
  <c r="D165" i="12766" s="1"/>
  <c r="M165" i="12766" s="1"/>
  <c r="K317" i="12766"/>
  <c r="F1138" i="12767"/>
  <c r="K405" i="12766"/>
  <c r="K243" i="12766"/>
  <c r="K187" i="12766" s="1"/>
  <c r="K158" i="12766" s="1"/>
  <c r="AE38" i="12774"/>
  <c r="F1154" i="12767"/>
  <c r="F1155" i="12767" s="1"/>
  <c r="K171" i="12766"/>
  <c r="AE41" i="12774"/>
  <c r="Q87" i="12774" s="1"/>
  <c r="R87" i="12774" s="1"/>
  <c r="H243" i="12766"/>
  <c r="H187" i="12766" s="1"/>
  <c r="H317" i="12766"/>
  <c r="H288" i="12766" s="1"/>
  <c r="H290" i="12766" s="1"/>
  <c r="H256" i="12766"/>
  <c r="H200" i="12766" s="1"/>
  <c r="H171" i="12766" s="1"/>
  <c r="D82" i="12775"/>
  <c r="AE8" i="12775"/>
  <c r="Q54" i="12775" s="1"/>
  <c r="I1269" i="12843"/>
  <c r="G625" i="12787"/>
  <c r="H434" i="12766"/>
  <c r="H436" i="12766" s="1"/>
  <c r="AE42" i="12774"/>
  <c r="Q88" i="12774" s="1"/>
  <c r="R88" i="12774" s="1"/>
  <c r="H405" i="12787"/>
  <c r="H407" i="12787" s="1"/>
  <c r="P86" i="12774"/>
  <c r="H806" i="12787"/>
  <c r="H778" i="12787" s="1"/>
  <c r="K168" i="12766"/>
  <c r="AE35" i="12775"/>
  <c r="Q81" i="12775" s="1"/>
  <c r="R81" i="12775" s="1"/>
  <c r="F1265" i="12767"/>
  <c r="U769" i="12787"/>
  <c r="W769" i="12787" s="1"/>
  <c r="F1198" i="12767"/>
  <c r="F1201" i="12843"/>
  <c r="AE39" i="12774"/>
  <c r="Q85" i="12774" s="1"/>
  <c r="R85" i="12774" s="1"/>
  <c r="H250" i="12787"/>
  <c r="H194" i="12787" s="1"/>
  <c r="H165" i="12787" s="1"/>
  <c r="G203" i="12766"/>
  <c r="G174" i="12766" s="1"/>
  <c r="G176" i="12766" s="1"/>
  <c r="K434" i="12766"/>
  <c r="K436" i="12766" s="1"/>
  <c r="T150" i="12787"/>
  <c r="E127" i="12812"/>
  <c r="E137" i="12812" s="1"/>
  <c r="H25" i="12766"/>
  <c r="H27" i="12766" s="1"/>
  <c r="P82" i="12775"/>
  <c r="AE34" i="12775"/>
  <c r="AC36" i="12775"/>
  <c r="H160" i="12766"/>
  <c r="E58" i="12774"/>
  <c r="Q52" i="12775"/>
  <c r="H13" i="12811"/>
  <c r="O761" i="12766"/>
  <c r="H360" i="12766"/>
  <c r="H158" i="12766" s="1"/>
  <c r="K154" i="12787"/>
  <c r="U150" i="12787" s="1"/>
  <c r="W150" i="12787" s="1"/>
  <c r="K160" i="12766"/>
  <c r="V27" i="12826"/>
  <c r="Q185" i="12843"/>
  <c r="M185" i="12843"/>
  <c r="M184" i="12843"/>
  <c r="Q184" i="12843"/>
  <c r="M183" i="12843"/>
  <c r="Q183" i="12843"/>
  <c r="I13" i="12812"/>
  <c r="S13" i="12812"/>
  <c r="K15" i="12811"/>
  <c r="L15" i="12811" s="1"/>
  <c r="AE41" i="12775"/>
  <c r="Q87" i="12775" s="1"/>
  <c r="R87" i="12775" s="1"/>
  <c r="C146" i="12767"/>
  <c r="K16" i="12811"/>
  <c r="L16" i="12811" s="1"/>
  <c r="AC43" i="12775"/>
  <c r="AE7" i="12775"/>
  <c r="Q53" i="12775" s="1"/>
  <c r="R53" i="12775" s="1"/>
  <c r="R54" i="12775"/>
  <c r="P84" i="12775"/>
  <c r="P89" i="12775" s="1"/>
  <c r="C162" i="12843"/>
  <c r="C163" i="12843" s="1"/>
  <c r="AE9" i="12775"/>
  <c r="Q55" i="12775" s="1"/>
  <c r="R55" i="12775" s="1"/>
  <c r="AE38" i="12775"/>
  <c r="Q84" i="12775" s="1"/>
  <c r="AE39" i="12775"/>
  <c r="Q85" i="12775" s="1"/>
  <c r="R85" i="12775" s="1"/>
  <c r="K42" i="12811"/>
  <c r="L42" i="12811" s="1"/>
  <c r="AE20" i="12775"/>
  <c r="Q66" i="12775" s="1"/>
  <c r="R66" i="12775" s="1"/>
  <c r="C413" i="12767"/>
  <c r="K52" i="12811"/>
  <c r="L52" i="12811" s="1"/>
  <c r="C519" i="12767"/>
  <c r="C64" i="12767"/>
  <c r="AE15" i="12775"/>
  <c r="Q61" i="12775" s="1"/>
  <c r="R61" i="12775" s="1"/>
  <c r="AE21" i="12775"/>
  <c r="Q67" i="12775" s="1"/>
  <c r="R67" i="12775" s="1"/>
  <c r="C1065" i="12767"/>
  <c r="C972" i="12767" s="1"/>
  <c r="C973" i="12767" s="1"/>
  <c r="AE18" i="12775"/>
  <c r="Q64" i="12775" s="1"/>
  <c r="R64" i="12775" s="1"/>
  <c r="C675" i="12767"/>
  <c r="AE14" i="12775"/>
  <c r="Q60" i="12775" s="1"/>
  <c r="R60" i="12775" s="1"/>
  <c r="Q45" i="12775"/>
  <c r="AE24" i="12775"/>
  <c r="Q70" i="12775" s="1"/>
  <c r="R70" i="12775" s="1"/>
  <c r="AE26" i="12775"/>
  <c r="Q72" i="12775" s="1"/>
  <c r="R72" i="12775" s="1"/>
  <c r="AE31" i="12775"/>
  <c r="Q77" i="12775" s="1"/>
  <c r="R77" i="12775" s="1"/>
  <c r="AE29" i="12775"/>
  <c r="Q75" i="12775" s="1"/>
  <c r="R75" i="12775" s="1"/>
  <c r="O91" i="12775"/>
  <c r="L91" i="12775"/>
  <c r="H72" i="12811"/>
  <c r="N91" i="12775"/>
  <c r="AE30" i="12775"/>
  <c r="Q76" i="12775" s="1"/>
  <c r="R76" i="12775" s="1"/>
  <c r="M91" i="12775"/>
  <c r="G91" i="12775"/>
  <c r="AE27" i="12775"/>
  <c r="Q73" i="12775" s="1"/>
  <c r="R73" i="12775" s="1"/>
  <c r="H91" i="12775"/>
  <c r="AC32" i="12775"/>
  <c r="H79" i="12811"/>
  <c r="P78" i="12775"/>
  <c r="J91" i="12775"/>
  <c r="K91" i="12775"/>
  <c r="AE10" i="12775"/>
  <c r="Q56" i="12775" s="1"/>
  <c r="R56" i="12775" s="1"/>
  <c r="AE42" i="12775"/>
  <c r="Q88" i="12775" s="1"/>
  <c r="R88" i="12775" s="1"/>
  <c r="K41" i="12811"/>
  <c r="L41" i="12811" s="1"/>
  <c r="H50" i="12811"/>
  <c r="C1066" i="12843"/>
  <c r="AE16" i="12775"/>
  <c r="Q62" i="12775" s="1"/>
  <c r="R62" i="12775" s="1"/>
  <c r="I91" i="12775"/>
  <c r="F91" i="12775"/>
  <c r="C309" i="12767"/>
  <c r="C676" i="12843"/>
  <c r="C677" i="12843" s="1"/>
  <c r="C971" i="12843"/>
  <c r="C972" i="12843" s="1"/>
  <c r="G172" i="12787"/>
  <c r="D89" i="12775"/>
  <c r="H841" i="12787"/>
  <c r="H843" i="12787" s="1"/>
  <c r="AE19" i="12775"/>
  <c r="Q65" i="12775" s="1"/>
  <c r="R65" i="12775" s="1"/>
  <c r="H44" i="12811"/>
  <c r="F676" i="12843"/>
  <c r="I676" i="12843" s="1"/>
  <c r="G288" i="12787"/>
  <c r="J74" i="12763"/>
  <c r="L74" i="12763" s="1"/>
  <c r="P82" i="12774"/>
  <c r="AC36" i="12774"/>
  <c r="I47" i="12843"/>
  <c r="F48" i="12843"/>
  <c r="I310" i="12843"/>
  <c r="F311" i="12843"/>
  <c r="L31" i="12831"/>
  <c r="J30" i="12783"/>
  <c r="H505" i="12766"/>
  <c r="K896" i="12766"/>
  <c r="K898" i="12766" s="1"/>
  <c r="G625" i="12766"/>
  <c r="G627" i="12766" s="1"/>
  <c r="H434" i="12787"/>
  <c r="H436" i="12787" s="1"/>
  <c r="K618" i="12787"/>
  <c r="AE40" i="12775"/>
  <c r="Q86" i="12775" s="1"/>
  <c r="R86" i="12775" s="1"/>
  <c r="C131" i="12767"/>
  <c r="C1225" i="12767"/>
  <c r="F66" i="12843"/>
  <c r="K676" i="12787"/>
  <c r="O41" i="12831"/>
  <c r="L40" i="12783"/>
  <c r="I53" i="12812"/>
  <c r="J53" i="12812" s="1"/>
  <c r="AF21" i="12774" s="1"/>
  <c r="F1229" i="12843"/>
  <c r="I147" i="12843"/>
  <c r="F148" i="12843"/>
  <c r="I414" i="12843"/>
  <c r="G869" i="12787"/>
  <c r="H810" i="12787"/>
  <c r="H782" i="12787" s="1"/>
  <c r="D158" i="12766"/>
  <c r="M158" i="12766" s="1"/>
  <c r="AE35" i="12774"/>
  <c r="Q81" i="12774" s="1"/>
  <c r="R81" i="12774" s="1"/>
  <c r="F1065" i="12767"/>
  <c r="F1065" i="12843"/>
  <c r="K18" i="12811"/>
  <c r="C275" i="12843"/>
  <c r="C276" i="12843" s="1"/>
  <c r="H54" i="12811"/>
  <c r="I520" i="12843"/>
  <c r="F521" i="12843"/>
  <c r="U765" i="12767"/>
  <c r="S871" i="12767"/>
  <c r="U871" i="12767" s="1"/>
  <c r="I743" i="12843"/>
  <c r="S870" i="12843"/>
  <c r="U870" i="12843" s="1"/>
  <c r="G870" i="12843"/>
  <c r="I870" i="12843" s="1"/>
  <c r="V23" i="12767"/>
  <c r="V1166" i="12767"/>
  <c r="S1166" i="12767" s="1"/>
  <c r="S1208" i="12767" s="1"/>
  <c r="S1213" i="12861" s="1"/>
  <c r="U1213" i="12861" s="1"/>
  <c r="V1167" i="12843"/>
  <c r="V1226" i="12843"/>
  <c r="V1136" i="12767"/>
  <c r="I1136" i="12767" s="1"/>
  <c r="V1136" i="12843"/>
  <c r="V1152" i="12843"/>
  <c r="I1263" i="12767"/>
  <c r="V1267" i="12843"/>
  <c r="C1286" i="12767"/>
  <c r="Q633" i="12767"/>
  <c r="O1208" i="12767"/>
  <c r="O1213" i="12861" s="1"/>
  <c r="W52" i="12764"/>
  <c r="W74" i="12764"/>
  <c r="AA11" i="12764"/>
  <c r="M58" i="12764"/>
  <c r="Q58" i="12764" s="1"/>
  <c r="S58" i="12764" s="1"/>
  <c r="X108" i="12764"/>
  <c r="AD108" i="12764" s="1"/>
  <c r="Q28" i="12764"/>
  <c r="S28" i="12764" s="1"/>
  <c r="C110" i="12763"/>
  <c r="C112" i="12763" s="1"/>
  <c r="AB11" i="12764"/>
  <c r="AB110" i="12764"/>
  <c r="F50" i="12812"/>
  <c r="S49" i="12812"/>
  <c r="AE34" i="12774"/>
  <c r="AA35" i="12764"/>
  <c r="K161" i="12766"/>
  <c r="K46" i="12811"/>
  <c r="K47" i="12811" s="1"/>
  <c r="R95" i="12764"/>
  <c r="E140" i="12811"/>
  <c r="K43" i="12811"/>
  <c r="L43" i="12811" s="1"/>
  <c r="K53" i="12811"/>
  <c r="L53" i="12811" s="1"/>
  <c r="AA71" i="12764"/>
  <c r="AA108" i="12764"/>
  <c r="W110" i="12764"/>
  <c r="I50" i="12811"/>
  <c r="K49" i="12811"/>
  <c r="L49" i="12811" s="1"/>
  <c r="K14" i="12811"/>
  <c r="L14" i="12811" s="1"/>
  <c r="X110" i="12764"/>
  <c r="AD110" i="12764" s="1"/>
  <c r="I22" i="12811"/>
  <c r="K21" i="12811"/>
  <c r="P68" i="12775"/>
  <c r="R28" i="12764"/>
  <c r="G85" i="12763"/>
  <c r="G81" i="12763"/>
  <c r="M82" i="12764"/>
  <c r="R82" i="12764" s="1"/>
  <c r="AB108" i="12764"/>
  <c r="AA110" i="12764"/>
  <c r="W35" i="12764"/>
  <c r="T104" i="12764"/>
  <c r="AB104" i="12764" s="1"/>
  <c r="H869" i="12787"/>
  <c r="H871" i="12787" s="1"/>
  <c r="K727" i="12787"/>
  <c r="H22" i="12811"/>
  <c r="F116" i="12767"/>
  <c r="F131" i="12767"/>
  <c r="I43" i="12812"/>
  <c r="J43" i="12812" s="1"/>
  <c r="E50" i="12812"/>
  <c r="F1225" i="12767"/>
  <c r="I21" i="12812"/>
  <c r="I22" i="12812" s="1"/>
  <c r="F146" i="12767"/>
  <c r="I42" i="12812"/>
  <c r="N42" i="12811" s="1"/>
  <c r="F309" i="12767"/>
  <c r="AB35" i="12764"/>
  <c r="AB52" i="12764"/>
  <c r="AA52" i="12764"/>
  <c r="K61" i="12766"/>
  <c r="K25" i="12766"/>
  <c r="K27" i="12766" s="1"/>
  <c r="G371" i="12787"/>
  <c r="G169" i="12787" s="1"/>
  <c r="G434" i="12787"/>
  <c r="G376" i="12787" s="1"/>
  <c r="T53" i="12764"/>
  <c r="I54" i="12811"/>
  <c r="I127" i="12811"/>
  <c r="I137" i="12811" s="1"/>
  <c r="AD11" i="12764"/>
  <c r="L17" i="12812"/>
  <c r="M17" i="12812" s="1"/>
  <c r="I74" i="12811"/>
  <c r="I97" i="12811" s="1"/>
  <c r="AE16" i="12774"/>
  <c r="Q62" i="12774" s="1"/>
  <c r="R62" i="12774" s="1"/>
  <c r="L14" i="12812"/>
  <c r="F519" i="12767"/>
  <c r="F413" i="12767"/>
  <c r="R55" i="12774"/>
  <c r="E16" i="12812"/>
  <c r="AE18" i="12774"/>
  <c r="Q64" i="12774" s="1"/>
  <c r="R64" i="12774" s="1"/>
  <c r="AE15" i="12774"/>
  <c r="Q61" i="12774" s="1"/>
  <c r="R61" i="12774" s="1"/>
  <c r="AE8" i="12774"/>
  <c r="Q54" i="12774" s="1"/>
  <c r="R54" i="12774" s="1"/>
  <c r="AE10" i="12774"/>
  <c r="Q56" i="12774" s="1"/>
  <c r="R56" i="12774" s="1"/>
  <c r="AE21" i="12774"/>
  <c r="Q67" i="12774" s="1"/>
  <c r="R67" i="12774" s="1"/>
  <c r="E44" i="12812"/>
  <c r="AE7" i="12774"/>
  <c r="Q53" i="12774" s="1"/>
  <c r="R53" i="12774" s="1"/>
  <c r="AE20" i="12774"/>
  <c r="Q66" i="12774" s="1"/>
  <c r="R66" i="12774" s="1"/>
  <c r="Q95" i="12764"/>
  <c r="S95" i="12764" s="1"/>
  <c r="AC22" i="12775"/>
  <c r="AE24" i="12774"/>
  <c r="Q70" i="12774" s="1"/>
  <c r="R70" i="12774" s="1"/>
  <c r="AE27" i="12774"/>
  <c r="Q73" i="12774" s="1"/>
  <c r="R73" i="12774" s="1"/>
  <c r="AE29" i="12774"/>
  <c r="Q75" i="12774" s="1"/>
  <c r="R75" i="12774" s="1"/>
  <c r="AE28" i="12774"/>
  <c r="Q74" i="12774" s="1"/>
  <c r="R74" i="12774" s="1"/>
  <c r="AE31" i="12774"/>
  <c r="Q77" i="12774" s="1"/>
  <c r="R77" i="12774" s="1"/>
  <c r="AE26" i="12774"/>
  <c r="Q72" i="12774" s="1"/>
  <c r="R72" i="12774" s="1"/>
  <c r="R45" i="12774"/>
  <c r="AD26" i="12764"/>
  <c r="AD10" i="12764"/>
  <c r="S16" i="12812"/>
  <c r="AE25" i="12774"/>
  <c r="Q71" i="12774" s="1"/>
  <c r="R71" i="12774" s="1"/>
  <c r="V89" i="12764"/>
  <c r="T20" i="12764"/>
  <c r="X45" i="12774"/>
  <c r="I44" i="12811"/>
  <c r="AB45" i="12774"/>
  <c r="T45" i="12774"/>
  <c r="K14" i="12763"/>
  <c r="AG17" i="12774"/>
  <c r="AC32" i="12774"/>
  <c r="F64" i="12767"/>
  <c r="E54" i="12812"/>
  <c r="F675" i="12767"/>
  <c r="E47" i="12812"/>
  <c r="I49" i="12812"/>
  <c r="J17" i="12812"/>
  <c r="F46" i="12767"/>
  <c r="E22" i="12812"/>
  <c r="AE11" i="12774"/>
  <c r="Q57" i="12774" s="1"/>
  <c r="E18" i="12812"/>
  <c r="Y45" i="12774"/>
  <c r="Z45" i="12774"/>
  <c r="C46" i="12767"/>
  <c r="AE11" i="12775"/>
  <c r="Q57" i="12775" s="1"/>
  <c r="F77" i="12812"/>
  <c r="F85" i="12812"/>
  <c r="AD54" i="12764"/>
  <c r="I124" i="12812"/>
  <c r="M53" i="12812"/>
  <c r="U45" i="12774"/>
  <c r="G91" i="12774"/>
  <c r="AA45" i="12774"/>
  <c r="N91" i="12774"/>
  <c r="L91" i="12774"/>
  <c r="V45" i="12774"/>
  <c r="J91" i="12774"/>
  <c r="Q45" i="12774"/>
  <c r="S45" i="12774"/>
  <c r="AC22" i="12774"/>
  <c r="P78" i="12774"/>
  <c r="H91" i="12774"/>
  <c r="O91" i="12774"/>
  <c r="W45" i="12774"/>
  <c r="E91" i="12775"/>
  <c r="P57" i="12774"/>
  <c r="P58" i="12774" s="1"/>
  <c r="AE63" i="12774"/>
  <c r="AG63" i="12774" s="1"/>
  <c r="P57" i="12775"/>
  <c r="P58" i="12775" s="1"/>
  <c r="AC12" i="12775"/>
  <c r="AC12" i="12774"/>
  <c r="F89" i="12767"/>
  <c r="F914" i="12767"/>
  <c r="G58" i="12763"/>
  <c r="K58" i="12763" s="1"/>
  <c r="K91" i="12774"/>
  <c r="C1284" i="12767"/>
  <c r="X34" i="12764"/>
  <c r="L73" i="12812" s="1"/>
  <c r="W34" i="12764"/>
  <c r="AA34" i="12764"/>
  <c r="AB34" i="12764"/>
  <c r="AD8" i="12764"/>
  <c r="AD24" i="12764"/>
  <c r="AD40" i="12764"/>
  <c r="D68" i="12774"/>
  <c r="D91" i="12774" s="1"/>
  <c r="E78" i="12774"/>
  <c r="Q63" i="12775"/>
  <c r="R63" i="12775" s="1"/>
  <c r="AG17" i="12775"/>
  <c r="AE19" i="12774"/>
  <c r="Q65" i="12774" s="1"/>
  <c r="R65" i="12774" s="1"/>
  <c r="AD37" i="12764"/>
  <c r="K28" i="12763"/>
  <c r="K41" i="12763"/>
  <c r="K56" i="12763"/>
  <c r="F1167" i="12767"/>
  <c r="R81" i="12764"/>
  <c r="AD81" i="12764" s="1"/>
  <c r="Q81" i="12764"/>
  <c r="S81" i="12764" s="1"/>
  <c r="W71" i="12764"/>
  <c r="Q71" i="12764"/>
  <c r="S71" i="12764" s="1"/>
  <c r="R71" i="12764"/>
  <c r="AD71" i="12764" s="1"/>
  <c r="R91" i="12764"/>
  <c r="Q91" i="12764"/>
  <c r="S91" i="12764" s="1"/>
  <c r="Q64" i="12764"/>
  <c r="S64" i="12764" s="1"/>
  <c r="R64" i="12764"/>
  <c r="M65" i="12764"/>
  <c r="K63" i="12763"/>
  <c r="J63" i="12763"/>
  <c r="L63" i="12763" s="1"/>
  <c r="J68" i="12763"/>
  <c r="L68" i="12763" s="1"/>
  <c r="K68" i="12763"/>
  <c r="J90" i="12763"/>
  <c r="L90" i="12763" s="1"/>
  <c r="K90" i="12763"/>
  <c r="R68" i="12764"/>
  <c r="Q68" i="12764"/>
  <c r="S68" i="12764" s="1"/>
  <c r="M69" i="12764"/>
  <c r="Q67" i="12764"/>
  <c r="S67" i="12764" s="1"/>
  <c r="R67" i="12764"/>
  <c r="K108" i="12763"/>
  <c r="J108" i="12763"/>
  <c r="L108" i="12763" s="1"/>
  <c r="K102" i="12763"/>
  <c r="J102" i="12763"/>
  <c r="L102" i="12763" s="1"/>
  <c r="R74" i="12764"/>
  <c r="AD74" i="12764" s="1"/>
  <c r="M75" i="12764"/>
  <c r="Q74" i="12764"/>
  <c r="S74" i="12764" s="1"/>
  <c r="R14" i="12764"/>
  <c r="Q14" i="12764"/>
  <c r="S14" i="12764" s="1"/>
  <c r="M91" i="12774"/>
  <c r="K76" i="12763"/>
  <c r="J76" i="12763"/>
  <c r="L76" i="12763" s="1"/>
  <c r="K67" i="12763"/>
  <c r="J67" i="12763"/>
  <c r="L67" i="12763" s="1"/>
  <c r="G70" i="12763"/>
  <c r="K106" i="12763"/>
  <c r="J106" i="12763"/>
  <c r="L106" i="12763" s="1"/>
  <c r="R86" i="12764"/>
  <c r="Q86" i="12764"/>
  <c r="S86" i="12764" s="1"/>
  <c r="R98" i="12764"/>
  <c r="Q98" i="12764"/>
  <c r="S98" i="12764" s="1"/>
  <c r="L95" i="12763"/>
  <c r="K95" i="12763"/>
  <c r="K77" i="12763"/>
  <c r="J77" i="12763"/>
  <c r="L77" i="12763" s="1"/>
  <c r="K83" i="12763"/>
  <c r="J83" i="12763"/>
  <c r="L83" i="12763" s="1"/>
  <c r="K98" i="12763"/>
  <c r="J98" i="12763"/>
  <c r="L98" i="12763" s="1"/>
  <c r="F758" i="12767"/>
  <c r="F872" i="12767"/>
  <c r="G43" i="12787"/>
  <c r="D153" i="12787"/>
  <c r="D186" i="12787"/>
  <c r="G96" i="12763"/>
  <c r="J94" i="12763"/>
  <c r="L94" i="12763" s="1"/>
  <c r="K94" i="12763"/>
  <c r="B30" i="12783"/>
  <c r="B33" i="12783" s="1"/>
  <c r="K64" i="12763"/>
  <c r="G65" i="12763"/>
  <c r="G994" i="12787"/>
  <c r="K103" i="12763"/>
  <c r="G104" i="12763"/>
  <c r="J103" i="12763"/>
  <c r="L103" i="12763" s="1"/>
  <c r="R106" i="12764"/>
  <c r="Q106" i="12764"/>
  <c r="S106" i="12764" s="1"/>
  <c r="AE30" i="12774"/>
  <c r="Q76" i="12774" s="1"/>
  <c r="R76" i="12774" s="1"/>
  <c r="K92" i="12763"/>
  <c r="J92" i="12763"/>
  <c r="L92" i="12763" s="1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R86" i="12774"/>
  <c r="K506" i="12766"/>
  <c r="K508" i="12766" s="1"/>
  <c r="K542" i="12766"/>
  <c r="H407" i="12766"/>
  <c r="F190" i="12767"/>
  <c r="K625" i="12766"/>
  <c r="K627" i="12766" s="1"/>
  <c r="K678" i="12766"/>
  <c r="G972" i="12787"/>
  <c r="G983" i="12787"/>
  <c r="C308" i="12767"/>
  <c r="G318" i="12787"/>
  <c r="G406" i="12787"/>
  <c r="G407" i="12787" s="1"/>
  <c r="G260" i="12787"/>
  <c r="G728" i="12787"/>
  <c r="X63" i="12764"/>
  <c r="AD63" i="12764" s="1"/>
  <c r="T65" i="12764"/>
  <c r="W63" i="12764"/>
  <c r="W68" i="12764"/>
  <c r="AB68" i="12764"/>
  <c r="X68" i="12764"/>
  <c r="AA68" i="12764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G935" i="12787"/>
  <c r="F655" i="12767"/>
  <c r="C612" i="12767"/>
  <c r="K84" i="12763"/>
  <c r="J84" i="12763"/>
  <c r="L84" i="12763" s="1"/>
  <c r="C728" i="12787"/>
  <c r="C729" i="12787" s="1"/>
  <c r="W64" i="12764"/>
  <c r="AB64" i="12764"/>
  <c r="X64" i="12764"/>
  <c r="AA64" i="12764"/>
  <c r="D1020" i="12766"/>
  <c r="D157" i="12766"/>
  <c r="D1019" i="12766" s="1"/>
  <c r="C924" i="12787"/>
  <c r="C925" i="12787" s="1"/>
  <c r="G1031" i="12787"/>
  <c r="C84" i="12787"/>
  <c r="G97" i="12787"/>
  <c r="K97" i="12787"/>
  <c r="C98" i="12787"/>
  <c r="C102" i="12787" s="1"/>
  <c r="G103" i="12787"/>
  <c r="G541" i="12787"/>
  <c r="C103" i="12787"/>
  <c r="G575" i="12787"/>
  <c r="T493" i="12766"/>
  <c r="V493" i="12766" s="1"/>
  <c r="P480" i="12766"/>
  <c r="X481" i="12766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X36" i="12764"/>
  <c r="L79" i="12812" s="1"/>
  <c r="AA36" i="12764"/>
  <c r="W36" i="12764"/>
  <c r="AB36" i="12764"/>
  <c r="T93" i="12764"/>
  <c r="T768" i="12787"/>
  <c r="T769" i="12787" s="1"/>
  <c r="G804" i="12787"/>
  <c r="G776" i="12787" s="1"/>
  <c r="R775" i="12766"/>
  <c r="H896" i="12766"/>
  <c r="H898" i="12766" s="1"/>
  <c r="K173" i="12766"/>
  <c r="H173" i="12766"/>
  <c r="H159" i="12766"/>
  <c r="P68" i="12774"/>
  <c r="G841" i="12787"/>
  <c r="H807" i="12787"/>
  <c r="H779" i="12787" s="1"/>
  <c r="M931" i="12766"/>
  <c r="H233" i="12766"/>
  <c r="H319" i="12766"/>
  <c r="H625" i="12787"/>
  <c r="H627" i="12787" s="1"/>
  <c r="H678" i="12787"/>
  <c r="G123" i="12787"/>
  <c r="K123" i="12787"/>
  <c r="C124" i="12787"/>
  <c r="C128" i="12787" s="1"/>
  <c r="F189" i="12767"/>
  <c r="G924" i="12787"/>
  <c r="C116" i="12787"/>
  <c r="C117" i="12787" s="1"/>
  <c r="C142" i="12787"/>
  <c r="C143" i="12787" s="1"/>
  <c r="G897" i="12787"/>
  <c r="G347" i="12787"/>
  <c r="C935" i="12787"/>
  <c r="C936" i="12787" s="1"/>
  <c r="K785" i="12787"/>
  <c r="C43" i="12787"/>
  <c r="G142" i="12787"/>
  <c r="G116" i="12787"/>
  <c r="C231" i="12787"/>
  <c r="C188" i="12787"/>
  <c r="C159" i="12787" s="1"/>
  <c r="G216" i="12787"/>
  <c r="K216" i="12787"/>
  <c r="G232" i="12787"/>
  <c r="G77" i="12787"/>
  <c r="G759" i="12787"/>
  <c r="G435" i="12787"/>
  <c r="K376" i="12787"/>
  <c r="W100" i="12764"/>
  <c r="AB100" i="12764"/>
  <c r="X100" i="12764"/>
  <c r="AD100" i="12764" s="1"/>
  <c r="AA100" i="12764"/>
  <c r="H506" i="12766"/>
  <c r="H508" i="12766" s="1"/>
  <c r="H542" i="12766"/>
  <c r="M773" i="12766"/>
  <c r="M785" i="12766" s="1"/>
  <c r="D787" i="12766"/>
  <c r="D1006" i="12766" s="1"/>
  <c r="D1009" i="12766" s="1"/>
  <c r="D1016" i="12766" s="1"/>
  <c r="H813" i="12766"/>
  <c r="H843" i="12766"/>
  <c r="K813" i="12766"/>
  <c r="K843" i="12766"/>
  <c r="C180" i="12767"/>
  <c r="C184" i="12767" s="1"/>
  <c r="C897" i="12787"/>
  <c r="G785" i="12766"/>
  <c r="G787" i="12766" s="1"/>
  <c r="G815" i="12766"/>
  <c r="F483" i="12767"/>
  <c r="Q84" i="12774"/>
  <c r="C525" i="12787"/>
  <c r="C540" i="12787" s="1"/>
  <c r="C490" i="12787"/>
  <c r="G524" i="12787"/>
  <c r="K524" i="12787"/>
  <c r="AA63" i="12764"/>
  <c r="AB63" i="12764"/>
  <c r="Z65" i="12764"/>
  <c r="AB74" i="12764"/>
  <c r="AA74" i="12764"/>
  <c r="H273" i="12787"/>
  <c r="H317" i="12787"/>
  <c r="D773" i="12787"/>
  <c r="D815" i="12787"/>
  <c r="C677" i="12787"/>
  <c r="M153" i="12766"/>
  <c r="D156" i="12766"/>
  <c r="F109" i="12767"/>
  <c r="C89" i="12767"/>
  <c r="G129" i="12787"/>
  <c r="K129" i="12787" s="1"/>
  <c r="C129" i="12787"/>
  <c r="G677" i="12787"/>
  <c r="K78" i="12763"/>
  <c r="J78" i="12763"/>
  <c r="L78" i="12763" s="1"/>
  <c r="H942" i="12766"/>
  <c r="H928" i="12766"/>
  <c r="K928" i="12766"/>
  <c r="K942" i="12766"/>
  <c r="C179" i="12767"/>
  <c r="C183" i="12767" s="1"/>
  <c r="I91" i="12774"/>
  <c r="F342" i="12767"/>
  <c r="H804" i="12787"/>
  <c r="H776" i="12787" s="1"/>
  <c r="F91" i="12774"/>
  <c r="K505" i="12766"/>
  <c r="K159" i="12766"/>
  <c r="G807" i="12787"/>
  <c r="G779" i="12787" s="1"/>
  <c r="H259" i="12787"/>
  <c r="H261" i="12787" s="1"/>
  <c r="C148" i="12861" l="1"/>
  <c r="I520" i="12861"/>
  <c r="F521" i="12861"/>
  <c r="I675" i="12860"/>
  <c r="F676" i="12860"/>
  <c r="I1210" i="12860"/>
  <c r="F1211" i="12860"/>
  <c r="I1225" i="12860"/>
  <c r="F1226" i="12860"/>
  <c r="C1029" i="12860"/>
  <c r="C1030" i="12860" s="1"/>
  <c r="C972" i="12860"/>
  <c r="C973" i="12860" s="1"/>
  <c r="C1066" i="12860"/>
  <c r="I146" i="12860"/>
  <c r="F147" i="12860"/>
  <c r="I676" i="12861"/>
  <c r="F677" i="12861"/>
  <c r="I46" i="12860"/>
  <c r="M46" i="12860" s="1"/>
  <c r="Q46" i="12860" s="1"/>
  <c r="U46" i="12860" s="1"/>
  <c r="F47" i="12860"/>
  <c r="I1271" i="12861"/>
  <c r="F1272" i="12861"/>
  <c r="L38" i="12783"/>
  <c r="F133" i="12843"/>
  <c r="C117" i="12843"/>
  <c r="C118" i="12843" s="1"/>
  <c r="C116" i="12860"/>
  <c r="C117" i="12861"/>
  <c r="C118" i="12861" s="1"/>
  <c r="I1215" i="12861"/>
  <c r="F1216" i="12861"/>
  <c r="F117" i="12843"/>
  <c r="F116" i="12860"/>
  <c r="F117" i="12861"/>
  <c r="I131" i="12860"/>
  <c r="F132" i="12860"/>
  <c r="I1231" i="12861"/>
  <c r="F1232" i="12861"/>
  <c r="I1154" i="12860"/>
  <c r="F1155" i="12860"/>
  <c r="C1066" i="12861"/>
  <c r="C1029" i="12861"/>
  <c r="C1030" i="12861" s="1"/>
  <c r="C971" i="12861"/>
  <c r="C972" i="12861" s="1"/>
  <c r="I413" i="12860"/>
  <c r="F414" i="12860"/>
  <c r="I147" i="12861"/>
  <c r="F148" i="12861"/>
  <c r="I64" i="12860"/>
  <c r="M64" i="12860" s="1"/>
  <c r="Q64" i="12860" s="1"/>
  <c r="U64" i="12860" s="1"/>
  <c r="F65" i="12860"/>
  <c r="I47" i="12861"/>
  <c r="F48" i="12861"/>
  <c r="F1168" i="12860"/>
  <c r="I1198" i="12860"/>
  <c r="F1199" i="12860"/>
  <c r="I1265" i="12860"/>
  <c r="F1266" i="12860"/>
  <c r="F275" i="12843"/>
  <c r="F275" i="12861"/>
  <c r="F274" i="12860"/>
  <c r="F162" i="12843"/>
  <c r="F100" i="12843" s="1"/>
  <c r="F162" i="12861"/>
  <c r="F161" i="12860"/>
  <c r="I1065" i="12861"/>
  <c r="F1029" i="12861"/>
  <c r="F971" i="12861"/>
  <c r="F1066" i="12861"/>
  <c r="I310" i="12861"/>
  <c r="F311" i="12861"/>
  <c r="I1140" i="12861"/>
  <c r="F1141" i="12861"/>
  <c r="R84" i="12774"/>
  <c r="H945" i="12787"/>
  <c r="H947" i="12787" s="1"/>
  <c r="F1139" i="12843"/>
  <c r="I519" i="12860"/>
  <c r="F520" i="12860"/>
  <c r="I132" i="12861"/>
  <c r="F133" i="12861"/>
  <c r="I1065" i="12860"/>
  <c r="F1029" i="12860"/>
  <c r="F972" i="12860"/>
  <c r="F1066" i="12860"/>
  <c r="I1157" i="12861"/>
  <c r="F1158" i="12861"/>
  <c r="I309" i="12860"/>
  <c r="F310" i="12860"/>
  <c r="I1138" i="12860"/>
  <c r="F1139" i="12860"/>
  <c r="I414" i="12861"/>
  <c r="F415" i="12861"/>
  <c r="I65" i="12861"/>
  <c r="F66" i="12861"/>
  <c r="F1171" i="12861"/>
  <c r="I1202" i="12861"/>
  <c r="F1203" i="12861"/>
  <c r="C344" i="12861"/>
  <c r="C241" i="12861" s="1"/>
  <c r="C1271" i="12861"/>
  <c r="C1272" i="12861" s="1"/>
  <c r="C819" i="12861"/>
  <c r="C820" i="12861" s="1"/>
  <c r="C1103" i="12861"/>
  <c r="C1104" i="12861" s="1"/>
  <c r="C1157" i="12861"/>
  <c r="C1158" i="12861" s="1"/>
  <c r="C1084" i="12861"/>
  <c r="C989" i="12861" s="1"/>
  <c r="C555" i="12861"/>
  <c r="C485" i="12861" s="1"/>
  <c r="C486" i="12861" s="1"/>
  <c r="C1215" i="12861"/>
  <c r="C1216" i="12861" s="1"/>
  <c r="C1202" i="12861"/>
  <c r="C1203" i="12861" s="1"/>
  <c r="C714" i="12861"/>
  <c r="C715" i="12861" s="1"/>
  <c r="C83" i="12861"/>
  <c r="C84" i="12861" s="1"/>
  <c r="C1140" i="12861"/>
  <c r="C1141" i="12861" s="1"/>
  <c r="C872" i="12861"/>
  <c r="C873" i="12861" s="1"/>
  <c r="F819" i="12861"/>
  <c r="F820" i="12861" s="1"/>
  <c r="F714" i="12861"/>
  <c r="F636" i="12861" s="1"/>
  <c r="F872" i="12861"/>
  <c r="I872" i="12861" s="1"/>
  <c r="F344" i="12861"/>
  <c r="I344" i="12861" s="1"/>
  <c r="F83" i="12861"/>
  <c r="F84" i="12861" s="1"/>
  <c r="F555" i="12861"/>
  <c r="I555" i="12861" s="1"/>
  <c r="F1103" i="12861"/>
  <c r="I1103" i="12861" s="1"/>
  <c r="F1084" i="12861"/>
  <c r="F1047" i="12861" s="1"/>
  <c r="F896" i="12861"/>
  <c r="F897" i="12861" s="1"/>
  <c r="F449" i="12861"/>
  <c r="F379" i="12861" s="1"/>
  <c r="U766" i="12843"/>
  <c r="U766" i="12861"/>
  <c r="Q634" i="12843"/>
  <c r="Q634" i="12861"/>
  <c r="E10" i="12869"/>
  <c r="C897" i="12860"/>
  <c r="C898" i="12860" s="1"/>
  <c r="C896" i="12861"/>
  <c r="C897" i="12861" s="1"/>
  <c r="C448" i="12860"/>
  <c r="C378" i="12860" s="1"/>
  <c r="C379" i="12860" s="1"/>
  <c r="C449" i="12861"/>
  <c r="C345" i="12861"/>
  <c r="F1103" i="12843"/>
  <c r="I1103" i="12843" s="1"/>
  <c r="M1103" i="12843" s="1"/>
  <c r="F1103" i="12860"/>
  <c r="F819" i="12843"/>
  <c r="F820" i="12843" s="1"/>
  <c r="F820" i="12860"/>
  <c r="C1210" i="12767"/>
  <c r="C1211" i="12767" s="1"/>
  <c r="AF40" i="12775" s="1"/>
  <c r="AG40" i="12775" s="1"/>
  <c r="C1210" i="12860"/>
  <c r="C1211" i="12860" s="1"/>
  <c r="F714" i="12843"/>
  <c r="F636" i="12843" s="1"/>
  <c r="I636" i="12843" s="1"/>
  <c r="F713" i="12860"/>
  <c r="F873" i="12767"/>
  <c r="I873" i="12767" s="1"/>
  <c r="F873" i="12860"/>
  <c r="F344" i="12843"/>
  <c r="I344" i="12843" s="1"/>
  <c r="F343" i="12860"/>
  <c r="C820" i="12767"/>
  <c r="C820" i="12860"/>
  <c r="C1103" i="12843"/>
  <c r="C1104" i="12843" s="1"/>
  <c r="C1103" i="12860"/>
  <c r="C1104" i="12860" s="1"/>
  <c r="C1155" i="12843"/>
  <c r="C1156" i="12843" s="1"/>
  <c r="C1154" i="12860"/>
  <c r="C1155" i="12860" s="1"/>
  <c r="E85" i="12812"/>
  <c r="F82" i="12860"/>
  <c r="F555" i="12843"/>
  <c r="F556" i="12843" s="1"/>
  <c r="F554" i="12860"/>
  <c r="C344" i="12843"/>
  <c r="C345" i="12843" s="1"/>
  <c r="C343" i="12860"/>
  <c r="K125" i="12811"/>
  <c r="L125" i="12811" s="1"/>
  <c r="C1265" i="12860"/>
  <c r="C1266" i="12860" s="1"/>
  <c r="C1084" i="12843"/>
  <c r="C1085" i="12843" s="1"/>
  <c r="C1084" i="12860"/>
  <c r="C554" i="12767"/>
  <c r="C555" i="12767" s="1"/>
  <c r="AF26" i="12775" s="1"/>
  <c r="AG26" i="12775" s="1"/>
  <c r="C554" i="12860"/>
  <c r="F1084" i="12843"/>
  <c r="I1084" i="12843" s="1"/>
  <c r="F1084" i="12860"/>
  <c r="C1200" i="12843"/>
  <c r="C1201" i="12843" s="1"/>
  <c r="C1198" i="12860"/>
  <c r="C714" i="12843"/>
  <c r="C636" i="12843" s="1"/>
  <c r="C637" i="12843" s="1"/>
  <c r="C713" i="12860"/>
  <c r="K84" i="12811"/>
  <c r="K85" i="12811" s="1"/>
  <c r="C82" i="12860"/>
  <c r="F897" i="12767"/>
  <c r="F898" i="12767" s="1"/>
  <c r="F897" i="12860"/>
  <c r="C1138" i="12843"/>
  <c r="C1139" i="12843" s="1"/>
  <c r="C1138" i="12860"/>
  <c r="C1139" i="12860" s="1"/>
  <c r="C873" i="12767"/>
  <c r="C874" i="12767" s="1"/>
  <c r="AF35" i="12775" s="1"/>
  <c r="AG35" i="12775" s="1"/>
  <c r="C873" i="12860"/>
  <c r="C874" i="12860" s="1"/>
  <c r="I72" i="12812"/>
  <c r="J72" i="12812" s="1"/>
  <c r="AF25" i="12774" s="1"/>
  <c r="F448" i="12860"/>
  <c r="F1266" i="12767"/>
  <c r="F1211" i="12767"/>
  <c r="I1265" i="12767"/>
  <c r="I1198" i="12767"/>
  <c r="I1154" i="12767"/>
  <c r="C94" i="12767"/>
  <c r="C16" i="12859"/>
  <c r="I1169" i="12843"/>
  <c r="K124" i="12811"/>
  <c r="L124" i="12811" s="1"/>
  <c r="F896" i="12843"/>
  <c r="C872" i="12843"/>
  <c r="C873" i="12843" s="1"/>
  <c r="K102" i="12811"/>
  <c r="L102" i="12811" s="1"/>
  <c r="E77" i="12812"/>
  <c r="K123" i="12811"/>
  <c r="L123" i="12811" s="1"/>
  <c r="I76" i="12812"/>
  <c r="J76" i="12812" s="1"/>
  <c r="C713" i="12767"/>
  <c r="C714" i="12767" s="1"/>
  <c r="AF27" i="12775" s="1"/>
  <c r="AG27" i="12775" s="1"/>
  <c r="F713" i="12767"/>
  <c r="H77" i="12811"/>
  <c r="C1198" i="12767"/>
  <c r="F1084" i="12767"/>
  <c r="F872" i="12843"/>
  <c r="F449" i="12843"/>
  <c r="F450" i="12843" s="1"/>
  <c r="F448" i="12767"/>
  <c r="H85" i="12811"/>
  <c r="C82" i="12767"/>
  <c r="C83" i="12767" s="1"/>
  <c r="I79" i="12812"/>
  <c r="N79" i="12811" s="1"/>
  <c r="C83" i="12843"/>
  <c r="C84" i="12843" s="1"/>
  <c r="C1138" i="12767"/>
  <c r="C1139" i="12767" s="1"/>
  <c r="C1213" i="12843"/>
  <c r="C1214" i="12843" s="1"/>
  <c r="I80" i="12812"/>
  <c r="J80" i="12812" s="1"/>
  <c r="AF30" i="12774" s="1"/>
  <c r="K122" i="12811"/>
  <c r="L122" i="12811" s="1"/>
  <c r="K76" i="12811"/>
  <c r="L76" i="12811" s="1"/>
  <c r="C1103" i="12767"/>
  <c r="C1104" i="12767" s="1"/>
  <c r="E82" i="12812"/>
  <c r="F554" i="12767"/>
  <c r="K80" i="12811"/>
  <c r="L80" i="12811" s="1"/>
  <c r="C1154" i="12767"/>
  <c r="C1155" i="12767" s="1"/>
  <c r="C819" i="12843"/>
  <c r="C820" i="12843" s="1"/>
  <c r="C1269" i="12843"/>
  <c r="C1270" i="12843" s="1"/>
  <c r="C1265" i="12767"/>
  <c r="C1266" i="12767" s="1"/>
  <c r="I84" i="12812"/>
  <c r="N84" i="12811" s="1"/>
  <c r="K71" i="12811"/>
  <c r="L71" i="12811" s="1"/>
  <c r="K121" i="12811"/>
  <c r="L121" i="12811" s="1"/>
  <c r="K81" i="12811"/>
  <c r="L81" i="12811" s="1"/>
  <c r="C343" i="12767"/>
  <c r="C344" i="12767" s="1"/>
  <c r="E74" i="12812"/>
  <c r="F343" i="12767"/>
  <c r="F82" i="12767"/>
  <c r="I71" i="12812"/>
  <c r="J71" i="12812" s="1"/>
  <c r="AF24" i="12774" s="1"/>
  <c r="I73" i="12812"/>
  <c r="N73" i="12811" s="1"/>
  <c r="K73" i="12811"/>
  <c r="L73" i="12811" s="1"/>
  <c r="C555" i="12843"/>
  <c r="C556" i="12843" s="1"/>
  <c r="F83" i="12843"/>
  <c r="I83" i="12843" s="1"/>
  <c r="H127" i="12811"/>
  <c r="H137" i="12811" s="1"/>
  <c r="F820" i="12767"/>
  <c r="C1084" i="12767"/>
  <c r="C1047" i="12767" s="1"/>
  <c r="C1048" i="12767" s="1"/>
  <c r="H103" i="12811"/>
  <c r="H117" i="12811" s="1"/>
  <c r="E103" i="12812"/>
  <c r="E117" i="12812" s="1"/>
  <c r="K101" i="12811"/>
  <c r="F54" i="12812"/>
  <c r="J13" i="12812"/>
  <c r="AC45" i="12775"/>
  <c r="C449" i="12843"/>
  <c r="C379" i="12843" s="1"/>
  <c r="C380" i="12843" s="1"/>
  <c r="C897" i="12767"/>
  <c r="C898" i="12767" s="1"/>
  <c r="AF28" i="12775" s="1"/>
  <c r="AG28" i="12775" s="1"/>
  <c r="AD35" i="12764"/>
  <c r="AA20" i="12764"/>
  <c r="V20" i="12764"/>
  <c r="V79" i="12764" s="1"/>
  <c r="AD52" i="12764"/>
  <c r="L37" i="12783"/>
  <c r="O38" i="12831"/>
  <c r="I52" i="12812"/>
  <c r="J52" i="12812" s="1"/>
  <c r="T56" i="12764"/>
  <c r="AB56" i="12764" s="1"/>
  <c r="V53" i="12764"/>
  <c r="I14" i="12812"/>
  <c r="N14" i="12811" s="1"/>
  <c r="W13" i="12764"/>
  <c r="V80" i="12764"/>
  <c r="F1139" i="12767"/>
  <c r="I1138" i="12767"/>
  <c r="F97" i="12812"/>
  <c r="J125" i="12812"/>
  <c r="AF42" i="12774" s="1"/>
  <c r="J121" i="12812"/>
  <c r="AF38" i="12774" s="1"/>
  <c r="J122" i="12812"/>
  <c r="M122" i="12812" s="1"/>
  <c r="O122" i="12811" s="1"/>
  <c r="P122" i="12811" s="1"/>
  <c r="Q122" i="12811" s="1"/>
  <c r="H376" i="12766"/>
  <c r="H378" i="12766" s="1"/>
  <c r="H259" i="12766"/>
  <c r="H261" i="12766" s="1"/>
  <c r="D91" i="12775"/>
  <c r="P91" i="12775" s="1"/>
  <c r="K288" i="12766"/>
  <c r="K290" i="12766" s="1"/>
  <c r="K319" i="12766"/>
  <c r="AE43" i="12774"/>
  <c r="Q89" i="12774" s="1"/>
  <c r="R89" i="12774" s="1"/>
  <c r="K259" i="12766"/>
  <c r="K261" i="12766" s="1"/>
  <c r="AE36" i="12775"/>
  <c r="Q82" i="12775" s="1"/>
  <c r="R82" i="12775" s="1"/>
  <c r="G205" i="12766"/>
  <c r="Q159" i="12766"/>
  <c r="R169" i="12766" s="1"/>
  <c r="K376" i="12766"/>
  <c r="K378" i="12766" s="1"/>
  <c r="X482" i="12766"/>
  <c r="E91" i="12774"/>
  <c r="P91" i="12774" s="1"/>
  <c r="Q80" i="12775"/>
  <c r="R80" i="12775" s="1"/>
  <c r="M174" i="12766"/>
  <c r="H203" i="12766"/>
  <c r="H174" i="12766" s="1"/>
  <c r="H176" i="12766" s="1"/>
  <c r="K625" i="12787"/>
  <c r="R58" i="12764"/>
  <c r="F156" i="12812" s="1"/>
  <c r="F157" i="12812" s="1"/>
  <c r="S19" i="12812"/>
  <c r="S140" i="12812" s="1"/>
  <c r="R84" i="12775"/>
  <c r="C116" i="12767"/>
  <c r="C99" i="12767" s="1"/>
  <c r="H19" i="12811"/>
  <c r="H38" i="12811" s="1"/>
  <c r="I1065" i="12767"/>
  <c r="K13" i="12811"/>
  <c r="L13" i="12811" s="1"/>
  <c r="AD64" i="12764"/>
  <c r="AD65" i="12764" s="1"/>
  <c r="C1066" i="12767"/>
  <c r="AF19" i="12775" s="1"/>
  <c r="AG19" i="12775" s="1"/>
  <c r="C1029" i="12767"/>
  <c r="C1030" i="12767" s="1"/>
  <c r="H68" i="12811"/>
  <c r="AE22" i="12775"/>
  <c r="Q68" i="12775" s="1"/>
  <c r="R68" i="12775" s="1"/>
  <c r="F677" i="12843"/>
  <c r="S1195" i="12767"/>
  <c r="K72" i="12811"/>
  <c r="L72" i="12811" s="1"/>
  <c r="C448" i="12767"/>
  <c r="C449" i="12767" s="1"/>
  <c r="AF25" i="12775" s="1"/>
  <c r="AG25" i="12775" s="1"/>
  <c r="H74" i="12811"/>
  <c r="K74" i="12811" s="1"/>
  <c r="AE32" i="12775"/>
  <c r="K79" i="12811"/>
  <c r="L79" i="12811" s="1"/>
  <c r="C896" i="12843"/>
  <c r="C897" i="12843" s="1"/>
  <c r="H82" i="12811"/>
  <c r="K82" i="12811" s="1"/>
  <c r="F1029" i="12767"/>
  <c r="AE43" i="12775"/>
  <c r="Q89" i="12775" s="1"/>
  <c r="R89" i="12775" s="1"/>
  <c r="F972" i="12767"/>
  <c r="I1222" i="12767"/>
  <c r="U1222" i="12767" s="1"/>
  <c r="N53" i="12811"/>
  <c r="I100" i="12843"/>
  <c r="F101" i="12843"/>
  <c r="I162" i="12843"/>
  <c r="F163" i="12843"/>
  <c r="O40" i="12831"/>
  <c r="L39" i="12783"/>
  <c r="H376" i="12787"/>
  <c r="H378" i="12787" s="1"/>
  <c r="R168" i="12766"/>
  <c r="I1065" i="12843"/>
  <c r="F971" i="12843"/>
  <c r="F1029" i="12843"/>
  <c r="F1066" i="12843"/>
  <c r="H813" i="12787"/>
  <c r="H785" i="12787" s="1"/>
  <c r="H787" i="12787" s="1"/>
  <c r="I275" i="12843"/>
  <c r="F276" i="12843"/>
  <c r="AE36" i="12774"/>
  <c r="Q82" i="12774" s="1"/>
  <c r="R82" i="12774" s="1"/>
  <c r="I1229" i="12843"/>
  <c r="F1230" i="12843"/>
  <c r="Q1208" i="12767"/>
  <c r="O1211" i="12843"/>
  <c r="S1151" i="12767"/>
  <c r="S1154" i="12861" s="1"/>
  <c r="I766" i="12843"/>
  <c r="G1211" i="12843"/>
  <c r="I1211" i="12843" s="1"/>
  <c r="I1212" i="12843" s="1"/>
  <c r="I1214" i="12843" s="1"/>
  <c r="G1152" i="12767"/>
  <c r="G1223" i="12767"/>
  <c r="I1151" i="12767"/>
  <c r="U1151" i="12767" s="1"/>
  <c r="U1208" i="12767"/>
  <c r="S1211" i="12843"/>
  <c r="U1211" i="12843" s="1"/>
  <c r="S1263" i="12767"/>
  <c r="G1267" i="12843"/>
  <c r="I1267" i="12843" s="1"/>
  <c r="I1166" i="12767"/>
  <c r="U1166" i="12767" s="1"/>
  <c r="G1153" i="12843"/>
  <c r="I1152" i="12843"/>
  <c r="S1167" i="12843"/>
  <c r="I1167" i="12843"/>
  <c r="S1136" i="12767"/>
  <c r="G1136" i="12843"/>
  <c r="I1136" i="12843" s="1"/>
  <c r="G1197" i="12843"/>
  <c r="S1222" i="12767"/>
  <c r="S1228" i="12861" s="1"/>
  <c r="G1226" i="12843"/>
  <c r="I1264" i="12767"/>
  <c r="U1263" i="12767"/>
  <c r="I1137" i="12767"/>
  <c r="U1136" i="12767"/>
  <c r="Q184" i="12767"/>
  <c r="M184" i="12767"/>
  <c r="Q183" i="12767"/>
  <c r="M183" i="12767"/>
  <c r="C615" i="12767"/>
  <c r="M612" i="12767"/>
  <c r="Q950" i="12767"/>
  <c r="Q949" i="12861" s="1"/>
  <c r="Q931" i="12861" s="1"/>
  <c r="M950" i="12767"/>
  <c r="M949" i="12861" s="1"/>
  <c r="M931" i="12861" s="1"/>
  <c r="L46" i="12811"/>
  <c r="L47" i="12811" s="1"/>
  <c r="G110" i="12763"/>
  <c r="G112" i="12763" s="1"/>
  <c r="AA53" i="12764"/>
  <c r="K54" i="12811"/>
  <c r="Q80" i="12774"/>
  <c r="R80" i="12774" s="1"/>
  <c r="AD68" i="12764"/>
  <c r="X104" i="12764"/>
  <c r="AD104" i="12764" s="1"/>
  <c r="K50" i="12811"/>
  <c r="M112" i="12764"/>
  <c r="I413" i="12767"/>
  <c r="I519" i="12767"/>
  <c r="I309" i="12767"/>
  <c r="I146" i="12767"/>
  <c r="I1225" i="12767"/>
  <c r="I116" i="12767"/>
  <c r="I675" i="12767"/>
  <c r="I131" i="12767"/>
  <c r="J58" i="12763"/>
  <c r="L58" i="12763" s="1"/>
  <c r="Q82" i="12764"/>
  <c r="S82" i="12764" s="1"/>
  <c r="AB13" i="12764"/>
  <c r="L44" i="12811"/>
  <c r="W104" i="12764"/>
  <c r="I68" i="12811"/>
  <c r="K44" i="12811"/>
  <c r="AA104" i="12764"/>
  <c r="T79" i="12764"/>
  <c r="X79" i="12764" s="1"/>
  <c r="AD79" i="12764" s="1"/>
  <c r="G1006" i="12766"/>
  <c r="G1009" i="12766" s="1"/>
  <c r="G1016" i="12766" s="1"/>
  <c r="N43" i="12811"/>
  <c r="J21" i="12812"/>
  <c r="AF10" i="12774" s="1"/>
  <c r="N21" i="12811"/>
  <c r="N22" i="12811" s="1"/>
  <c r="J42" i="12812"/>
  <c r="AF15" i="12774" s="1"/>
  <c r="F132" i="12767"/>
  <c r="F1226" i="12767"/>
  <c r="F161" i="12767"/>
  <c r="C239" i="12767"/>
  <c r="W20" i="12764"/>
  <c r="T105" i="12764"/>
  <c r="T106" i="12764" s="1"/>
  <c r="X53" i="12764"/>
  <c r="L123" i="12812" s="1"/>
  <c r="X20" i="12764"/>
  <c r="L43" i="12812" s="1"/>
  <c r="M43" i="12812" s="1"/>
  <c r="W53" i="12764"/>
  <c r="AB53" i="12764"/>
  <c r="T80" i="12764"/>
  <c r="X80" i="12764" s="1"/>
  <c r="AD80" i="12764" s="1"/>
  <c r="AA13" i="12764"/>
  <c r="P28" i="12766"/>
  <c r="O28" i="12766"/>
  <c r="O29" i="12766" s="1"/>
  <c r="X13" i="12764"/>
  <c r="L18" i="12812" s="1"/>
  <c r="AG21" i="12774"/>
  <c r="T32" i="12764"/>
  <c r="I16" i="12812"/>
  <c r="N16" i="12811" s="1"/>
  <c r="F520" i="12767"/>
  <c r="AE12" i="12775"/>
  <c r="I41" i="12812"/>
  <c r="F44" i="12812"/>
  <c r="AB20" i="12764"/>
  <c r="E68" i="12812"/>
  <c r="I46" i="12767"/>
  <c r="M46" i="12767" s="1"/>
  <c r="I38" i="12811"/>
  <c r="M125" i="12812"/>
  <c r="AE12" i="12774"/>
  <c r="L54" i="12811"/>
  <c r="L50" i="12811"/>
  <c r="E19" i="12812"/>
  <c r="E38" i="12812" s="1"/>
  <c r="F274" i="12767"/>
  <c r="F1103" i="12767"/>
  <c r="I81" i="12812"/>
  <c r="M80" i="12812"/>
  <c r="M73" i="12812"/>
  <c r="I64" i="12767"/>
  <c r="M64" i="12767" s="1"/>
  <c r="F65" i="12767"/>
  <c r="I50" i="12812"/>
  <c r="N49" i="12811"/>
  <c r="J49" i="12812"/>
  <c r="AF16" i="12774"/>
  <c r="O17" i="12811"/>
  <c r="P17" i="12811" s="1"/>
  <c r="Q17" i="12811" s="1"/>
  <c r="P17" i="12812"/>
  <c r="Q17" i="12812" s="1"/>
  <c r="I18" i="12812"/>
  <c r="N17" i="12812"/>
  <c r="M14" i="12812"/>
  <c r="M16" i="12812"/>
  <c r="K22" i="12811"/>
  <c r="L21" i="12811"/>
  <c r="L22" i="12811" s="1"/>
  <c r="C274" i="12767"/>
  <c r="F766" i="12767"/>
  <c r="T46" i="12764"/>
  <c r="N53" i="12812"/>
  <c r="O53" i="12811"/>
  <c r="P53" i="12812"/>
  <c r="Q53" i="12812" s="1"/>
  <c r="N124" i="12811"/>
  <c r="J124" i="12812"/>
  <c r="I123" i="12812"/>
  <c r="F127" i="12812"/>
  <c r="Q58" i="12775"/>
  <c r="R58" i="12775" s="1"/>
  <c r="AC45" i="12774"/>
  <c r="R57" i="12774"/>
  <c r="AE32" i="12774"/>
  <c r="Q78" i="12774" s="1"/>
  <c r="R78" i="12774" s="1"/>
  <c r="R57" i="12775"/>
  <c r="C1287" i="12767"/>
  <c r="C1226" i="12767"/>
  <c r="C162" i="12767"/>
  <c r="C132" i="12767"/>
  <c r="C65" i="12767"/>
  <c r="AD34" i="12764"/>
  <c r="AD36" i="12764"/>
  <c r="G842" i="12787"/>
  <c r="K842" i="12787" s="1"/>
  <c r="K843" i="12787" s="1"/>
  <c r="T97" i="12764"/>
  <c r="X38" i="12764"/>
  <c r="L81" i="12812" s="1"/>
  <c r="AB38" i="12764"/>
  <c r="W38" i="12764"/>
  <c r="AA38" i="12764"/>
  <c r="F1168" i="12767"/>
  <c r="F1199" i="12767"/>
  <c r="F47" i="12767"/>
  <c r="C145" i="12767"/>
  <c r="F139" i="12767"/>
  <c r="F145" i="12767" s="1"/>
  <c r="F115" i="12767"/>
  <c r="T7" i="12764" s="1"/>
  <c r="Q65" i="12764"/>
  <c r="S65" i="12764" s="1"/>
  <c r="R65" i="12764"/>
  <c r="Q69" i="12764"/>
  <c r="S69" i="12764" s="1"/>
  <c r="R69" i="12764"/>
  <c r="R75" i="12764"/>
  <c r="Q75" i="12764"/>
  <c r="S75" i="12764" s="1"/>
  <c r="K104" i="12763"/>
  <c r="J104" i="12763"/>
  <c r="L104" i="12763" s="1"/>
  <c r="K994" i="12787"/>
  <c r="K995" i="12787" s="1"/>
  <c r="G995" i="12787"/>
  <c r="J65" i="12763"/>
  <c r="L65" i="12763" s="1"/>
  <c r="K65" i="12763"/>
  <c r="J96" i="12763"/>
  <c r="L96" i="12763" s="1"/>
  <c r="K96" i="12763"/>
  <c r="D156" i="12787"/>
  <c r="M153" i="12787"/>
  <c r="K70" i="12763"/>
  <c r="J70" i="12763"/>
  <c r="B36" i="12783"/>
  <c r="F412" i="12767"/>
  <c r="G870" i="12787"/>
  <c r="D1049" i="12787"/>
  <c r="D157" i="12787"/>
  <c r="D1048" i="12787" s="1"/>
  <c r="K43" i="12787"/>
  <c r="G44" i="12787"/>
  <c r="K85" i="12763"/>
  <c r="J85" i="12763"/>
  <c r="L85" i="12763" s="1"/>
  <c r="F447" i="12767"/>
  <c r="C414" i="12767"/>
  <c r="C520" i="12767"/>
  <c r="C407" i="12787"/>
  <c r="C377" i="12787"/>
  <c r="C378" i="12787" s="1"/>
  <c r="C946" i="12787"/>
  <c r="C947" i="12787" s="1"/>
  <c r="C973" i="1278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AA65" i="12764"/>
  <c r="AB65" i="12764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G26" i="12787"/>
  <c r="K77" i="12787"/>
  <c r="G78" i="1278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K924" i="12787"/>
  <c r="G925" i="12787"/>
  <c r="G813" i="12787"/>
  <c r="W93" i="12764"/>
  <c r="AB93" i="12764"/>
  <c r="X93" i="12764"/>
  <c r="AD93" i="12764" s="1"/>
  <c r="AA93" i="12764"/>
  <c r="R52" i="12775"/>
  <c r="G90" i="12787"/>
  <c r="K90" i="12787" s="1"/>
  <c r="K103" i="12787"/>
  <c r="C89" i="12787"/>
  <c r="C104" i="12787"/>
  <c r="K84" i="12787"/>
  <c r="C613" i="12767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G984" i="12787"/>
  <c r="K983" i="12787"/>
  <c r="K984" i="12787" s="1"/>
  <c r="P628" i="12766"/>
  <c r="O628" i="12766"/>
  <c r="O630" i="12766" s="1"/>
  <c r="M630" i="12766"/>
  <c r="X45" i="12764"/>
  <c r="L101" i="12812" s="1"/>
  <c r="AA45" i="12764"/>
  <c r="T89" i="12764"/>
  <c r="W45" i="12764"/>
  <c r="AB45" i="12764"/>
  <c r="X23" i="12764"/>
  <c r="L49" i="12812" s="1"/>
  <c r="AA23" i="12764"/>
  <c r="T95" i="12764"/>
  <c r="W23" i="12764"/>
  <c r="AB23" i="12764"/>
  <c r="C130" i="12787"/>
  <c r="C90" i="12787"/>
  <c r="K81" i="12763"/>
  <c r="J81" i="12763"/>
  <c r="L81" i="12763" s="1"/>
  <c r="C90" i="12767"/>
  <c r="Q52" i="12774"/>
  <c r="Q58" i="12774" s="1"/>
  <c r="H931" i="12766"/>
  <c r="H933" i="12766" s="1"/>
  <c r="H944" i="12766"/>
  <c r="G626" i="12787"/>
  <c r="K677" i="12787"/>
  <c r="K678" i="12787" s="1"/>
  <c r="G678" i="1278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C898" i="12787"/>
  <c r="K759" i="12787"/>
  <c r="K760" i="12787" s="1"/>
  <c r="G760" i="1278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C47" i="1276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K575" i="12787"/>
  <c r="K576" i="12787" s="1"/>
  <c r="G576" i="12787"/>
  <c r="G507" i="12787"/>
  <c r="K507" i="12787" s="1"/>
  <c r="K541" i="12787"/>
  <c r="C85" i="12787"/>
  <c r="G98" i="12787"/>
  <c r="G102" i="12787" s="1"/>
  <c r="K98" i="12787"/>
  <c r="G84" i="12787"/>
  <c r="K1031" i="12787"/>
  <c r="G1032" i="12787"/>
  <c r="R20" i="12766"/>
  <c r="Q20" i="12766"/>
  <c r="R21" i="12766"/>
  <c r="Q21" i="12766"/>
  <c r="R16" i="12766"/>
  <c r="Q16" i="12766"/>
  <c r="AD22" i="12774"/>
  <c r="AD44" i="12774" s="1"/>
  <c r="AE14" i="12774"/>
  <c r="X65" i="12764"/>
  <c r="W65" i="12764"/>
  <c r="K728" i="12787"/>
  <c r="K729" i="12787" s="1"/>
  <c r="G729" i="12787"/>
  <c r="C310" i="12767"/>
  <c r="G946" i="12787"/>
  <c r="K972" i="12787"/>
  <c r="K973" i="12787" s="1"/>
  <c r="G973" i="12787"/>
  <c r="P509" i="12766"/>
  <c r="M512" i="12766"/>
  <c r="O509" i="12766"/>
  <c r="O511" i="12766" s="1"/>
  <c r="C115" i="12767"/>
  <c r="C674" i="12767"/>
  <c r="S1136" i="12843" l="1"/>
  <c r="S1138" i="12861"/>
  <c r="I1029" i="12860"/>
  <c r="F1030" i="12860"/>
  <c r="U1065" i="12861"/>
  <c r="Q1065" i="12861"/>
  <c r="M1065" i="12861"/>
  <c r="I274" i="12860"/>
  <c r="F275" i="12860"/>
  <c r="Q1265" i="12860"/>
  <c r="U1265" i="12860"/>
  <c r="M1265" i="12860"/>
  <c r="I1266" i="12860"/>
  <c r="U1154" i="12860"/>
  <c r="U1148" i="12860" s="1"/>
  <c r="M1154" i="12860"/>
  <c r="M1148" i="12860" s="1"/>
  <c r="Q1154" i="12860"/>
  <c r="Q1148" i="12860" s="1"/>
  <c r="I1155" i="12860"/>
  <c r="M1271" i="12861"/>
  <c r="U1271" i="12861"/>
  <c r="Q1271" i="12861"/>
  <c r="I1272" i="12861"/>
  <c r="C100" i="12843"/>
  <c r="C101" i="12843" s="1"/>
  <c r="J17" i="12783" s="1"/>
  <c r="U1138" i="12860"/>
  <c r="Q1138" i="12860"/>
  <c r="M1138" i="12860"/>
  <c r="I1139" i="12860"/>
  <c r="Q1157" i="12861"/>
  <c r="M1157" i="12861"/>
  <c r="U1157" i="12861"/>
  <c r="I1158" i="12861"/>
  <c r="M519" i="12860"/>
  <c r="U519" i="12860"/>
  <c r="Q519" i="12860"/>
  <c r="I161" i="12860"/>
  <c r="F162" i="12860"/>
  <c r="I275" i="12861"/>
  <c r="F276" i="12861"/>
  <c r="I117" i="12861"/>
  <c r="F100" i="12861"/>
  <c r="F118" i="12861"/>
  <c r="Q1215" i="12861"/>
  <c r="M1215" i="12861"/>
  <c r="U1215" i="12861"/>
  <c r="I1216" i="12861"/>
  <c r="M1210" i="12860"/>
  <c r="M1206" i="12860" s="1"/>
  <c r="K1206" i="12860" s="1"/>
  <c r="Q1210" i="12860"/>
  <c r="Q1206" i="12860" s="1"/>
  <c r="O1206" i="12860" s="1"/>
  <c r="U1210" i="12860"/>
  <c r="U1206" i="12860" s="1"/>
  <c r="S1206" i="12860" s="1"/>
  <c r="I1211" i="12860"/>
  <c r="M1202" i="12861"/>
  <c r="Q1202" i="12861"/>
  <c r="U1202" i="12861"/>
  <c r="U1171" i="12861" s="1"/>
  <c r="I1203" i="12861"/>
  <c r="U1140" i="12861"/>
  <c r="M1140" i="12861"/>
  <c r="Q1140" i="12861"/>
  <c r="I1141" i="12861"/>
  <c r="I971" i="12861"/>
  <c r="F972" i="12861"/>
  <c r="I162" i="12861"/>
  <c r="F163" i="12861"/>
  <c r="M1198" i="12860"/>
  <c r="U1198" i="12860"/>
  <c r="Q1198" i="12860"/>
  <c r="Q1168" i="12860" s="1"/>
  <c r="I1199" i="12860"/>
  <c r="Q1231" i="12861"/>
  <c r="M1231" i="12861"/>
  <c r="U1231" i="12861"/>
  <c r="I116" i="12860"/>
  <c r="F99" i="12860"/>
  <c r="F117" i="12860"/>
  <c r="S1197" i="12843"/>
  <c r="S1199" i="12861"/>
  <c r="I1171" i="12861"/>
  <c r="I1172" i="12861" s="1"/>
  <c r="F1172" i="12861"/>
  <c r="M309" i="12860"/>
  <c r="Q309" i="12860"/>
  <c r="U309" i="12860"/>
  <c r="I972" i="12860"/>
  <c r="F973" i="12860"/>
  <c r="F1030" i="12861"/>
  <c r="I1029" i="12861"/>
  <c r="I1168" i="12860"/>
  <c r="I1169" i="12860" s="1"/>
  <c r="F1169" i="12860"/>
  <c r="Q413" i="12860"/>
  <c r="U413" i="12860"/>
  <c r="M413" i="12860"/>
  <c r="F118" i="12843"/>
  <c r="I117" i="12843"/>
  <c r="C99" i="12860"/>
  <c r="C100" i="12860" s="1"/>
  <c r="C117" i="12860"/>
  <c r="Q1225" i="12860"/>
  <c r="Q1221" i="12860" s="1"/>
  <c r="U1225" i="12860"/>
  <c r="U1221" i="12860" s="1"/>
  <c r="M1225" i="12860"/>
  <c r="M1221" i="12860" s="1"/>
  <c r="Q675" i="12860"/>
  <c r="U675" i="12860"/>
  <c r="M675" i="12860"/>
  <c r="C100" i="12861"/>
  <c r="C101" i="12861" s="1"/>
  <c r="I819" i="12861"/>
  <c r="I768" i="12861" s="1"/>
  <c r="C1085" i="12861"/>
  <c r="C1047" i="12861"/>
  <c r="C1009" i="12861" s="1"/>
  <c r="C1010" i="12861" s="1"/>
  <c r="C1171" i="12861"/>
  <c r="C1172" i="12861" s="1"/>
  <c r="C26" i="12861"/>
  <c r="C27" i="12861" s="1"/>
  <c r="C556" i="12861"/>
  <c r="C768" i="12861"/>
  <c r="C769" i="12861" s="1"/>
  <c r="C636" i="12861"/>
  <c r="C637" i="12861" s="1"/>
  <c r="I896" i="12861"/>
  <c r="U896" i="12861" s="1"/>
  <c r="I83" i="12861"/>
  <c r="F26" i="12861"/>
  <c r="F27" i="12861" s="1"/>
  <c r="F873" i="12861"/>
  <c r="I449" i="12861"/>
  <c r="F715" i="12861"/>
  <c r="F450" i="12861"/>
  <c r="F485" i="12861"/>
  <c r="F486" i="12861" s="1"/>
  <c r="I714" i="12861"/>
  <c r="I1084" i="12861"/>
  <c r="U1084" i="12861" s="1"/>
  <c r="F768" i="12861"/>
  <c r="F769" i="12861" s="1"/>
  <c r="F1104" i="12861"/>
  <c r="F241" i="12861"/>
  <c r="I241" i="12861" s="1"/>
  <c r="F989" i="12861"/>
  <c r="I989" i="12861" s="1"/>
  <c r="F556" i="12861"/>
  <c r="F345" i="12861"/>
  <c r="F1085" i="12861"/>
  <c r="L30" i="12831"/>
  <c r="J29" i="12783"/>
  <c r="M613" i="12843"/>
  <c r="M613" i="12861"/>
  <c r="U1152" i="12843"/>
  <c r="U1154" i="12861"/>
  <c r="Q1213" i="12861"/>
  <c r="M1213" i="12861"/>
  <c r="U1226" i="12843"/>
  <c r="U1228" i="12861"/>
  <c r="S1267" i="12843"/>
  <c r="S1269" i="12861"/>
  <c r="E39" i="12869"/>
  <c r="T10" i="12869"/>
  <c r="T12" i="12869" s="1"/>
  <c r="E12" i="12869"/>
  <c r="J40" i="12783"/>
  <c r="J37" i="12783"/>
  <c r="J38" i="12783"/>
  <c r="U1136" i="12843"/>
  <c r="U1138" i="12861"/>
  <c r="U1267" i="12843"/>
  <c r="U1269" i="12861"/>
  <c r="F715" i="12843"/>
  <c r="N72" i="12811"/>
  <c r="F241" i="12843"/>
  <c r="F242" i="12843" s="1"/>
  <c r="I819" i="12843"/>
  <c r="I555" i="12843"/>
  <c r="C449" i="12860"/>
  <c r="F1047" i="12843"/>
  <c r="F1009" i="12843" s="1"/>
  <c r="C767" i="12767"/>
  <c r="C768" i="12767" s="1"/>
  <c r="F1104" i="12843"/>
  <c r="F989" i="12843"/>
  <c r="I989" i="12843" s="1"/>
  <c r="C821" i="12767"/>
  <c r="AF34" i="12775" s="1"/>
  <c r="I897" i="12767"/>
  <c r="U897" i="12767" s="1"/>
  <c r="C1047" i="12843"/>
  <c r="C1009" i="12843" s="1"/>
  <c r="C1010" i="12843" s="1"/>
  <c r="L39" i="12831"/>
  <c r="C989" i="12843"/>
  <c r="C990" i="12843" s="1"/>
  <c r="C379" i="12861"/>
  <c r="C380" i="12861" s="1"/>
  <c r="C450" i="12861"/>
  <c r="F874" i="12767"/>
  <c r="L84" i="12811"/>
  <c r="L85" i="12811" s="1"/>
  <c r="I714" i="12843"/>
  <c r="F345" i="12843"/>
  <c r="C715" i="12843"/>
  <c r="C1168" i="12767"/>
  <c r="C1169" i="12767" s="1"/>
  <c r="M1103" i="12861"/>
  <c r="U1103" i="12861"/>
  <c r="Q1103" i="12861"/>
  <c r="I379" i="12861"/>
  <c r="F380" i="12861"/>
  <c r="I636" i="12861"/>
  <c r="F637" i="12861"/>
  <c r="I1047" i="12861"/>
  <c r="F1048" i="12861"/>
  <c r="F1009" i="12861"/>
  <c r="F1085" i="12843"/>
  <c r="C241" i="12843"/>
  <c r="C242" i="12843" s="1"/>
  <c r="F485" i="12843"/>
  <c r="F486" i="12843" s="1"/>
  <c r="C990" i="12861"/>
  <c r="C952" i="12861"/>
  <c r="C242" i="12861"/>
  <c r="I448" i="12860"/>
  <c r="F378" i="12860"/>
  <c r="F449" i="12860"/>
  <c r="C1168" i="12860"/>
  <c r="C1169" i="12860" s="1"/>
  <c r="C1199" i="12860"/>
  <c r="I82" i="12860"/>
  <c r="M82" i="12860" s="1"/>
  <c r="Q82" i="12860" s="1"/>
  <c r="U82" i="12860" s="1"/>
  <c r="F26" i="12860"/>
  <c r="F83" i="12860"/>
  <c r="I343" i="12860"/>
  <c r="F240" i="12860"/>
  <c r="F344" i="12860"/>
  <c r="I820" i="12860"/>
  <c r="F767" i="12860"/>
  <c r="F768" i="12860" s="1"/>
  <c r="F821" i="12860"/>
  <c r="L38" i="12831"/>
  <c r="I897" i="12860"/>
  <c r="F898" i="12860"/>
  <c r="C635" i="12860"/>
  <c r="C636" i="12860" s="1"/>
  <c r="C714" i="12860"/>
  <c r="I1084" i="12860"/>
  <c r="F1047" i="12860"/>
  <c r="F990" i="12860"/>
  <c r="F1085" i="12860"/>
  <c r="C1047" i="12860"/>
  <c r="C990" i="12860"/>
  <c r="C1085" i="12860"/>
  <c r="C240" i="12860"/>
  <c r="C344" i="12860"/>
  <c r="I554" i="12860"/>
  <c r="F484" i="12860"/>
  <c r="F555" i="12860"/>
  <c r="C767" i="12860"/>
  <c r="C768" i="12860" s="1"/>
  <c r="C821" i="12860"/>
  <c r="I873" i="12860"/>
  <c r="F874" i="12860"/>
  <c r="I1103" i="12860"/>
  <c r="F1104" i="12860"/>
  <c r="C26" i="12860"/>
  <c r="C27" i="12860" s="1"/>
  <c r="C83" i="12860"/>
  <c r="C484" i="12860"/>
  <c r="C485" i="12860" s="1"/>
  <c r="C555" i="12860"/>
  <c r="F635" i="12860"/>
  <c r="I713" i="12860"/>
  <c r="F714" i="12860"/>
  <c r="C484" i="12767"/>
  <c r="C485" i="12767" s="1"/>
  <c r="F873" i="12843"/>
  <c r="I1266" i="12767"/>
  <c r="I713" i="12767"/>
  <c r="F1047" i="12767"/>
  <c r="I820" i="12767"/>
  <c r="I767" i="12767" s="1"/>
  <c r="I554" i="12767"/>
  <c r="I448" i="12767"/>
  <c r="C95" i="12767"/>
  <c r="C17" i="12859"/>
  <c r="I17" i="12859" s="1"/>
  <c r="I16" i="12859"/>
  <c r="I1139" i="12767"/>
  <c r="I896" i="12843"/>
  <c r="Q896" i="12843" s="1"/>
  <c r="K103" i="12811"/>
  <c r="K117" i="12811" s="1"/>
  <c r="E19" i="12810" s="1"/>
  <c r="F19" i="12810" s="1"/>
  <c r="J84" i="12812"/>
  <c r="AF31" i="12774" s="1"/>
  <c r="AG31" i="12774" s="1"/>
  <c r="F897" i="12843"/>
  <c r="F714" i="12767"/>
  <c r="F768" i="12843"/>
  <c r="F769" i="12843" s="1"/>
  <c r="L127" i="12811"/>
  <c r="L137" i="12811" s="1"/>
  <c r="C1199" i="12767"/>
  <c r="AF39" i="12775" s="1"/>
  <c r="AG39" i="12775" s="1"/>
  <c r="I77" i="12812"/>
  <c r="N76" i="12811"/>
  <c r="N77" i="12811" s="1"/>
  <c r="C635" i="12767"/>
  <c r="C26" i="12767"/>
  <c r="C27" i="12767" s="1"/>
  <c r="I872" i="12843"/>
  <c r="F635" i="12767"/>
  <c r="N80" i="12811"/>
  <c r="J79" i="12812"/>
  <c r="AF28" i="12774" s="1"/>
  <c r="AG28" i="12774" s="1"/>
  <c r="F379" i="12843"/>
  <c r="F380" i="12843" s="1"/>
  <c r="I85" i="12812"/>
  <c r="F990" i="12767"/>
  <c r="K77" i="12811"/>
  <c r="K97" i="12811" s="1"/>
  <c r="I449" i="12843"/>
  <c r="F378" i="12767"/>
  <c r="C26" i="12843"/>
  <c r="C27" i="12843" s="1"/>
  <c r="N80" i="12812"/>
  <c r="C1169" i="12843"/>
  <c r="C1170" i="12843" s="1"/>
  <c r="J73" i="12812"/>
  <c r="AF26" i="12774" s="1"/>
  <c r="AG26" i="12774" s="1"/>
  <c r="F484" i="12767"/>
  <c r="F26" i="12767"/>
  <c r="I26" i="12767" s="1"/>
  <c r="I343" i="12767"/>
  <c r="E97" i="12812"/>
  <c r="E140" i="12812" s="1"/>
  <c r="C768" i="12843"/>
  <c r="C769" i="12843" s="1"/>
  <c r="F555" i="12767"/>
  <c r="L41" i="12831"/>
  <c r="I82" i="12767"/>
  <c r="M82" i="12767" s="1"/>
  <c r="Q82" i="12767" s="1"/>
  <c r="U82" i="12767" s="1"/>
  <c r="L74" i="12811"/>
  <c r="C485" i="12843"/>
  <c r="C486" i="12843" s="1"/>
  <c r="N71" i="12811"/>
  <c r="K127" i="12811"/>
  <c r="K137" i="12811" s="1"/>
  <c r="E20" i="12810" s="1"/>
  <c r="F20" i="12810" s="1"/>
  <c r="L82" i="12811"/>
  <c r="L101" i="12811"/>
  <c r="L103" i="12811" s="1"/>
  <c r="L117" i="12811" s="1"/>
  <c r="F84" i="12843"/>
  <c r="F26" i="12843"/>
  <c r="I26" i="12843" s="1"/>
  <c r="F83" i="12767"/>
  <c r="C1085" i="12767"/>
  <c r="AF30" i="12775" s="1"/>
  <c r="AG30" i="12775" s="1"/>
  <c r="I74" i="12812"/>
  <c r="C990" i="12767"/>
  <c r="C953" i="12767" s="1"/>
  <c r="C954" i="12767" s="1"/>
  <c r="X7" i="12764"/>
  <c r="W7" i="12764"/>
  <c r="V7" i="12764"/>
  <c r="V67" i="12764" s="1"/>
  <c r="V69" i="12764" s="1"/>
  <c r="I54" i="12812"/>
  <c r="T9" i="12764"/>
  <c r="V9" i="12764" s="1"/>
  <c r="V73" i="12764" s="1"/>
  <c r="V75" i="12764" s="1"/>
  <c r="C450" i="12843"/>
  <c r="V56" i="12764"/>
  <c r="V105" i="12764"/>
  <c r="V106" i="12764" s="1"/>
  <c r="N52" i="12811"/>
  <c r="N54" i="12811" s="1"/>
  <c r="J14" i="12812"/>
  <c r="AF7" i="12774" s="1"/>
  <c r="AF39" i="12774"/>
  <c r="AA56" i="12764"/>
  <c r="W56" i="12764"/>
  <c r="X56" i="12764"/>
  <c r="X46" i="12764"/>
  <c r="L102" i="12812" s="1"/>
  <c r="V46" i="12764"/>
  <c r="X32" i="12764"/>
  <c r="L71" i="12812" s="1"/>
  <c r="M71" i="12812" s="1"/>
  <c r="V32" i="12764"/>
  <c r="N125" i="12812"/>
  <c r="Q112" i="12764"/>
  <c r="M113" i="12764"/>
  <c r="P122" i="12812"/>
  <c r="Q122" i="12812" s="1"/>
  <c r="N122" i="12812"/>
  <c r="K203" i="12766"/>
  <c r="H205" i="12766"/>
  <c r="H815" i="12787"/>
  <c r="U1195" i="12767"/>
  <c r="L18" i="12831"/>
  <c r="L21" i="12831" s="1"/>
  <c r="C1009" i="12767"/>
  <c r="C1010" i="12767" s="1"/>
  <c r="L26" i="12831"/>
  <c r="J25" i="12783"/>
  <c r="F637" i="12843"/>
  <c r="J27" i="12783"/>
  <c r="M932" i="12767"/>
  <c r="M949" i="12843"/>
  <c r="M931" i="12843" s="1"/>
  <c r="Q932" i="12767"/>
  <c r="Q949" i="12843"/>
  <c r="Q931" i="12843" s="1"/>
  <c r="M1211" i="12843"/>
  <c r="Q1211" i="12843"/>
  <c r="I972" i="12767"/>
  <c r="I1029" i="12767"/>
  <c r="AE44" i="12775"/>
  <c r="C378" i="12767"/>
  <c r="C379" i="12767" s="1"/>
  <c r="H97" i="12811"/>
  <c r="H140" i="12811" s="1"/>
  <c r="L28" i="12831"/>
  <c r="S169" i="12766"/>
  <c r="U169" i="12766" s="1"/>
  <c r="S1226" i="12843"/>
  <c r="S1152" i="12843"/>
  <c r="P53" i="12811"/>
  <c r="Q53" i="12811" s="1"/>
  <c r="O18" i="12831"/>
  <c r="O21" i="12831" s="1"/>
  <c r="L17" i="12783"/>
  <c r="L30" i="12783"/>
  <c r="O31" i="12831"/>
  <c r="F1030" i="12843"/>
  <c r="I1029" i="12843"/>
  <c r="Q23" i="12766"/>
  <c r="F972" i="12843"/>
  <c r="I971" i="12843"/>
  <c r="I1153" i="12767"/>
  <c r="I1155" i="12767" s="1"/>
  <c r="I1195" i="12767"/>
  <c r="I1197" i="12767" s="1"/>
  <c r="I1199" i="12767" s="1"/>
  <c r="I1208" i="12767"/>
  <c r="I1209" i="12767" s="1"/>
  <c r="I1211" i="12767" s="1"/>
  <c r="G1196" i="12767"/>
  <c r="AF7" i="12775"/>
  <c r="AG7" i="12775" s="1"/>
  <c r="AF9" i="12775"/>
  <c r="AG9" i="12775" s="1"/>
  <c r="AF20" i="12775"/>
  <c r="AG20" i="12775" s="1"/>
  <c r="AF24" i="12775"/>
  <c r="AG24" i="12775" s="1"/>
  <c r="AF31" i="12775"/>
  <c r="AG31" i="12775" s="1"/>
  <c r="I1137" i="12843"/>
  <c r="I1139" i="12843" s="1"/>
  <c r="S23" i="12767"/>
  <c r="S43" i="12767" s="1"/>
  <c r="U43" i="12767" s="1"/>
  <c r="U1167" i="12843"/>
  <c r="I1268" i="12843"/>
  <c r="I1270" i="12843" s="1"/>
  <c r="G1227" i="12843"/>
  <c r="I1226" i="12843"/>
  <c r="I1197" i="12843"/>
  <c r="I1199" i="12843" s="1"/>
  <c r="G1198" i="12843"/>
  <c r="I1154" i="12843"/>
  <c r="I1156" i="12843" s="1"/>
  <c r="X1156" i="12843" s="1"/>
  <c r="C616" i="12767"/>
  <c r="M613" i="12767"/>
  <c r="Q615" i="12767"/>
  <c r="M615" i="12767"/>
  <c r="G988" i="12767"/>
  <c r="I988" i="12767" s="1"/>
  <c r="I1082" i="12767" s="1"/>
  <c r="S950" i="12767"/>
  <c r="Q46" i="12767"/>
  <c r="U46" i="12767" s="1"/>
  <c r="I79" i="12767"/>
  <c r="G895" i="12767"/>
  <c r="I895" i="12767" s="1"/>
  <c r="Q64" i="12767"/>
  <c r="U64" i="12767" s="1"/>
  <c r="G970" i="12767"/>
  <c r="I970" i="12767" s="1"/>
  <c r="I1063" i="12767" s="1"/>
  <c r="I950" i="12767"/>
  <c r="I932" i="12767" s="1"/>
  <c r="I43" i="12767"/>
  <c r="I61" i="12767"/>
  <c r="AD20" i="12764"/>
  <c r="AD53" i="12764"/>
  <c r="AD56" i="12764" s="1"/>
  <c r="K68" i="12811"/>
  <c r="E17" i="12810" s="1"/>
  <c r="F17" i="12810" s="1"/>
  <c r="R112" i="12764"/>
  <c r="R113" i="12764" s="1"/>
  <c r="X106" i="12764"/>
  <c r="I1168" i="12767"/>
  <c r="F162" i="12767"/>
  <c r="I1103" i="12767"/>
  <c r="AB106" i="12764"/>
  <c r="AB105" i="12764"/>
  <c r="I140" i="12811"/>
  <c r="W106" i="12764"/>
  <c r="AA105" i="12764"/>
  <c r="AB80" i="12764"/>
  <c r="AB79" i="12764"/>
  <c r="AA79" i="12764"/>
  <c r="W79" i="12764"/>
  <c r="AA106" i="12764"/>
  <c r="X105" i="12764"/>
  <c r="AD105" i="12764" s="1"/>
  <c r="AD106" i="12764" s="1"/>
  <c r="W105" i="12764"/>
  <c r="W80" i="12764"/>
  <c r="J22" i="12812"/>
  <c r="F1169" i="12767"/>
  <c r="AA32" i="12764"/>
  <c r="AB32" i="12764"/>
  <c r="AA80" i="12764"/>
  <c r="W32" i="12764"/>
  <c r="C147" i="12767"/>
  <c r="AF21" i="12775"/>
  <c r="AG21" i="12775" s="1"/>
  <c r="T47" i="12764"/>
  <c r="AA47" i="12764" s="1"/>
  <c r="AD13" i="12764"/>
  <c r="G378" i="12787"/>
  <c r="H1006" i="12766"/>
  <c r="H1009" i="12766" s="1"/>
  <c r="H1016" i="12766" s="1"/>
  <c r="G843" i="12787"/>
  <c r="AF38" i="12775"/>
  <c r="AG38" i="12775" s="1"/>
  <c r="W46" i="12764"/>
  <c r="J16" i="12812"/>
  <c r="AF9" i="12774" s="1"/>
  <c r="AG9" i="12774" s="1"/>
  <c r="N41" i="12811"/>
  <c r="N44" i="12811" s="1"/>
  <c r="J41" i="12812"/>
  <c r="I44" i="12812"/>
  <c r="T33" i="12764"/>
  <c r="T19" i="12764"/>
  <c r="O125" i="12811"/>
  <c r="P125" i="12811" s="1"/>
  <c r="Q125" i="12811" s="1"/>
  <c r="P125" i="12812"/>
  <c r="Q125" i="12812" s="1"/>
  <c r="AF41" i="12775"/>
  <c r="AG41" i="12775" s="1"/>
  <c r="AF42" i="12775"/>
  <c r="AG42" i="12775" s="1"/>
  <c r="F1104" i="12767"/>
  <c r="L68" i="12811"/>
  <c r="I274" i="12767"/>
  <c r="F275" i="12767"/>
  <c r="F240" i="12767"/>
  <c r="P80" i="12812"/>
  <c r="Q80" i="12812" s="1"/>
  <c r="O80" i="12811"/>
  <c r="J81" i="12812"/>
  <c r="N81" i="12811"/>
  <c r="I82" i="12812"/>
  <c r="M79" i="12812"/>
  <c r="O73" i="12811"/>
  <c r="P73" i="12811" s="1"/>
  <c r="Q73" i="12811" s="1"/>
  <c r="P73" i="12812"/>
  <c r="Q73" i="12812" s="1"/>
  <c r="AF19" i="12774"/>
  <c r="J50" i="12812"/>
  <c r="N50" i="12811"/>
  <c r="N43" i="12812"/>
  <c r="O43" i="12811"/>
  <c r="P43" i="12811" s="1"/>
  <c r="Q43" i="12811" s="1"/>
  <c r="P43" i="12812"/>
  <c r="Q43" i="12812" s="1"/>
  <c r="N18" i="12811"/>
  <c r="J18" i="12812"/>
  <c r="I161" i="12767"/>
  <c r="F99" i="12767"/>
  <c r="O16" i="12811"/>
  <c r="P16" i="12811" s="1"/>
  <c r="Q16" i="12811" s="1"/>
  <c r="P16" i="12812"/>
  <c r="Q16" i="12812" s="1"/>
  <c r="O14" i="12811"/>
  <c r="P14" i="12811" s="1"/>
  <c r="Q14" i="12811" s="1"/>
  <c r="P14" i="12812"/>
  <c r="Q14" i="12812" s="1"/>
  <c r="L77" i="12811"/>
  <c r="C240" i="12767"/>
  <c r="C241" i="12767" s="1"/>
  <c r="C275" i="12767"/>
  <c r="L18" i="12811"/>
  <c r="L19" i="12811" s="1"/>
  <c r="K19" i="12811"/>
  <c r="K38" i="12811" s="1"/>
  <c r="I102" i="12812"/>
  <c r="I101" i="12812"/>
  <c r="AF27" i="12774"/>
  <c r="AG27" i="12774" s="1"/>
  <c r="J77" i="12812"/>
  <c r="AF20" i="12774"/>
  <c r="AG20" i="12774" s="1"/>
  <c r="J54" i="12812"/>
  <c r="N85" i="12811"/>
  <c r="J123" i="12812"/>
  <c r="N123" i="12811"/>
  <c r="N127" i="12811" s="1"/>
  <c r="I127" i="12812"/>
  <c r="I137" i="12812" s="1"/>
  <c r="M121" i="12812"/>
  <c r="AF41" i="12774"/>
  <c r="AG41" i="12774" s="1"/>
  <c r="M124" i="12812"/>
  <c r="F137" i="12812"/>
  <c r="T90" i="12764"/>
  <c r="T91" i="12764" s="1"/>
  <c r="AA46" i="12764"/>
  <c r="AB46" i="12764"/>
  <c r="M21" i="12812"/>
  <c r="L22" i="12812"/>
  <c r="K85" i="12787"/>
  <c r="U86" i="12787" s="1"/>
  <c r="W86" i="12787" s="1"/>
  <c r="AD23" i="12764"/>
  <c r="AD45" i="12764"/>
  <c r="F449" i="12767"/>
  <c r="C786" i="12787"/>
  <c r="C787" i="12787" s="1"/>
  <c r="C175" i="12787"/>
  <c r="F147" i="12767"/>
  <c r="AD38" i="12764"/>
  <c r="W97" i="12764"/>
  <c r="X97" i="12764"/>
  <c r="AD97" i="12764" s="1"/>
  <c r="AA97" i="12764"/>
  <c r="AB97" i="12764"/>
  <c r="F344" i="12767"/>
  <c r="F767" i="12767"/>
  <c r="F821" i="12767"/>
  <c r="F90" i="12767"/>
  <c r="F98" i="12767"/>
  <c r="F117" i="12767"/>
  <c r="K870" i="12787"/>
  <c r="K871" i="12787" s="1"/>
  <c r="G814" i="12787"/>
  <c r="G815" i="12787" s="1"/>
  <c r="G871" i="12787"/>
  <c r="B37" i="12783"/>
  <c r="F414" i="12767"/>
  <c r="F377" i="12767"/>
  <c r="Q161" i="12766"/>
  <c r="AF16" i="12775"/>
  <c r="AG16" i="12775" s="1"/>
  <c r="AF15" i="12775"/>
  <c r="AG15" i="12775" s="1"/>
  <c r="C634" i="12767"/>
  <c r="C676" i="12767"/>
  <c r="C98" i="12767"/>
  <c r="C117" i="12767"/>
  <c r="F195" i="12767"/>
  <c r="F191" i="12767"/>
  <c r="F179" i="12767"/>
  <c r="AE22" i="12774"/>
  <c r="Q60" i="12774"/>
  <c r="R60" i="12774" s="1"/>
  <c r="G89" i="12787"/>
  <c r="G91" i="12787" s="1"/>
  <c r="G104" i="12787"/>
  <c r="AF10" i="12775"/>
  <c r="AG10" i="12775" s="1"/>
  <c r="AG7" i="12774"/>
  <c r="K204" i="12787"/>
  <c r="G175" i="12787"/>
  <c r="K175" i="12787" s="1"/>
  <c r="AF29" i="12775"/>
  <c r="K626" i="12787"/>
  <c r="K627" i="12787" s="1"/>
  <c r="G627" i="12787"/>
  <c r="X95" i="12764"/>
  <c r="AD95" i="12764" s="1"/>
  <c r="T98" i="12764"/>
  <c r="W95" i="12764"/>
  <c r="AB95" i="12764"/>
  <c r="AA95" i="12764"/>
  <c r="X89" i="12764"/>
  <c r="AD89" i="12764" s="1"/>
  <c r="W89" i="12764"/>
  <c r="AB89" i="12764"/>
  <c r="AA89" i="12764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AG16" i="12774"/>
  <c r="U482" i="12787"/>
  <c r="W482" i="12787" s="1"/>
  <c r="K102" i="12787"/>
  <c r="F197" i="12767"/>
  <c r="F193" i="12767"/>
  <c r="F180" i="12767"/>
  <c r="C202" i="12767"/>
  <c r="K174" i="12766"/>
  <c r="K176" i="12766" s="1"/>
  <c r="K205" i="12766"/>
  <c r="K110" i="12763"/>
  <c r="K112" i="12763" s="1"/>
  <c r="J110" i="12763"/>
  <c r="K946" i="12787"/>
  <c r="K947" i="12787" s="1"/>
  <c r="G947" i="12787"/>
  <c r="F181" i="12767"/>
  <c r="F198" i="12767"/>
  <c r="F196" i="12767"/>
  <c r="F194" i="12767"/>
  <c r="F192" i="12767"/>
  <c r="F177" i="12767"/>
  <c r="AF14" i="12775"/>
  <c r="F178" i="12767"/>
  <c r="AG10" i="12774"/>
  <c r="AG42" i="12774"/>
  <c r="AG25" i="12774"/>
  <c r="K203" i="12787"/>
  <c r="K233" i="12787"/>
  <c r="R52" i="12774"/>
  <c r="R58" i="12774"/>
  <c r="Z9" i="12764"/>
  <c r="G78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C91" i="12787"/>
  <c r="Q1171" i="12861" l="1"/>
  <c r="U39" i="12783"/>
  <c r="X1169" i="12860"/>
  <c r="S1205" i="12860"/>
  <c r="U1205" i="12860" s="1"/>
  <c r="U1209" i="12860" s="1"/>
  <c r="U1211" i="12860" s="1"/>
  <c r="S1192" i="12860"/>
  <c r="I100" i="12861"/>
  <c r="F101" i="12861"/>
  <c r="X1158" i="12861"/>
  <c r="S38" i="12783"/>
  <c r="X38" i="12783" s="1"/>
  <c r="U37" i="12783"/>
  <c r="X1139" i="12860"/>
  <c r="O1148" i="12860"/>
  <c r="O1152" i="12860" s="1"/>
  <c r="Q1153" i="12860"/>
  <c r="Q1155" i="12860" s="1"/>
  <c r="M1257" i="12860"/>
  <c r="K1257" i="12860" s="1"/>
  <c r="M1246" i="12860"/>
  <c r="M1254" i="12860"/>
  <c r="M1239" i="12860"/>
  <c r="M1242" i="12860"/>
  <c r="K1242" i="12860" s="1"/>
  <c r="M1251" i="12860"/>
  <c r="M1235" i="12860"/>
  <c r="K1235" i="12860" s="1"/>
  <c r="M1258" i="12860"/>
  <c r="K1258" i="12860" s="1"/>
  <c r="M1261" i="12860"/>
  <c r="M1234" i="12860"/>
  <c r="M1244" i="12860"/>
  <c r="M1259" i="12860"/>
  <c r="M1255" i="12860"/>
  <c r="M1236" i="12860"/>
  <c r="M1250" i="12860"/>
  <c r="M1243" i="12860"/>
  <c r="K1243" i="12860" s="1"/>
  <c r="M1247" i="12860"/>
  <c r="M1252" i="12860"/>
  <c r="M1238" i="12860"/>
  <c r="K1238" i="12860" s="1"/>
  <c r="K1221" i="12860"/>
  <c r="K1223" i="12860" s="1"/>
  <c r="M1224" i="12860"/>
  <c r="M1226" i="12860" s="1"/>
  <c r="U1029" i="12861"/>
  <c r="Q1029" i="12861"/>
  <c r="M1029" i="12861"/>
  <c r="U1168" i="12860"/>
  <c r="O1192" i="12860"/>
  <c r="O1205" i="12860"/>
  <c r="Q1205" i="12860" s="1"/>
  <c r="Q1209" i="12860" s="1"/>
  <c r="Q1211" i="12860" s="1"/>
  <c r="M1134" i="12860"/>
  <c r="M1120" i="12860"/>
  <c r="K1120" i="12860" s="1"/>
  <c r="M1132" i="12860"/>
  <c r="M1113" i="12860"/>
  <c r="K1113" i="12860" s="1"/>
  <c r="M1116" i="12860"/>
  <c r="K1116" i="12860" s="1"/>
  <c r="M1130" i="12860"/>
  <c r="Q1128" i="12860" s="1"/>
  <c r="M1118" i="12860"/>
  <c r="M1121" i="12860"/>
  <c r="K1121" i="12860" s="1"/>
  <c r="M1114" i="12860"/>
  <c r="M1133" i="12860"/>
  <c r="M1115" i="12860"/>
  <c r="M1119" i="12860"/>
  <c r="K1119" i="12860" s="1"/>
  <c r="M1128" i="12860"/>
  <c r="M1129" i="12860"/>
  <c r="M1112" i="12860"/>
  <c r="M1117" i="12860"/>
  <c r="M1131" i="12860"/>
  <c r="S40" i="12783"/>
  <c r="X40" i="12783" s="1"/>
  <c r="X1272" i="12861"/>
  <c r="K1148" i="12860"/>
  <c r="M1153" i="12860"/>
  <c r="M1155" i="12860" s="1"/>
  <c r="U1254" i="12860"/>
  <c r="U1244" i="12860"/>
  <c r="U1235" i="12860"/>
  <c r="S1235" i="12860" s="1"/>
  <c r="U1257" i="12860"/>
  <c r="S1257" i="12860" s="1"/>
  <c r="U1252" i="12860"/>
  <c r="U1242" i="12860"/>
  <c r="S1242" i="12860" s="1"/>
  <c r="U1255" i="12860"/>
  <c r="U1238" i="12860"/>
  <c r="S1238" i="12860" s="1"/>
  <c r="U1247" i="12860"/>
  <c r="U1243" i="12860"/>
  <c r="S1243" i="12860" s="1"/>
  <c r="U1239" i="12860"/>
  <c r="U1261" i="12860"/>
  <c r="U1251" i="12860"/>
  <c r="U1259" i="12860"/>
  <c r="U1236" i="12860"/>
  <c r="U1258" i="12860"/>
  <c r="S1258" i="12860" s="1"/>
  <c r="U1250" i="12860"/>
  <c r="U1246" i="12860"/>
  <c r="U1234" i="12860"/>
  <c r="S949" i="12843"/>
  <c r="S969" i="12843" s="1"/>
  <c r="U969" i="12843" s="1"/>
  <c r="U1063" i="12843" s="1"/>
  <c r="S949" i="12861"/>
  <c r="S1221" i="12860"/>
  <c r="S1223" i="12860" s="1"/>
  <c r="U1224" i="12860"/>
  <c r="U1226" i="12860" s="1"/>
  <c r="M972" i="12860"/>
  <c r="U972" i="12860"/>
  <c r="Q972" i="12860"/>
  <c r="I99" i="12860"/>
  <c r="F100" i="12860"/>
  <c r="M1168" i="12860"/>
  <c r="M1188" i="12860"/>
  <c r="M1189" i="12860"/>
  <c r="M1186" i="12860"/>
  <c r="M1187" i="12860"/>
  <c r="M1190" i="12860"/>
  <c r="U971" i="12861"/>
  <c r="Q971" i="12861"/>
  <c r="M971" i="12861"/>
  <c r="M1171" i="12861"/>
  <c r="K1192" i="12860"/>
  <c r="K1205" i="12860"/>
  <c r="M1205" i="12860" s="1"/>
  <c r="M1209" i="12860" s="1"/>
  <c r="M1211" i="12860" s="1"/>
  <c r="Q1115" i="12860"/>
  <c r="Q1112" i="12860"/>
  <c r="Q1130" i="12860"/>
  <c r="U1134" i="12860" s="1"/>
  <c r="Q1119" i="12860"/>
  <c r="O1119" i="12860" s="1"/>
  <c r="Q1114" i="12860"/>
  <c r="Q1132" i="12860"/>
  <c r="Q1134" i="12860"/>
  <c r="Q1131" i="12860"/>
  <c r="Q1116" i="12860"/>
  <c r="O1116" i="12860" s="1"/>
  <c r="Q1113" i="12860"/>
  <c r="O1113" i="12860" s="1"/>
  <c r="Q1129" i="12860"/>
  <c r="Q1120" i="12860"/>
  <c r="O1120" i="12860" s="1"/>
  <c r="Q1118" i="12860"/>
  <c r="Q1117" i="12860"/>
  <c r="Q1121" i="12860"/>
  <c r="O1121" i="12860" s="1"/>
  <c r="Q1133" i="12860"/>
  <c r="S1148" i="12860"/>
  <c r="S1152" i="12860" s="1"/>
  <c r="U1153" i="12860"/>
  <c r="U1155" i="12860" s="1"/>
  <c r="Q1242" i="12860"/>
  <c r="O1242" i="12860" s="1"/>
  <c r="Q1259" i="12860"/>
  <c r="Q1238" i="12860"/>
  <c r="O1238" i="12860" s="1"/>
  <c r="Q1261" i="12860"/>
  <c r="Q1246" i="12860"/>
  <c r="Q1239" i="12860"/>
  <c r="Q1243" i="12860"/>
  <c r="O1243" i="12860" s="1"/>
  <c r="Q1251" i="12860"/>
  <c r="Q1258" i="12860"/>
  <c r="O1258" i="12860" s="1"/>
  <c r="Q1234" i="12860"/>
  <c r="Q1244" i="12860"/>
  <c r="Q1235" i="12860"/>
  <c r="O1235" i="12860" s="1"/>
  <c r="Q1247" i="12860"/>
  <c r="Q1252" i="12860"/>
  <c r="Q1254" i="12860"/>
  <c r="Q1236" i="12860"/>
  <c r="Q1257" i="12860"/>
  <c r="O1257" i="12860" s="1"/>
  <c r="Q1250" i="12860"/>
  <c r="Q1255" i="12860"/>
  <c r="M274" i="12860"/>
  <c r="Q274" i="12860"/>
  <c r="U274" i="12860"/>
  <c r="O1221" i="12860"/>
  <c r="O1223" i="12860" s="1"/>
  <c r="Q1224" i="12860"/>
  <c r="Q1226" i="12860" s="1"/>
  <c r="X1172" i="12861"/>
  <c r="S39" i="12783"/>
  <c r="S37" i="12783"/>
  <c r="X37" i="12783" s="1"/>
  <c r="X1141" i="12861"/>
  <c r="U1112" i="12860"/>
  <c r="U1118" i="12860"/>
  <c r="U1113" i="12860"/>
  <c r="S1113" i="12860" s="1"/>
  <c r="U1117" i="12860"/>
  <c r="U1115" i="12860"/>
  <c r="X1155" i="12860"/>
  <c r="U38" i="12783"/>
  <c r="U40" i="12783"/>
  <c r="X1266" i="12860"/>
  <c r="I26" i="12861"/>
  <c r="Q26" i="12861" s="1"/>
  <c r="C1048" i="12861"/>
  <c r="Q896" i="12861"/>
  <c r="M896" i="12861"/>
  <c r="I485" i="12861"/>
  <c r="Q1084" i="12861"/>
  <c r="F952" i="12861"/>
  <c r="F933" i="12861" s="1"/>
  <c r="F914" i="12861" s="1"/>
  <c r="F915" i="12861" s="1"/>
  <c r="F204" i="12861"/>
  <c r="I204" i="12861" s="1"/>
  <c r="M1084" i="12861"/>
  <c r="F990" i="12861"/>
  <c r="C204" i="12861"/>
  <c r="C205" i="12861" s="1"/>
  <c r="F242" i="12861"/>
  <c r="O30" i="12831"/>
  <c r="L29" i="12783"/>
  <c r="U1197" i="12843"/>
  <c r="U1199" i="12861"/>
  <c r="M616" i="12843"/>
  <c r="M616" i="12861"/>
  <c r="Q616" i="12843"/>
  <c r="Q616" i="12861"/>
  <c r="N14" i="12812"/>
  <c r="M614" i="12843"/>
  <c r="M614" i="12861"/>
  <c r="X1270" i="12843"/>
  <c r="X1139" i="12767"/>
  <c r="X1266" i="12767"/>
  <c r="X1139" i="12843"/>
  <c r="L37" i="12831"/>
  <c r="O27" i="12831"/>
  <c r="J39" i="12783"/>
  <c r="L27" i="12831"/>
  <c r="L27" i="12783"/>
  <c r="I768" i="12843"/>
  <c r="F990" i="12843"/>
  <c r="F1048" i="12843"/>
  <c r="N74" i="12811"/>
  <c r="I241" i="12843"/>
  <c r="F952" i="12843"/>
  <c r="F953" i="12843" s="1"/>
  <c r="C1048" i="12843"/>
  <c r="I1047" i="12843"/>
  <c r="Q897" i="12767"/>
  <c r="M897" i="12767"/>
  <c r="I485" i="12843"/>
  <c r="C952" i="12843"/>
  <c r="C933" i="12843" s="1"/>
  <c r="C914" i="12843" s="1"/>
  <c r="C915" i="12843" s="1"/>
  <c r="C933" i="12861"/>
  <c r="C914" i="12861" s="1"/>
  <c r="C915" i="12861" s="1"/>
  <c r="C953" i="12861"/>
  <c r="C934" i="12861" s="1"/>
  <c r="I1009" i="12861"/>
  <c r="F1010" i="12861"/>
  <c r="Q636" i="12861"/>
  <c r="M636" i="12861"/>
  <c r="U636" i="12861"/>
  <c r="U989" i="12861"/>
  <c r="Q989" i="12861"/>
  <c r="M989" i="12861"/>
  <c r="U1047" i="12861"/>
  <c r="Q1047" i="12861"/>
  <c r="M1047" i="12861"/>
  <c r="U1103" i="12860"/>
  <c r="Q1103" i="12860"/>
  <c r="M1103" i="12860"/>
  <c r="C1048" i="12860"/>
  <c r="C1009" i="12860"/>
  <c r="C1010" i="12860" s="1"/>
  <c r="M713" i="12860"/>
  <c r="U713" i="12860"/>
  <c r="Q713" i="12860"/>
  <c r="C203" i="12860"/>
  <c r="C204" i="12860" s="1"/>
  <c r="C241" i="12860"/>
  <c r="I635" i="12860"/>
  <c r="F636" i="12860"/>
  <c r="Q873" i="12860"/>
  <c r="U873" i="12860"/>
  <c r="M873" i="12860"/>
  <c r="I484" i="12860"/>
  <c r="F485" i="12860"/>
  <c r="I990" i="12860"/>
  <c r="F991" i="12860"/>
  <c r="F953" i="12860"/>
  <c r="F203" i="12860"/>
  <c r="I240" i="12860"/>
  <c r="F241" i="12860"/>
  <c r="I378" i="12860"/>
  <c r="F379" i="12860"/>
  <c r="M897" i="12860"/>
  <c r="U897" i="12860"/>
  <c r="Q897" i="12860"/>
  <c r="Q820" i="12860"/>
  <c r="I767" i="12860"/>
  <c r="U820" i="12860"/>
  <c r="M820" i="12860"/>
  <c r="I26" i="12860"/>
  <c r="F27" i="12860"/>
  <c r="U554" i="12860"/>
  <c r="M554" i="12860"/>
  <c r="Q554" i="12860"/>
  <c r="C991" i="12860"/>
  <c r="C953" i="12860"/>
  <c r="I1047" i="12860"/>
  <c r="F1048" i="12860"/>
  <c r="F1009" i="12860"/>
  <c r="Q343" i="12860"/>
  <c r="M343" i="12860"/>
  <c r="U343" i="12860"/>
  <c r="U448" i="12860"/>
  <c r="Q448" i="12860"/>
  <c r="M448" i="12860"/>
  <c r="P40" i="12783"/>
  <c r="Q40" i="12783" s="1"/>
  <c r="C21" i="12859"/>
  <c r="C23" i="12859" s="1"/>
  <c r="J26" i="12783"/>
  <c r="I1047" i="12767"/>
  <c r="F1009" i="12767"/>
  <c r="I635" i="12767"/>
  <c r="P37" i="12783"/>
  <c r="Q37" i="12783" s="1"/>
  <c r="J74" i="12812"/>
  <c r="I21" i="12859"/>
  <c r="I22" i="12859" s="1"/>
  <c r="AD46" i="12764"/>
  <c r="AD47" i="12764" s="1"/>
  <c r="U896" i="12843"/>
  <c r="O28" i="12831"/>
  <c r="M896" i="12843"/>
  <c r="L26" i="12783"/>
  <c r="J85" i="12812"/>
  <c r="N73" i="12812"/>
  <c r="P80" i="12811"/>
  <c r="Q80" i="12811" s="1"/>
  <c r="I378" i="12767"/>
  <c r="J36" i="12783"/>
  <c r="N82" i="12811"/>
  <c r="F204" i="12843"/>
  <c r="I204" i="12843" s="1"/>
  <c r="I990" i="12767"/>
  <c r="F953" i="12767"/>
  <c r="I379" i="12843"/>
  <c r="F379" i="12767"/>
  <c r="I484" i="12767"/>
  <c r="L40" i="12831"/>
  <c r="F485" i="12767"/>
  <c r="F27" i="12767"/>
  <c r="I97" i="12812"/>
  <c r="F27" i="12843"/>
  <c r="C204" i="12843"/>
  <c r="C205" i="12843" s="1"/>
  <c r="C991" i="12767"/>
  <c r="L25" i="12783"/>
  <c r="Q91" i="12775"/>
  <c r="R91" i="12775" s="1"/>
  <c r="V47" i="12764"/>
  <c r="V90" i="12764"/>
  <c r="V91" i="12764" s="1"/>
  <c r="L13" i="12812"/>
  <c r="M13" i="12812" s="1"/>
  <c r="AD32" i="12764"/>
  <c r="AA19" i="12764"/>
  <c r="V19" i="12764"/>
  <c r="AA33" i="12764"/>
  <c r="V33" i="12764"/>
  <c r="V41" i="12764" s="1"/>
  <c r="X9" i="12764"/>
  <c r="L15" i="12812" s="1"/>
  <c r="V14" i="12764"/>
  <c r="L110" i="12763"/>
  <c r="J112" i="12763"/>
  <c r="S112" i="12764"/>
  <c r="S113" i="12764" s="1"/>
  <c r="Q113" i="12764"/>
  <c r="C935" i="12767"/>
  <c r="C934" i="12767"/>
  <c r="C915" i="12767" s="1"/>
  <c r="C916" i="12767" s="1"/>
  <c r="O26" i="12831"/>
  <c r="X1155" i="12767"/>
  <c r="P38" i="12783"/>
  <c r="G183" i="12843"/>
  <c r="I23" i="12767"/>
  <c r="U23" i="12767" s="1"/>
  <c r="G185" i="12843"/>
  <c r="G184" i="12843"/>
  <c r="AF11" i="12775"/>
  <c r="AG11" i="12775" s="1"/>
  <c r="I1167" i="12767"/>
  <c r="I1169" i="12767" s="1"/>
  <c r="AF8" i="12775"/>
  <c r="AG8" i="12775" s="1"/>
  <c r="S61" i="12767"/>
  <c r="U61" i="12767" s="1"/>
  <c r="S79" i="12767"/>
  <c r="U79" i="12767" s="1"/>
  <c r="I1201" i="12843"/>
  <c r="I1168" i="12843"/>
  <c r="I1170" i="12843" s="1"/>
  <c r="X1170" i="12843" s="1"/>
  <c r="N38" i="12783"/>
  <c r="V38" i="12783" s="1"/>
  <c r="N40" i="12783"/>
  <c r="V40" i="12783" s="1"/>
  <c r="G62" i="12843"/>
  <c r="G44" i="12843"/>
  <c r="I44" i="12843" s="1"/>
  <c r="G80" i="12843"/>
  <c r="N37" i="12783"/>
  <c r="V37" i="12783" s="1"/>
  <c r="F1010" i="12843"/>
  <c r="I1009" i="12843"/>
  <c r="S987" i="12843"/>
  <c r="U987" i="12843" s="1"/>
  <c r="U1082" i="12843" s="1"/>
  <c r="M1265" i="12767"/>
  <c r="M1250" i="12767" s="1"/>
  <c r="U1265" i="12767"/>
  <c r="U1261" i="12767" s="1"/>
  <c r="Q1265" i="12767"/>
  <c r="Q1242" i="12767" s="1"/>
  <c r="U1138" i="12767"/>
  <c r="U1112" i="12767" s="1"/>
  <c r="M1138" i="12767"/>
  <c r="M1121" i="12767" s="1"/>
  <c r="M1121" i="12861" s="1"/>
  <c r="Q1138" i="12767"/>
  <c r="Q1112" i="12767" s="1"/>
  <c r="M616" i="12767"/>
  <c r="Q616" i="12767"/>
  <c r="U950" i="12767"/>
  <c r="U949" i="12861" s="1"/>
  <c r="U931" i="12861" s="1"/>
  <c r="S970" i="12767"/>
  <c r="U970" i="12767" s="1"/>
  <c r="U1063" i="12767" s="1"/>
  <c r="S988" i="12767"/>
  <c r="U988" i="12767" s="1"/>
  <c r="U1082" i="12767" s="1"/>
  <c r="S895" i="12767"/>
  <c r="U895" i="12767" s="1"/>
  <c r="M1103" i="12767"/>
  <c r="O43" i="12767"/>
  <c r="Q43" i="12767" s="1"/>
  <c r="O61" i="12767"/>
  <c r="Q61" i="12767" s="1"/>
  <c r="O79" i="12767"/>
  <c r="Q79" i="12767" s="1"/>
  <c r="K113" i="12767"/>
  <c r="M113" i="12767" s="1"/>
  <c r="K112" i="12767"/>
  <c r="M112" i="12767" s="1"/>
  <c r="X47" i="12764"/>
  <c r="W9" i="12764"/>
  <c r="W33" i="12764"/>
  <c r="AB47" i="12764"/>
  <c r="W47" i="12764"/>
  <c r="AD98" i="12764"/>
  <c r="T73" i="12764"/>
  <c r="X73" i="12764" s="1"/>
  <c r="AD73" i="12764" s="1"/>
  <c r="AD75" i="12764" s="1"/>
  <c r="I99" i="12767"/>
  <c r="I240" i="12767"/>
  <c r="X33" i="12764"/>
  <c r="L72" i="12812" s="1"/>
  <c r="T78" i="12764"/>
  <c r="X78" i="12764" s="1"/>
  <c r="AD78" i="12764" s="1"/>
  <c r="AB19" i="12764"/>
  <c r="T14" i="12764"/>
  <c r="T41" i="12764"/>
  <c r="W41" i="12764" s="1"/>
  <c r="AB33" i="12764"/>
  <c r="Z22" i="12764"/>
  <c r="Z28" i="12764" s="1"/>
  <c r="N16" i="12812"/>
  <c r="E18" i="12810"/>
  <c r="F18" i="12810" s="1"/>
  <c r="I15" i="12812"/>
  <c r="J15" i="12812" s="1"/>
  <c r="AF14" i="12774"/>
  <c r="J44" i="12812"/>
  <c r="W19" i="12764"/>
  <c r="X19" i="12764"/>
  <c r="F203" i="12767"/>
  <c r="C203" i="12767"/>
  <c r="C204" i="12767" s="1"/>
  <c r="AF43" i="12775"/>
  <c r="AG43" i="12775" s="1"/>
  <c r="L97" i="12811"/>
  <c r="AF29" i="12774"/>
  <c r="J82" i="12812"/>
  <c r="O79" i="12811"/>
  <c r="P79" i="12812"/>
  <c r="N79" i="12812"/>
  <c r="O71" i="12811"/>
  <c r="P71" i="12812"/>
  <c r="N71" i="12812"/>
  <c r="M49" i="12812"/>
  <c r="L50" i="12812"/>
  <c r="M18" i="12812"/>
  <c r="AF11" i="12774"/>
  <c r="AG11" i="12774" s="1"/>
  <c r="F768" i="12767"/>
  <c r="L38" i="12811"/>
  <c r="E16" i="12810"/>
  <c r="K140" i="12811"/>
  <c r="F103" i="12812"/>
  <c r="F117" i="12812" s="1"/>
  <c r="N102" i="12811"/>
  <c r="J102" i="12812"/>
  <c r="N101" i="12811"/>
  <c r="I103" i="12812"/>
  <c r="I117" i="12812" s="1"/>
  <c r="J101" i="12812"/>
  <c r="M76" i="12812"/>
  <c r="L77" i="12812"/>
  <c r="O124" i="12811"/>
  <c r="P124" i="12811" s="1"/>
  <c r="Q124" i="12811" s="1"/>
  <c r="P124" i="12812"/>
  <c r="Q124" i="12812" s="1"/>
  <c r="N137" i="12811"/>
  <c r="M52" i="12812"/>
  <c r="L54" i="12812"/>
  <c r="W90" i="12764"/>
  <c r="AB90" i="12764"/>
  <c r="AA90" i="12764"/>
  <c r="X90" i="12764"/>
  <c r="AD90" i="12764" s="1"/>
  <c r="AD91" i="12764" s="1"/>
  <c r="M84" i="12812"/>
  <c r="L85" i="12812"/>
  <c r="O121" i="12811"/>
  <c r="P121" i="12812"/>
  <c r="N121" i="12812"/>
  <c r="AF40" i="12774"/>
  <c r="J127" i="12812"/>
  <c r="J137" i="12812" s="1"/>
  <c r="N124" i="12812"/>
  <c r="M22" i="12812"/>
  <c r="O21" i="12811"/>
  <c r="P21" i="12812"/>
  <c r="N21" i="12812"/>
  <c r="N22" i="12812" s="1"/>
  <c r="AG30" i="12774"/>
  <c r="Z7" i="12764"/>
  <c r="AA7" i="12764" s="1"/>
  <c r="F991" i="12767"/>
  <c r="F973" i="12767"/>
  <c r="F1048" i="12767"/>
  <c r="F1030" i="12767"/>
  <c r="I1084" i="12767"/>
  <c r="F1085" i="12767"/>
  <c r="F1066" i="12767"/>
  <c r="C1035" i="12787"/>
  <c r="C1038" i="12787" s="1"/>
  <c r="F100" i="12767"/>
  <c r="C636" i="12767"/>
  <c r="C100" i="12767"/>
  <c r="K814" i="12787"/>
  <c r="K815" i="12787" s="1"/>
  <c r="G786" i="12787"/>
  <c r="K786" i="12787" s="1"/>
  <c r="K787" i="12787" s="1"/>
  <c r="B38" i="12783"/>
  <c r="K542" i="12787"/>
  <c r="K506" i="12787"/>
  <c r="K508" i="12787" s="1"/>
  <c r="AF36" i="12775"/>
  <c r="AG34" i="12775"/>
  <c r="M179" i="12766"/>
  <c r="P177" i="12766"/>
  <c r="O177" i="12766"/>
  <c r="K1006" i="12766"/>
  <c r="K1009" i="12766" s="1"/>
  <c r="K89" i="12787"/>
  <c r="K91" i="12787" s="1"/>
  <c r="K104" i="12787"/>
  <c r="X98" i="12764"/>
  <c r="W98" i="12764"/>
  <c r="AB98" i="12764"/>
  <c r="AA98" i="12764"/>
  <c r="T67" i="12764"/>
  <c r="Q68" i="12774"/>
  <c r="R68" i="12774" s="1"/>
  <c r="AE44" i="12774"/>
  <c r="Q91" i="12774" s="1"/>
  <c r="R91" i="12774" s="1"/>
  <c r="F308" i="12767"/>
  <c r="T18" i="12764" s="1"/>
  <c r="V18" i="12764" s="1"/>
  <c r="F174" i="12767"/>
  <c r="AF6" i="12775"/>
  <c r="F629" i="12767"/>
  <c r="F626" i="12767"/>
  <c r="F631" i="12767"/>
  <c r="F625" i="12767"/>
  <c r="F614" i="12767"/>
  <c r="F612" i="12767"/>
  <c r="F613" i="12767"/>
  <c r="M174" i="12787"/>
  <c r="Q159" i="12787"/>
  <c r="T152" i="12787" s="1"/>
  <c r="R159" i="12787"/>
  <c r="G542" i="12787"/>
  <c r="G506" i="12787"/>
  <c r="G508" i="12787" s="1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AB9" i="12764"/>
  <c r="AA9" i="12764"/>
  <c r="Z73" i="12764"/>
  <c r="K174" i="12787"/>
  <c r="K176" i="12787" s="1"/>
  <c r="K205" i="12787"/>
  <c r="AG14" i="12775"/>
  <c r="AG39" i="12774"/>
  <c r="G174" i="12787"/>
  <c r="G176" i="12787" s="1"/>
  <c r="G205" i="12787"/>
  <c r="AG38" i="12774"/>
  <c r="X91" i="12764"/>
  <c r="W91" i="12764"/>
  <c r="AB91" i="12764"/>
  <c r="AA91" i="12764"/>
  <c r="AG29" i="12775"/>
  <c r="AF32" i="12775"/>
  <c r="AG32" i="12775" s="1"/>
  <c r="F627" i="12767"/>
  <c r="F624" i="12767"/>
  <c r="F628" i="12767"/>
  <c r="F623" i="12767"/>
  <c r="AF18" i="12775"/>
  <c r="AG18" i="12775" s="1"/>
  <c r="F609" i="12767"/>
  <c r="F610" i="12767"/>
  <c r="F607" i="12767"/>
  <c r="U1120" i="12860" l="1"/>
  <c r="S1120" i="12860" s="1"/>
  <c r="K1236" i="12860"/>
  <c r="K1255" i="12860"/>
  <c r="K1244" i="12860"/>
  <c r="K1261" i="12860"/>
  <c r="K1247" i="12860"/>
  <c r="K1239" i="12860"/>
  <c r="K1254" i="12860"/>
  <c r="K1234" i="12860"/>
  <c r="K1246" i="12860"/>
  <c r="K1252" i="12860"/>
  <c r="K1259" i="12860"/>
  <c r="M1264" i="12860"/>
  <c r="M1266" i="12860" s="1"/>
  <c r="K1250" i="12860"/>
  <c r="K1251" i="12860"/>
  <c r="X39" i="12783"/>
  <c r="U1121" i="12860"/>
  <c r="S1121" i="12860" s="1"/>
  <c r="U1116" i="12860"/>
  <c r="S1116" i="12860" s="1"/>
  <c r="U1132" i="12860"/>
  <c r="U1131" i="12860"/>
  <c r="K1128" i="12860"/>
  <c r="M1137" i="12860"/>
  <c r="M1139" i="12860" s="1"/>
  <c r="K1123" i="12860"/>
  <c r="M1123" i="12860" s="1"/>
  <c r="K1124" i="12860"/>
  <c r="M1124" i="12860" s="1"/>
  <c r="K1134" i="12860"/>
  <c r="K1114" i="12860"/>
  <c r="K1133" i="12860"/>
  <c r="K1118" i="12860"/>
  <c r="K1126" i="12860"/>
  <c r="M1126" i="12860" s="1"/>
  <c r="K1115" i="12860"/>
  <c r="K1132" i="12860"/>
  <c r="K1112" i="12860"/>
  <c r="K1130" i="12860"/>
  <c r="K1125" i="12860"/>
  <c r="M1125" i="12860" s="1"/>
  <c r="K1131" i="12860"/>
  <c r="K1129" i="12860"/>
  <c r="K1117" i="12860"/>
  <c r="Q100" i="12861"/>
  <c r="U100" i="12861"/>
  <c r="U147" i="12861" s="1"/>
  <c r="M100" i="12861"/>
  <c r="M147" i="12861" s="1"/>
  <c r="K1196" i="12860"/>
  <c r="M1192" i="12860"/>
  <c r="Q99" i="12860"/>
  <c r="U99" i="12860"/>
  <c r="U161" i="12860" s="1"/>
  <c r="M99" i="12860"/>
  <c r="M161" i="12860" s="1"/>
  <c r="Q131" i="12860"/>
  <c r="Q146" i="12860"/>
  <c r="U131" i="12860"/>
  <c r="S894" i="12843"/>
  <c r="U1133" i="12860"/>
  <c r="U1130" i="12860"/>
  <c r="U1119" i="12860"/>
  <c r="S1119" i="12860" s="1"/>
  <c r="Q161" i="12860"/>
  <c r="O1112" i="12860"/>
  <c r="Q1137" i="12860"/>
  <c r="Q1139" i="12860" s="1"/>
  <c r="O1125" i="12860"/>
  <c r="Q1125" i="12860" s="1"/>
  <c r="O1126" i="12860"/>
  <c r="Q1126" i="12860" s="1"/>
  <c r="O1117" i="12860"/>
  <c r="O1134" i="12860"/>
  <c r="O1123" i="12860"/>
  <c r="Q1123" i="12860" s="1"/>
  <c r="O1132" i="12860"/>
  <c r="O1114" i="12860"/>
  <c r="O1131" i="12860"/>
  <c r="O1133" i="12860"/>
  <c r="O1130" i="12860"/>
  <c r="O1124" i="12860"/>
  <c r="Q1124" i="12860" s="1"/>
  <c r="O1128" i="12860"/>
  <c r="O1115" i="12860"/>
  <c r="O1129" i="12860"/>
  <c r="O1118" i="12860"/>
  <c r="S1236" i="12860"/>
  <c r="S1250" i="12860"/>
  <c r="S1247" i="12860"/>
  <c r="S1259" i="12860"/>
  <c r="U1264" i="12860"/>
  <c r="U1266" i="12860" s="1"/>
  <c r="S1239" i="12860"/>
  <c r="S1261" i="12860"/>
  <c r="S1234" i="12860"/>
  <c r="S1251" i="12860"/>
  <c r="S1254" i="12860"/>
  <c r="S1244" i="12860"/>
  <c r="S1255" i="12860"/>
  <c r="S1246" i="12860"/>
  <c r="S1252" i="12860"/>
  <c r="K1152" i="12860"/>
  <c r="K1149" i="12860"/>
  <c r="Q1192" i="12860"/>
  <c r="O1196" i="12860"/>
  <c r="U1129" i="12860"/>
  <c r="U1114" i="12860"/>
  <c r="U1128" i="12860"/>
  <c r="S1132" i="12860"/>
  <c r="S1118" i="12860"/>
  <c r="S1129" i="12860"/>
  <c r="S1134" i="12860"/>
  <c r="U1137" i="12860"/>
  <c r="U1139" i="12860" s="1"/>
  <c r="S1112" i="12860"/>
  <c r="S1133" i="12860"/>
  <c r="S1130" i="12860"/>
  <c r="S1117" i="12860"/>
  <c r="S1115" i="12860"/>
  <c r="S1131" i="12860"/>
  <c r="S1125" i="12860"/>
  <c r="U1125" i="12860" s="1"/>
  <c r="S1114" i="12860"/>
  <c r="S1124" i="12860"/>
  <c r="U1124" i="12860" s="1"/>
  <c r="S1123" i="12860"/>
  <c r="U1123" i="12860" s="1"/>
  <c r="S1128" i="12860"/>
  <c r="S1126" i="12860"/>
  <c r="U1126" i="12860" s="1"/>
  <c r="Q116" i="12860"/>
  <c r="O1234" i="12860"/>
  <c r="O1261" i="12860"/>
  <c r="O1236" i="12860"/>
  <c r="Q1264" i="12860"/>
  <c r="Q1266" i="12860" s="1"/>
  <c r="O1246" i="12860"/>
  <c r="O1247" i="12860"/>
  <c r="O1250" i="12860"/>
  <c r="O1251" i="12860"/>
  <c r="O1239" i="12860"/>
  <c r="O1259" i="12860"/>
  <c r="O1244" i="12860"/>
  <c r="O1252" i="12860"/>
  <c r="O1254" i="12860"/>
  <c r="O1255" i="12860"/>
  <c r="S969" i="12861"/>
  <c r="U969" i="12861" s="1"/>
  <c r="U1063" i="12861" s="1"/>
  <c r="S894" i="12861"/>
  <c r="S987" i="12861"/>
  <c r="U987" i="12861" s="1"/>
  <c r="U1082" i="12861" s="1"/>
  <c r="S1196" i="12860"/>
  <c r="U1192" i="12860"/>
  <c r="U26" i="12861"/>
  <c r="U83" i="12861" s="1"/>
  <c r="M26" i="12861"/>
  <c r="M65" i="12861" s="1"/>
  <c r="I952" i="12861"/>
  <c r="M952" i="12861" s="1"/>
  <c r="F205" i="12861"/>
  <c r="F1277" i="12861" s="1"/>
  <c r="F1280" i="12861" s="1"/>
  <c r="F953" i="12861"/>
  <c r="F934" i="12861" s="1"/>
  <c r="C1277" i="12861"/>
  <c r="C1280" i="12861" s="1"/>
  <c r="U23" i="12843"/>
  <c r="U23" i="12861"/>
  <c r="M617" i="12843"/>
  <c r="M1282" i="12843" s="1"/>
  <c r="M617" i="12861"/>
  <c r="M1284" i="12861" s="1"/>
  <c r="U894" i="12843"/>
  <c r="U894" i="12861"/>
  <c r="Q617" i="12843"/>
  <c r="Q617" i="12861"/>
  <c r="M113" i="12843"/>
  <c r="M113" i="12861"/>
  <c r="M114" i="12843"/>
  <c r="M114" i="12861"/>
  <c r="L44" i="12831"/>
  <c r="L36" i="12783"/>
  <c r="L43" i="12783" s="1"/>
  <c r="J23" i="12783"/>
  <c r="Q1112" i="12843"/>
  <c r="Q1112" i="12861"/>
  <c r="Q1139" i="12861" s="1"/>
  <c r="Q1141" i="12861" s="1"/>
  <c r="Q1246" i="12843"/>
  <c r="Q1248" i="12861"/>
  <c r="U1265" i="12843"/>
  <c r="U1267" i="12861"/>
  <c r="U1112" i="12843"/>
  <c r="U1112" i="12861"/>
  <c r="U1139" i="12861" s="1"/>
  <c r="U1141" i="12861" s="1"/>
  <c r="M1254" i="12843"/>
  <c r="M1256" i="12861"/>
  <c r="I952" i="12843"/>
  <c r="I933" i="12843" s="1"/>
  <c r="I914" i="12843" s="1"/>
  <c r="F933" i="12843"/>
  <c r="F914" i="12843" s="1"/>
  <c r="F915" i="12843" s="1"/>
  <c r="N97" i="12811"/>
  <c r="D18" i="12809" s="1"/>
  <c r="F18" i="12809" s="1"/>
  <c r="G18" i="12809" s="1"/>
  <c r="F934" i="12843"/>
  <c r="L28" i="12783" s="1"/>
  <c r="C953" i="12843"/>
  <c r="C934" i="12843" s="1"/>
  <c r="J28" i="12783" s="1"/>
  <c r="M676" i="12861"/>
  <c r="M714" i="12861"/>
  <c r="M204" i="12861"/>
  <c r="Q204" i="12861"/>
  <c r="U204" i="12861"/>
  <c r="Q676" i="12861"/>
  <c r="Q714" i="12861"/>
  <c r="Q65" i="12861"/>
  <c r="Q83" i="12861"/>
  <c r="Q47" i="12861"/>
  <c r="U714" i="12861"/>
  <c r="U676" i="12861"/>
  <c r="U1009" i="12861"/>
  <c r="Q1009" i="12861"/>
  <c r="M1009" i="12861"/>
  <c r="I1009" i="12860"/>
  <c r="F1010" i="12860"/>
  <c r="Q767" i="12860"/>
  <c r="U767" i="12860"/>
  <c r="M767" i="12860"/>
  <c r="I203" i="12860"/>
  <c r="F204" i="12860"/>
  <c r="C934" i="12860"/>
  <c r="C915" i="12860" s="1"/>
  <c r="C916" i="12860" s="1"/>
  <c r="C1271" i="12860" s="1"/>
  <c r="C1274" i="12860" s="1"/>
  <c r="C954" i="12860"/>
  <c r="C935" i="12860" s="1"/>
  <c r="Q240" i="12860"/>
  <c r="M240" i="12860"/>
  <c r="U240" i="12860"/>
  <c r="Q990" i="12860"/>
  <c r="M990" i="12860"/>
  <c r="U990" i="12860"/>
  <c r="Q635" i="12860"/>
  <c r="U635" i="12860"/>
  <c r="M635" i="12860"/>
  <c r="Q26" i="12860"/>
  <c r="U26" i="12860"/>
  <c r="M26" i="12860"/>
  <c r="M378" i="12860"/>
  <c r="U378" i="12860"/>
  <c r="Q378" i="12860"/>
  <c r="I953" i="12860"/>
  <c r="F934" i="12860"/>
  <c r="F915" i="12860" s="1"/>
  <c r="F916" i="12860" s="1"/>
  <c r="F954" i="12860"/>
  <c r="U484" i="12860"/>
  <c r="Q484" i="12860"/>
  <c r="M484" i="12860"/>
  <c r="V78" i="12764"/>
  <c r="I35" i="12859"/>
  <c r="I36" i="12859" s="1"/>
  <c r="I1009" i="12767"/>
  <c r="I203" i="12767"/>
  <c r="AD9" i="12764"/>
  <c r="I23" i="12859"/>
  <c r="J97" i="12812"/>
  <c r="F934" i="12767"/>
  <c r="I953" i="12767"/>
  <c r="F205" i="12843"/>
  <c r="L24" i="12831"/>
  <c r="O37" i="12831"/>
  <c r="O44" i="12831" s="1"/>
  <c r="C1275" i="12843"/>
  <c r="C1278" i="12843" s="1"/>
  <c r="P13" i="12812"/>
  <c r="N13" i="12812"/>
  <c r="AD7" i="12764"/>
  <c r="C1271" i="12767"/>
  <c r="C1274" i="12767" s="1"/>
  <c r="U932" i="12767"/>
  <c r="U949" i="12843"/>
  <c r="U931" i="12843" s="1"/>
  <c r="K1121" i="12767"/>
  <c r="M1121" i="12843"/>
  <c r="S1112" i="12767"/>
  <c r="S1112" i="12861" s="1"/>
  <c r="G575" i="12767"/>
  <c r="Q1258" i="12767"/>
  <c r="U1238" i="12767"/>
  <c r="U1244" i="12861" s="1"/>
  <c r="Q1247" i="12767"/>
  <c r="U1246" i="12767"/>
  <c r="U1244" i="12767"/>
  <c r="U1250" i="12767"/>
  <c r="Q1243" i="12767"/>
  <c r="U1242" i="12767"/>
  <c r="U1248" i="12861" s="1"/>
  <c r="Q1261" i="12767"/>
  <c r="Q1235" i="12767"/>
  <c r="Q1254" i="12767"/>
  <c r="U1259" i="12767"/>
  <c r="U1243" i="12767"/>
  <c r="Q1234" i="12767"/>
  <c r="Q1244" i="12767"/>
  <c r="Q1239" i="12767"/>
  <c r="Q1257" i="12767"/>
  <c r="U1235" i="12767"/>
  <c r="U1241" i="12861" s="1"/>
  <c r="U1234" i="12767"/>
  <c r="Q1238" i="12767"/>
  <c r="Q1246" i="12767"/>
  <c r="Q1250" i="12767"/>
  <c r="Q1236" i="12767"/>
  <c r="Q1259" i="12767"/>
  <c r="U1239" i="12767"/>
  <c r="U1247" i="12767"/>
  <c r="U1251" i="12767"/>
  <c r="U1258" i="12767"/>
  <c r="U1264" i="12861" s="1"/>
  <c r="U1255" i="12767"/>
  <c r="Q1251" i="12767"/>
  <c r="Q1252" i="12767"/>
  <c r="Q1255" i="12767"/>
  <c r="U1252" i="12767"/>
  <c r="U1254" i="12767"/>
  <c r="U1257" i="12767"/>
  <c r="U1263" i="12861" s="1"/>
  <c r="U1236" i="12767"/>
  <c r="U1154" i="12767"/>
  <c r="U1148" i="12767" s="1"/>
  <c r="U1151" i="12861" s="1"/>
  <c r="U1156" i="12861" s="1"/>
  <c r="U1158" i="12861" s="1"/>
  <c r="Q1154" i="12767"/>
  <c r="Q1148" i="12767" s="1"/>
  <c r="Q1151" i="12861" s="1"/>
  <c r="Q1156" i="12861" s="1"/>
  <c r="Q1158" i="12861" s="1"/>
  <c r="Q38" i="12783"/>
  <c r="M1154" i="12767"/>
  <c r="M1148" i="12767" s="1"/>
  <c r="M1151" i="12861" s="1"/>
  <c r="M1156" i="12861" s="1"/>
  <c r="M1158" i="12861" s="1"/>
  <c r="M1261" i="12767"/>
  <c r="M1236" i="12767"/>
  <c r="M1234" i="12767"/>
  <c r="M1254" i="12767"/>
  <c r="M1258" i="12767"/>
  <c r="M1259" i="12767"/>
  <c r="M1235" i="12767"/>
  <c r="M1239" i="12767"/>
  <c r="M1257" i="12767"/>
  <c r="M1255" i="12767"/>
  <c r="M1242" i="12767"/>
  <c r="M1244" i="12767"/>
  <c r="M1246" i="12767"/>
  <c r="M1243" i="12767"/>
  <c r="M1238" i="12767"/>
  <c r="M1247" i="12767"/>
  <c r="M1251" i="12767"/>
  <c r="M1252" i="12767"/>
  <c r="AF12" i="12775"/>
  <c r="G96" i="12843"/>
  <c r="G114" i="12843" s="1"/>
  <c r="G95" i="12843"/>
  <c r="G113" i="12843" s="1"/>
  <c r="I113" i="12843" s="1"/>
  <c r="Q1138" i="12843"/>
  <c r="U1155" i="12843"/>
  <c r="G517" i="12843"/>
  <c r="I517" i="12843" s="1"/>
  <c r="G307" i="12843"/>
  <c r="I307" i="12843" s="1"/>
  <c r="G503" i="12843"/>
  <c r="I503" i="12843" s="1"/>
  <c r="G538" i="12843"/>
  <c r="I538" i="12843" s="1"/>
  <c r="G432" i="12843"/>
  <c r="I432" i="12843" s="1"/>
  <c r="G201" i="12843"/>
  <c r="G362" i="12843"/>
  <c r="G376" i="12843"/>
  <c r="G224" i="12843"/>
  <c r="G468" i="12843"/>
  <c r="G552" i="12843"/>
  <c r="I552" i="12843" s="1"/>
  <c r="G411" i="12843"/>
  <c r="I411" i="12843" s="1"/>
  <c r="G327" i="12843"/>
  <c r="I327" i="12843" s="1"/>
  <c r="G238" i="12843"/>
  <c r="G397" i="12843"/>
  <c r="I397" i="12843" s="1"/>
  <c r="G446" i="12843"/>
  <c r="I446" i="12843" s="1"/>
  <c r="G482" i="12843"/>
  <c r="G293" i="12843"/>
  <c r="I293" i="12843" s="1"/>
  <c r="G272" i="12843"/>
  <c r="I272" i="12843" s="1"/>
  <c r="G341" i="12843"/>
  <c r="I341" i="12843" s="1"/>
  <c r="G258" i="12843"/>
  <c r="I258" i="12843" s="1"/>
  <c r="G539" i="12843"/>
  <c r="I539" i="12843" s="1"/>
  <c r="G294" i="12843"/>
  <c r="I294" i="12843" s="1"/>
  <c r="G377" i="12843"/>
  <c r="G202" i="12843"/>
  <c r="G225" i="12843"/>
  <c r="G239" i="12843"/>
  <c r="G433" i="12843"/>
  <c r="I433" i="12843" s="1"/>
  <c r="G308" i="12843"/>
  <c r="I308" i="12843" s="1"/>
  <c r="G469" i="12843"/>
  <c r="G412" i="12843"/>
  <c r="I412" i="12843" s="1"/>
  <c r="G447" i="12843"/>
  <c r="I447" i="12843" s="1"/>
  <c r="G273" i="12843"/>
  <c r="I273" i="12843" s="1"/>
  <c r="G483" i="12843"/>
  <c r="G504" i="12843"/>
  <c r="I504" i="12843" s="1"/>
  <c r="G363" i="12843"/>
  <c r="G398" i="12843"/>
  <c r="I398" i="12843" s="1"/>
  <c r="G518" i="12843"/>
  <c r="I518" i="12843" s="1"/>
  <c r="G328" i="12843"/>
  <c r="I328" i="12843" s="1"/>
  <c r="G342" i="12843"/>
  <c r="I342" i="12843" s="1"/>
  <c r="G553" i="12843"/>
  <c r="I553" i="12843" s="1"/>
  <c r="G259" i="12843"/>
  <c r="I259" i="12843" s="1"/>
  <c r="Q1269" i="12843"/>
  <c r="G537" i="12843"/>
  <c r="I537" i="12843" s="1"/>
  <c r="G292" i="12843"/>
  <c r="I292" i="12843" s="1"/>
  <c r="G361" i="12843"/>
  <c r="G306" i="12843"/>
  <c r="I306" i="12843" s="1"/>
  <c r="G467" i="12843"/>
  <c r="G502" i="12843"/>
  <c r="I502" i="12843" s="1"/>
  <c r="G375" i="12843"/>
  <c r="G200" i="12843"/>
  <c r="G326" i="12843"/>
  <c r="I326" i="12843" s="1"/>
  <c r="G340" i="12843"/>
  <c r="I340" i="12843" s="1"/>
  <c r="G551" i="12843"/>
  <c r="I551" i="12843" s="1"/>
  <c r="G481" i="12843"/>
  <c r="G516" i="12843"/>
  <c r="I516" i="12843" s="1"/>
  <c r="G257" i="12843"/>
  <c r="I257" i="12843" s="1"/>
  <c r="G271" i="12843"/>
  <c r="I271" i="12843" s="1"/>
  <c r="G396" i="12843"/>
  <c r="I396" i="12843" s="1"/>
  <c r="G431" i="12843"/>
  <c r="I431" i="12843" s="1"/>
  <c r="G223" i="12843"/>
  <c r="G237" i="12843"/>
  <c r="G410" i="12843"/>
  <c r="I410" i="12843" s="1"/>
  <c r="G445" i="12843"/>
  <c r="I445" i="12843" s="1"/>
  <c r="M1269" i="12843"/>
  <c r="U1138" i="12843"/>
  <c r="I62" i="12843"/>
  <c r="Q62" i="12843"/>
  <c r="Q1155" i="12843"/>
  <c r="N39" i="12783"/>
  <c r="V39" i="12783" s="1"/>
  <c r="S80" i="12843"/>
  <c r="U80" i="12843" s="1"/>
  <c r="S44" i="12843"/>
  <c r="U44" i="12843" s="1"/>
  <c r="S62" i="12843"/>
  <c r="U62" i="12843" s="1"/>
  <c r="M1138" i="12843"/>
  <c r="Q80" i="12843"/>
  <c r="I80" i="12843"/>
  <c r="U1269" i="12843"/>
  <c r="M1155" i="12843"/>
  <c r="U1225" i="12767"/>
  <c r="U1221" i="12767" s="1"/>
  <c r="M1225" i="12767"/>
  <c r="M1221" i="12767" s="1"/>
  <c r="Q1225" i="12767"/>
  <c r="Q1221" i="12767" s="1"/>
  <c r="M1114" i="12767"/>
  <c r="M1129" i="12767"/>
  <c r="M1134" i="12767"/>
  <c r="M1113" i="12767"/>
  <c r="M1113" i="12861" s="1"/>
  <c r="M1131" i="12767"/>
  <c r="M1132" i="12767"/>
  <c r="M1133" i="12767"/>
  <c r="M1112" i="12767"/>
  <c r="M1128" i="12767"/>
  <c r="M1130" i="12767"/>
  <c r="M1132" i="12861" s="1"/>
  <c r="M1118" i="12767"/>
  <c r="M1115" i="12767"/>
  <c r="M1116" i="12767"/>
  <c r="M1116" i="12861" s="1"/>
  <c r="M1117" i="12767"/>
  <c r="M1119" i="12767"/>
  <c r="M1119" i="12861" s="1"/>
  <c r="M1120" i="12767"/>
  <c r="M1120" i="12861" s="1"/>
  <c r="I432" i="12767"/>
  <c r="S184" i="12767"/>
  <c r="S185" i="12861" s="1"/>
  <c r="S183" i="12767"/>
  <c r="S184" i="12861" s="1"/>
  <c r="X1169" i="12767"/>
  <c r="S182" i="12767"/>
  <c r="S183" i="12861" s="1"/>
  <c r="S112" i="12767"/>
  <c r="U112" i="12767" s="1"/>
  <c r="P39" i="12783"/>
  <c r="Q39" i="12783" s="1"/>
  <c r="K129" i="12767"/>
  <c r="M129" i="12767" s="1"/>
  <c r="K128" i="12767"/>
  <c r="M128" i="12767" s="1"/>
  <c r="I293" i="12767"/>
  <c r="G574" i="12767"/>
  <c r="I272" i="12767"/>
  <c r="I341" i="12767"/>
  <c r="I397" i="12767"/>
  <c r="I446" i="12767"/>
  <c r="G537" i="12767"/>
  <c r="I537" i="12767" s="1"/>
  <c r="G551" i="12767"/>
  <c r="I551" i="12767" s="1"/>
  <c r="I307" i="12767"/>
  <c r="G536" i="12767"/>
  <c r="I536" i="12767" s="1"/>
  <c r="G550" i="12767"/>
  <c r="I550" i="12767" s="1"/>
  <c r="G552" i="12767"/>
  <c r="I552" i="12767" s="1"/>
  <c r="I258" i="12767"/>
  <c r="I327" i="12767"/>
  <c r="G538" i="12767"/>
  <c r="I538" i="12767" s="1"/>
  <c r="G502" i="12767"/>
  <c r="I502" i="12767" s="1"/>
  <c r="G516" i="12767"/>
  <c r="I516" i="12767" s="1"/>
  <c r="I411" i="12767"/>
  <c r="G501" i="12767"/>
  <c r="I501" i="12767" s="1"/>
  <c r="G515" i="12767"/>
  <c r="I515" i="12767" s="1"/>
  <c r="G503" i="12767"/>
  <c r="I503" i="12767" s="1"/>
  <c r="G517" i="12767"/>
  <c r="I517" i="12767" s="1"/>
  <c r="I431" i="12767"/>
  <c r="I445" i="12767"/>
  <c r="I430" i="12767"/>
  <c r="I444" i="12767"/>
  <c r="I396" i="12767"/>
  <c r="I410" i="12767"/>
  <c r="I395" i="12767"/>
  <c r="I360" i="12767" s="1"/>
  <c r="I409" i="12767"/>
  <c r="I374" i="12767" s="1"/>
  <c r="I326" i="12767"/>
  <c r="I340" i="12767"/>
  <c r="I325" i="12767"/>
  <c r="I339" i="12767"/>
  <c r="I292" i="12767"/>
  <c r="I306" i="12767"/>
  <c r="I291" i="12767"/>
  <c r="I305" i="12767"/>
  <c r="I257" i="12767"/>
  <c r="I271" i="12767"/>
  <c r="I256" i="12767"/>
  <c r="I270" i="12767"/>
  <c r="I236" i="12767" s="1"/>
  <c r="Z95" i="12767"/>
  <c r="AD33" i="12764"/>
  <c r="AD41" i="12764" s="1"/>
  <c r="W73" i="12764"/>
  <c r="T75" i="12764"/>
  <c r="X75" i="12764" s="1"/>
  <c r="AA41" i="12764"/>
  <c r="AB41" i="12764"/>
  <c r="AA78" i="12764"/>
  <c r="Z84" i="12764"/>
  <c r="Z86" i="12764" s="1"/>
  <c r="AB78" i="12764"/>
  <c r="W78" i="12764"/>
  <c r="X41" i="12764"/>
  <c r="N15" i="12811"/>
  <c r="AB7" i="12764"/>
  <c r="Z14" i="12764"/>
  <c r="AB14" i="12764" s="1"/>
  <c r="L42" i="12812"/>
  <c r="M42" i="12812" s="1"/>
  <c r="AD19" i="12764"/>
  <c r="M72" i="12812"/>
  <c r="L74" i="12812"/>
  <c r="J43" i="12783"/>
  <c r="AF8" i="12774"/>
  <c r="M15" i="12812"/>
  <c r="N15" i="12812" s="1"/>
  <c r="F239" i="12767"/>
  <c r="J20" i="12783"/>
  <c r="L140" i="12811"/>
  <c r="M81" i="12812"/>
  <c r="L82" i="12812"/>
  <c r="Q79" i="12812"/>
  <c r="P79" i="12811"/>
  <c r="Q71" i="12812"/>
  <c r="P71" i="12811"/>
  <c r="O49" i="12811"/>
  <c r="M50" i="12812"/>
  <c r="P49" i="12812"/>
  <c r="N49" i="12812"/>
  <c r="N50" i="12812" s="1"/>
  <c r="N18" i="12812"/>
  <c r="O18" i="12811"/>
  <c r="P18" i="12811" s="1"/>
  <c r="Q18" i="12811" s="1"/>
  <c r="P18" i="12812"/>
  <c r="Q18" i="12812" s="1"/>
  <c r="E21" i="12810"/>
  <c r="E25" i="12810" s="1"/>
  <c r="F16" i="12810"/>
  <c r="F19" i="12812"/>
  <c r="F38" i="12812" s="1"/>
  <c r="M102" i="12812"/>
  <c r="N102" i="12812" s="1"/>
  <c r="AF35" i="12774"/>
  <c r="AG35" i="12774" s="1"/>
  <c r="AF34" i="12774"/>
  <c r="J103" i="12812"/>
  <c r="J117" i="12812" s="1"/>
  <c r="N103" i="12811"/>
  <c r="N117" i="12811" s="1"/>
  <c r="D19" i="12809" s="1"/>
  <c r="F19" i="12809" s="1"/>
  <c r="G19" i="12809" s="1"/>
  <c r="O76" i="12811"/>
  <c r="M77" i="12812"/>
  <c r="P76" i="12812"/>
  <c r="N76" i="12812"/>
  <c r="N77" i="12812" s="1"/>
  <c r="Z67" i="12764"/>
  <c r="AB67" i="12764" s="1"/>
  <c r="M123" i="12812"/>
  <c r="L127" i="12812"/>
  <c r="L137" i="12812" s="1"/>
  <c r="Q121" i="12812"/>
  <c r="P121" i="12811"/>
  <c r="Q121" i="12811" s="1"/>
  <c r="M85" i="12812"/>
  <c r="O84" i="12811"/>
  <c r="P84" i="12812"/>
  <c r="N84" i="12812"/>
  <c r="N85" i="12812" s="1"/>
  <c r="O52" i="12811"/>
  <c r="M54" i="12812"/>
  <c r="P52" i="12812"/>
  <c r="N52" i="12812"/>
  <c r="N54" i="12812" s="1"/>
  <c r="D20" i="12809"/>
  <c r="Q21" i="12812"/>
  <c r="Q22" i="12812" s="1"/>
  <c r="P22" i="12812"/>
  <c r="O22" i="12811"/>
  <c r="P21" i="12811"/>
  <c r="AG40" i="12774"/>
  <c r="F954" i="12767"/>
  <c r="F1010" i="12767"/>
  <c r="L20" i="12783"/>
  <c r="AF43" i="12774"/>
  <c r="AG43" i="12774" s="1"/>
  <c r="G787" i="12787"/>
  <c r="G1035" i="12787" s="1"/>
  <c r="G1038" i="12787" s="1"/>
  <c r="B39" i="12783"/>
  <c r="B40" i="12783" s="1"/>
  <c r="P788" i="12787"/>
  <c r="O788" i="12787"/>
  <c r="T153" i="12787"/>
  <c r="W40" i="12783"/>
  <c r="P480" i="12787"/>
  <c r="T481" i="12787"/>
  <c r="C1042" i="12787"/>
  <c r="AG6" i="12775"/>
  <c r="F310" i="12767"/>
  <c r="W67" i="12764"/>
  <c r="T69" i="12764"/>
  <c r="X67" i="12764"/>
  <c r="AD67" i="12764" s="1"/>
  <c r="AD69" i="12764" s="1"/>
  <c r="AG19" i="12774"/>
  <c r="O1009" i="12766"/>
  <c r="K1012" i="12766"/>
  <c r="P1009" i="12766"/>
  <c r="AF22" i="12775"/>
  <c r="AG22" i="12775" s="1"/>
  <c r="W37" i="12783"/>
  <c r="AA73" i="12764"/>
  <c r="AB73" i="12764"/>
  <c r="Z75" i="12764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F606" i="12767"/>
  <c r="F674" i="12767"/>
  <c r="T22" i="12764" s="1"/>
  <c r="V22" i="12764" s="1"/>
  <c r="W38" i="12783"/>
  <c r="W14" i="12764"/>
  <c r="X14" i="12764"/>
  <c r="M132" i="12861" l="1"/>
  <c r="S447" i="12861"/>
  <c r="U447" i="12861" s="1"/>
  <c r="S308" i="12861"/>
  <c r="U308" i="12861" s="1"/>
  <c r="S239" i="12861"/>
  <c r="S412" i="12861"/>
  <c r="U412" i="12861" s="1"/>
  <c r="U377" i="12861" s="1"/>
  <c r="S518" i="12861"/>
  <c r="U518" i="12861" s="1"/>
  <c r="S273" i="12861"/>
  <c r="U273" i="12861" s="1"/>
  <c r="S483" i="12861"/>
  <c r="S202" i="12861"/>
  <c r="S294" i="12861"/>
  <c r="U294" i="12861" s="1"/>
  <c r="S469" i="12861"/>
  <c r="S259" i="12861"/>
  <c r="U259" i="12861" s="1"/>
  <c r="S363" i="12861"/>
  <c r="S377" i="12861"/>
  <c r="S553" i="12861"/>
  <c r="U553" i="12861" s="1"/>
  <c r="S398" i="12861"/>
  <c r="U398" i="12861" s="1"/>
  <c r="S433" i="12861"/>
  <c r="U433" i="12861" s="1"/>
  <c r="S328" i="12861"/>
  <c r="U328" i="12861" s="1"/>
  <c r="S225" i="12861"/>
  <c r="S504" i="12861"/>
  <c r="U504" i="12861" s="1"/>
  <c r="S539" i="12861"/>
  <c r="U539" i="12861" s="1"/>
  <c r="S342" i="12861"/>
  <c r="U342" i="12861" s="1"/>
  <c r="Q1188" i="12860"/>
  <c r="Q1178" i="12860"/>
  <c r="Q1179" i="12860"/>
  <c r="O1179" i="12860" s="1"/>
  <c r="Q1186" i="12860"/>
  <c r="Q1163" i="12860"/>
  <c r="Q1183" i="12860"/>
  <c r="O1183" i="12860" s="1"/>
  <c r="Q1189" i="12860"/>
  <c r="Q1181" i="12860"/>
  <c r="O1181" i="12860" s="1"/>
  <c r="Q1187" i="12860"/>
  <c r="Q1190" i="12860"/>
  <c r="Q1182" i="12860"/>
  <c r="O1182" i="12860" s="1"/>
  <c r="Q1180" i="12860"/>
  <c r="O1180" i="12860" s="1"/>
  <c r="Q162" i="12861"/>
  <c r="Q117" i="12861"/>
  <c r="S326" i="12861"/>
  <c r="U326" i="12861" s="1"/>
  <c r="S292" i="12861"/>
  <c r="U292" i="12861" s="1"/>
  <c r="S467" i="12861"/>
  <c r="S271" i="12861"/>
  <c r="U271" i="12861" s="1"/>
  <c r="S481" i="12861"/>
  <c r="S361" i="12861"/>
  <c r="S306" i="12861"/>
  <c r="U306" i="12861" s="1"/>
  <c r="S551" i="12861"/>
  <c r="U551" i="12861" s="1"/>
  <c r="S396" i="12861"/>
  <c r="U396" i="12861" s="1"/>
  <c r="S257" i="12861"/>
  <c r="U257" i="12861" s="1"/>
  <c r="S431" i="12861"/>
  <c r="U431" i="12861" s="1"/>
  <c r="S445" i="12861"/>
  <c r="U445" i="12861" s="1"/>
  <c r="S200" i="12861"/>
  <c r="S502" i="12861"/>
  <c r="U502" i="12861" s="1"/>
  <c r="S537" i="12861"/>
  <c r="U537" i="12861" s="1"/>
  <c r="S375" i="12861"/>
  <c r="S223" i="12861"/>
  <c r="S410" i="12861"/>
  <c r="U410" i="12861" s="1"/>
  <c r="S516" i="12861"/>
  <c r="U516" i="12861" s="1"/>
  <c r="S340" i="12861"/>
  <c r="U340" i="12861" s="1"/>
  <c r="S237" i="12861"/>
  <c r="M1149" i="12860"/>
  <c r="O1149" i="12860"/>
  <c r="Q132" i="12861"/>
  <c r="U1178" i="12860"/>
  <c r="U1181" i="12860"/>
  <c r="S1181" i="12860" s="1"/>
  <c r="U1180" i="12860"/>
  <c r="S1180" i="12860" s="1"/>
  <c r="U1163" i="12860"/>
  <c r="U1188" i="12860"/>
  <c r="U1190" i="12860"/>
  <c r="U1182" i="12860"/>
  <c r="S1182" i="12860" s="1"/>
  <c r="U1187" i="12860"/>
  <c r="U1179" i="12860"/>
  <c r="S1179" i="12860" s="1"/>
  <c r="U1186" i="12860"/>
  <c r="U1183" i="12860"/>
  <c r="S1183" i="12860" s="1"/>
  <c r="U1189" i="12860"/>
  <c r="Q90" i="12860"/>
  <c r="O90" i="12860" s="1"/>
  <c r="Q89" i="12860"/>
  <c r="Q147" i="12861"/>
  <c r="M117" i="12861"/>
  <c r="M162" i="12861"/>
  <c r="U116" i="12860"/>
  <c r="M131" i="12860"/>
  <c r="M90" i="12860"/>
  <c r="K90" i="12860" s="1"/>
  <c r="M89" i="12860"/>
  <c r="M116" i="12860"/>
  <c r="S293" i="12861"/>
  <c r="U293" i="12861" s="1"/>
  <c r="S482" i="12861"/>
  <c r="S238" i="12861"/>
  <c r="S224" i="12861"/>
  <c r="S538" i="12861"/>
  <c r="U538" i="12861" s="1"/>
  <c r="S503" i="12861"/>
  <c r="U503" i="12861" s="1"/>
  <c r="U468" i="12861" s="1"/>
  <c r="S272" i="12861"/>
  <c r="U272" i="12861" s="1"/>
  <c r="S432" i="12861"/>
  <c r="U432" i="12861" s="1"/>
  <c r="S446" i="12861"/>
  <c r="U446" i="12861" s="1"/>
  <c r="S411" i="12861"/>
  <c r="U411" i="12861" s="1"/>
  <c r="U376" i="12861" s="1"/>
  <c r="S341" i="12861"/>
  <c r="U341" i="12861" s="1"/>
  <c r="S376" i="12861"/>
  <c r="S362" i="12861"/>
  <c r="S397" i="12861"/>
  <c r="U397" i="12861" s="1"/>
  <c r="S258" i="12861"/>
  <c r="U258" i="12861" s="1"/>
  <c r="S552" i="12861"/>
  <c r="U552" i="12861" s="1"/>
  <c r="S327" i="12861"/>
  <c r="U327" i="12861" s="1"/>
  <c r="S307" i="12861"/>
  <c r="U307" i="12861" s="1"/>
  <c r="S468" i="12861"/>
  <c r="S201" i="12861"/>
  <c r="S517" i="12861"/>
  <c r="U517" i="12861" s="1"/>
  <c r="M146" i="12860"/>
  <c r="U146" i="12860"/>
  <c r="M1163" i="12860"/>
  <c r="M1178" i="12860"/>
  <c r="M1182" i="12860"/>
  <c r="K1182" i="12860" s="1"/>
  <c r="M1179" i="12860"/>
  <c r="K1179" i="12860" s="1"/>
  <c r="M1181" i="12860"/>
  <c r="K1181" i="12860" s="1"/>
  <c r="M1183" i="12860"/>
  <c r="K1183" i="12860" s="1"/>
  <c r="M1180" i="12860"/>
  <c r="K1180" i="12860" s="1"/>
  <c r="U132" i="12861"/>
  <c r="U117" i="12861"/>
  <c r="U162" i="12861"/>
  <c r="M47" i="12861"/>
  <c r="M83" i="12861"/>
  <c r="U65" i="12861"/>
  <c r="U47" i="12861"/>
  <c r="I933" i="12861"/>
  <c r="I914" i="12861" s="1"/>
  <c r="Q952" i="12861"/>
  <c r="Q933" i="12861" s="1"/>
  <c r="Q914" i="12861" s="1"/>
  <c r="U952" i="12861"/>
  <c r="U933" i="12861" s="1"/>
  <c r="U914" i="12861" s="1"/>
  <c r="M1225" i="12843"/>
  <c r="M1227" i="12861"/>
  <c r="M1230" i="12861" s="1"/>
  <c r="M1232" i="12861" s="1"/>
  <c r="Q1225" i="12843"/>
  <c r="Q1227" i="12861"/>
  <c r="Q1230" i="12861" s="1"/>
  <c r="Q1232" i="12861" s="1"/>
  <c r="U1225" i="12843"/>
  <c r="U1227" i="12861"/>
  <c r="U1230" i="12861" s="1"/>
  <c r="U1232" i="12861" s="1"/>
  <c r="M129" i="12843"/>
  <c r="M129" i="12861"/>
  <c r="M130" i="12843"/>
  <c r="M130" i="12861"/>
  <c r="U113" i="12843"/>
  <c r="U113" i="12861"/>
  <c r="L29" i="12831"/>
  <c r="L34" i="12831" s="1"/>
  <c r="L46" i="12831" s="1"/>
  <c r="L50" i="12831" s="1"/>
  <c r="M1117" i="12843"/>
  <c r="M1117" i="12861"/>
  <c r="M1132" i="12843"/>
  <c r="M1134" i="12861"/>
  <c r="M1129" i="12843"/>
  <c r="M1131" i="12861"/>
  <c r="M1255" i="12843"/>
  <c r="M1257" i="12861"/>
  <c r="M1250" i="12843"/>
  <c r="M1252" i="12861"/>
  <c r="M1261" i="12843"/>
  <c r="M1263" i="12861"/>
  <c r="M1262" i="12843"/>
  <c r="M1264" i="12861"/>
  <c r="M1265" i="12843"/>
  <c r="M1267" i="12861"/>
  <c r="U1256" i="12843"/>
  <c r="U1258" i="12861"/>
  <c r="U1259" i="12843"/>
  <c r="U1261" i="12861"/>
  <c r="U1243" i="12843"/>
  <c r="U1245" i="12861"/>
  <c r="Q1250" i="12843"/>
  <c r="Q1252" i="12861"/>
  <c r="Q1261" i="12843"/>
  <c r="Q1263" i="12861"/>
  <c r="U1247" i="12843"/>
  <c r="U1249" i="12861"/>
  <c r="Q1265" i="12843"/>
  <c r="Q1267" i="12861"/>
  <c r="U1248" i="12843"/>
  <c r="U1250" i="12861"/>
  <c r="Q1262" i="12843"/>
  <c r="Q1264" i="12861"/>
  <c r="K1121" i="12843"/>
  <c r="K1121" i="12861"/>
  <c r="M1128" i="12843"/>
  <c r="M1130" i="12861"/>
  <c r="M1131" i="12843"/>
  <c r="M1133" i="12861"/>
  <c r="M1114" i="12843"/>
  <c r="M1114" i="12861"/>
  <c r="M1251" i="12843"/>
  <c r="M1253" i="12861"/>
  <c r="M1248" i="12843"/>
  <c r="M1250" i="12861"/>
  <c r="M1243" i="12843"/>
  <c r="M1245" i="12861"/>
  <c r="M1258" i="12843"/>
  <c r="M1260" i="12861"/>
  <c r="U1240" i="12843"/>
  <c r="U1242" i="12861"/>
  <c r="Q1259" i="12843"/>
  <c r="Q1261" i="12861"/>
  <c r="Q1263" i="12843"/>
  <c r="Q1265" i="12861"/>
  <c r="Q1242" i="12843"/>
  <c r="Q1244" i="12861"/>
  <c r="Q1243" i="12843"/>
  <c r="Q1245" i="12861"/>
  <c r="U1263" i="12843"/>
  <c r="U1265" i="12861"/>
  <c r="U1250" i="12843"/>
  <c r="U1252" i="12861"/>
  <c r="M1115" i="12843"/>
  <c r="M1115" i="12861"/>
  <c r="M1112" i="12843"/>
  <c r="M1112" i="12861"/>
  <c r="M1139" i="12861" s="1"/>
  <c r="M1141" i="12861" s="1"/>
  <c r="M1242" i="12843"/>
  <c r="M1244" i="12861"/>
  <c r="M1246" i="12843"/>
  <c r="M1248" i="12861"/>
  <c r="M1239" i="12843"/>
  <c r="M1241" i="12861"/>
  <c r="M1238" i="12843"/>
  <c r="M1240" i="12861"/>
  <c r="M1270" i="12861" s="1"/>
  <c r="M1272" i="12861" s="1"/>
  <c r="Q1256" i="12843"/>
  <c r="Q1258" i="12861"/>
  <c r="U1255" i="12843"/>
  <c r="U1257" i="12861"/>
  <c r="Q1240" i="12843"/>
  <c r="Q1242" i="12861"/>
  <c r="U1238" i="12843"/>
  <c r="U1240" i="12861"/>
  <c r="U1270" i="12861" s="1"/>
  <c r="U1272" i="12861" s="1"/>
  <c r="Q1248" i="12843"/>
  <c r="Q1250" i="12861"/>
  <c r="Q1258" i="12843"/>
  <c r="Q1260" i="12861"/>
  <c r="Q1247" i="12843"/>
  <c r="Q1249" i="12861"/>
  <c r="Q1251" i="12843"/>
  <c r="Q1253" i="12861"/>
  <c r="M1118" i="12843"/>
  <c r="M1118" i="12861"/>
  <c r="M1133" i="12843"/>
  <c r="M1135" i="12861"/>
  <c r="M1134" i="12843"/>
  <c r="M1136" i="12861"/>
  <c r="M1256" i="12843"/>
  <c r="M1258" i="12861"/>
  <c r="M1247" i="12843"/>
  <c r="M1249" i="12861"/>
  <c r="M1259" i="12843"/>
  <c r="M1261" i="12861"/>
  <c r="M1263" i="12843"/>
  <c r="M1265" i="12861"/>
  <c r="M1240" i="12843"/>
  <c r="M1242" i="12861"/>
  <c r="U1258" i="12843"/>
  <c r="U1260" i="12861"/>
  <c r="Q1255" i="12843"/>
  <c r="Q1257" i="12861"/>
  <c r="U1251" i="12843"/>
  <c r="U1253" i="12861"/>
  <c r="Q1254" i="12843"/>
  <c r="Q1256" i="12861"/>
  <c r="Q1238" i="12843"/>
  <c r="Q1240" i="12861"/>
  <c r="Q1270" i="12861" s="1"/>
  <c r="Q1272" i="12861" s="1"/>
  <c r="Q1239" i="12843"/>
  <c r="Q1241" i="12861"/>
  <c r="U1254" i="12843"/>
  <c r="U1256" i="12861"/>
  <c r="F1275" i="12843"/>
  <c r="F1278" i="12843" s="1"/>
  <c r="O29" i="12831"/>
  <c r="F935" i="12860"/>
  <c r="F1271" i="12860"/>
  <c r="F1274" i="12860" s="1"/>
  <c r="C1278" i="12860"/>
  <c r="M933" i="12861"/>
  <c r="M914" i="12861" s="1"/>
  <c r="U344" i="12861"/>
  <c r="U275" i="12861"/>
  <c r="U485" i="12861"/>
  <c r="U241" i="12861"/>
  <c r="U520" i="12861"/>
  <c r="U449" i="12861"/>
  <c r="U414" i="12861"/>
  <c r="U555" i="12861"/>
  <c r="U379" i="12861"/>
  <c r="U310" i="12861"/>
  <c r="Q414" i="12861"/>
  <c r="Q344" i="12861"/>
  <c r="Q275" i="12861"/>
  <c r="Q379" i="12861"/>
  <c r="Q310" i="12861"/>
  <c r="Q520" i="12861"/>
  <c r="Q485" i="12861"/>
  <c r="Q449" i="12861"/>
  <c r="Q555" i="12861"/>
  <c r="Q241" i="12861"/>
  <c r="M555" i="12861"/>
  <c r="M520" i="12861"/>
  <c r="M449" i="12861"/>
  <c r="M379" i="12861"/>
  <c r="M310" i="12861"/>
  <c r="M414" i="12861"/>
  <c r="M241" i="12861"/>
  <c r="M344" i="12861"/>
  <c r="M275" i="12861"/>
  <c r="M485" i="12861"/>
  <c r="Q203" i="12860"/>
  <c r="M203" i="12860"/>
  <c r="U203" i="12860"/>
  <c r="M953" i="12860"/>
  <c r="I934" i="12860"/>
  <c r="I915" i="12860" s="1"/>
  <c r="U953" i="12860"/>
  <c r="Q953" i="12860"/>
  <c r="F35" i="12859"/>
  <c r="F36" i="12859" s="1"/>
  <c r="AD14" i="12764"/>
  <c r="I934" i="12767"/>
  <c r="I915" i="12767" s="1"/>
  <c r="F915" i="12767"/>
  <c r="O24" i="12831"/>
  <c r="L23" i="12783"/>
  <c r="V84" i="12764"/>
  <c r="V86" i="12764" s="1"/>
  <c r="T77" i="12764"/>
  <c r="T82" i="12764" s="1"/>
  <c r="X82" i="12764" s="1"/>
  <c r="I467" i="12767"/>
  <c r="I466" i="12767"/>
  <c r="I223" i="12767"/>
  <c r="I237" i="12767"/>
  <c r="I23" i="12843"/>
  <c r="K1116" i="12767"/>
  <c r="M1116" i="12843"/>
  <c r="O1148" i="12767"/>
  <c r="Q1149" i="12843"/>
  <c r="S1235" i="12767"/>
  <c r="S1241" i="12861" s="1"/>
  <c r="U1239" i="12843"/>
  <c r="S1238" i="12767"/>
  <c r="S1244" i="12861" s="1"/>
  <c r="U1242" i="12843"/>
  <c r="K1120" i="12767"/>
  <c r="M1120" i="12843"/>
  <c r="K1113" i="12767"/>
  <c r="M1113" i="12843"/>
  <c r="S1148" i="12767"/>
  <c r="U1149" i="12843"/>
  <c r="K1119" i="12767"/>
  <c r="M1119" i="12843"/>
  <c r="K1148" i="12767"/>
  <c r="M1149" i="12843"/>
  <c r="S1258" i="12767"/>
  <c r="S1264" i="12861" s="1"/>
  <c r="U1262" i="12843"/>
  <c r="S1242" i="12767"/>
  <c r="S1248" i="12861" s="1"/>
  <c r="U1246" i="12843"/>
  <c r="Q1116" i="12767"/>
  <c r="Q1116" i="12861" s="1"/>
  <c r="M1130" i="12843"/>
  <c r="S1257" i="12767"/>
  <c r="S1263" i="12861" s="1"/>
  <c r="U1261" i="12843"/>
  <c r="S1259" i="12767"/>
  <c r="S1265" i="12861" s="1"/>
  <c r="S1252" i="12767"/>
  <c r="S1258" i="12861" s="1"/>
  <c r="S1244" i="12767"/>
  <c r="S1250" i="12861" s="1"/>
  <c r="S1236" i="12767"/>
  <c r="S1242" i="12861" s="1"/>
  <c r="S1251" i="12767"/>
  <c r="S1257" i="12861" s="1"/>
  <c r="S1255" i="12767"/>
  <c r="S1261" i="12861" s="1"/>
  <c r="S1247" i="12767"/>
  <c r="S1253" i="12861" s="1"/>
  <c r="S1250" i="12767"/>
  <c r="S1256" i="12861" s="1"/>
  <c r="S1239" i="12767"/>
  <c r="S1245" i="12861" s="1"/>
  <c r="G575" i="12843"/>
  <c r="I575" i="12843" s="1"/>
  <c r="I574" i="12767"/>
  <c r="G576" i="12843"/>
  <c r="I576" i="12843" s="1"/>
  <c r="I575" i="12767"/>
  <c r="G616" i="12843"/>
  <c r="G658" i="12843" s="1"/>
  <c r="I361" i="12767"/>
  <c r="Y89" i="12767"/>
  <c r="Y90" i="12767"/>
  <c r="S1254" i="12767"/>
  <c r="S1260" i="12861" s="1"/>
  <c r="S1246" i="12767"/>
  <c r="S1252" i="12861" s="1"/>
  <c r="K1125" i="12767"/>
  <c r="K1126" i="12767"/>
  <c r="K1123" i="12767"/>
  <c r="K1124" i="12767"/>
  <c r="S95" i="12843"/>
  <c r="U95" i="12843" s="1"/>
  <c r="S96" i="12843"/>
  <c r="U96" i="12843" s="1"/>
  <c r="S185" i="12843"/>
  <c r="S483" i="12843" s="1"/>
  <c r="S184" i="12843"/>
  <c r="S327" i="12843" s="1"/>
  <c r="U327" i="12843" s="1"/>
  <c r="S183" i="12843"/>
  <c r="S113" i="12843"/>
  <c r="S129" i="12843" s="1"/>
  <c r="I362" i="12843"/>
  <c r="Z96" i="12843"/>
  <c r="G129" i="12843"/>
  <c r="G144" i="12843" s="1"/>
  <c r="I223" i="12843"/>
  <c r="I467" i="12843"/>
  <c r="I375" i="12843"/>
  <c r="I361" i="12843"/>
  <c r="I469" i="12843"/>
  <c r="I377" i="12843"/>
  <c r="I238" i="12843"/>
  <c r="I468" i="12843"/>
  <c r="I237" i="12843"/>
  <c r="I225" i="12843"/>
  <c r="S616" i="12767"/>
  <c r="G617" i="12843"/>
  <c r="I376" i="12843"/>
  <c r="I224" i="12843"/>
  <c r="U1229" i="12843"/>
  <c r="M1200" i="12843"/>
  <c r="Q1213" i="12843"/>
  <c r="Q1200" i="12843"/>
  <c r="M1229" i="12843"/>
  <c r="Q1229" i="12843"/>
  <c r="U1213" i="12843"/>
  <c r="U1200" i="12843"/>
  <c r="M1213" i="12843"/>
  <c r="K1132" i="12767"/>
  <c r="K1128" i="12767"/>
  <c r="K1130" i="12861" s="1"/>
  <c r="K1114" i="12767"/>
  <c r="K1131" i="12767"/>
  <c r="K1133" i="12861" s="1"/>
  <c r="K1118" i="12767"/>
  <c r="K1134" i="12767"/>
  <c r="K1130" i="12767"/>
  <c r="K1132" i="12861" s="1"/>
  <c r="K1117" i="12767"/>
  <c r="K1133" i="12767"/>
  <c r="K1129" i="12767"/>
  <c r="K1131" i="12861" s="1"/>
  <c r="K1115" i="12767"/>
  <c r="I114" i="12843"/>
  <c r="G130" i="12843"/>
  <c r="S114" i="12843"/>
  <c r="F935" i="12767"/>
  <c r="U1198" i="12767"/>
  <c r="U1210" i="12767"/>
  <c r="U1206" i="12767" s="1"/>
  <c r="U1210" i="12861" s="1"/>
  <c r="M1198" i="12767"/>
  <c r="M1210" i="12767"/>
  <c r="M1206" i="12767" s="1"/>
  <c r="M1210" i="12861" s="1"/>
  <c r="Q1210" i="12767"/>
  <c r="Q1206" i="12767" s="1"/>
  <c r="Q1210" i="12861" s="1"/>
  <c r="Q1198" i="12767"/>
  <c r="Q1128" i="12767"/>
  <c r="Q1114" i="12767"/>
  <c r="O1221" i="12767"/>
  <c r="O1227" i="12861" s="1"/>
  <c r="O1229" i="12861" s="1"/>
  <c r="Q1224" i="12767"/>
  <c r="Q1226" i="12767" s="1"/>
  <c r="K1221" i="12767"/>
  <c r="K1227" i="12861" s="1"/>
  <c r="K1229" i="12861" s="1"/>
  <c r="M1224" i="12767"/>
  <c r="M1226" i="12767" s="1"/>
  <c r="S1221" i="12767"/>
  <c r="S1227" i="12861" s="1"/>
  <c r="S1229" i="12861" s="1"/>
  <c r="U1224" i="12767"/>
  <c r="U1226" i="12767" s="1"/>
  <c r="Q1131" i="12767"/>
  <c r="Q1117" i="12767"/>
  <c r="Q1130" i="12767"/>
  <c r="Q1132" i="12861" s="1"/>
  <c r="Q1134" i="12767"/>
  <c r="Q1132" i="12767"/>
  <c r="Q1133" i="12767"/>
  <c r="Q1119" i="12767"/>
  <c r="Q1119" i="12861" s="1"/>
  <c r="Q1129" i="12767"/>
  <c r="Q1121" i="12767"/>
  <c r="Q1121" i="12861" s="1"/>
  <c r="Q1118" i="12767"/>
  <c r="Q1115" i="12767"/>
  <c r="Q1120" i="12767"/>
  <c r="Q1120" i="12861" s="1"/>
  <c r="Q1113" i="12767"/>
  <c r="G592" i="12767"/>
  <c r="I592" i="12767" s="1"/>
  <c r="S615" i="12767"/>
  <c r="I112" i="12767"/>
  <c r="S113" i="12767"/>
  <c r="U113" i="12767" s="1"/>
  <c r="AA14" i="12764"/>
  <c r="S128" i="12767"/>
  <c r="U128" i="12767" s="1"/>
  <c r="O593" i="12767"/>
  <c r="Q593" i="12767" s="1"/>
  <c r="O658" i="12767"/>
  <c r="O696" i="12767"/>
  <c r="O128" i="12767"/>
  <c r="Q128" i="12767" s="1"/>
  <c r="K143" i="12767"/>
  <c r="M143" i="12767" s="1"/>
  <c r="K144" i="12767"/>
  <c r="M144" i="12767" s="1"/>
  <c r="I222" i="12767"/>
  <c r="G633" i="12767"/>
  <c r="G593" i="12767"/>
  <c r="G657" i="12767"/>
  <c r="G672" i="12767" s="1"/>
  <c r="I672" i="12767" s="1"/>
  <c r="G695" i="12767"/>
  <c r="G658" i="12767"/>
  <c r="G673" i="12767" s="1"/>
  <c r="I673" i="12767" s="1"/>
  <c r="G696" i="12767"/>
  <c r="G632" i="12767"/>
  <c r="I375" i="12767"/>
  <c r="I468" i="12767"/>
  <c r="I376" i="12767"/>
  <c r="I224" i="12767"/>
  <c r="I113" i="12767"/>
  <c r="W75" i="12764"/>
  <c r="W18" i="12764"/>
  <c r="Z58" i="12764"/>
  <c r="AA67" i="12764"/>
  <c r="X18" i="12764"/>
  <c r="L41" i="12812" s="1"/>
  <c r="L97" i="12812"/>
  <c r="H18" i="12809" s="1"/>
  <c r="I18" i="12809" s="1"/>
  <c r="J18" i="12809" s="1"/>
  <c r="B43" i="12783"/>
  <c r="B45" i="12783" s="1"/>
  <c r="J33" i="12783"/>
  <c r="J45" i="12783" s="1"/>
  <c r="J49" i="12783" s="1"/>
  <c r="X22" i="12764"/>
  <c r="L46" i="12812" s="1"/>
  <c r="C1278" i="12767"/>
  <c r="N42" i="12812"/>
  <c r="P42" i="12812"/>
  <c r="Q42" i="12812" s="1"/>
  <c r="O42" i="12811"/>
  <c r="P42" i="12811" s="1"/>
  <c r="Q42" i="12811" s="1"/>
  <c r="N72" i="12812"/>
  <c r="N74" i="12812" s="1"/>
  <c r="O72" i="12811"/>
  <c r="P72" i="12812"/>
  <c r="M74" i="12812"/>
  <c r="O15" i="12811"/>
  <c r="P15" i="12811" s="1"/>
  <c r="Q15" i="12811" s="1"/>
  <c r="P15" i="12812"/>
  <c r="Q15" i="12812" s="1"/>
  <c r="AB18" i="12764"/>
  <c r="AA18" i="12764"/>
  <c r="Z69" i="12764"/>
  <c r="AA69" i="12764" s="1"/>
  <c r="AA22" i="12764"/>
  <c r="N81" i="12812"/>
  <c r="N82" i="12812" s="1"/>
  <c r="O81" i="12811"/>
  <c r="P81" i="12812"/>
  <c r="M82" i="12812"/>
  <c r="Q79" i="12811"/>
  <c r="Q71" i="12811"/>
  <c r="Q49" i="12812"/>
  <c r="Q50" i="12812" s="1"/>
  <c r="P50" i="12812"/>
  <c r="O50" i="12811"/>
  <c r="P49" i="12811"/>
  <c r="F21" i="12810"/>
  <c r="I19" i="12812"/>
  <c r="I38" i="12812" s="1"/>
  <c r="N13" i="12811"/>
  <c r="P102" i="12812"/>
  <c r="Q102" i="12812" s="1"/>
  <c r="O102" i="12811"/>
  <c r="P102" i="12811" s="1"/>
  <c r="Q102" i="12811" s="1"/>
  <c r="M101" i="12812"/>
  <c r="L103" i="12812"/>
  <c r="L117" i="12812" s="1"/>
  <c r="H19" i="12809" s="1"/>
  <c r="I19" i="12809" s="1"/>
  <c r="J19" i="12809" s="1"/>
  <c r="Q76" i="12812"/>
  <c r="Q77" i="12812" s="1"/>
  <c r="P77" i="12812"/>
  <c r="O77" i="12811"/>
  <c r="P76" i="12811"/>
  <c r="O85" i="12811"/>
  <c r="P84" i="12811"/>
  <c r="O123" i="12811"/>
  <c r="P123" i="12812"/>
  <c r="N123" i="12812"/>
  <c r="N127" i="12812" s="1"/>
  <c r="N137" i="12812" s="1"/>
  <c r="M127" i="12812"/>
  <c r="M137" i="12812" s="1"/>
  <c r="F20" i="12809"/>
  <c r="Q52" i="12812"/>
  <c r="Q54" i="12812" s="1"/>
  <c r="P54" i="12812"/>
  <c r="O54" i="12811"/>
  <c r="P52" i="12811"/>
  <c r="P85" i="12812"/>
  <c r="Q84" i="12812"/>
  <c r="Q85" i="12812" s="1"/>
  <c r="H20" i="12809"/>
  <c r="Q21" i="12811"/>
  <c r="P22" i="12811"/>
  <c r="AF44" i="12775"/>
  <c r="AG15" i="12774"/>
  <c r="AG29" i="12774"/>
  <c r="W39" i="12783"/>
  <c r="AG24" i="12774"/>
  <c r="AA75" i="12764"/>
  <c r="AB75" i="12764"/>
  <c r="F634" i="12767"/>
  <c r="F636" i="12767" s="1"/>
  <c r="F676" i="12767"/>
  <c r="H174" i="12787"/>
  <c r="H176" i="12787" s="1"/>
  <c r="H1035" i="12787" s="1"/>
  <c r="H1038" i="12787" s="1"/>
  <c r="H1045" i="12787" s="1"/>
  <c r="H205" i="12787"/>
  <c r="X69" i="12764"/>
  <c r="W69" i="12764"/>
  <c r="C1043" i="12787"/>
  <c r="C1045" i="12787" s="1"/>
  <c r="F202" i="12767"/>
  <c r="F204" i="12767" s="1"/>
  <c r="F241" i="12767"/>
  <c r="U375" i="12861" l="1"/>
  <c r="U467" i="12861"/>
  <c r="U224" i="12861"/>
  <c r="U238" i="12861"/>
  <c r="M98" i="12860"/>
  <c r="M100" i="12860" s="1"/>
  <c r="K89" i="12860"/>
  <c r="O124" i="12860"/>
  <c r="Q124" i="12860" s="1"/>
  <c r="O154" i="12860"/>
  <c r="Q154" i="12860" s="1"/>
  <c r="O109" i="12860"/>
  <c r="O97" i="12860"/>
  <c r="U1164" i="12860"/>
  <c r="S1189" i="12860"/>
  <c r="S1188" i="12860"/>
  <c r="S1190" i="12860"/>
  <c r="S1186" i="12860"/>
  <c r="U1197" i="12860"/>
  <c r="S1178" i="12860"/>
  <c r="S1187" i="12860"/>
  <c r="U362" i="12861"/>
  <c r="K97" i="12860"/>
  <c r="K124" i="12860"/>
  <c r="M124" i="12860" s="1"/>
  <c r="K109" i="12860"/>
  <c r="K154" i="12860"/>
  <c r="M154" i="12860" s="1"/>
  <c r="U237" i="12861"/>
  <c r="Q1164" i="12860"/>
  <c r="O1186" i="12860"/>
  <c r="O1190" i="12860"/>
  <c r="O1189" i="12860"/>
  <c r="Q1197" i="12860"/>
  <c r="O1187" i="12860"/>
  <c r="O1178" i="12860"/>
  <c r="O1188" i="12860"/>
  <c r="U469" i="12861"/>
  <c r="U225" i="12861"/>
  <c r="Q594" i="12843"/>
  <c r="Q594" i="12861"/>
  <c r="K1190" i="12860"/>
  <c r="K1187" i="12860"/>
  <c r="K1186" i="12860"/>
  <c r="K1188" i="12860"/>
  <c r="K1178" i="12860"/>
  <c r="K1189" i="12860"/>
  <c r="M1164" i="12860"/>
  <c r="M1197" i="12860"/>
  <c r="S1149" i="12860"/>
  <c r="U1149" i="12860" s="1"/>
  <c r="Q1149" i="12860"/>
  <c r="U361" i="12861"/>
  <c r="U239" i="12861"/>
  <c r="S574" i="12767"/>
  <c r="S575" i="12861" s="1"/>
  <c r="S616" i="12861"/>
  <c r="S575" i="12767"/>
  <c r="S576" i="12861" s="1"/>
  <c r="S617" i="12861"/>
  <c r="O89" i="12860"/>
  <c r="Q98" i="12860"/>
  <c r="Q100" i="12860" s="1"/>
  <c r="U223" i="12861"/>
  <c r="O1152" i="12767"/>
  <c r="O1151" i="12861"/>
  <c r="O1155" i="12861" s="1"/>
  <c r="K1149" i="12767"/>
  <c r="K1152" i="12861" s="1"/>
  <c r="K1151" i="12861"/>
  <c r="K1155" i="12861" s="1"/>
  <c r="S1149" i="12843"/>
  <c r="S1151" i="12861"/>
  <c r="S1155" i="12861" s="1"/>
  <c r="Q129" i="12843"/>
  <c r="Q129" i="12861"/>
  <c r="U129" i="12843"/>
  <c r="U129" i="12861"/>
  <c r="U114" i="12843"/>
  <c r="U114" i="12861"/>
  <c r="K1117" i="12843"/>
  <c r="K1117" i="12861"/>
  <c r="Q1113" i="12843"/>
  <c r="Q1113" i="12861"/>
  <c r="Q1132" i="12843"/>
  <c r="Q1134" i="12861"/>
  <c r="Q1131" i="12843"/>
  <c r="Q1133" i="12861"/>
  <c r="Q1128" i="12843"/>
  <c r="Q1130" i="12861"/>
  <c r="K1134" i="12843"/>
  <c r="K1136" i="12861"/>
  <c r="K1123" i="12843"/>
  <c r="K1124" i="12861"/>
  <c r="Q1129" i="12843"/>
  <c r="Q1131" i="12861"/>
  <c r="Q1134" i="12843"/>
  <c r="Q1136" i="12861"/>
  <c r="K1133" i="12843"/>
  <c r="K1135" i="12861"/>
  <c r="K1118" i="12843"/>
  <c r="K1118" i="12861"/>
  <c r="K1132" i="12843"/>
  <c r="K1134" i="12861"/>
  <c r="K1126" i="12843"/>
  <c r="K1128" i="12861"/>
  <c r="K1119" i="12843"/>
  <c r="K1119" i="12861"/>
  <c r="K1113" i="12843"/>
  <c r="K1113" i="12861"/>
  <c r="Q1115" i="12843"/>
  <c r="Q1115" i="12861"/>
  <c r="K1125" i="12843"/>
  <c r="K1127" i="12861"/>
  <c r="Q1118" i="12843"/>
  <c r="Q1118" i="12861"/>
  <c r="Q1133" i="12843"/>
  <c r="Q1135" i="12861"/>
  <c r="Q1117" i="12843"/>
  <c r="Q1117" i="12861"/>
  <c r="Q1114" i="12843"/>
  <c r="Q1114" i="12861"/>
  <c r="K1115" i="12843"/>
  <c r="K1115" i="12861"/>
  <c r="K1114" i="12843"/>
  <c r="K1114" i="12861"/>
  <c r="K1124" i="12843"/>
  <c r="K1125" i="12861"/>
  <c r="K1120" i="12843"/>
  <c r="K1120" i="12861"/>
  <c r="K1116" i="12843"/>
  <c r="K1116" i="12861"/>
  <c r="O34" i="12831"/>
  <c r="O46" i="12831" s="1"/>
  <c r="V52" i="12831" s="1"/>
  <c r="C1279" i="12860"/>
  <c r="C1281" i="12860" s="1"/>
  <c r="F916" i="12767"/>
  <c r="F1271" i="12767" s="1"/>
  <c r="V28" i="12764"/>
  <c r="V58" i="12764" s="1"/>
  <c r="V77" i="12764"/>
  <c r="V82" i="12764" s="1"/>
  <c r="V112" i="12764" s="1"/>
  <c r="AA82" i="12764"/>
  <c r="W77" i="12764"/>
  <c r="AB82" i="12764"/>
  <c r="X77" i="12764"/>
  <c r="AD77" i="12764" s="1"/>
  <c r="AD82" i="12764" s="1"/>
  <c r="W82" i="12764"/>
  <c r="AB77" i="12764"/>
  <c r="AA77" i="12764"/>
  <c r="I182" i="12767"/>
  <c r="U182" i="12767" s="1"/>
  <c r="I183" i="12767"/>
  <c r="U183" i="12767" s="1"/>
  <c r="S1152" i="12767"/>
  <c r="O1149" i="12843"/>
  <c r="O1153" i="12843" s="1"/>
  <c r="K1152" i="12767"/>
  <c r="G633" i="12843"/>
  <c r="O1149" i="12767"/>
  <c r="G696" i="12843"/>
  <c r="I696" i="12843" s="1"/>
  <c r="K1206" i="12767"/>
  <c r="K1192" i="12767" s="1"/>
  <c r="K1196" i="12861" s="1"/>
  <c r="K1200" i="12861" s="1"/>
  <c r="M1208" i="12843"/>
  <c r="O1121" i="12767"/>
  <c r="Q1121" i="12843"/>
  <c r="O1120" i="12767"/>
  <c r="Q1120" i="12843"/>
  <c r="S1206" i="12767"/>
  <c r="S1205" i="12767" s="1"/>
  <c r="U1208" i="12843"/>
  <c r="K1149" i="12843"/>
  <c r="K1153" i="12843" s="1"/>
  <c r="O1119" i="12767"/>
  <c r="Q1119" i="12843"/>
  <c r="U1128" i="12767"/>
  <c r="Q1130" i="12843"/>
  <c r="O1206" i="12767"/>
  <c r="O1205" i="12767" s="1"/>
  <c r="O1210" i="12861" s="1"/>
  <c r="O1211" i="12861" s="1"/>
  <c r="Q1208" i="12843"/>
  <c r="G593" i="12843"/>
  <c r="I593" i="12843" s="1"/>
  <c r="O1116" i="12767"/>
  <c r="Q1116" i="12843"/>
  <c r="S575" i="12843"/>
  <c r="U574" i="12767"/>
  <c r="S616" i="12843"/>
  <c r="S696" i="12843" s="1"/>
  <c r="S617" i="12843"/>
  <c r="S594" i="12843" s="1"/>
  <c r="O1113" i="12767"/>
  <c r="O1124" i="12767"/>
  <c r="O1125" i="12861" s="1"/>
  <c r="O1126" i="12767"/>
  <c r="O1123" i="12767"/>
  <c r="O1125" i="12767"/>
  <c r="K1131" i="12843"/>
  <c r="K1129" i="12843"/>
  <c r="K1128" i="12843"/>
  <c r="K1130" i="12843"/>
  <c r="S516" i="12843"/>
  <c r="U516" i="12843" s="1"/>
  <c r="S432" i="12843"/>
  <c r="U432" i="12843" s="1"/>
  <c r="S257" i="12843"/>
  <c r="U257" i="12843" s="1"/>
  <c r="S200" i="12843"/>
  <c r="S410" i="12843"/>
  <c r="U410" i="12843" s="1"/>
  <c r="S412" i="12843"/>
  <c r="U412" i="12843" s="1"/>
  <c r="S431" i="12843"/>
  <c r="U431" i="12843" s="1"/>
  <c r="S202" i="12843"/>
  <c r="S469" i="12843"/>
  <c r="S272" i="12843"/>
  <c r="U272" i="12843" s="1"/>
  <c r="S259" i="12843"/>
  <c r="U259" i="12843" s="1"/>
  <c r="S342" i="12843"/>
  <c r="U342" i="12843" s="1"/>
  <c r="S375" i="12843"/>
  <c r="S361" i="12843"/>
  <c r="S467" i="12843"/>
  <c r="S237" i="12843"/>
  <c r="S292" i="12843"/>
  <c r="U292" i="12843" s="1"/>
  <c r="S340" i="12843"/>
  <c r="U340" i="12843" s="1"/>
  <c r="S326" i="12843"/>
  <c r="U326" i="12843" s="1"/>
  <c r="S502" i="12843"/>
  <c r="U502" i="12843" s="1"/>
  <c r="S223" i="12843"/>
  <c r="S271" i="12843"/>
  <c r="U271" i="12843" s="1"/>
  <c r="S537" i="12843"/>
  <c r="U537" i="12843" s="1"/>
  <c r="S446" i="12843"/>
  <c r="U446" i="12843" s="1"/>
  <c r="S551" i="12843"/>
  <c r="U551" i="12843" s="1"/>
  <c r="S445" i="12843"/>
  <c r="U445" i="12843" s="1"/>
  <c r="S481" i="12843"/>
  <c r="S306" i="12843"/>
  <c r="U306" i="12843" s="1"/>
  <c r="S396" i="12843"/>
  <c r="U396" i="12843" s="1"/>
  <c r="S293" i="12843"/>
  <c r="U293" i="12843" s="1"/>
  <c r="S307" i="12843"/>
  <c r="U307" i="12843" s="1"/>
  <c r="S294" i="12843"/>
  <c r="U294" i="12843" s="1"/>
  <c r="S433" i="12843"/>
  <c r="U433" i="12843" s="1"/>
  <c r="S398" i="12843"/>
  <c r="U398" i="12843" s="1"/>
  <c r="S238" i="12843"/>
  <c r="S538" i="12843"/>
  <c r="U538" i="12843" s="1"/>
  <c r="S224" i="12843"/>
  <c r="S539" i="12843"/>
  <c r="U539" i="12843" s="1"/>
  <c r="S308" i="12843"/>
  <c r="U308" i="12843" s="1"/>
  <c r="S504" i="12843"/>
  <c r="U504" i="12843" s="1"/>
  <c r="S328" i="12843"/>
  <c r="U328" i="12843" s="1"/>
  <c r="S553" i="12843"/>
  <c r="U553" i="12843" s="1"/>
  <c r="S341" i="12843"/>
  <c r="U341" i="12843" s="1"/>
  <c r="S201" i="12843"/>
  <c r="S468" i="12843"/>
  <c r="S258" i="12843"/>
  <c r="U258" i="12843" s="1"/>
  <c r="S482" i="12843"/>
  <c r="S239" i="12843"/>
  <c r="S225" i="12843"/>
  <c r="S503" i="12843"/>
  <c r="U503" i="12843" s="1"/>
  <c r="S411" i="12843"/>
  <c r="U411" i="12843" s="1"/>
  <c r="S517" i="12843"/>
  <c r="U517" i="12843" s="1"/>
  <c r="S377" i="12843"/>
  <c r="S363" i="12843"/>
  <c r="S447" i="12843"/>
  <c r="U447" i="12843" s="1"/>
  <c r="S518" i="12843"/>
  <c r="U518" i="12843" s="1"/>
  <c r="S273" i="12843"/>
  <c r="U273" i="12843" s="1"/>
  <c r="S362" i="12843"/>
  <c r="S376" i="12843"/>
  <c r="S552" i="12843"/>
  <c r="U552" i="12843" s="1"/>
  <c r="S397" i="12843"/>
  <c r="U397" i="12843" s="1"/>
  <c r="I184" i="12843"/>
  <c r="I183" i="12843"/>
  <c r="I129" i="12843"/>
  <c r="U1118" i="12767"/>
  <c r="U1169" i="12843"/>
  <c r="M1169" i="12843"/>
  <c r="Q1169" i="12843"/>
  <c r="G673" i="12843"/>
  <c r="I673" i="12843" s="1"/>
  <c r="I658" i="12843"/>
  <c r="G634" i="12843"/>
  <c r="G697" i="12843"/>
  <c r="G659" i="12843"/>
  <c r="G594" i="12843"/>
  <c r="I594" i="12843" s="1"/>
  <c r="U1117" i="12767"/>
  <c r="U1129" i="12767"/>
  <c r="U1130" i="12767"/>
  <c r="O1134" i="12767"/>
  <c r="O1130" i="12767"/>
  <c r="O1132" i="12861" s="1"/>
  <c r="O1117" i="12767"/>
  <c r="O1133" i="12767"/>
  <c r="O1129" i="12767"/>
  <c r="O1131" i="12861" s="1"/>
  <c r="O1115" i="12767"/>
  <c r="O1114" i="12767"/>
  <c r="O1132" i="12767"/>
  <c r="O1128" i="12767"/>
  <c r="O1130" i="12861" s="1"/>
  <c r="O1131" i="12767"/>
  <c r="O1133" i="12861" s="1"/>
  <c r="O1118" i="12767"/>
  <c r="U1115" i="12767"/>
  <c r="K1223" i="12767"/>
  <c r="K1225" i="12843"/>
  <c r="M1186" i="12767"/>
  <c r="M1188" i="12767"/>
  <c r="M1187" i="12767"/>
  <c r="M1189" i="12767"/>
  <c r="M1190" i="12767"/>
  <c r="S1223" i="12767"/>
  <c r="S1225" i="12843"/>
  <c r="O1223" i="12767"/>
  <c r="O1225" i="12843"/>
  <c r="U1119" i="12767"/>
  <c r="U1119" i="12861" s="1"/>
  <c r="S1153" i="12843"/>
  <c r="G145" i="12843"/>
  <c r="I130" i="12843"/>
  <c r="S144" i="12843"/>
  <c r="S130" i="12843"/>
  <c r="G159" i="12843"/>
  <c r="I159" i="12843" s="1"/>
  <c r="I144" i="12843"/>
  <c r="U1133" i="12767"/>
  <c r="U1134" i="12767"/>
  <c r="U1120" i="12767"/>
  <c r="U1120" i="12861" s="1"/>
  <c r="U1114" i="12767"/>
  <c r="U1116" i="12767"/>
  <c r="U1116" i="12861" s="1"/>
  <c r="U1113" i="12767"/>
  <c r="U1121" i="12767"/>
  <c r="U1121" i="12861" s="1"/>
  <c r="U1132" i="12767"/>
  <c r="U1131" i="12767"/>
  <c r="M1168" i="12767"/>
  <c r="Q1168" i="12767"/>
  <c r="U1168" i="12767"/>
  <c r="O657" i="12767"/>
  <c r="Q657" i="12767" s="1"/>
  <c r="O695" i="12767"/>
  <c r="O710" i="12767" s="1"/>
  <c r="Q710" i="12767" s="1"/>
  <c r="O592" i="12767"/>
  <c r="Q592" i="12767" s="1"/>
  <c r="I129" i="12767"/>
  <c r="S129" i="12767"/>
  <c r="U129" i="12767" s="1"/>
  <c r="S143" i="12767"/>
  <c r="U143" i="12767" s="1"/>
  <c r="Q658" i="12767"/>
  <c r="O673" i="12767"/>
  <c r="Q673" i="12767" s="1"/>
  <c r="O129" i="12767"/>
  <c r="Q129" i="12767" s="1"/>
  <c r="O143" i="12767"/>
  <c r="Q143" i="12767" s="1"/>
  <c r="O711" i="12767"/>
  <c r="Q711" i="12767" s="1"/>
  <c r="Q696" i="12767"/>
  <c r="K159" i="12767"/>
  <c r="M159" i="12767" s="1"/>
  <c r="K158" i="12767"/>
  <c r="M158" i="12767" s="1"/>
  <c r="I658" i="12767"/>
  <c r="I657" i="12767"/>
  <c r="I695" i="12767"/>
  <c r="G710" i="12767"/>
  <c r="I710" i="12767" s="1"/>
  <c r="I632" i="12767" s="1"/>
  <c r="U632" i="12767" s="1"/>
  <c r="I696" i="12767"/>
  <c r="G711" i="12767"/>
  <c r="I711" i="12767" s="1"/>
  <c r="I633" i="12767" s="1"/>
  <c r="U633" i="12767" s="1"/>
  <c r="I128" i="12767"/>
  <c r="AB69" i="12764"/>
  <c r="AB22" i="12764"/>
  <c r="AD18" i="12764"/>
  <c r="Z112" i="12764"/>
  <c r="Z113" i="12764" s="1"/>
  <c r="M97" i="12812"/>
  <c r="W22" i="12764"/>
  <c r="T28" i="12764"/>
  <c r="AA28" i="12764" s="1"/>
  <c r="T84" i="12764"/>
  <c r="N97" i="12812"/>
  <c r="Q72" i="12812"/>
  <c r="Q74" i="12812" s="1"/>
  <c r="P74" i="12812"/>
  <c r="P72" i="12811"/>
  <c r="O74" i="12811"/>
  <c r="L44" i="12812"/>
  <c r="M41" i="12812"/>
  <c r="AD22" i="12764"/>
  <c r="F25" i="12810"/>
  <c r="C1279" i="12767"/>
  <c r="C1281" i="12767" s="1"/>
  <c r="P81" i="12811"/>
  <c r="O82" i="12811"/>
  <c r="Q81" i="12812"/>
  <c r="Q82" i="12812" s="1"/>
  <c r="P82" i="12812"/>
  <c r="Q49" i="12811"/>
  <c r="Q50" i="12811" s="1"/>
  <c r="P50" i="12811"/>
  <c r="AF6" i="12774"/>
  <c r="AG6" i="12774" s="1"/>
  <c r="J19" i="12812"/>
  <c r="J38" i="12812" s="1"/>
  <c r="N19" i="12811"/>
  <c r="N38" i="12811" s="1"/>
  <c r="D16" i="12809" s="1"/>
  <c r="F16" i="12809" s="1"/>
  <c r="G16" i="12809" s="1"/>
  <c r="O101" i="12811"/>
  <c r="M103" i="12812"/>
  <c r="M117" i="12812" s="1"/>
  <c r="P101" i="12812"/>
  <c r="N101" i="12812"/>
  <c r="N103" i="12812" s="1"/>
  <c r="N117" i="12812" s="1"/>
  <c r="Q76" i="12811"/>
  <c r="P77" i="12811"/>
  <c r="F47" i="12812"/>
  <c r="I46" i="12812"/>
  <c r="I20" i="12809"/>
  <c r="G20" i="12809"/>
  <c r="Q123" i="12812"/>
  <c r="Q127" i="12812" s="1"/>
  <c r="Q137" i="12812" s="1"/>
  <c r="P127" i="12812"/>
  <c r="P137" i="12812" s="1"/>
  <c r="Q84" i="12811"/>
  <c r="P85" i="12811"/>
  <c r="Q52" i="12811"/>
  <c r="P54" i="12811"/>
  <c r="P123" i="12811"/>
  <c r="Q123" i="12811" s="1"/>
  <c r="O127" i="12811"/>
  <c r="Q22" i="12811"/>
  <c r="AF32" i="12774"/>
  <c r="AG32" i="12774" s="1"/>
  <c r="AG8" i="12774"/>
  <c r="AG34" i="12774"/>
  <c r="AF36" i="12774"/>
  <c r="Q593" i="12843" l="1"/>
  <c r="Q593" i="12861"/>
  <c r="U575" i="12843"/>
  <c r="U575" i="12861"/>
  <c r="S633" i="12861"/>
  <c r="S593" i="12861"/>
  <c r="S696" i="12861"/>
  <c r="S658" i="12861"/>
  <c r="K139" i="12860"/>
  <c r="M139" i="12860" s="1"/>
  <c r="M109" i="12860"/>
  <c r="K153" i="12860"/>
  <c r="M153" i="12860" s="1"/>
  <c r="M160" i="12860" s="1"/>
  <c r="M162" i="12860" s="1"/>
  <c r="K96" i="12860"/>
  <c r="K138" i="12860"/>
  <c r="M138" i="12860" s="1"/>
  <c r="M145" i="12860" s="1"/>
  <c r="M147" i="12860" s="1"/>
  <c r="K123" i="12860"/>
  <c r="M123" i="12860" s="1"/>
  <c r="M130" i="12860" s="1"/>
  <c r="M132" i="12860" s="1"/>
  <c r="K108" i="12860"/>
  <c r="M108" i="12860" s="1"/>
  <c r="M115" i="12860" s="1"/>
  <c r="M117" i="12860" s="1"/>
  <c r="U362" i="12843"/>
  <c r="U575" i="12767"/>
  <c r="O153" i="12860"/>
  <c r="Q153" i="12860" s="1"/>
  <c r="Q160" i="12860" s="1"/>
  <c r="Q162" i="12860" s="1"/>
  <c r="O123" i="12860"/>
  <c r="Q123" i="12860" s="1"/>
  <c r="Q130" i="12860" s="1"/>
  <c r="Q132" i="12860" s="1"/>
  <c r="O108" i="12860"/>
  <c r="Q108" i="12860" s="1"/>
  <c r="Q115" i="12860" s="1"/>
  <c r="Q117" i="12860" s="1"/>
  <c r="O96" i="12860"/>
  <c r="O138" i="12860"/>
  <c r="Q138" i="12860" s="1"/>
  <c r="Q145" i="12860" s="1"/>
  <c r="Q147" i="12860" s="1"/>
  <c r="Q1199" i="12860"/>
  <c r="Q1167" i="12860"/>
  <c r="Q1169" i="12860" s="1"/>
  <c r="Q109" i="12860"/>
  <c r="O139" i="12860"/>
  <c r="Q139" i="12860" s="1"/>
  <c r="S576" i="12843"/>
  <c r="S659" i="12861"/>
  <c r="S697" i="12861"/>
  <c r="S634" i="12861"/>
  <c r="S594" i="12861"/>
  <c r="M1199" i="12860"/>
  <c r="M1167" i="12860"/>
  <c r="M1169" i="12860" s="1"/>
  <c r="U1199" i="12860"/>
  <c r="U1167" i="12860"/>
  <c r="U1169" i="12860" s="1"/>
  <c r="M1149" i="12767"/>
  <c r="M1152" i="12861" s="1"/>
  <c r="U634" i="12843"/>
  <c r="U634" i="12861"/>
  <c r="K1150" i="12843"/>
  <c r="U184" i="12843"/>
  <c r="U184" i="12861"/>
  <c r="S1208" i="12843"/>
  <c r="S1209" i="12843" s="1"/>
  <c r="S1210" i="12861"/>
  <c r="S1211" i="12861" s="1"/>
  <c r="U633" i="12843"/>
  <c r="U633" i="12861"/>
  <c r="U183" i="12843"/>
  <c r="U183" i="12861"/>
  <c r="Q130" i="12843"/>
  <c r="Q130" i="12861"/>
  <c r="U130" i="12843"/>
  <c r="U130" i="12861"/>
  <c r="M1192" i="12843"/>
  <c r="M1194" i="12861"/>
  <c r="M1191" i="12843"/>
  <c r="M1193" i="12861"/>
  <c r="M1189" i="12843"/>
  <c r="M1191" i="12861"/>
  <c r="M1188" i="12843"/>
  <c r="M1190" i="12861"/>
  <c r="M1190" i="12843"/>
  <c r="M1192" i="12861"/>
  <c r="S1149" i="12767"/>
  <c r="S1152" i="12861" s="1"/>
  <c r="O1152" i="12861"/>
  <c r="V39" i="12831"/>
  <c r="V38" i="12831"/>
  <c r="V41" i="12831"/>
  <c r="V37" i="12831"/>
  <c r="V40" i="12831"/>
  <c r="V18" i="12831"/>
  <c r="V31" i="12831"/>
  <c r="V27" i="12831"/>
  <c r="V30" i="12831"/>
  <c r="V26" i="12831"/>
  <c r="V25" i="12831"/>
  <c r="V28" i="12831"/>
  <c r="V29" i="12831"/>
  <c r="V24" i="12831"/>
  <c r="U1113" i="12843"/>
  <c r="U1113" i="12861"/>
  <c r="U1131" i="12843"/>
  <c r="U1133" i="12861"/>
  <c r="U1133" i="12843"/>
  <c r="U1135" i="12861"/>
  <c r="U1115" i="12843"/>
  <c r="U1115" i="12861"/>
  <c r="O1132" i="12843"/>
  <c r="O1134" i="12861"/>
  <c r="O1133" i="12843"/>
  <c r="O1135" i="12861"/>
  <c r="U1130" i="12843"/>
  <c r="U1132" i="12861"/>
  <c r="O1123" i="12843"/>
  <c r="O1124" i="12861"/>
  <c r="U1128" i="12843"/>
  <c r="U1130" i="12861"/>
  <c r="U1132" i="12843"/>
  <c r="U1134" i="12861"/>
  <c r="U1114" i="12843"/>
  <c r="U1114" i="12861"/>
  <c r="O1118" i="12843"/>
  <c r="O1118" i="12861"/>
  <c r="O1114" i="12843"/>
  <c r="O1114" i="12861"/>
  <c r="O1117" i="12843"/>
  <c r="O1117" i="12861"/>
  <c r="U1129" i="12843"/>
  <c r="U1131" i="12861"/>
  <c r="U1118" i="12843"/>
  <c r="U1118" i="12861"/>
  <c r="O1126" i="12843"/>
  <c r="O1128" i="12861"/>
  <c r="O1121" i="12843"/>
  <c r="O1121" i="12861"/>
  <c r="O1115" i="12843"/>
  <c r="O1115" i="12861"/>
  <c r="U1117" i="12843"/>
  <c r="U1117" i="12861"/>
  <c r="O1119" i="12843"/>
  <c r="O1119" i="12861"/>
  <c r="U1134" i="12843"/>
  <c r="U1136" i="12861"/>
  <c r="O1134" i="12843"/>
  <c r="O1136" i="12861"/>
  <c r="O1125" i="12843"/>
  <c r="O1127" i="12861"/>
  <c r="O1113" i="12843"/>
  <c r="O1113" i="12861"/>
  <c r="O1116" i="12843"/>
  <c r="O1116" i="12861"/>
  <c r="O1120" i="12843"/>
  <c r="O1120" i="12861"/>
  <c r="O50" i="12831"/>
  <c r="F1274" i="12767"/>
  <c r="V113" i="12764"/>
  <c r="S1192" i="12767"/>
  <c r="K1205" i="12767"/>
  <c r="AF12" i="12774"/>
  <c r="U224" i="12843"/>
  <c r="G711" i="12843"/>
  <c r="I711" i="12843" s="1"/>
  <c r="I633" i="12843" s="1"/>
  <c r="S658" i="12843"/>
  <c r="S673" i="12843" s="1"/>
  <c r="U673" i="12843" s="1"/>
  <c r="S593" i="12843"/>
  <c r="O1192" i="12767"/>
  <c r="S633" i="12843"/>
  <c r="U376" i="12843"/>
  <c r="M1153" i="12767"/>
  <c r="M1155" i="12767" s="1"/>
  <c r="S1116" i="12767"/>
  <c r="U1116" i="12843"/>
  <c r="U239" i="12843"/>
  <c r="S1121" i="12767"/>
  <c r="U1121" i="12843"/>
  <c r="S1120" i="12767"/>
  <c r="U1120" i="12843"/>
  <c r="S1119" i="12767"/>
  <c r="U1119" i="12843"/>
  <c r="U377" i="12843"/>
  <c r="S1126" i="12767"/>
  <c r="S1131" i="12767"/>
  <c r="S1133" i="12861" s="1"/>
  <c r="S634" i="12843"/>
  <c r="S697" i="12843"/>
  <c r="U697" i="12843" s="1"/>
  <c r="S659" i="12843"/>
  <c r="U659" i="12843" s="1"/>
  <c r="S1128" i="12767"/>
  <c r="S1115" i="12767"/>
  <c r="S1134" i="12767"/>
  <c r="S1125" i="12767"/>
  <c r="S1129" i="12767"/>
  <c r="S1131" i="12861" s="1"/>
  <c r="S1123" i="12767"/>
  <c r="O1124" i="12843"/>
  <c r="Q1124" i="12767"/>
  <c r="S1113" i="12767"/>
  <c r="S1124" i="12767"/>
  <c r="S1125" i="12861" s="1"/>
  <c r="O1131" i="12843"/>
  <c r="O1130" i="12843"/>
  <c r="O1128" i="12843"/>
  <c r="Q1125" i="12767"/>
  <c r="O1129" i="12843"/>
  <c r="O672" i="12767"/>
  <c r="Q672" i="12767" s="1"/>
  <c r="U238" i="12843"/>
  <c r="U223" i="12843"/>
  <c r="U375" i="12843"/>
  <c r="U237" i="12843"/>
  <c r="U361" i="12843"/>
  <c r="U225" i="12843"/>
  <c r="U469" i="12843"/>
  <c r="U467" i="12843"/>
  <c r="U468" i="12843"/>
  <c r="O1150" i="12843"/>
  <c r="I95" i="12843"/>
  <c r="I616" i="12843"/>
  <c r="I659" i="12843"/>
  <c r="G674" i="12843"/>
  <c r="I674" i="12843" s="1"/>
  <c r="G712" i="12843"/>
  <c r="I712" i="12843" s="1"/>
  <c r="I697" i="12843"/>
  <c r="U696" i="12843"/>
  <c r="S711" i="12843"/>
  <c r="U711" i="12843" s="1"/>
  <c r="S1130" i="12767"/>
  <c r="S1132" i="12861" s="1"/>
  <c r="S1117" i="12767"/>
  <c r="U1228" i="12843"/>
  <c r="U1230" i="12843" s="1"/>
  <c r="S1227" i="12843"/>
  <c r="S1132" i="12767"/>
  <c r="S1114" i="12767"/>
  <c r="S1133" i="12767"/>
  <c r="S1118" i="12767"/>
  <c r="O1208" i="12843"/>
  <c r="Q1205" i="12767"/>
  <c r="Q1209" i="12861" s="1"/>
  <c r="M1228" i="12843"/>
  <c r="M1230" i="12843" s="1"/>
  <c r="K1227" i="12843"/>
  <c r="K1194" i="12843"/>
  <c r="M1192" i="12767"/>
  <c r="K1196" i="12767"/>
  <c r="Q1228" i="12843"/>
  <c r="Q1230" i="12843" s="1"/>
  <c r="O1227" i="12843"/>
  <c r="S159" i="12843"/>
  <c r="U159" i="12843" s="1"/>
  <c r="U144" i="12843"/>
  <c r="I145" i="12843"/>
  <c r="G160" i="12843"/>
  <c r="I160" i="12843" s="1"/>
  <c r="S145" i="12843"/>
  <c r="Q1149" i="12767"/>
  <c r="Q1152" i="12861" s="1"/>
  <c r="Q695" i="12767"/>
  <c r="I144" i="12767"/>
  <c r="I159" i="12767"/>
  <c r="S144" i="12767"/>
  <c r="U144" i="12767" s="1"/>
  <c r="S158" i="12767"/>
  <c r="U158" i="12767" s="1"/>
  <c r="O158" i="12767"/>
  <c r="Q158" i="12767" s="1"/>
  <c r="O144" i="12767"/>
  <c r="Q144" i="12767" s="1"/>
  <c r="M94" i="12767"/>
  <c r="M95" i="12767"/>
  <c r="I615" i="12767"/>
  <c r="I616" i="12767"/>
  <c r="I143" i="12767"/>
  <c r="I158" i="12767"/>
  <c r="W84" i="12764"/>
  <c r="T86" i="12764"/>
  <c r="T112" i="12764" s="1"/>
  <c r="AD28" i="12764"/>
  <c r="AD58" i="12764" s="1"/>
  <c r="X84" i="12764"/>
  <c r="AD84" i="12764" s="1"/>
  <c r="AD86" i="12764" s="1"/>
  <c r="AD112" i="12764" s="1"/>
  <c r="X28" i="12764"/>
  <c r="O97" i="12811"/>
  <c r="AB84" i="12764"/>
  <c r="AA84" i="12764"/>
  <c r="T58" i="12764"/>
  <c r="AB58" i="12764" s="1"/>
  <c r="AB28" i="12764"/>
  <c r="W28" i="12764"/>
  <c r="P97" i="12812"/>
  <c r="Q97" i="12812"/>
  <c r="Q72" i="12811"/>
  <c r="Q74" i="12811" s="1"/>
  <c r="P74" i="12811"/>
  <c r="M44" i="12812"/>
  <c r="P41" i="12812"/>
  <c r="O41" i="12811"/>
  <c r="N41" i="12812"/>
  <c r="N44" i="12812" s="1"/>
  <c r="Q81" i="12811"/>
  <c r="P82" i="12811"/>
  <c r="L19" i="12812"/>
  <c r="L38" i="12812" s="1"/>
  <c r="H16" i="12809" s="1"/>
  <c r="I16" i="12809" s="1"/>
  <c r="J16" i="12809" s="1"/>
  <c r="Q101" i="12812"/>
  <c r="Q103" i="12812" s="1"/>
  <c r="Q117" i="12812" s="1"/>
  <c r="P103" i="12812"/>
  <c r="P117" i="12812" s="1"/>
  <c r="O103" i="12811"/>
  <c r="O117" i="12811" s="1"/>
  <c r="P101" i="12811"/>
  <c r="Q77" i="12811"/>
  <c r="F68" i="12812"/>
  <c r="F140" i="12812" s="1"/>
  <c r="I47" i="12812"/>
  <c r="I68" i="12812" s="1"/>
  <c r="I140" i="12812" s="1"/>
  <c r="J46" i="12812"/>
  <c r="N46" i="12811"/>
  <c r="O137" i="12811"/>
  <c r="P127" i="12811"/>
  <c r="Q85" i="12811"/>
  <c r="J20" i="12809"/>
  <c r="Q54" i="12811"/>
  <c r="L33" i="12783"/>
  <c r="S674" i="12861" l="1"/>
  <c r="U674" i="12861" s="1"/>
  <c r="U659" i="12861"/>
  <c r="S673" i="12861"/>
  <c r="U673" i="12861" s="1"/>
  <c r="U658" i="12861"/>
  <c r="S711" i="12861"/>
  <c r="U711" i="12861" s="1"/>
  <c r="U696" i="12861"/>
  <c r="S712" i="12861"/>
  <c r="U712" i="12861" s="1"/>
  <c r="U697" i="12861"/>
  <c r="U576" i="12843"/>
  <c r="U576" i="12861"/>
  <c r="X768" i="12767"/>
  <c r="G723" i="12767" s="1"/>
  <c r="X204" i="12767"/>
  <c r="G180" i="12767" s="1"/>
  <c r="Z100" i="12767"/>
  <c r="X1104" i="12767"/>
  <c r="G1098" i="12767" s="1"/>
  <c r="M1150" i="12843"/>
  <c r="M1154" i="12843" s="1"/>
  <c r="M1156" i="12843" s="1"/>
  <c r="U1205" i="12767"/>
  <c r="K1210" i="12861"/>
  <c r="K1211" i="12861" s="1"/>
  <c r="M1194" i="12843"/>
  <c r="M1196" i="12861"/>
  <c r="M1166" i="12861" s="1"/>
  <c r="O1194" i="12843"/>
  <c r="O1196" i="12861"/>
  <c r="O1200" i="12861" s="1"/>
  <c r="U1192" i="12767"/>
  <c r="U1190" i="12767" s="1"/>
  <c r="S1196" i="12861"/>
  <c r="S1200" i="12861" s="1"/>
  <c r="X100" i="12767"/>
  <c r="X935" i="12767"/>
  <c r="X636" i="12767"/>
  <c r="Q1214" i="12861"/>
  <c r="Q1216" i="12861" s="1"/>
  <c r="Q1165" i="12861"/>
  <c r="U31" i="12831"/>
  <c r="Q31" i="12831" s="1"/>
  <c r="U40" i="12831"/>
  <c r="U41" i="12831"/>
  <c r="AF41" i="12831" s="1"/>
  <c r="X915" i="12861"/>
  <c r="S1114" i="12843"/>
  <c r="S1114" i="12861"/>
  <c r="Q1125" i="12843"/>
  <c r="Q1127" i="12861"/>
  <c r="S1123" i="12843"/>
  <c r="S1124" i="12861"/>
  <c r="S1116" i="12843"/>
  <c r="S1116" i="12861"/>
  <c r="S1118" i="12843"/>
  <c r="S1118" i="12861"/>
  <c r="Q1124" i="12843"/>
  <c r="Q1125" i="12861"/>
  <c r="S1125" i="12843"/>
  <c r="S1127" i="12861"/>
  <c r="S1126" i="12843"/>
  <c r="S1128" i="12861"/>
  <c r="S1133" i="12843"/>
  <c r="S1135" i="12861"/>
  <c r="S1134" i="12843"/>
  <c r="S1136" i="12861"/>
  <c r="S1120" i="12843"/>
  <c r="S1120" i="12861"/>
  <c r="S1117" i="12843"/>
  <c r="S1117" i="12861"/>
  <c r="S1115" i="12843"/>
  <c r="S1115" i="12861"/>
  <c r="S1132" i="12843"/>
  <c r="S1134" i="12861"/>
  <c r="S1113" i="12843"/>
  <c r="S1113" i="12861"/>
  <c r="S1128" i="12843"/>
  <c r="S1130" i="12861"/>
  <c r="S1119" i="12843"/>
  <c r="S1119" i="12861"/>
  <c r="S1121" i="12843"/>
  <c r="S1121" i="12861"/>
  <c r="X101" i="12861"/>
  <c r="X1104" i="12861"/>
  <c r="U25" i="12831"/>
  <c r="Q25" i="12831" s="1"/>
  <c r="X769" i="12861"/>
  <c r="U38" i="12831"/>
  <c r="AF38" i="12831" s="1"/>
  <c r="U39" i="12831"/>
  <c r="Q39" i="12831" s="1"/>
  <c r="S1194" i="12843"/>
  <c r="S1198" i="12843" s="1"/>
  <c r="K1208" i="12843"/>
  <c r="K1209" i="12843" s="1"/>
  <c r="S1196" i="12767"/>
  <c r="M1205" i="12767"/>
  <c r="AD113" i="12764"/>
  <c r="T113" i="12764"/>
  <c r="U658" i="12843"/>
  <c r="O1196" i="12767"/>
  <c r="Q1192" i="12767"/>
  <c r="Q1153" i="12767"/>
  <c r="Q1155" i="12767" s="1"/>
  <c r="Q1150" i="12843"/>
  <c r="Q1154" i="12843" s="1"/>
  <c r="Q1156" i="12843" s="1"/>
  <c r="S674" i="12843"/>
  <c r="U674" i="12843" s="1"/>
  <c r="Q1209" i="12767"/>
  <c r="Q1211" i="12767" s="1"/>
  <c r="Q1207" i="12843"/>
  <c r="Q1163" i="12843" s="1"/>
  <c r="S712" i="12843"/>
  <c r="U712" i="12843" s="1"/>
  <c r="S1124" i="12843"/>
  <c r="U1124" i="12767"/>
  <c r="S1130" i="12843"/>
  <c r="U1125" i="12767"/>
  <c r="S1131" i="12843"/>
  <c r="Q1126" i="12767"/>
  <c r="Q1123" i="12767"/>
  <c r="S1129" i="12843"/>
  <c r="U24" i="12831"/>
  <c r="AF24" i="12831" s="1"/>
  <c r="I634" i="12843"/>
  <c r="I617" i="12843"/>
  <c r="U1149" i="12767"/>
  <c r="U1152" i="12861" s="1"/>
  <c r="S1150" i="12843"/>
  <c r="K1198" i="12843"/>
  <c r="O1209" i="12843"/>
  <c r="M1179" i="12767"/>
  <c r="M1183" i="12861" s="1"/>
  <c r="M1178" i="12767"/>
  <c r="M1183" i="12767"/>
  <c r="M1187" i="12861" s="1"/>
  <c r="M1180" i="12767"/>
  <c r="M1184" i="12861" s="1"/>
  <c r="M1182" i="12767"/>
  <c r="M1186" i="12861" s="1"/>
  <c r="M1181" i="12767"/>
  <c r="M1185" i="12861" s="1"/>
  <c r="M1163" i="12767"/>
  <c r="O1198" i="12843"/>
  <c r="I96" i="12843"/>
  <c r="U145" i="12843"/>
  <c r="S160" i="12843"/>
  <c r="U160" i="12843" s="1"/>
  <c r="U1209" i="12767"/>
  <c r="I95" i="12767"/>
  <c r="S159" i="12767"/>
  <c r="U94" i="12767"/>
  <c r="O159" i="12767"/>
  <c r="Q159" i="12767" s="1"/>
  <c r="I94" i="12767"/>
  <c r="AA86" i="12764"/>
  <c r="X86" i="12764"/>
  <c r="X112" i="12764" s="1"/>
  <c r="AB86" i="12764"/>
  <c r="AB112" i="12764" s="1"/>
  <c r="AB113" i="12764" s="1"/>
  <c r="W86" i="12764"/>
  <c r="AA58" i="12764"/>
  <c r="X58" i="12764"/>
  <c r="W58" i="12764"/>
  <c r="P97" i="12811"/>
  <c r="O44" i="12811"/>
  <c r="P41" i="12811"/>
  <c r="Q41" i="12812"/>
  <c r="Q44" i="12812" s="1"/>
  <c r="P44" i="12812"/>
  <c r="Q82" i="12811"/>
  <c r="Q97" i="12811" s="1"/>
  <c r="O13" i="12811"/>
  <c r="M19" i="12812"/>
  <c r="M38" i="12812" s="1"/>
  <c r="Q13" i="12812"/>
  <c r="N19" i="12812"/>
  <c r="N38" i="12812" s="1"/>
  <c r="Q101" i="12811"/>
  <c r="Q103" i="12811" s="1"/>
  <c r="P103" i="12811"/>
  <c r="P117" i="12811" s="1"/>
  <c r="N47" i="12811"/>
  <c r="N68" i="12811" s="1"/>
  <c r="AF18" i="12774"/>
  <c r="AG18" i="12774" s="1"/>
  <c r="J47" i="12812"/>
  <c r="J68" i="12812" s="1"/>
  <c r="J140" i="12812" s="1"/>
  <c r="Q127" i="12811"/>
  <c r="Q137" i="12811" s="1"/>
  <c r="P137" i="12811"/>
  <c r="L45" i="12783"/>
  <c r="AG14" i="12774"/>
  <c r="AG12" i="12774"/>
  <c r="G612" i="12767" l="1"/>
  <c r="G613" i="12767" s="1"/>
  <c r="G602" i="12767"/>
  <c r="G729" i="12767"/>
  <c r="G731" i="12767"/>
  <c r="G609" i="12767"/>
  <c r="G178" i="12767"/>
  <c r="G179" i="12767"/>
  <c r="G177" i="12767"/>
  <c r="U1187" i="12767"/>
  <c r="U1189" i="12843" s="1"/>
  <c r="G740" i="12767"/>
  <c r="G173" i="12767"/>
  <c r="G1098" i="12843"/>
  <c r="G172" i="12767"/>
  <c r="G733" i="12767"/>
  <c r="G732" i="12767"/>
  <c r="U1163" i="12767"/>
  <c r="U1182" i="12767"/>
  <c r="U1186" i="12861" s="1"/>
  <c r="U1181" i="12767"/>
  <c r="U1183" i="12843" s="1"/>
  <c r="U1179" i="12767"/>
  <c r="U1183" i="12861" s="1"/>
  <c r="U1186" i="12767"/>
  <c r="U1190" i="12861" s="1"/>
  <c r="U1194" i="12843"/>
  <c r="U1164" i="12843" s="1"/>
  <c r="U1196" i="12861"/>
  <c r="U1166" i="12861" s="1"/>
  <c r="U1189" i="12767"/>
  <c r="U1191" i="12843" s="1"/>
  <c r="U1183" i="12767"/>
  <c r="U1187" i="12861" s="1"/>
  <c r="U1180" i="12767"/>
  <c r="U1184" i="12861" s="1"/>
  <c r="M1209" i="12767"/>
  <c r="M1211" i="12767" s="1"/>
  <c r="M1209" i="12861"/>
  <c r="U1188" i="12767"/>
  <c r="U1190" i="12843" s="1"/>
  <c r="U1178" i="12767"/>
  <c r="U1182" i="12861" s="1"/>
  <c r="U1201" i="12861" s="1"/>
  <c r="Q1189" i="12767"/>
  <c r="Q1193" i="12861" s="1"/>
  <c r="Q1196" i="12861"/>
  <c r="Q1166" i="12861" s="1"/>
  <c r="U1207" i="12843"/>
  <c r="U1209" i="12861"/>
  <c r="G606" i="12767"/>
  <c r="G603" i="12767"/>
  <c r="G614" i="12767"/>
  <c r="G607" i="12767"/>
  <c r="G724" i="12767"/>
  <c r="G174" i="12767"/>
  <c r="U1192" i="12843"/>
  <c r="U1194" i="12861"/>
  <c r="M1180" i="12843"/>
  <c r="M1182" i="12861"/>
  <c r="G604" i="12767"/>
  <c r="X205" i="12861"/>
  <c r="U28" i="12831"/>
  <c r="AF28" i="12831" s="1"/>
  <c r="X898" i="12767"/>
  <c r="X897" i="12861"/>
  <c r="U27" i="12831"/>
  <c r="AF27" i="12831" s="1"/>
  <c r="G741" i="12767"/>
  <c r="X27" i="12767"/>
  <c r="G19" i="12767" s="1"/>
  <c r="U37" i="12831"/>
  <c r="AF37" i="12831" s="1"/>
  <c r="X27" i="12861"/>
  <c r="U29" i="12831"/>
  <c r="Q29" i="12831" s="1"/>
  <c r="S29" i="12831" s="1"/>
  <c r="Z936" i="12767"/>
  <c r="G941" i="12767" s="1"/>
  <c r="X916" i="12767"/>
  <c r="U1125" i="12843"/>
  <c r="U1127" i="12861"/>
  <c r="Q1126" i="12843"/>
  <c r="Q1128" i="12861"/>
  <c r="U1124" i="12843"/>
  <c r="U1125" i="12861"/>
  <c r="Q1123" i="12843"/>
  <c r="Q1124" i="12861"/>
  <c r="U18" i="12831"/>
  <c r="Q18" i="12831" s="1"/>
  <c r="B6" i="12826"/>
  <c r="X101" i="12843"/>
  <c r="U26" i="12831"/>
  <c r="Q26" i="12831" s="1"/>
  <c r="U30" i="12831"/>
  <c r="Q30" i="12831" s="1"/>
  <c r="S30" i="12831" s="1"/>
  <c r="Z1104" i="12767"/>
  <c r="G1092" i="12767" s="1"/>
  <c r="Z636" i="12767"/>
  <c r="X637" i="12861"/>
  <c r="W1156" i="12843"/>
  <c r="W1157" i="12843" s="1"/>
  <c r="G181" i="12767"/>
  <c r="AC39" i="12831"/>
  <c r="Q38" i="12831"/>
  <c r="W1155" i="12767"/>
  <c r="AC31" i="12831"/>
  <c r="AF39" i="12831"/>
  <c r="Q40" i="12831"/>
  <c r="S31" i="12831"/>
  <c r="W1226" i="12767"/>
  <c r="S39" i="12831"/>
  <c r="AF40" i="12831"/>
  <c r="Q41" i="12831"/>
  <c r="AF31" i="12831"/>
  <c r="W1230" i="12843"/>
  <c r="S25" i="12831"/>
  <c r="M1207" i="12843"/>
  <c r="M1163" i="12843" s="1"/>
  <c r="X113" i="12764"/>
  <c r="Q1187" i="12767"/>
  <c r="Q1178" i="12767"/>
  <c r="Q1163" i="12767"/>
  <c r="Q1181" i="12767"/>
  <c r="Q1180" i="12767"/>
  <c r="Q1188" i="12767"/>
  <c r="Q1186" i="12767"/>
  <c r="Q1179" i="12767"/>
  <c r="Q1190" i="12767"/>
  <c r="Q1183" i="12767"/>
  <c r="Q1194" i="12843"/>
  <c r="Q1164" i="12843" s="1"/>
  <c r="Q1182" i="12767"/>
  <c r="K1182" i="12767"/>
  <c r="M1184" i="12843"/>
  <c r="K1179" i="12767"/>
  <c r="M1181" i="12843"/>
  <c r="K1180" i="12767"/>
  <c r="M1182" i="12843"/>
  <c r="K1183" i="12767"/>
  <c r="M1185" i="12843"/>
  <c r="K1181" i="12767"/>
  <c r="M1183" i="12843"/>
  <c r="U1153" i="12767"/>
  <c r="U1155" i="12767" s="1"/>
  <c r="U1150" i="12843"/>
  <c r="U1154" i="12843" s="1"/>
  <c r="U1156" i="12843" s="1"/>
  <c r="U1126" i="12767"/>
  <c r="U1123" i="12767"/>
  <c r="S802" i="12767"/>
  <c r="U802" i="12767" s="1"/>
  <c r="S855" i="12767"/>
  <c r="U855" i="12767" s="1"/>
  <c r="Q831" i="12767"/>
  <c r="O802" i="12767"/>
  <c r="Q802" i="12767" s="1"/>
  <c r="Q24" i="12831"/>
  <c r="M1164" i="12843"/>
  <c r="Q1212" i="12843"/>
  <c r="Q1214" i="12843" s="1"/>
  <c r="K1178" i="12767"/>
  <c r="K1182" i="12861" s="1"/>
  <c r="K1188" i="12767"/>
  <c r="K1192" i="12861" s="1"/>
  <c r="K1190" i="12767"/>
  <c r="K1194" i="12861" s="1"/>
  <c r="K1187" i="12767"/>
  <c r="K1191" i="12861" s="1"/>
  <c r="K1186" i="12767"/>
  <c r="K1190" i="12861" s="1"/>
  <c r="K1189" i="12767"/>
  <c r="K1193" i="12861" s="1"/>
  <c r="U1211" i="12767"/>
  <c r="U159" i="12767"/>
  <c r="U95" i="12767" s="1"/>
  <c r="Q95" i="12767"/>
  <c r="Q94" i="12767"/>
  <c r="W112" i="12764"/>
  <c r="W113" i="12764" s="1"/>
  <c r="AA112" i="12764"/>
  <c r="AA113" i="12764" s="1"/>
  <c r="Q41" i="12811"/>
  <c r="Q44" i="12811" s="1"/>
  <c r="P44" i="12811"/>
  <c r="AF22" i="12774"/>
  <c r="AF44" i="12774" s="1"/>
  <c r="Q19" i="12812"/>
  <c r="Q38" i="12812" s="1"/>
  <c r="P19" i="12812"/>
  <c r="P38" i="12812" s="1"/>
  <c r="O19" i="12811"/>
  <c r="O38" i="12811" s="1"/>
  <c r="P13" i="12811"/>
  <c r="Q117" i="12811"/>
  <c r="D17" i="12809"/>
  <c r="N140" i="12811"/>
  <c r="M46" i="12812"/>
  <c r="L47" i="12812"/>
  <c r="L68" i="12812" s="1"/>
  <c r="L49" i="12783"/>
  <c r="U1191" i="12861" l="1"/>
  <c r="G948" i="12767"/>
  <c r="G947" i="12843" s="1"/>
  <c r="X947" i="12843" s="1"/>
  <c r="K941" i="12767"/>
  <c r="G1096" i="12767"/>
  <c r="G1096" i="12843" s="1"/>
  <c r="G1095" i="12767"/>
  <c r="G1095" i="12843" s="1"/>
  <c r="G1092" i="12843"/>
  <c r="G1002" i="12767"/>
  <c r="G944" i="12767"/>
  <c r="G943" i="12843" s="1"/>
  <c r="G997" i="12767"/>
  <c r="G946" i="12767"/>
  <c r="G945" i="12843" s="1"/>
  <c r="G1005" i="12767"/>
  <c r="G1004" i="12767"/>
  <c r="G1000" i="12767"/>
  <c r="G1001" i="12767"/>
  <c r="G998" i="12767"/>
  <c r="G1099" i="12767"/>
  <c r="G1099" i="12843" s="1"/>
  <c r="U1184" i="12843"/>
  <c r="Q1191" i="12843"/>
  <c r="G949" i="12767"/>
  <c r="G948" i="12843" s="1"/>
  <c r="I948" i="12843" s="1"/>
  <c r="G21" i="12767"/>
  <c r="G59" i="12767" s="1"/>
  <c r="G20" i="12767"/>
  <c r="K40" i="12767" s="1"/>
  <c r="M40" i="12767" s="1"/>
  <c r="G16" i="12767"/>
  <c r="S72" i="12767" s="1"/>
  <c r="U72" i="12767" s="1"/>
  <c r="S1182" i="12767"/>
  <c r="S1184" i="12843" s="1"/>
  <c r="S1181" i="12767"/>
  <c r="S1185" i="12861" s="1"/>
  <c r="U1185" i="12861"/>
  <c r="U1197" i="12767"/>
  <c r="U1199" i="12767" s="1"/>
  <c r="U1188" i="12843"/>
  <c r="U1193" i="12861"/>
  <c r="S1179" i="12767"/>
  <c r="S1181" i="12843" s="1"/>
  <c r="S1190" i="12767"/>
  <c r="S1194" i="12861" s="1"/>
  <c r="S1178" i="12767"/>
  <c r="S1180" i="12843" s="1"/>
  <c r="U1181" i="12843"/>
  <c r="S1189" i="12767"/>
  <c r="S1191" i="12843" s="1"/>
  <c r="S1188" i="12767"/>
  <c r="S1190" i="12843" s="1"/>
  <c r="U1180" i="12843"/>
  <c r="U1199" i="12843" s="1"/>
  <c r="U1182" i="12843"/>
  <c r="S1187" i="12767"/>
  <c r="S1191" i="12861" s="1"/>
  <c r="S1186" i="12767"/>
  <c r="S1190" i="12861" s="1"/>
  <c r="S1180" i="12767"/>
  <c r="S1184" i="12861" s="1"/>
  <c r="U1164" i="12767"/>
  <c r="U1185" i="12843"/>
  <c r="U1192" i="12861"/>
  <c r="U1163" i="12843"/>
  <c r="U1212" i="12843"/>
  <c r="U1214" i="12843" s="1"/>
  <c r="M1214" i="12861"/>
  <c r="M1216" i="12861" s="1"/>
  <c r="M1165" i="12861"/>
  <c r="S1183" i="12767"/>
  <c r="S1187" i="12861" s="1"/>
  <c r="U1214" i="12861"/>
  <c r="U1216" i="12861" s="1"/>
  <c r="U1165" i="12861"/>
  <c r="G945" i="12767"/>
  <c r="G944" i="12843" s="1"/>
  <c r="G39" i="12767"/>
  <c r="G15" i="12767"/>
  <c r="O71" i="12767" s="1"/>
  <c r="Q71" i="12767" s="1"/>
  <c r="Q1181" i="12843"/>
  <c r="Q1183" i="12861"/>
  <c r="K1185" i="12843"/>
  <c r="K1187" i="12861"/>
  <c r="K1181" i="12843"/>
  <c r="K1183" i="12861"/>
  <c r="U1203" i="12861"/>
  <c r="O1183" i="12767"/>
  <c r="Q1187" i="12861"/>
  <c r="Q1190" i="12843"/>
  <c r="Q1192" i="12861"/>
  <c r="Q1180" i="12843"/>
  <c r="Q1182" i="12861"/>
  <c r="M1167" i="12861"/>
  <c r="M1201" i="12861"/>
  <c r="Q1184" i="12843"/>
  <c r="Q1186" i="12861"/>
  <c r="O1181" i="12767"/>
  <c r="Q1185" i="12861"/>
  <c r="K1183" i="12843"/>
  <c r="K1185" i="12861"/>
  <c r="Q1188" i="12843"/>
  <c r="Q1190" i="12861"/>
  <c r="K1182" i="12843"/>
  <c r="K1184" i="12861"/>
  <c r="K1184" i="12843"/>
  <c r="K1186" i="12861"/>
  <c r="Q1192" i="12843"/>
  <c r="Q1194" i="12861"/>
  <c r="Q1182" i="12843"/>
  <c r="Q1184" i="12861"/>
  <c r="Q1189" i="12843"/>
  <c r="Q1191" i="12861"/>
  <c r="Q28" i="12831"/>
  <c r="G725" i="12843"/>
  <c r="T21" i="12865" s="1"/>
  <c r="Q27" i="12831"/>
  <c r="W768" i="12767" s="1"/>
  <c r="K731" i="12767"/>
  <c r="K733" i="12767"/>
  <c r="G730" i="12843"/>
  <c r="T17" i="12865" s="1"/>
  <c r="G724" i="12843"/>
  <c r="K732" i="12767"/>
  <c r="Q37" i="12831"/>
  <c r="W27" i="12843" s="1"/>
  <c r="G17" i="12767"/>
  <c r="G37" i="12767" s="1"/>
  <c r="U44" i="12831"/>
  <c r="AF44" i="12831" s="1"/>
  <c r="AC29" i="12831"/>
  <c r="AF29" i="12831"/>
  <c r="G942" i="12767"/>
  <c r="G941" i="12843" s="1"/>
  <c r="B44" i="12826"/>
  <c r="E44" i="12826" s="1"/>
  <c r="E46" i="12826" s="1"/>
  <c r="U1123" i="12843"/>
  <c r="U1124" i="12861"/>
  <c r="U1126" i="12843"/>
  <c r="U1128" i="12861"/>
  <c r="U21" i="12831"/>
  <c r="AF21" i="12831" s="1"/>
  <c r="AF18" i="12831"/>
  <c r="AF26" i="12831"/>
  <c r="AF25" i="12831" s="1"/>
  <c r="W1104" i="12843"/>
  <c r="W1104" i="12767"/>
  <c r="AF30" i="12831"/>
  <c r="AC30" i="12831"/>
  <c r="U34" i="12831"/>
  <c r="V34" i="12831" s="1"/>
  <c r="G603" i="12843"/>
  <c r="K606" i="12767"/>
  <c r="G605" i="12843"/>
  <c r="O16" i="12864" s="1"/>
  <c r="G608" i="12843"/>
  <c r="G604" i="12843"/>
  <c r="G254" i="12767"/>
  <c r="G266" i="12767" s="1"/>
  <c r="G217" i="12767"/>
  <c r="G229" i="12767" s="1"/>
  <c r="G252" i="12767"/>
  <c r="G264" i="12767" s="1"/>
  <c r="G194" i="12767"/>
  <c r="G742" i="12843"/>
  <c r="G847" i="12843" s="1"/>
  <c r="I847" i="12843" s="1"/>
  <c r="W1139" i="12843"/>
  <c r="W1141" i="12843" s="1"/>
  <c r="AC41" i="12831"/>
  <c r="G615" i="12843"/>
  <c r="G629" i="12767"/>
  <c r="G427" i="12767"/>
  <c r="G439" i="12767" s="1"/>
  <c r="G322" i="12767"/>
  <c r="G334" i="12767" s="1"/>
  <c r="X179" i="12767"/>
  <c r="G253" i="12767"/>
  <c r="G265" i="12767" s="1"/>
  <c r="G463" i="12767"/>
  <c r="G475" i="12767" s="1"/>
  <c r="G219" i="12767"/>
  <c r="G231" i="12767" s="1"/>
  <c r="G392" i="12767"/>
  <c r="G404" i="12767" s="1"/>
  <c r="G186" i="12767"/>
  <c r="G357" i="12767"/>
  <c r="G369" i="12767" s="1"/>
  <c r="G288" i="12767"/>
  <c r="G300" i="12767" s="1"/>
  <c r="G168" i="12767"/>
  <c r="G247" i="12767"/>
  <c r="G260" i="12767" s="1"/>
  <c r="G282" i="12767"/>
  <c r="G295" i="12767" s="1"/>
  <c r="G316" i="12767"/>
  <c r="G329" i="12767" s="1"/>
  <c r="G350" i="12767"/>
  <c r="G364" i="12767" s="1"/>
  <c r="G385" i="12767"/>
  <c r="G399" i="12767" s="1"/>
  <c r="G420" i="12767"/>
  <c r="G434" i="12767" s="1"/>
  <c r="G213" i="12767"/>
  <c r="G226" i="12767" s="1"/>
  <c r="G189" i="12767"/>
  <c r="G173" i="12843"/>
  <c r="G169" i="12767"/>
  <c r="G190" i="12767"/>
  <c r="G214" i="12767"/>
  <c r="G227" i="12767" s="1"/>
  <c r="G248" i="12767"/>
  <c r="G261" i="12767" s="1"/>
  <c r="G283" i="12767"/>
  <c r="G296" i="12767" s="1"/>
  <c r="G317" i="12767"/>
  <c r="G330" i="12767" s="1"/>
  <c r="G351" i="12767"/>
  <c r="G365" i="12767" s="1"/>
  <c r="G386" i="12767"/>
  <c r="G400" i="12767" s="1"/>
  <c r="G421" i="12767"/>
  <c r="G435" i="12767" s="1"/>
  <c r="G249" i="12767"/>
  <c r="G262" i="12767" s="1"/>
  <c r="G318" i="12767"/>
  <c r="G331" i="12767" s="1"/>
  <c r="G352" i="12767"/>
  <c r="G366" i="12767" s="1"/>
  <c r="G422" i="12767"/>
  <c r="G436" i="12767" s="1"/>
  <c r="G170" i="12767"/>
  <c r="G191" i="12767"/>
  <c r="G215" i="12767"/>
  <c r="G228" i="12767" s="1"/>
  <c r="G284" i="12767"/>
  <c r="G297" i="12767" s="1"/>
  <c r="G387" i="12767"/>
  <c r="G401" i="12767" s="1"/>
  <c r="AC38" i="12831"/>
  <c r="S38" i="12831"/>
  <c r="W1139" i="12767"/>
  <c r="AC40" i="12831"/>
  <c r="S40" i="12831"/>
  <c r="W1266" i="12767"/>
  <c r="W1170" i="12843"/>
  <c r="W1169" i="12767"/>
  <c r="W1170" i="12767" s="1"/>
  <c r="S41" i="12831"/>
  <c r="W1270" i="12843"/>
  <c r="W1271" i="12843" s="1"/>
  <c r="G323" i="12767"/>
  <c r="G335" i="12767" s="1"/>
  <c r="G286" i="12767"/>
  <c r="G298" i="12767" s="1"/>
  <c r="G195" i="12767"/>
  <c r="G321" i="12767"/>
  <c r="G333" i="12767" s="1"/>
  <c r="G462" i="12767"/>
  <c r="G474" i="12767" s="1"/>
  <c r="G461" i="12767"/>
  <c r="G473" i="12767" s="1"/>
  <c r="G185" i="12767"/>
  <c r="G287" i="12767"/>
  <c r="G299" i="12767" s="1"/>
  <c r="G251" i="12767"/>
  <c r="G263" i="12767" s="1"/>
  <c r="G355" i="12767"/>
  <c r="G367" i="12767" s="1"/>
  <c r="G178" i="12843"/>
  <c r="G193" i="12767"/>
  <c r="G391" i="12767"/>
  <c r="G403" i="12767" s="1"/>
  <c r="G218" i="12767"/>
  <c r="G230" i="12767" s="1"/>
  <c r="G320" i="12767"/>
  <c r="G332" i="12767" s="1"/>
  <c r="G192" i="12767"/>
  <c r="G356" i="12767"/>
  <c r="G368" i="12767" s="1"/>
  <c r="G425" i="12767"/>
  <c r="G437" i="12767" s="1"/>
  <c r="G426" i="12767"/>
  <c r="G438" i="12767" s="1"/>
  <c r="G390" i="12767"/>
  <c r="G402" i="12767" s="1"/>
  <c r="G187" i="12767"/>
  <c r="G289" i="12767"/>
  <c r="G301" i="12767" s="1"/>
  <c r="G428" i="12767"/>
  <c r="G440" i="12767" s="1"/>
  <c r="G464" i="12767"/>
  <c r="G476" i="12767" s="1"/>
  <c r="G393" i="12767"/>
  <c r="G405" i="12767" s="1"/>
  <c r="G220" i="12767"/>
  <c r="G232" i="12767" s="1"/>
  <c r="G358" i="12767"/>
  <c r="G370" i="12767" s="1"/>
  <c r="M1212" i="12843"/>
  <c r="M1214" i="12843" s="1"/>
  <c r="O1180" i="12767"/>
  <c r="O1179" i="12767"/>
  <c r="O1178" i="12767"/>
  <c r="Q1185" i="12843"/>
  <c r="Q1183" i="12843"/>
  <c r="O1188" i="12767"/>
  <c r="O1182" i="12767"/>
  <c r="O1189" i="12767"/>
  <c r="Q1197" i="12767"/>
  <c r="Q1167" i="12767" s="1"/>
  <c r="Q1169" i="12767" s="1"/>
  <c r="O1186" i="12767"/>
  <c r="O1187" i="12767"/>
  <c r="O1190" i="12767"/>
  <c r="Q1164" i="12767"/>
  <c r="G613" i="12843"/>
  <c r="O19" i="12864" s="1"/>
  <c r="X612" i="12767"/>
  <c r="X180" i="12767"/>
  <c r="X178" i="12767"/>
  <c r="K1188" i="12843"/>
  <c r="K1192" i="12843"/>
  <c r="K1180" i="12843"/>
  <c r="K1189" i="12843"/>
  <c r="K1191" i="12843"/>
  <c r="K1190" i="12843"/>
  <c r="X177" i="12767"/>
  <c r="K174" i="12767"/>
  <c r="O401" i="12767"/>
  <c r="Q401" i="12767" s="1"/>
  <c r="S436" i="12767"/>
  <c r="U436" i="12767" s="1"/>
  <c r="Q422" i="12767"/>
  <c r="S366" i="12767"/>
  <c r="S331" i="12767"/>
  <c r="U331" i="12767" s="1"/>
  <c r="Q318" i="12767"/>
  <c r="U284" i="12767"/>
  <c r="S401" i="12767"/>
  <c r="U401" i="12767" s="1"/>
  <c r="O228" i="12767"/>
  <c r="O262" i="12767"/>
  <c r="Q262" i="12767" s="1"/>
  <c r="S228" i="12767"/>
  <c r="G175" i="12843"/>
  <c r="O366" i="12767"/>
  <c r="S262" i="12767"/>
  <c r="U262" i="12767" s="1"/>
  <c r="O297" i="12767"/>
  <c r="Q297" i="12767" s="1"/>
  <c r="S807" i="12767"/>
  <c r="U807" i="12767" s="1"/>
  <c r="O860" i="12767"/>
  <c r="Q860" i="12767" s="1"/>
  <c r="U840" i="12767"/>
  <c r="O807" i="12767"/>
  <c r="Q807" i="12767" s="1"/>
  <c r="U785" i="12767"/>
  <c r="Q838" i="12767"/>
  <c r="O792" i="12767"/>
  <c r="O812" i="12767" s="1"/>
  <c r="Q812" i="12767" s="1"/>
  <c r="S858" i="12767"/>
  <c r="U858" i="12767" s="1"/>
  <c r="O227" i="12767"/>
  <c r="O330" i="12767"/>
  <c r="Q330" i="12767" s="1"/>
  <c r="U421" i="12767"/>
  <c r="S400" i="12767"/>
  <c r="U400" i="12767" s="1"/>
  <c r="Q248" i="12767"/>
  <c r="Q421" i="12767"/>
  <c r="S261" i="12767"/>
  <c r="U261" i="12767" s="1"/>
  <c r="S296" i="12767"/>
  <c r="U296" i="12767" s="1"/>
  <c r="S801" i="12767"/>
  <c r="U801" i="12767" s="1"/>
  <c r="U786" i="12767"/>
  <c r="S365" i="12767"/>
  <c r="S227" i="12767"/>
  <c r="O365" i="12767"/>
  <c r="G174" i="12843"/>
  <c r="O296" i="12767"/>
  <c r="Q296" i="12767" s="1"/>
  <c r="S330" i="12767"/>
  <c r="U330" i="12767" s="1"/>
  <c r="K173" i="12767"/>
  <c r="O801" i="12767"/>
  <c r="Q801" i="12767" s="1"/>
  <c r="Q836" i="12767"/>
  <c r="S791" i="12767"/>
  <c r="S854" i="12767"/>
  <c r="U854" i="12767" s="1"/>
  <c r="S859" i="12767"/>
  <c r="U859" i="12767" s="1"/>
  <c r="G179" i="12843"/>
  <c r="U831" i="12767"/>
  <c r="Q786" i="12767"/>
  <c r="Q839" i="12767"/>
  <c r="S856" i="12767"/>
  <c r="U856" i="12767" s="1"/>
  <c r="Q830" i="12767"/>
  <c r="O803" i="12767"/>
  <c r="Q803" i="12767" s="1"/>
  <c r="X740" i="12767"/>
  <c r="G743" i="12767"/>
  <c r="X743" i="12767" s="1"/>
  <c r="G741" i="12843"/>
  <c r="AC24" i="12831"/>
  <c r="Q778" i="12767"/>
  <c r="U778" i="12767"/>
  <c r="O855" i="12767"/>
  <c r="Q855" i="12767" s="1"/>
  <c r="O329" i="12767"/>
  <c r="Q329" i="12767" s="1"/>
  <c r="S434" i="12767"/>
  <c r="U434" i="12767" s="1"/>
  <c r="U385" i="12767"/>
  <c r="U422" i="12767"/>
  <c r="S329" i="12767"/>
  <c r="U329" i="12767" s="1"/>
  <c r="S260" i="12767"/>
  <c r="U260" i="12767" s="1"/>
  <c r="O226" i="12767"/>
  <c r="O295" i="12767"/>
  <c r="Q295" i="12767" s="1"/>
  <c r="Q420" i="12767"/>
  <c r="U282" i="12767"/>
  <c r="K172" i="12767"/>
  <c r="S226" i="12767"/>
  <c r="O260" i="12767"/>
  <c r="Q260" i="12767" s="1"/>
  <c r="O399" i="12767"/>
  <c r="Q399" i="12767" s="1"/>
  <c r="O364" i="12767"/>
  <c r="S364" i="12767"/>
  <c r="G181" i="12843"/>
  <c r="X23" i="12863" s="1"/>
  <c r="Y23" i="12863" s="1"/>
  <c r="G180" i="12843"/>
  <c r="X22" i="12863" s="1"/>
  <c r="Y22" i="12863" s="1"/>
  <c r="S297" i="12767"/>
  <c r="U297" i="12767" s="1"/>
  <c r="S24" i="12831"/>
  <c r="W205" i="12843"/>
  <c r="W204" i="12767"/>
  <c r="X1098" i="12767"/>
  <c r="S664" i="12767"/>
  <c r="U664" i="12767" s="1"/>
  <c r="S702" i="12767"/>
  <c r="U702" i="12767" s="1"/>
  <c r="O702" i="12767"/>
  <c r="Q702" i="12767" s="1"/>
  <c r="Q649" i="12767"/>
  <c r="G617" i="12767"/>
  <c r="X617" i="12767" s="1"/>
  <c r="O400" i="12767"/>
  <c r="Q400" i="12767" s="1"/>
  <c r="Q386" i="12767"/>
  <c r="I108" i="12767"/>
  <c r="I123" i="12767"/>
  <c r="I138" i="12767"/>
  <c r="G90" i="12843"/>
  <c r="W9" i="12862" s="1"/>
  <c r="I153" i="12767"/>
  <c r="I109" i="12767"/>
  <c r="Z90" i="12767"/>
  <c r="G91" i="12843"/>
  <c r="W10" i="12862" s="1"/>
  <c r="AA10" i="12862" s="1"/>
  <c r="I139" i="12767"/>
  <c r="I154" i="12767"/>
  <c r="I124" i="12767"/>
  <c r="G1101" i="12767"/>
  <c r="X1101" i="12767" s="1"/>
  <c r="S663" i="12767"/>
  <c r="U663" i="12767" s="1"/>
  <c r="Q645" i="12767"/>
  <c r="Q683" i="12767"/>
  <c r="AC26" i="12831"/>
  <c r="AC25" i="12831" s="1"/>
  <c r="Q21" i="12831"/>
  <c r="AC21" i="12831" s="1"/>
  <c r="K667" i="12767"/>
  <c r="M667" i="12767" s="1"/>
  <c r="K705" i="12767"/>
  <c r="M705" i="12767" s="1"/>
  <c r="S699" i="12767"/>
  <c r="U699" i="12767" s="1"/>
  <c r="Q648" i="12767"/>
  <c r="U645" i="12767"/>
  <c r="S701" i="12767"/>
  <c r="U701" i="12767" s="1"/>
  <c r="Q682" i="12767"/>
  <c r="S698" i="12767"/>
  <c r="U698" i="12767" s="1"/>
  <c r="U684" i="12767"/>
  <c r="S700" i="12767"/>
  <c r="U700" i="12767" s="1"/>
  <c r="Q644" i="12767"/>
  <c r="O701" i="12767"/>
  <c r="Q701" i="12767" s="1"/>
  <c r="Q686" i="12767"/>
  <c r="S26" i="12831"/>
  <c r="W636" i="12767"/>
  <c r="S18" i="12831"/>
  <c r="W637" i="12843"/>
  <c r="AC18" i="12831"/>
  <c r="W100" i="12767"/>
  <c r="W101" i="12843"/>
  <c r="AG22" i="12774"/>
  <c r="AG44" i="12774" s="1"/>
  <c r="P19" i="12811"/>
  <c r="P38" i="12811" s="1"/>
  <c r="Q13" i="12811"/>
  <c r="Q19" i="12811" s="1"/>
  <c r="H17" i="12809"/>
  <c r="L140" i="12812"/>
  <c r="F17" i="12809"/>
  <c r="D21" i="12809"/>
  <c r="D25" i="12809" s="1"/>
  <c r="O46" i="12811"/>
  <c r="M47" i="12812"/>
  <c r="M68" i="12812" s="1"/>
  <c r="M140" i="12812" s="1"/>
  <c r="P46" i="12812"/>
  <c r="N46" i="12812"/>
  <c r="N47" i="12812" s="1"/>
  <c r="N68" i="12812" s="1"/>
  <c r="N140" i="12812" s="1"/>
  <c r="S1183" i="12843" l="1"/>
  <c r="X948" i="12767"/>
  <c r="G951" i="12767"/>
  <c r="X951" i="12767" s="1"/>
  <c r="K174" i="12861"/>
  <c r="K215" i="12861" s="1"/>
  <c r="K228" i="12861" s="1"/>
  <c r="K175" i="12861"/>
  <c r="K388" i="12861" s="1"/>
  <c r="K940" i="12861"/>
  <c r="K960" i="12861" s="1"/>
  <c r="K173" i="12861"/>
  <c r="K351" i="12861" s="1"/>
  <c r="K365" i="12861" s="1"/>
  <c r="K607" i="12861"/>
  <c r="K624" i="12861" s="1"/>
  <c r="K734" i="12861"/>
  <c r="K788" i="12861" s="1"/>
  <c r="K733" i="12861"/>
  <c r="K838" i="12861" s="1"/>
  <c r="K732" i="12861"/>
  <c r="K837" i="12861" s="1"/>
  <c r="S1186" i="12861"/>
  <c r="U1167" i="12861"/>
  <c r="U1167" i="12767"/>
  <c r="U1169" i="12767" s="1"/>
  <c r="S1193" i="12861"/>
  <c r="S1189" i="12843"/>
  <c r="S1192" i="12843"/>
  <c r="S1188" i="12843"/>
  <c r="S1182" i="12861"/>
  <c r="S1183" i="12861"/>
  <c r="S1192" i="12861"/>
  <c r="U1165" i="12843"/>
  <c r="S1182" i="12843"/>
  <c r="U1170" i="12861"/>
  <c r="U1172" i="12861" s="1"/>
  <c r="S1185" i="12843"/>
  <c r="G940" i="12843"/>
  <c r="X940" i="12843" s="1"/>
  <c r="J29" i="12862"/>
  <c r="J28" i="12862"/>
  <c r="J25" i="12862"/>
  <c r="J33" i="12862"/>
  <c r="J12" i="12862"/>
  <c r="J10" i="12862"/>
  <c r="J32" i="12862"/>
  <c r="J26" i="12862"/>
  <c r="J17" i="12862"/>
  <c r="J23" i="12862"/>
  <c r="J27" i="12862"/>
  <c r="J14" i="12862"/>
  <c r="J20" i="12862"/>
  <c r="J19" i="12862"/>
  <c r="J15" i="12862"/>
  <c r="J22" i="12862"/>
  <c r="J16" i="12862"/>
  <c r="J21" i="12862"/>
  <c r="J11" i="12862"/>
  <c r="J31" i="12862"/>
  <c r="AA9" i="12862"/>
  <c r="G965" i="12843"/>
  <c r="N17" i="12866" s="1"/>
  <c r="K1092" i="12767"/>
  <c r="T20" i="12865"/>
  <c r="T14" i="12865"/>
  <c r="G625" i="12843"/>
  <c r="P16" i="12864"/>
  <c r="X604" i="12843"/>
  <c r="O15" i="12864"/>
  <c r="X603" i="12843"/>
  <c r="O14" i="12864"/>
  <c r="X179" i="12843"/>
  <c r="X21" i="12863"/>
  <c r="Y21" i="12863" s="1"/>
  <c r="G356" i="12843"/>
  <c r="G368" i="12843" s="1"/>
  <c r="X20" i="12863"/>
  <c r="Y20" i="12863" s="1"/>
  <c r="G319" i="12843"/>
  <c r="G332" i="12843" s="1"/>
  <c r="I332" i="12843" s="1"/>
  <c r="X18" i="12863"/>
  <c r="Y18" i="12863" s="1"/>
  <c r="G191" i="12843"/>
  <c r="Y14" i="12863"/>
  <c r="Y15" i="12863" s="1"/>
  <c r="G248" i="12843"/>
  <c r="G261" i="12843" s="1"/>
  <c r="I261" i="12843" s="1"/>
  <c r="X14" i="12863"/>
  <c r="X15" i="12863" s="1"/>
  <c r="W927" i="12843"/>
  <c r="X927" i="12843" s="1"/>
  <c r="G750" i="12843"/>
  <c r="O35" i="12767"/>
  <c r="Q35" i="12767" s="1"/>
  <c r="S53" i="12767"/>
  <c r="U53" i="12767" s="1"/>
  <c r="G35" i="12767"/>
  <c r="S71" i="12767"/>
  <c r="U71" i="12767" s="1"/>
  <c r="S35" i="12767"/>
  <c r="U35" i="12767" s="1"/>
  <c r="G15" i="12843"/>
  <c r="G54" i="12843" s="1"/>
  <c r="I54" i="12843" s="1"/>
  <c r="K71" i="12767"/>
  <c r="M71" i="12767" s="1"/>
  <c r="G71" i="12767"/>
  <c r="K53" i="12767"/>
  <c r="M53" i="12767" s="1"/>
  <c r="O53" i="12767"/>
  <c r="Q53" i="12767" s="1"/>
  <c r="G53" i="12767"/>
  <c r="K35" i="12767"/>
  <c r="M35" i="12767" s="1"/>
  <c r="S76" i="12767"/>
  <c r="U76" i="12767" s="1"/>
  <c r="S58" i="12767"/>
  <c r="U58" i="12767" s="1"/>
  <c r="O58" i="12767"/>
  <c r="Q58" i="12767" s="1"/>
  <c r="G40" i="12767"/>
  <c r="K58" i="12767"/>
  <c r="M58" i="12767" s="1"/>
  <c r="O1182" i="12843"/>
  <c r="O1184" i="12861"/>
  <c r="Q1201" i="12861"/>
  <c r="Q1167" i="12861"/>
  <c r="O1191" i="12843"/>
  <c r="O1193" i="12861"/>
  <c r="O1183" i="12843"/>
  <c r="O1185" i="12861"/>
  <c r="O1185" i="12843"/>
  <c r="O1187" i="12861"/>
  <c r="O1189" i="12843"/>
  <c r="O1191" i="12861"/>
  <c r="O1184" i="12843"/>
  <c r="O1186" i="12861"/>
  <c r="O1180" i="12843"/>
  <c r="O1182" i="12861"/>
  <c r="M1170" i="12861"/>
  <c r="M1172" i="12861" s="1"/>
  <c r="M1203" i="12861"/>
  <c r="O1192" i="12843"/>
  <c r="O1194" i="12861"/>
  <c r="O1188" i="12843"/>
  <c r="O1190" i="12861"/>
  <c r="O1190" i="12843"/>
  <c r="O1192" i="12861"/>
  <c r="O1181" i="12843"/>
  <c r="O1183" i="12861"/>
  <c r="O40" i="12767"/>
  <c r="Q40" i="12767" s="1"/>
  <c r="K76" i="12767"/>
  <c r="M76" i="12767" s="1"/>
  <c r="O76" i="12767"/>
  <c r="Q76" i="12767" s="1"/>
  <c r="G58" i="12767"/>
  <c r="G20" i="12843"/>
  <c r="G41" i="12843" s="1"/>
  <c r="I41" i="12843" s="1"/>
  <c r="G76" i="12767"/>
  <c r="S40" i="12767"/>
  <c r="U40" i="12767" s="1"/>
  <c r="W934" i="12843"/>
  <c r="K724" i="12767"/>
  <c r="AC27" i="12831"/>
  <c r="K75" i="12767"/>
  <c r="M75" i="12767" s="1"/>
  <c r="K57" i="12767"/>
  <c r="M57" i="12767" s="1"/>
  <c r="S39" i="12767"/>
  <c r="U39" i="12767" s="1"/>
  <c r="O57" i="12767"/>
  <c r="Q57" i="12767" s="1"/>
  <c r="O59" i="12767"/>
  <c r="Q59" i="12767" s="1"/>
  <c r="S59" i="12767"/>
  <c r="U59" i="12767" s="1"/>
  <c r="O54" i="12767"/>
  <c r="Q54" i="12767" s="1"/>
  <c r="G57" i="12767"/>
  <c r="K39" i="12767"/>
  <c r="M39" i="12767" s="1"/>
  <c r="G41" i="12767"/>
  <c r="S75" i="12767"/>
  <c r="U75" i="12767" s="1"/>
  <c r="O72" i="12767"/>
  <c r="Q72" i="12767" s="1"/>
  <c r="O39" i="12767"/>
  <c r="Q39" i="12767" s="1"/>
  <c r="G19" i="12843"/>
  <c r="G40" i="12843" s="1"/>
  <c r="I40" i="12843" s="1"/>
  <c r="W916" i="12767"/>
  <c r="G75" i="12767"/>
  <c r="S27" i="12831"/>
  <c r="K729" i="12767"/>
  <c r="S57" i="12767"/>
  <c r="U57" i="12767" s="1"/>
  <c r="O75" i="12767"/>
  <c r="Q75" i="12767" s="1"/>
  <c r="K41" i="12767"/>
  <c r="M41" i="12767" s="1"/>
  <c r="G733" i="12843"/>
  <c r="T18" i="12865" s="1"/>
  <c r="W898" i="12767"/>
  <c r="S55" i="12767"/>
  <c r="U55" i="12767" s="1"/>
  <c r="G732" i="12843"/>
  <c r="O77" i="12767"/>
  <c r="Q77" i="12767" s="1"/>
  <c r="K59" i="12767"/>
  <c r="M59" i="12767" s="1"/>
  <c r="S77" i="12767"/>
  <c r="U77" i="12767" s="1"/>
  <c r="W935" i="12767"/>
  <c r="W915" i="12843"/>
  <c r="G77" i="12767"/>
  <c r="S28" i="12831"/>
  <c r="S41" i="12767"/>
  <c r="U41" i="12767" s="1"/>
  <c r="O41" i="12767"/>
  <c r="Q41" i="12767" s="1"/>
  <c r="G21" i="12843"/>
  <c r="G42" i="12843" s="1"/>
  <c r="I42" i="12843" s="1"/>
  <c r="K77" i="12767"/>
  <c r="M77" i="12767" s="1"/>
  <c r="AC28" i="12831"/>
  <c r="W897" i="12843"/>
  <c r="K36" i="12767"/>
  <c r="M36" i="12767" s="1"/>
  <c r="G72" i="12767"/>
  <c r="Q44" i="12831"/>
  <c r="AC44" i="12831" s="1"/>
  <c r="W27" i="12767"/>
  <c r="G54" i="12767"/>
  <c r="W769" i="12843"/>
  <c r="Q34" i="12831"/>
  <c r="AC34" i="12831" s="1"/>
  <c r="K54" i="12767"/>
  <c r="M54" i="12767" s="1"/>
  <c r="G16" i="12843"/>
  <c r="G73" i="12843" s="1"/>
  <c r="I73" i="12843" s="1"/>
  <c r="AC37" i="12831"/>
  <c r="G734" i="12843"/>
  <c r="T19" i="12865" s="1"/>
  <c r="S37" i="12831"/>
  <c r="S44" i="12831" s="1"/>
  <c r="K723" i="12767"/>
  <c r="K72" i="12767"/>
  <c r="M72" i="12767" s="1"/>
  <c r="S37" i="12767"/>
  <c r="U37" i="12767" s="1"/>
  <c r="K55" i="12767"/>
  <c r="M55" i="12767" s="1"/>
  <c r="O55" i="12767"/>
  <c r="Q55" i="12767" s="1"/>
  <c r="O73" i="12767"/>
  <c r="Q73" i="12767" s="1"/>
  <c r="G73" i="12767"/>
  <c r="G36" i="12767"/>
  <c r="K37" i="12767"/>
  <c r="M37" i="12767" s="1"/>
  <c r="S36" i="12767"/>
  <c r="U36" i="12767" s="1"/>
  <c r="O36" i="12767"/>
  <c r="Q36" i="12767" s="1"/>
  <c r="S73" i="12767"/>
  <c r="U73" i="12767" s="1"/>
  <c r="S54" i="12767"/>
  <c r="U54" i="12767" s="1"/>
  <c r="G17" i="12843"/>
  <c r="G74" i="12843" s="1"/>
  <c r="I74" i="12843" s="1"/>
  <c r="K73" i="12767"/>
  <c r="M73" i="12767" s="1"/>
  <c r="G55" i="12767"/>
  <c r="V44" i="12831"/>
  <c r="O37" i="12767"/>
  <c r="Q37" i="12767" s="1"/>
  <c r="K944" i="12767"/>
  <c r="K945" i="12767"/>
  <c r="K942" i="12767"/>
  <c r="F10" i="12826"/>
  <c r="T10" i="12826"/>
  <c r="T12" i="12826" s="1"/>
  <c r="E12" i="12826"/>
  <c r="E39" i="12826"/>
  <c r="V21" i="12831"/>
  <c r="U46" i="12831"/>
  <c r="AF46" i="12831" s="1"/>
  <c r="K603" i="12767"/>
  <c r="AF34" i="12831"/>
  <c r="G607" i="12843"/>
  <c r="K607" i="12767"/>
  <c r="K602" i="12767"/>
  <c r="K604" i="12767"/>
  <c r="X945" i="12843"/>
  <c r="G983" i="12843"/>
  <c r="I983" i="12843" s="1"/>
  <c r="G645" i="12843"/>
  <c r="G683" i="12843"/>
  <c r="G699" i="12843" s="1"/>
  <c r="I699" i="12843" s="1"/>
  <c r="G621" i="12843"/>
  <c r="X948" i="12843"/>
  <c r="G763" i="12843"/>
  <c r="I945" i="12843"/>
  <c r="G867" i="12843"/>
  <c r="I867" i="12843" s="1"/>
  <c r="G684" i="12843"/>
  <c r="G700" i="12843" s="1"/>
  <c r="I700" i="12843" s="1"/>
  <c r="G968" i="12843"/>
  <c r="G889" i="12843" s="1"/>
  <c r="I889" i="12843" s="1"/>
  <c r="G622" i="12843"/>
  <c r="G986" i="12843"/>
  <c r="I986" i="12843" s="1"/>
  <c r="F1278" i="12860"/>
  <c r="K422" i="12861"/>
  <c r="G457" i="12767"/>
  <c r="G471" i="12767" s="1"/>
  <c r="G646" i="12843"/>
  <c r="X742" i="12843"/>
  <c r="W930" i="12843"/>
  <c r="X930" i="12843" s="1"/>
  <c r="G456" i="12767"/>
  <c r="G470" i="12767" s="1"/>
  <c r="G458" i="12767"/>
  <c r="G472" i="12767" s="1"/>
  <c r="G796" i="12843"/>
  <c r="I796" i="12843" s="1"/>
  <c r="I742" i="12843" s="1"/>
  <c r="G695" i="12843"/>
  <c r="G630" i="12843"/>
  <c r="G657" i="12843"/>
  <c r="X615" i="12843"/>
  <c r="G283" i="12843"/>
  <c r="I283" i="12843" s="1"/>
  <c r="G190" i="12843"/>
  <c r="G421" i="12843"/>
  <c r="G435" i="12843" s="1"/>
  <c r="I435" i="12843" s="1"/>
  <c r="G317" i="12843"/>
  <c r="I317" i="12843" s="1"/>
  <c r="G386" i="12843"/>
  <c r="G400" i="12843" s="1"/>
  <c r="I400" i="12843" s="1"/>
  <c r="X173" i="12843"/>
  <c r="G214" i="12843"/>
  <c r="G351" i="12843"/>
  <c r="G365" i="12843" s="1"/>
  <c r="G196" i="12767"/>
  <c r="G221" i="12767"/>
  <c r="G233" i="12767" s="1"/>
  <c r="G465" i="12767"/>
  <c r="G477" i="12767" s="1"/>
  <c r="G429" i="12767"/>
  <c r="G441" i="12767" s="1"/>
  <c r="G255" i="12767"/>
  <c r="G267" i="12767" s="1"/>
  <c r="G394" i="12767"/>
  <c r="G406" i="12767" s="1"/>
  <c r="G290" i="12767"/>
  <c r="G302" i="12767" s="1"/>
  <c r="G359" i="12767"/>
  <c r="G371" i="12767" s="1"/>
  <c r="G324" i="12767"/>
  <c r="G336" i="12767" s="1"/>
  <c r="G182" i="12843"/>
  <c r="S21" i="12831"/>
  <c r="W1172" i="12843"/>
  <c r="G779" i="12843"/>
  <c r="G802" i="12843" s="1"/>
  <c r="I802" i="12843" s="1"/>
  <c r="X725" i="12843"/>
  <c r="K779" i="12843"/>
  <c r="M779" i="12843" s="1"/>
  <c r="G830" i="12843"/>
  <c r="I830" i="12843" s="1"/>
  <c r="Q1199" i="12767"/>
  <c r="Q1199" i="12843"/>
  <c r="Q1201" i="12843" s="1"/>
  <c r="Q1165" i="12843"/>
  <c r="G784" i="12843"/>
  <c r="I784" i="12843" s="1"/>
  <c r="X613" i="12767"/>
  <c r="G614" i="12843"/>
  <c r="X724" i="12843"/>
  <c r="K732" i="12843"/>
  <c r="K837" i="12843" s="1"/>
  <c r="M837" i="12843" s="1"/>
  <c r="G835" i="12843"/>
  <c r="G843" i="12843" s="1"/>
  <c r="X730" i="12843"/>
  <c r="G738" i="12843"/>
  <c r="G759" i="12843" s="1"/>
  <c r="G751" i="12843"/>
  <c r="G1007" i="12767"/>
  <c r="X1007" i="12767" s="1"/>
  <c r="G1004" i="12843"/>
  <c r="K752" i="12767"/>
  <c r="K839" i="12767"/>
  <c r="M839" i="12767" s="1"/>
  <c r="K686" i="12767"/>
  <c r="K701" i="12767" s="1"/>
  <c r="M701" i="12767" s="1"/>
  <c r="K840" i="12767"/>
  <c r="M840" i="12767" s="1"/>
  <c r="K838" i="12767"/>
  <c r="K858" i="12767" s="1"/>
  <c r="M858" i="12767" s="1"/>
  <c r="K785" i="12767"/>
  <c r="K805" i="12767" s="1"/>
  <c r="M805" i="12767" s="1"/>
  <c r="K169" i="12767"/>
  <c r="K421" i="12767"/>
  <c r="K435" i="12767" s="1"/>
  <c r="M435" i="12767" s="1"/>
  <c r="K351" i="12767"/>
  <c r="K365" i="12767" s="1"/>
  <c r="K283" i="12767"/>
  <c r="K296" i="12767" s="1"/>
  <c r="M296" i="12767" s="1"/>
  <c r="K214" i="12767"/>
  <c r="K227" i="12767" s="1"/>
  <c r="K386" i="12767"/>
  <c r="K400" i="12767" s="1"/>
  <c r="M400" i="12767" s="1"/>
  <c r="K317" i="12767"/>
  <c r="M317" i="12767" s="1"/>
  <c r="K248" i="12767"/>
  <c r="M248" i="12767" s="1"/>
  <c r="K173" i="12843"/>
  <c r="K283" i="12843" s="1"/>
  <c r="M283" i="12843" s="1"/>
  <c r="K420" i="12767"/>
  <c r="K434" i="12767" s="1"/>
  <c r="M434" i="12767" s="1"/>
  <c r="K350" i="12767"/>
  <c r="K364" i="12767" s="1"/>
  <c r="K282" i="12767"/>
  <c r="K295" i="12767" s="1"/>
  <c r="M295" i="12767" s="1"/>
  <c r="K213" i="12767"/>
  <c r="K226" i="12767" s="1"/>
  <c r="K385" i="12767"/>
  <c r="M385" i="12767" s="1"/>
  <c r="K316" i="12767"/>
  <c r="K329" i="12767" s="1"/>
  <c r="M329" i="12767" s="1"/>
  <c r="K247" i="12767"/>
  <c r="K260" i="12767" s="1"/>
  <c r="M260" i="12767" s="1"/>
  <c r="K175" i="12843"/>
  <c r="K423" i="12843" s="1"/>
  <c r="M423" i="12843" s="1"/>
  <c r="K387" i="12767"/>
  <c r="K401" i="12767" s="1"/>
  <c r="M401" i="12767" s="1"/>
  <c r="K318" i="12767"/>
  <c r="M318" i="12767" s="1"/>
  <c r="K249" i="12767"/>
  <c r="K422" i="12767"/>
  <c r="K352" i="12767"/>
  <c r="K366" i="12767" s="1"/>
  <c r="K284" i="12767"/>
  <c r="K297" i="12767" s="1"/>
  <c r="M297" i="12767" s="1"/>
  <c r="K215" i="12767"/>
  <c r="K228" i="12767" s="1"/>
  <c r="K754" i="12767"/>
  <c r="K787" i="12767"/>
  <c r="M787" i="12767" s="1"/>
  <c r="K753" i="12767"/>
  <c r="K786" i="12767"/>
  <c r="M786" i="12767" s="1"/>
  <c r="K565" i="12767"/>
  <c r="K648" i="12767"/>
  <c r="K663" i="12767" s="1"/>
  <c r="M663" i="12767" s="1"/>
  <c r="M1165" i="12843"/>
  <c r="M1199" i="12843"/>
  <c r="M1168" i="12843" s="1"/>
  <c r="M1170" i="12843" s="1"/>
  <c r="X91" i="12843"/>
  <c r="X90" i="12843"/>
  <c r="G287" i="12843"/>
  <c r="G299" i="12843" s="1"/>
  <c r="I299" i="12843" s="1"/>
  <c r="G218" i="12843"/>
  <c r="G252" i="12843"/>
  <c r="I252" i="12843" s="1"/>
  <c r="G462" i="12843"/>
  <c r="G474" i="12843" s="1"/>
  <c r="G321" i="12843"/>
  <c r="I321" i="12843" s="1"/>
  <c r="G497" i="12843"/>
  <c r="G509" i="12843" s="1"/>
  <c r="I509" i="12843" s="1"/>
  <c r="G762" i="12843"/>
  <c r="X741" i="12843"/>
  <c r="G693" i="12843"/>
  <c r="G706" i="12843" s="1"/>
  <c r="I706" i="12843" s="1"/>
  <c r="X613" i="12843"/>
  <c r="G465" i="12843"/>
  <c r="G477" i="12843" s="1"/>
  <c r="X181" i="12843"/>
  <c r="G391" i="12843"/>
  <c r="I391" i="12843" s="1"/>
  <c r="G426" i="12843"/>
  <c r="I426" i="12843" s="1"/>
  <c r="G532" i="12843"/>
  <c r="I532" i="12843" s="1"/>
  <c r="G393" i="12843"/>
  <c r="G405" i="12843" s="1"/>
  <c r="I405" i="12843" s="1"/>
  <c r="X180" i="12843"/>
  <c r="X178" i="12843"/>
  <c r="G193" i="12843"/>
  <c r="O436" i="12767"/>
  <c r="Q436" i="12767" s="1"/>
  <c r="Q366" i="12767" s="1"/>
  <c r="O331" i="12767"/>
  <c r="Q331" i="12767" s="1"/>
  <c r="Q228" i="12767" s="1"/>
  <c r="U366" i="12767"/>
  <c r="Q387" i="12767"/>
  <c r="Q352" i="12767" s="1"/>
  <c r="Q284" i="12767"/>
  <c r="K170" i="12767"/>
  <c r="K191" i="12767"/>
  <c r="M191" i="12767" s="1"/>
  <c r="U387" i="12767"/>
  <c r="U352" i="12767" s="1"/>
  <c r="U318" i="12767"/>
  <c r="U228" i="12767"/>
  <c r="X175" i="12843"/>
  <c r="G250" i="12843"/>
  <c r="G263" i="12843" s="1"/>
  <c r="I263" i="12843" s="1"/>
  <c r="Q249" i="12767"/>
  <c r="G192" i="12843"/>
  <c r="G423" i="12843"/>
  <c r="G437" i="12843" s="1"/>
  <c r="I437" i="12843" s="1"/>
  <c r="U249" i="12767"/>
  <c r="G388" i="12843"/>
  <c r="G402" i="12843" s="1"/>
  <c r="I402" i="12843" s="1"/>
  <c r="G353" i="12843"/>
  <c r="G367" i="12843" s="1"/>
  <c r="G216" i="12843"/>
  <c r="G285" i="12843"/>
  <c r="G298" i="12843" s="1"/>
  <c r="I298" i="12843" s="1"/>
  <c r="U787" i="12767"/>
  <c r="S860" i="12767"/>
  <c r="U860" i="12767" s="1"/>
  <c r="Q840" i="12767"/>
  <c r="Q787" i="12767"/>
  <c r="K734" i="12843"/>
  <c r="K755" i="12843" s="1"/>
  <c r="O858" i="12767"/>
  <c r="Q858" i="12767" s="1"/>
  <c r="Q792" i="12767"/>
  <c r="Q317" i="12767"/>
  <c r="O844" i="12767"/>
  <c r="O864" i="12767" s="1"/>
  <c r="Q864" i="12767" s="1"/>
  <c r="S806" i="12767"/>
  <c r="U806" i="12767" s="1"/>
  <c r="G352" i="12843"/>
  <c r="G366" i="12843" s="1"/>
  <c r="U838" i="12767"/>
  <c r="Q785" i="12767"/>
  <c r="S792" i="12767"/>
  <c r="U792" i="12767" s="1"/>
  <c r="S805" i="12767"/>
  <c r="U805" i="12767" s="1"/>
  <c r="U386" i="12767"/>
  <c r="U351" i="12767" s="1"/>
  <c r="O805" i="12767"/>
  <c r="Q805" i="12767" s="1"/>
  <c r="U783" i="12767"/>
  <c r="O845" i="12767"/>
  <c r="O865" i="12767" s="1"/>
  <c r="Q865" i="12767" s="1"/>
  <c r="S845" i="12767"/>
  <c r="S865" i="12767" s="1"/>
  <c r="U865" i="12767" s="1"/>
  <c r="U248" i="12767"/>
  <c r="G422" i="12843"/>
  <c r="I422" i="12843" s="1"/>
  <c r="O791" i="12767"/>
  <c r="O811" i="12767" s="1"/>
  <c r="Q811" i="12767" s="1"/>
  <c r="G387" i="12843"/>
  <c r="G401" i="12843" s="1"/>
  <c r="I401" i="12843" s="1"/>
  <c r="O435" i="12767"/>
  <c r="Q435" i="12767" s="1"/>
  <c r="Q365" i="12767" s="1"/>
  <c r="X174" i="12843"/>
  <c r="O854" i="12767"/>
  <c r="Q854" i="12767" s="1"/>
  <c r="K733" i="12843"/>
  <c r="K838" i="12843" s="1"/>
  <c r="Q783" i="12767"/>
  <c r="O806" i="12767"/>
  <c r="Q806" i="12767" s="1"/>
  <c r="S803" i="12767"/>
  <c r="U803" i="12767" s="1"/>
  <c r="G284" i="12843"/>
  <c r="I284" i="12843" s="1"/>
  <c r="G249" i="12843"/>
  <c r="G262" i="12843" s="1"/>
  <c r="I262" i="12843" s="1"/>
  <c r="Q283" i="12767"/>
  <c r="G215" i="12843"/>
  <c r="G318" i="12843"/>
  <c r="I318" i="12843" s="1"/>
  <c r="U777" i="12767"/>
  <c r="S435" i="12767"/>
  <c r="U435" i="12767" s="1"/>
  <c r="U365" i="12767" s="1"/>
  <c r="O261" i="12767"/>
  <c r="Q261" i="12767" s="1"/>
  <c r="Q227" i="12767" s="1"/>
  <c r="G357" i="12843"/>
  <c r="G369" i="12843" s="1"/>
  <c r="U283" i="12767"/>
  <c r="U317" i="12767"/>
  <c r="K190" i="12767"/>
  <c r="M190" i="12767" s="1"/>
  <c r="U836" i="12767"/>
  <c r="O856" i="12767"/>
  <c r="Q856" i="12767" s="1"/>
  <c r="K174" i="12843"/>
  <c r="K284" i="12843" s="1"/>
  <c r="Q777" i="12767"/>
  <c r="G194" i="12843"/>
  <c r="U830" i="12767"/>
  <c r="G186" i="12843"/>
  <c r="G219" i="12843"/>
  <c r="O859" i="12767"/>
  <c r="Q859" i="12767" s="1"/>
  <c r="U839" i="12767"/>
  <c r="G463" i="12843"/>
  <c r="G475" i="12843" s="1"/>
  <c r="G427" i="12843"/>
  <c r="I427" i="12843" s="1"/>
  <c r="G749" i="12843"/>
  <c r="G253" i="12843"/>
  <c r="G265" i="12843" s="1"/>
  <c r="I265" i="12843" s="1"/>
  <c r="G288" i="12843"/>
  <c r="I288" i="12843" s="1"/>
  <c r="G392" i="12843"/>
  <c r="G404" i="12843" s="1"/>
  <c r="I404" i="12843" s="1"/>
  <c r="G533" i="12843"/>
  <c r="G545" i="12843" s="1"/>
  <c r="I545" i="12843" s="1"/>
  <c r="G846" i="12843"/>
  <c r="I846" i="12843" s="1"/>
  <c r="G778" i="12843"/>
  <c r="I778" i="12843" s="1"/>
  <c r="G795" i="12843"/>
  <c r="G814" i="12843" s="1"/>
  <c r="I814" i="12843" s="1"/>
  <c r="G322" i="12843"/>
  <c r="G334" i="12843" s="1"/>
  <c r="I334" i="12843" s="1"/>
  <c r="G498" i="12843"/>
  <c r="G510" i="12843" s="1"/>
  <c r="I510" i="12843" s="1"/>
  <c r="S844" i="12767"/>
  <c r="S864" i="12767" s="1"/>
  <c r="U864" i="12767" s="1"/>
  <c r="K778" i="12843"/>
  <c r="M778" i="12843" s="1"/>
  <c r="G829" i="12843"/>
  <c r="I829" i="12843" s="1"/>
  <c r="G744" i="12843"/>
  <c r="X744" i="12843" s="1"/>
  <c r="Q385" i="12767"/>
  <c r="Q350" i="12767" s="1"/>
  <c r="K168" i="12767"/>
  <c r="U420" i="12767"/>
  <c r="U350" i="12767" s="1"/>
  <c r="Q316" i="12767"/>
  <c r="S399" i="12767"/>
  <c r="U399" i="12767" s="1"/>
  <c r="U364" i="12767" s="1"/>
  <c r="O434" i="12767"/>
  <c r="Q434" i="12767" s="1"/>
  <c r="Q364" i="12767" s="1"/>
  <c r="Q226" i="12767"/>
  <c r="Q282" i="12767"/>
  <c r="U247" i="12767"/>
  <c r="S295" i="12767"/>
  <c r="U295" i="12767" s="1"/>
  <c r="U226" i="12767" s="1"/>
  <c r="U316" i="12767"/>
  <c r="Q247" i="12767"/>
  <c r="K189" i="12767"/>
  <c r="M189" i="12767" s="1"/>
  <c r="G500" i="12843"/>
  <c r="G512" i="12843" s="1"/>
  <c r="I512" i="12843" s="1"/>
  <c r="G188" i="12843"/>
  <c r="G429" i="12843"/>
  <c r="G441" i="12843" s="1"/>
  <c r="I441" i="12843" s="1"/>
  <c r="G196" i="12843"/>
  <c r="G221" i="12843"/>
  <c r="G535" i="12843"/>
  <c r="I535" i="12843" s="1"/>
  <c r="G323" i="12843"/>
  <c r="G335" i="12843" s="1"/>
  <c r="I335" i="12843" s="1"/>
  <c r="G255" i="12843"/>
  <c r="G267" i="12843" s="1"/>
  <c r="I267" i="12843" s="1"/>
  <c r="G394" i="12843"/>
  <c r="I394" i="12843" s="1"/>
  <c r="G290" i="12843"/>
  <c r="I290" i="12843" s="1"/>
  <c r="G324" i="12843"/>
  <c r="G336" i="12843" s="1"/>
  <c r="I336" i="12843" s="1"/>
  <c r="G359" i="12843"/>
  <c r="G371" i="12843" s="1"/>
  <c r="G428" i="12843"/>
  <c r="G440" i="12843" s="1"/>
  <c r="I440" i="12843" s="1"/>
  <c r="G464" i="12843"/>
  <c r="G476" i="12843" s="1"/>
  <c r="G358" i="12843"/>
  <c r="G370" i="12843" s="1"/>
  <c r="G289" i="12843"/>
  <c r="I289" i="12843" s="1"/>
  <c r="G534" i="12843"/>
  <c r="I534" i="12843" s="1"/>
  <c r="G254" i="12843"/>
  <c r="G266" i="12843" s="1"/>
  <c r="I266" i="12843" s="1"/>
  <c r="G499" i="12843"/>
  <c r="I499" i="12843" s="1"/>
  <c r="G187" i="12843"/>
  <c r="G220" i="12843"/>
  <c r="G195" i="12843"/>
  <c r="S34" i="12831"/>
  <c r="U649" i="12767"/>
  <c r="G650" i="12843"/>
  <c r="X608" i="12843"/>
  <c r="G688" i="12843"/>
  <c r="G703" i="12843" s="1"/>
  <c r="I703" i="12843" s="1"/>
  <c r="Q687" i="12767"/>
  <c r="U687" i="12767"/>
  <c r="O664" i="12767"/>
  <c r="Q664" i="12767" s="1"/>
  <c r="I947" i="12843"/>
  <c r="G985" i="12843"/>
  <c r="I985" i="12843" s="1"/>
  <c r="G950" i="12843"/>
  <c r="X950" i="12843" s="1"/>
  <c r="G967" i="12843"/>
  <c r="I941" i="12843"/>
  <c r="X941" i="12843"/>
  <c r="G961" i="12843"/>
  <c r="G979" i="12843"/>
  <c r="I979" i="12843" s="1"/>
  <c r="K940" i="12843"/>
  <c r="K961" i="12767"/>
  <c r="K979" i="12767"/>
  <c r="M979" i="12767" s="1"/>
  <c r="M941" i="12767"/>
  <c r="X944" i="12843"/>
  <c r="G964" i="12843"/>
  <c r="I944" i="12843"/>
  <c r="G982" i="12843"/>
  <c r="I982" i="12843" s="1"/>
  <c r="G981" i="12843"/>
  <c r="I981" i="12843" s="1"/>
  <c r="X943" i="12843"/>
  <c r="G963" i="12843"/>
  <c r="I943" i="12843"/>
  <c r="Q351" i="12767"/>
  <c r="U227" i="12767"/>
  <c r="I90" i="12767"/>
  <c r="I89" i="12767"/>
  <c r="Y91" i="12843"/>
  <c r="G125" i="12843"/>
  <c r="I125" i="12843" s="1"/>
  <c r="G140" i="12843"/>
  <c r="I140" i="12843" s="1"/>
  <c r="G98" i="12843"/>
  <c r="G155" i="12843"/>
  <c r="I155" i="12843" s="1"/>
  <c r="G110" i="12843"/>
  <c r="I110" i="12843" s="1"/>
  <c r="G109" i="12843"/>
  <c r="I109" i="12843" s="1"/>
  <c r="G154" i="12843"/>
  <c r="I154" i="12843" s="1"/>
  <c r="G97" i="12843"/>
  <c r="G139" i="12843"/>
  <c r="I139" i="12843" s="1"/>
  <c r="G124" i="12843"/>
  <c r="I124" i="12843" s="1"/>
  <c r="Z97" i="12767"/>
  <c r="O661" i="12767"/>
  <c r="Q661" i="12767" s="1"/>
  <c r="M692" i="12767"/>
  <c r="U648" i="12767"/>
  <c r="G618" i="12767"/>
  <c r="X618" i="12767" s="1"/>
  <c r="M655" i="12767"/>
  <c r="M693" i="12767"/>
  <c r="M654" i="12767"/>
  <c r="O699" i="12767"/>
  <c r="Q699" i="12767" s="1"/>
  <c r="G655" i="12843"/>
  <c r="G628" i="12843"/>
  <c r="O663" i="12767"/>
  <c r="Q663" i="12767" s="1"/>
  <c r="G618" i="12843"/>
  <c r="X618" i="12843" s="1"/>
  <c r="U683" i="12767"/>
  <c r="U686" i="12767"/>
  <c r="U682" i="12767"/>
  <c r="S661" i="12767"/>
  <c r="U661" i="12767" s="1"/>
  <c r="K623" i="12767"/>
  <c r="K607" i="12843"/>
  <c r="K687" i="12843" s="1"/>
  <c r="O698" i="12767"/>
  <c r="Q698" i="12767" s="1"/>
  <c r="O660" i="12767"/>
  <c r="Q660" i="12767" s="1"/>
  <c r="S662" i="12767"/>
  <c r="U662" i="12767" s="1"/>
  <c r="U646" i="12767"/>
  <c r="Q646" i="12767"/>
  <c r="O662" i="12767"/>
  <c r="Q662" i="12767" s="1"/>
  <c r="G623" i="12843"/>
  <c r="X605" i="12843"/>
  <c r="G647" i="12843"/>
  <c r="G685" i="12843"/>
  <c r="Q684" i="12767"/>
  <c r="O700" i="12767"/>
  <c r="Q700" i="12767" s="1"/>
  <c r="S660" i="12767"/>
  <c r="U660" i="12767" s="1"/>
  <c r="U644" i="12767"/>
  <c r="U791" i="12767"/>
  <c r="S811" i="12767"/>
  <c r="U811" i="12767" s="1"/>
  <c r="U1168" i="12843"/>
  <c r="U1170" i="12843" s="1"/>
  <c r="U1201" i="12843"/>
  <c r="F1278" i="12767"/>
  <c r="Q38" i="12811"/>
  <c r="Q46" i="12812"/>
  <c r="Q47" i="12812" s="1"/>
  <c r="Q68" i="12812" s="1"/>
  <c r="P47" i="12812"/>
  <c r="P68" i="12812" s="1"/>
  <c r="P140" i="12812" s="1"/>
  <c r="O47" i="12811"/>
  <c r="O68" i="12811" s="1"/>
  <c r="O140" i="12811" s="1"/>
  <c r="P46" i="12811"/>
  <c r="G17" i="12809"/>
  <c r="G21" i="12809" s="1"/>
  <c r="F21" i="12809"/>
  <c r="F25" i="12809" s="1"/>
  <c r="I17" i="12809"/>
  <c r="H21" i="12809"/>
  <c r="O947" i="12787"/>
  <c r="O953" i="12787" s="1"/>
  <c r="O936" i="12787"/>
  <c r="W1267" i="12767"/>
  <c r="O1032" i="12787"/>
  <c r="G1042" i="12787"/>
  <c r="K649" i="12861" l="1"/>
  <c r="K664" i="12861" s="1"/>
  <c r="M664" i="12861" s="1"/>
  <c r="K191" i="12861"/>
  <c r="K978" i="12861"/>
  <c r="M978" i="12861" s="1"/>
  <c r="K687" i="12861"/>
  <c r="K702" i="12861" s="1"/>
  <c r="M702" i="12861" s="1"/>
  <c r="K387" i="12861"/>
  <c r="M387" i="12861" s="1"/>
  <c r="K754" i="12861"/>
  <c r="K352" i="12861"/>
  <c r="K366" i="12861" s="1"/>
  <c r="K787" i="12861"/>
  <c r="K806" i="12861" s="1"/>
  <c r="M806" i="12861" s="1"/>
  <c r="K318" i="12861"/>
  <c r="K331" i="12861" s="1"/>
  <c r="M331" i="12861" s="1"/>
  <c r="K284" i="12861"/>
  <c r="K297" i="12861" s="1"/>
  <c r="K249" i="12861"/>
  <c r="M249" i="12861" s="1"/>
  <c r="K786" i="12861"/>
  <c r="K793" i="12861" s="1"/>
  <c r="K423" i="12861"/>
  <c r="M423" i="12861" s="1"/>
  <c r="K739" i="12861"/>
  <c r="K760" i="12861" s="1"/>
  <c r="K214" i="12861"/>
  <c r="K227" i="12861" s="1"/>
  <c r="K216" i="12861"/>
  <c r="K229" i="12861" s="1"/>
  <c r="K190" i="12861"/>
  <c r="K192" i="12861"/>
  <c r="K421" i="12861"/>
  <c r="K435" i="12861" s="1"/>
  <c r="M435" i="12861" s="1"/>
  <c r="K353" i="12861"/>
  <c r="K367" i="12861" s="1"/>
  <c r="K755" i="12861"/>
  <c r="K248" i="12861"/>
  <c r="K261" i="12861" s="1"/>
  <c r="M261" i="12861" s="1"/>
  <c r="K169" i="12861"/>
  <c r="K527" i="12861" s="1"/>
  <c r="K170" i="12861"/>
  <c r="K458" i="12861" s="1"/>
  <c r="K472" i="12861" s="1"/>
  <c r="K943" i="12861"/>
  <c r="K981" i="12861" s="1"/>
  <c r="M981" i="12861" s="1"/>
  <c r="K171" i="12861"/>
  <c r="K494" i="12861" s="1"/>
  <c r="K753" i="12861"/>
  <c r="K250" i="12861"/>
  <c r="M250" i="12861" s="1"/>
  <c r="K319" i="12861"/>
  <c r="M319" i="12861" s="1"/>
  <c r="K839" i="12861"/>
  <c r="K859" i="12861" s="1"/>
  <c r="M859" i="12861" s="1"/>
  <c r="K317" i="12861"/>
  <c r="K330" i="12861" s="1"/>
  <c r="M330" i="12861" s="1"/>
  <c r="K283" i="12861"/>
  <c r="M283" i="12861" s="1"/>
  <c r="K605" i="12861"/>
  <c r="K647" i="12861" s="1"/>
  <c r="K663" i="12861" s="1"/>
  <c r="M663" i="12861" s="1"/>
  <c r="K941" i="12861"/>
  <c r="K979" i="12861" s="1"/>
  <c r="M979" i="12861" s="1"/>
  <c r="K724" i="12861"/>
  <c r="K749" i="12861" s="1"/>
  <c r="K725" i="12861"/>
  <c r="K750" i="12861" s="1"/>
  <c r="K1092" i="12861"/>
  <c r="K566" i="12861"/>
  <c r="K581" i="12861" s="1"/>
  <c r="K608" i="12861"/>
  <c r="K625" i="12861" s="1"/>
  <c r="K285" i="12861"/>
  <c r="K298" i="12861" s="1"/>
  <c r="M298" i="12861" s="1"/>
  <c r="K386" i="12861"/>
  <c r="M386" i="12861" s="1"/>
  <c r="K603" i="12861"/>
  <c r="K683" i="12861" s="1"/>
  <c r="M683" i="12861" s="1"/>
  <c r="K604" i="12861"/>
  <c r="K646" i="12861" s="1"/>
  <c r="K662" i="12861" s="1"/>
  <c r="M662" i="12861" s="1"/>
  <c r="K944" i="12861"/>
  <c r="K964" i="12861" s="1"/>
  <c r="K885" i="12861" s="1"/>
  <c r="K730" i="12861"/>
  <c r="K751" i="12861" s="1"/>
  <c r="I940" i="12843"/>
  <c r="I951" i="12843" s="1"/>
  <c r="I953" i="12843" s="1"/>
  <c r="G978" i="12843"/>
  <c r="I978" i="12843" s="1"/>
  <c r="I988" i="12843" s="1"/>
  <c r="I990" i="12843" s="1"/>
  <c r="G960" i="12843"/>
  <c r="N15" i="12866" s="1"/>
  <c r="N32" i="12862"/>
  <c r="P32" i="12862"/>
  <c r="T32" i="12862"/>
  <c r="R32" i="12862"/>
  <c r="P31" i="12862"/>
  <c r="T31" i="12862"/>
  <c r="R31" i="12862"/>
  <c r="N31" i="12862"/>
  <c r="R22" i="12862"/>
  <c r="T22" i="12862"/>
  <c r="N22" i="12862"/>
  <c r="P22" i="12862"/>
  <c r="T14" i="12862"/>
  <c r="P14" i="12862"/>
  <c r="R14" i="12862"/>
  <c r="N14" i="12862"/>
  <c r="T26" i="12862"/>
  <c r="R26" i="12862"/>
  <c r="P26" i="12862"/>
  <c r="N26" i="12862"/>
  <c r="T33" i="12862"/>
  <c r="N33" i="12862"/>
  <c r="R33" i="12862"/>
  <c r="P33" i="12862"/>
  <c r="R15" i="12862"/>
  <c r="T15" i="12862"/>
  <c r="P15" i="12862"/>
  <c r="N15" i="12862"/>
  <c r="T27" i="12862"/>
  <c r="N27" i="12862"/>
  <c r="P27" i="12862"/>
  <c r="R27" i="12862"/>
  <c r="R21" i="12862"/>
  <c r="T21" i="12862"/>
  <c r="N21" i="12862"/>
  <c r="P21" i="12862"/>
  <c r="T19" i="12862"/>
  <c r="N19" i="12862"/>
  <c r="P19" i="12862"/>
  <c r="R19" i="12862"/>
  <c r="P23" i="12862"/>
  <c r="T23" i="12862"/>
  <c r="R23" i="12862"/>
  <c r="N23" i="12862"/>
  <c r="T10" i="12862"/>
  <c r="R10" i="12862"/>
  <c r="P10" i="12862"/>
  <c r="N10" i="12862"/>
  <c r="P28" i="12862"/>
  <c r="N28" i="12862"/>
  <c r="T28" i="12862"/>
  <c r="R28" i="12862"/>
  <c r="T11" i="12862"/>
  <c r="P11" i="12862"/>
  <c r="R11" i="12862"/>
  <c r="N11" i="12862"/>
  <c r="R25" i="12862"/>
  <c r="P25" i="12862"/>
  <c r="N25" i="12862"/>
  <c r="T25" i="12862"/>
  <c r="T16" i="12862"/>
  <c r="P16" i="12862"/>
  <c r="N16" i="12862"/>
  <c r="R16" i="12862"/>
  <c r="N20" i="12862"/>
  <c r="R20" i="12862"/>
  <c r="P20" i="12862"/>
  <c r="T20" i="12862"/>
  <c r="R17" i="12862"/>
  <c r="T17" i="12862"/>
  <c r="P17" i="12862"/>
  <c r="N17" i="12862"/>
  <c r="T12" i="12862"/>
  <c r="R12" i="12862"/>
  <c r="N12" i="12862"/>
  <c r="P12" i="12862"/>
  <c r="T29" i="12862"/>
  <c r="R29" i="12862"/>
  <c r="N29" i="12862"/>
  <c r="P29" i="12862"/>
  <c r="G886" i="12843"/>
  <c r="G892" i="12843" s="1"/>
  <c r="I892" i="12843" s="1"/>
  <c r="I965" i="12843"/>
  <c r="X1004" i="12843"/>
  <c r="K1092" i="12843"/>
  <c r="O16" i="12866"/>
  <c r="O15" i="12866"/>
  <c r="N18" i="12866"/>
  <c r="N16" i="12866"/>
  <c r="I248" i="12843"/>
  <c r="I214" i="12843" s="1"/>
  <c r="I32" i="12865"/>
  <c r="I33" i="12865"/>
  <c r="I28" i="12865"/>
  <c r="I29" i="12865"/>
  <c r="I31" i="12865"/>
  <c r="I27" i="12865"/>
  <c r="I23" i="12865"/>
  <c r="I19" i="12865"/>
  <c r="I24" i="12865"/>
  <c r="I18" i="12865"/>
  <c r="I20" i="12865"/>
  <c r="I25" i="12865"/>
  <c r="G27" i="12865"/>
  <c r="G28" i="12865"/>
  <c r="G23" i="12865"/>
  <c r="G20" i="12865"/>
  <c r="G19" i="12865"/>
  <c r="G31" i="12865"/>
  <c r="G29" i="12865"/>
  <c r="G32" i="12865"/>
  <c r="G18" i="12865"/>
  <c r="G25" i="12865"/>
  <c r="G33" i="12865"/>
  <c r="G24" i="12865"/>
  <c r="G687" i="12843"/>
  <c r="G702" i="12843" s="1"/>
  <c r="I702" i="12843" s="1"/>
  <c r="P15" i="12864"/>
  <c r="G629" i="12843"/>
  <c r="O20" i="12864"/>
  <c r="I319" i="12843"/>
  <c r="I23" i="12863"/>
  <c r="I19" i="12863"/>
  <c r="I18" i="12863"/>
  <c r="I16" i="12863"/>
  <c r="I20" i="12863"/>
  <c r="I32" i="12863"/>
  <c r="I15" i="12863"/>
  <c r="I14" i="12863"/>
  <c r="I30" i="12863"/>
  <c r="I31" i="12863"/>
  <c r="I24" i="12863"/>
  <c r="I27" i="12863"/>
  <c r="I26" i="12863"/>
  <c r="I28" i="12863"/>
  <c r="I22" i="12863"/>
  <c r="G16" i="12863"/>
  <c r="G23" i="12863"/>
  <c r="G19" i="12863"/>
  <c r="G32" i="12863"/>
  <c r="G31" i="12863"/>
  <c r="G30" i="12863"/>
  <c r="G27" i="12863"/>
  <c r="G18" i="12863"/>
  <c r="G15" i="12863"/>
  <c r="G20" i="12863"/>
  <c r="G22" i="12863"/>
  <c r="G14" i="12863"/>
  <c r="G24" i="12863"/>
  <c r="G28" i="12863"/>
  <c r="G26" i="12863"/>
  <c r="G755" i="12843"/>
  <c r="G787" i="12843"/>
  <c r="I787" i="12843" s="1"/>
  <c r="G662" i="12843"/>
  <c r="I662" i="12843" s="1"/>
  <c r="I622" i="12843" s="1"/>
  <c r="G227" i="12843"/>
  <c r="G228" i="12843"/>
  <c r="G229" i="12843"/>
  <c r="K831" i="12767"/>
  <c r="K855" i="12767" s="1"/>
  <c r="M855" i="12767" s="1"/>
  <c r="G72" i="12843"/>
  <c r="I72" i="12843" s="1"/>
  <c r="U81" i="12767"/>
  <c r="U83" i="12767" s="1"/>
  <c r="G59" i="12843"/>
  <c r="I59" i="12843" s="1"/>
  <c r="G36" i="12843"/>
  <c r="I36" i="12843" s="1"/>
  <c r="Q1170" i="12861"/>
  <c r="Q1172" i="12861" s="1"/>
  <c r="Q1203" i="12861"/>
  <c r="U1205" i="12861" s="1"/>
  <c r="U1206" i="12861" s="1"/>
  <c r="G77" i="12843"/>
  <c r="I77" i="12843" s="1"/>
  <c r="W1275" i="12843"/>
  <c r="X733" i="12843"/>
  <c r="K778" i="12767"/>
  <c r="M778" i="12767" s="1"/>
  <c r="K749" i="12767"/>
  <c r="K725" i="12843"/>
  <c r="K750" i="12843" s="1"/>
  <c r="Q63" i="12767"/>
  <c r="Q65" i="12767" s="1"/>
  <c r="X732" i="12843"/>
  <c r="G837" i="12843"/>
  <c r="G857" i="12843" s="1"/>
  <c r="I857" i="12843" s="1"/>
  <c r="G754" i="12843"/>
  <c r="K724" i="12843"/>
  <c r="K829" i="12843" s="1"/>
  <c r="K853" i="12843" s="1"/>
  <c r="M853" i="12843" s="1"/>
  <c r="G55" i="12843"/>
  <c r="I55" i="12843" s="1"/>
  <c r="Q81" i="12767"/>
  <c r="Q83" i="12767" s="1"/>
  <c r="K836" i="12767"/>
  <c r="M836" i="12767" s="1"/>
  <c r="K750" i="12767"/>
  <c r="G753" i="12843"/>
  <c r="G38" i="12843"/>
  <c r="I38" i="12843" s="1"/>
  <c r="K830" i="12767"/>
  <c r="M830" i="12767" s="1"/>
  <c r="K777" i="12767"/>
  <c r="K801" i="12767" s="1"/>
  <c r="M801" i="12767" s="1"/>
  <c r="K730" i="12843"/>
  <c r="K835" i="12843" s="1"/>
  <c r="K855" i="12843" s="1"/>
  <c r="M855" i="12843" s="1"/>
  <c r="G58" i="12843"/>
  <c r="I58" i="12843" s="1"/>
  <c r="W1271" i="12767"/>
  <c r="K783" i="12767"/>
  <c r="K791" i="12767" s="1"/>
  <c r="K811" i="12767" s="1"/>
  <c r="M811" i="12767" s="1"/>
  <c r="G76" i="12843"/>
  <c r="I76" i="12843" s="1"/>
  <c r="G739" i="12843"/>
  <c r="G760" i="12843" s="1"/>
  <c r="K748" i="12767"/>
  <c r="M63" i="12767"/>
  <c r="M65" i="12767" s="1"/>
  <c r="U63" i="12767"/>
  <c r="U65" i="12767" s="1"/>
  <c r="M45" i="12767"/>
  <c r="M47" i="12767" s="1"/>
  <c r="Q46" i="12831"/>
  <c r="AA52" i="12831" s="1"/>
  <c r="X734" i="12843"/>
  <c r="G788" i="12843"/>
  <c r="G807" i="12843" s="1"/>
  <c r="I807" i="12843" s="1"/>
  <c r="G60" i="12843"/>
  <c r="I60" i="12843" s="1"/>
  <c r="G786" i="12843"/>
  <c r="I786" i="12843" s="1"/>
  <c r="G838" i="12843"/>
  <c r="I838" i="12843" s="1"/>
  <c r="G78" i="12843"/>
  <c r="I78" i="12843" s="1"/>
  <c r="G839" i="12843"/>
  <c r="G859" i="12843" s="1"/>
  <c r="I859" i="12843" s="1"/>
  <c r="G37" i="12843"/>
  <c r="I37" i="12843" s="1"/>
  <c r="Q45" i="12767"/>
  <c r="Q47" i="12767" s="1"/>
  <c r="U45" i="12767"/>
  <c r="U47" i="12767" s="1"/>
  <c r="M81" i="12767"/>
  <c r="M83" i="12767" s="1"/>
  <c r="G56" i="12843"/>
  <c r="I56" i="12843" s="1"/>
  <c r="K943" i="12843"/>
  <c r="K981" i="12843" s="1"/>
  <c r="M981" i="12843" s="1"/>
  <c r="K944" i="12843"/>
  <c r="K964" i="12843" s="1"/>
  <c r="K965" i="12767"/>
  <c r="M965" i="12767" s="1"/>
  <c r="K983" i="12767"/>
  <c r="M983" i="12767" s="1"/>
  <c r="K962" i="12767"/>
  <c r="K883" i="12767" s="1"/>
  <c r="M883" i="12767" s="1"/>
  <c r="K980" i="12767"/>
  <c r="M980" i="12767" s="1"/>
  <c r="K941" i="12843"/>
  <c r="K961" i="12843" s="1"/>
  <c r="F12" i="12826"/>
  <c r="V46" i="12831"/>
  <c r="U50" i="12831"/>
  <c r="AF50" i="12831" s="1"/>
  <c r="K645" i="12767"/>
  <c r="M645" i="12767" s="1"/>
  <c r="K683" i="12767"/>
  <c r="K699" i="12767" s="1"/>
  <c r="M699" i="12767" s="1"/>
  <c r="K621" i="12767"/>
  <c r="K604" i="12843"/>
  <c r="K622" i="12843" s="1"/>
  <c r="K562" i="12767"/>
  <c r="G649" i="12843"/>
  <c r="G624" i="12843"/>
  <c r="K608" i="12843"/>
  <c r="K625" i="12843" s="1"/>
  <c r="X607" i="12843"/>
  <c r="K682" i="12767"/>
  <c r="M682" i="12767" s="1"/>
  <c r="K624" i="12767"/>
  <c r="K620" i="12767"/>
  <c r="K644" i="12767"/>
  <c r="K660" i="12767" s="1"/>
  <c r="M660" i="12767" s="1"/>
  <c r="K687" i="12767"/>
  <c r="K702" i="12767" s="1"/>
  <c r="M702" i="12767" s="1"/>
  <c r="K603" i="12843"/>
  <c r="K645" i="12843" s="1"/>
  <c r="M645" i="12843" s="1"/>
  <c r="K561" i="12767"/>
  <c r="M365" i="12767"/>
  <c r="K649" i="12767"/>
  <c r="M649" i="12767" s="1"/>
  <c r="K566" i="12767"/>
  <c r="K622" i="12767"/>
  <c r="K605" i="12843"/>
  <c r="K647" i="12843" s="1"/>
  <c r="K646" i="12767"/>
  <c r="M646" i="12767" s="1"/>
  <c r="K563" i="12767"/>
  <c r="K684" i="12767"/>
  <c r="K700" i="12767" s="1"/>
  <c r="M700" i="12767" s="1"/>
  <c r="G661" i="12843"/>
  <c r="I661" i="12843" s="1"/>
  <c r="I621" i="12843" s="1"/>
  <c r="I645" i="12843"/>
  <c r="I684" i="12843"/>
  <c r="I683" i="12843"/>
  <c r="I646" i="12843"/>
  <c r="I968" i="12843"/>
  <c r="K844" i="12861"/>
  <c r="M837" i="12861"/>
  <c r="K857" i="12861"/>
  <c r="M857" i="12861" s="1"/>
  <c r="K858" i="12861"/>
  <c r="M858" i="12861" s="1"/>
  <c r="M838" i="12861"/>
  <c r="M940" i="12843"/>
  <c r="M940" i="12861"/>
  <c r="M190" i="12843"/>
  <c r="M190" i="12861"/>
  <c r="M192" i="12843"/>
  <c r="M192" i="12861"/>
  <c r="M191" i="12843"/>
  <c r="M191" i="12861"/>
  <c r="M960" i="12861"/>
  <c r="K881" i="12861"/>
  <c r="G815" i="12843"/>
  <c r="I815" i="12843" s="1"/>
  <c r="I763" i="12843" s="1"/>
  <c r="K402" i="12861"/>
  <c r="M402" i="12861" s="1"/>
  <c r="M388" i="12861"/>
  <c r="K807" i="12861"/>
  <c r="M807" i="12861" s="1"/>
  <c r="M788" i="12861"/>
  <c r="K436" i="12861"/>
  <c r="M436" i="12861" s="1"/>
  <c r="M422" i="12861"/>
  <c r="G670" i="12843"/>
  <c r="I670" i="12843" s="1"/>
  <c r="I657" i="12843"/>
  <c r="I695" i="12843"/>
  <c r="G708" i="12843"/>
  <c r="I708" i="12843" s="1"/>
  <c r="G330" i="12843"/>
  <c r="I330" i="12843" s="1"/>
  <c r="G296" i="12843"/>
  <c r="I296" i="12843" s="1"/>
  <c r="I365" i="12843"/>
  <c r="I421" i="12843"/>
  <c r="I386" i="12843"/>
  <c r="G536" i="12843"/>
  <c r="G501" i="12843"/>
  <c r="G325" i="12843"/>
  <c r="G430" i="12843"/>
  <c r="G222" i="12843"/>
  <c r="G234" i="12843" s="1"/>
  <c r="G466" i="12843"/>
  <c r="G478" i="12843" s="1"/>
  <c r="G360" i="12843"/>
  <c r="G372" i="12843" s="1"/>
  <c r="G256" i="12843"/>
  <c r="X182" i="12843"/>
  <c r="G395" i="12843"/>
  <c r="G197" i="12843"/>
  <c r="G291" i="12843"/>
  <c r="K331" i="12767"/>
  <c r="M331" i="12767" s="1"/>
  <c r="M386" i="12767"/>
  <c r="M316" i="12767"/>
  <c r="M387" i="12767"/>
  <c r="I779" i="12843"/>
  <c r="I725" i="12843" s="1"/>
  <c r="S46" i="12831"/>
  <c r="Q1168" i="12843"/>
  <c r="Q1170" i="12843" s="1"/>
  <c r="Q140" i="12812"/>
  <c r="K802" i="12843"/>
  <c r="M802" i="12843" s="1"/>
  <c r="G854" i="12843"/>
  <c r="I854" i="12843" s="1"/>
  <c r="I750" i="12843" s="1"/>
  <c r="M284" i="12767"/>
  <c r="M421" i="12767"/>
  <c r="G803" i="12843"/>
  <c r="I803" i="12843" s="1"/>
  <c r="G792" i="12843"/>
  <c r="I792" i="12843" s="1"/>
  <c r="M226" i="12767"/>
  <c r="K399" i="12767"/>
  <c r="M399" i="12767" s="1"/>
  <c r="M364" i="12767" s="1"/>
  <c r="M420" i="12767"/>
  <c r="M350" i="12767" s="1"/>
  <c r="M282" i="12767"/>
  <c r="M247" i="12767"/>
  <c r="X614" i="12843"/>
  <c r="G694" i="12843"/>
  <c r="G707" i="12843" s="1"/>
  <c r="I707" i="12843" s="1"/>
  <c r="G656" i="12843"/>
  <c r="G619" i="12843"/>
  <c r="X619" i="12843" s="1"/>
  <c r="K844" i="12843"/>
  <c r="K864" i="12843" s="1"/>
  <c r="M864" i="12843" s="1"/>
  <c r="K739" i="12843"/>
  <c r="K760" i="12843" s="1"/>
  <c r="K857" i="12843"/>
  <c r="M857" i="12843" s="1"/>
  <c r="K753" i="12843"/>
  <c r="K786" i="12843"/>
  <c r="K805" i="12843" s="1"/>
  <c r="M805" i="12843" s="1"/>
  <c r="G855" i="12843"/>
  <c r="I855" i="12843" s="1"/>
  <c r="G1007" i="12843"/>
  <c r="X1007" i="12843" s="1"/>
  <c r="I835" i="12843"/>
  <c r="I730" i="12843" s="1"/>
  <c r="M838" i="12767"/>
  <c r="G1025" i="12843"/>
  <c r="K845" i="12767"/>
  <c r="K865" i="12767" s="1"/>
  <c r="M865" i="12767" s="1"/>
  <c r="I1004" i="12843"/>
  <c r="I929" i="12843" s="1"/>
  <c r="K860" i="12767"/>
  <c r="M860" i="12767" s="1"/>
  <c r="G1043" i="12843"/>
  <c r="I1043" i="12843" s="1"/>
  <c r="I1080" i="12843" s="1"/>
  <c r="K792" i="12767"/>
  <c r="K812" i="12767" s="1"/>
  <c r="M812" i="12767" s="1"/>
  <c r="M785" i="12767"/>
  <c r="M686" i="12767"/>
  <c r="M565" i="12767"/>
  <c r="K859" i="12767"/>
  <c r="M859" i="12767" s="1"/>
  <c r="K317" i="12843"/>
  <c r="M317" i="12843" s="1"/>
  <c r="K296" i="12843"/>
  <c r="M296" i="12843" s="1"/>
  <c r="K192" i="12843"/>
  <c r="K437" i="12843"/>
  <c r="M437" i="12843" s="1"/>
  <c r="K190" i="12843"/>
  <c r="K351" i="12843"/>
  <c r="K365" i="12843" s="1"/>
  <c r="K169" i="12843"/>
  <c r="K526" i="12767"/>
  <c r="K491" i="12767"/>
  <c r="K456" i="12767"/>
  <c r="M249" i="12767"/>
  <c r="K262" i="12767"/>
  <c r="M262" i="12767" s="1"/>
  <c r="K421" i="12843"/>
  <c r="K435" i="12843" s="1"/>
  <c r="M435" i="12843" s="1"/>
  <c r="M283" i="12767"/>
  <c r="M214" i="12767" s="1"/>
  <c r="K330" i="12767"/>
  <c r="M330" i="12767" s="1"/>
  <c r="K261" i="12767"/>
  <c r="M261" i="12767" s="1"/>
  <c r="K388" i="12843"/>
  <c r="K402" i="12843" s="1"/>
  <c r="M402" i="12843" s="1"/>
  <c r="K216" i="12843"/>
  <c r="K229" i="12843" s="1"/>
  <c r="K319" i="12843"/>
  <c r="M319" i="12843" s="1"/>
  <c r="K436" i="12767"/>
  <c r="M436" i="12767" s="1"/>
  <c r="M366" i="12767" s="1"/>
  <c r="M422" i="12767"/>
  <c r="K214" i="12843"/>
  <c r="K227" i="12843" s="1"/>
  <c r="K171" i="12843"/>
  <c r="K493" i="12767"/>
  <c r="K458" i="12767"/>
  <c r="K528" i="12767"/>
  <c r="K353" i="12843"/>
  <c r="K367" i="12843" s="1"/>
  <c r="K248" i="12843"/>
  <c r="M248" i="12843" s="1"/>
  <c r="K386" i="12843"/>
  <c r="K400" i="12843" s="1"/>
  <c r="M400" i="12843" s="1"/>
  <c r="K285" i="12843"/>
  <c r="K298" i="12843" s="1"/>
  <c r="M298" i="12843" s="1"/>
  <c r="K250" i="12843"/>
  <c r="K170" i="12843"/>
  <c r="K527" i="12767"/>
  <c r="K492" i="12767"/>
  <c r="K457" i="12767"/>
  <c r="M1201" i="12843"/>
  <c r="U1203" i="12843" s="1"/>
  <c r="U1204" i="12843" s="1"/>
  <c r="K806" i="12767"/>
  <c r="M806" i="12767" s="1"/>
  <c r="K807" i="12767"/>
  <c r="M807" i="12767" s="1"/>
  <c r="M648" i="12767"/>
  <c r="K566" i="12843"/>
  <c r="K580" i="12767"/>
  <c r="M580" i="12767" s="1"/>
  <c r="I967" i="12843"/>
  <c r="G233" i="12843"/>
  <c r="G232" i="12843"/>
  <c r="I287" i="12843"/>
  <c r="I218" i="12843" s="1"/>
  <c r="G264" i="12843"/>
  <c r="I264" i="12843" s="1"/>
  <c r="G230" i="12843"/>
  <c r="G333" i="12843"/>
  <c r="I333" i="12843" s="1"/>
  <c r="G403" i="12843"/>
  <c r="I403" i="12843" s="1"/>
  <c r="I497" i="12843"/>
  <c r="I462" i="12843" s="1"/>
  <c r="G438" i="12843"/>
  <c r="I438" i="12843" s="1"/>
  <c r="I693" i="12843"/>
  <c r="I393" i="12843"/>
  <c r="G544" i="12843"/>
  <c r="I544" i="12843" s="1"/>
  <c r="I474" i="12843" s="1"/>
  <c r="Q215" i="12767"/>
  <c r="U215" i="12767"/>
  <c r="I250" i="12843"/>
  <c r="I423" i="12843"/>
  <c r="I229" i="12843"/>
  <c r="I367" i="12843"/>
  <c r="I285" i="12843"/>
  <c r="I388" i="12843"/>
  <c r="Q214" i="12767"/>
  <c r="K788" i="12843"/>
  <c r="K807" i="12843" s="1"/>
  <c r="M807" i="12843" s="1"/>
  <c r="K839" i="12843"/>
  <c r="K859" i="12843" s="1"/>
  <c r="M859" i="12843" s="1"/>
  <c r="Q844" i="12767"/>
  <c r="U845" i="12767"/>
  <c r="Q791" i="12767"/>
  <c r="I387" i="12843"/>
  <c r="I352" i="12843" s="1"/>
  <c r="G331" i="12843"/>
  <c r="I331" i="12843" s="1"/>
  <c r="G231" i="12843"/>
  <c r="G436" i="12843"/>
  <c r="I436" i="12843" s="1"/>
  <c r="I366" i="12843" s="1"/>
  <c r="S812" i="12767"/>
  <c r="U812" i="12767" s="1"/>
  <c r="G297" i="12843"/>
  <c r="I297" i="12843" s="1"/>
  <c r="Q845" i="12767"/>
  <c r="K754" i="12843"/>
  <c r="I249" i="12843"/>
  <c r="I215" i="12843" s="1"/>
  <c r="K787" i="12843"/>
  <c r="K806" i="12843" s="1"/>
  <c r="M806" i="12843" s="1"/>
  <c r="K249" i="12843"/>
  <c r="K262" i="12843" s="1"/>
  <c r="M262" i="12843" s="1"/>
  <c r="G801" i="12843"/>
  <c r="I801" i="12843" s="1"/>
  <c r="I322" i="12843"/>
  <c r="K422" i="12843"/>
  <c r="K436" i="12843" s="1"/>
  <c r="M436" i="12843" s="1"/>
  <c r="U214" i="12767"/>
  <c r="K191" i="12843"/>
  <c r="G300" i="12843"/>
  <c r="I300" i="12843" s="1"/>
  <c r="I231" i="12843" s="1"/>
  <c r="K352" i="12843"/>
  <c r="K366" i="12843" s="1"/>
  <c r="K318" i="12843"/>
  <c r="K331" i="12843" s="1"/>
  <c r="M331" i="12843" s="1"/>
  <c r="K387" i="12843"/>
  <c r="M387" i="12843" s="1"/>
  <c r="K215" i="12843"/>
  <c r="K228" i="12843" s="1"/>
  <c r="K801" i="12843"/>
  <c r="M801" i="12843" s="1"/>
  <c r="I533" i="12843"/>
  <c r="I795" i="12843"/>
  <c r="I741" i="12843" s="1"/>
  <c r="U844" i="12767"/>
  <c r="G439" i="12843"/>
  <c r="I439" i="12843" s="1"/>
  <c r="I369" i="12843" s="1"/>
  <c r="I253" i="12843"/>
  <c r="I498" i="12843"/>
  <c r="I392" i="12843"/>
  <c r="I357" i="12843" s="1"/>
  <c r="G866" i="12843"/>
  <c r="I866" i="12843" s="1"/>
  <c r="I762" i="12843" s="1"/>
  <c r="G853" i="12843"/>
  <c r="I853" i="12843" s="1"/>
  <c r="U213" i="12767"/>
  <c r="Q213" i="12767"/>
  <c r="I323" i="12843"/>
  <c r="G302" i="12843"/>
  <c r="I302" i="12843" s="1"/>
  <c r="I233" i="12843" s="1"/>
  <c r="I500" i="12843"/>
  <c r="I465" i="12843" s="1"/>
  <c r="I429" i="12843"/>
  <c r="I359" i="12843" s="1"/>
  <c r="G547" i="12843"/>
  <c r="I547" i="12843" s="1"/>
  <c r="I477" i="12843" s="1"/>
  <c r="I324" i="12843"/>
  <c r="I428" i="12843"/>
  <c r="G406" i="12843"/>
  <c r="I406" i="12843" s="1"/>
  <c r="I255" i="12843"/>
  <c r="G301" i="12843"/>
  <c r="I301" i="12843" s="1"/>
  <c r="I232" i="12843" s="1"/>
  <c r="I650" i="12843"/>
  <c r="G546" i="12843"/>
  <c r="I546" i="12843" s="1"/>
  <c r="I254" i="12843"/>
  <c r="I464" i="12843"/>
  <c r="G511" i="12843"/>
  <c r="I511" i="12843" s="1"/>
  <c r="G665" i="12843"/>
  <c r="I665" i="12843" s="1"/>
  <c r="I625" i="12843" s="1"/>
  <c r="I688" i="12843"/>
  <c r="G888" i="12843"/>
  <c r="I888" i="12843" s="1"/>
  <c r="K960" i="12843"/>
  <c r="K978" i="12843"/>
  <c r="M978" i="12843" s="1"/>
  <c r="I961" i="12843"/>
  <c r="W923" i="12843"/>
  <c r="X923" i="12843" s="1"/>
  <c r="G882" i="12843"/>
  <c r="I882" i="12843" s="1"/>
  <c r="K882" i="12767"/>
  <c r="M882" i="12767" s="1"/>
  <c r="M961" i="12767"/>
  <c r="I964" i="12843"/>
  <c r="W926" i="12843"/>
  <c r="X926" i="12843" s="1"/>
  <c r="G885" i="12843"/>
  <c r="I885" i="12843" s="1"/>
  <c r="W925" i="12843"/>
  <c r="X925" i="12843" s="1"/>
  <c r="I963" i="12843"/>
  <c r="G884" i="12843"/>
  <c r="I884" i="12843" s="1"/>
  <c r="I724" i="12843"/>
  <c r="K297" i="12843"/>
  <c r="M284" i="12843"/>
  <c r="Z98" i="12843"/>
  <c r="I90" i="12843"/>
  <c r="I91" i="12843"/>
  <c r="K706" i="12767"/>
  <c r="M706" i="12767" s="1"/>
  <c r="K668" i="12767"/>
  <c r="M668" i="12767" s="1"/>
  <c r="I655" i="12843"/>
  <c r="G668" i="12843"/>
  <c r="I668" i="12843" s="1"/>
  <c r="I628" i="12843" s="1"/>
  <c r="K624" i="12843"/>
  <c r="K649" i="12843"/>
  <c r="M649" i="12843" s="1"/>
  <c r="I647" i="12843"/>
  <c r="G663" i="12843"/>
  <c r="I663" i="12843" s="1"/>
  <c r="G701" i="12843"/>
  <c r="I701" i="12843" s="1"/>
  <c r="I685" i="12843"/>
  <c r="K702" i="12843"/>
  <c r="M702" i="12843" s="1"/>
  <c r="M687" i="12843"/>
  <c r="I475" i="12843"/>
  <c r="I370" i="12843"/>
  <c r="M838" i="12843"/>
  <c r="K858" i="12843"/>
  <c r="M858" i="12843" s="1"/>
  <c r="I356" i="12843"/>
  <c r="G863" i="12843"/>
  <c r="I863" i="12843" s="1"/>
  <c r="I843" i="12843"/>
  <c r="X1004" i="12767"/>
  <c r="I260" i="12767"/>
  <c r="I253" i="12767"/>
  <c r="I248" i="12767"/>
  <c r="I266" i="12767"/>
  <c r="O925" i="12787"/>
  <c r="P925" i="12787" s="1"/>
  <c r="W1140" i="12767"/>
  <c r="O995" i="12787"/>
  <c r="P996" i="12787" s="1"/>
  <c r="J17" i="12809"/>
  <c r="I21" i="12809"/>
  <c r="J21" i="12809" s="1"/>
  <c r="G25" i="12809"/>
  <c r="Q46" i="12811"/>
  <c r="Q47" i="12811" s="1"/>
  <c r="P47" i="12811"/>
  <c r="P68" i="12811" s="1"/>
  <c r="P140" i="12811" s="1"/>
  <c r="W1156" i="12767"/>
  <c r="G980" i="12767"/>
  <c r="I980" i="12767" s="1"/>
  <c r="I948" i="12767"/>
  <c r="G964" i="12767"/>
  <c r="W926" i="12767" s="1"/>
  <c r="W931" i="12767"/>
  <c r="X931" i="12767" s="1"/>
  <c r="X941" i="12767"/>
  <c r="G983" i="12767"/>
  <c r="I983" i="12767" s="1"/>
  <c r="I262" i="12767"/>
  <c r="I249" i="12767"/>
  <c r="I267" i="12767"/>
  <c r="I255" i="12767"/>
  <c r="X1099" i="12767"/>
  <c r="I1098" i="12767"/>
  <c r="X1096" i="12767"/>
  <c r="I1096" i="12767"/>
  <c r="X1095" i="12767"/>
  <c r="I1095" i="12767"/>
  <c r="M1095" i="12767" s="1"/>
  <c r="X1092" i="12767"/>
  <c r="I1092" i="12767"/>
  <c r="M1092" i="12767" s="1"/>
  <c r="X946" i="12767"/>
  <c r="G966" i="12767"/>
  <c r="W928" i="12767" s="1"/>
  <c r="G984" i="12767"/>
  <c r="I984" i="12767" s="1"/>
  <c r="I946" i="12767"/>
  <c r="O91" i="12787"/>
  <c r="O92" i="12787" s="1"/>
  <c r="P937" i="12787"/>
  <c r="O937" i="12787"/>
  <c r="P1032" i="12787"/>
  <c r="K401" i="12861" l="1"/>
  <c r="M401" i="12861" s="1"/>
  <c r="M366" i="12861" s="1"/>
  <c r="M318" i="12861"/>
  <c r="M687" i="12861"/>
  <c r="M649" i="12861"/>
  <c r="K622" i="12861"/>
  <c r="K684" i="12861"/>
  <c r="K700" i="12861" s="1"/>
  <c r="M700" i="12861" s="1"/>
  <c r="K332" i="12861"/>
  <c r="M332" i="12861" s="1"/>
  <c r="M284" i="12861"/>
  <c r="K835" i="12861"/>
  <c r="K843" i="12861" s="1"/>
  <c r="K863" i="12861" s="1"/>
  <c r="M863" i="12861" s="1"/>
  <c r="K805" i="12861"/>
  <c r="M805" i="12861" s="1"/>
  <c r="K529" i="12861"/>
  <c r="K543" i="12861" s="1"/>
  <c r="M543" i="12861" s="1"/>
  <c r="M787" i="12861"/>
  <c r="M786" i="12861"/>
  <c r="K829" i="12861"/>
  <c r="M829" i="12861" s="1"/>
  <c r="K699" i="12861"/>
  <c r="M699" i="12861" s="1"/>
  <c r="M646" i="12861"/>
  <c r="K262" i="12861"/>
  <c r="M262" i="12861" s="1"/>
  <c r="M285" i="12861"/>
  <c r="M216" i="12861" s="1"/>
  <c r="M248" i="12861"/>
  <c r="K437" i="12861"/>
  <c r="M437" i="12861" s="1"/>
  <c r="M367" i="12861" s="1"/>
  <c r="K400" i="12861"/>
  <c r="M400" i="12861" s="1"/>
  <c r="M365" i="12861" s="1"/>
  <c r="K263" i="12861"/>
  <c r="M263" i="12861" s="1"/>
  <c r="K961" i="12861"/>
  <c r="M961" i="12861" s="1"/>
  <c r="K738" i="12861"/>
  <c r="K759" i="12861" s="1"/>
  <c r="K784" i="12861"/>
  <c r="M784" i="12861" s="1"/>
  <c r="M421" i="12861"/>
  <c r="M351" i="12861" s="1"/>
  <c r="M317" i="12861"/>
  <c r="K688" i="12861"/>
  <c r="K703" i="12861" s="1"/>
  <c r="M703" i="12861" s="1"/>
  <c r="M964" i="12861"/>
  <c r="K492" i="12861"/>
  <c r="M492" i="12861" s="1"/>
  <c r="K623" i="12861"/>
  <c r="K650" i="12861"/>
  <c r="K665" i="12861" s="1"/>
  <c r="M665" i="12861" s="1"/>
  <c r="K459" i="12861"/>
  <c r="K473" i="12861" s="1"/>
  <c r="K296" i="12861"/>
  <c r="M296" i="12861" s="1"/>
  <c r="M227" i="12861" s="1"/>
  <c r="M647" i="12861"/>
  <c r="K685" i="12861"/>
  <c r="K701" i="12861" s="1"/>
  <c r="M701" i="12861" s="1"/>
  <c r="K982" i="12861"/>
  <c r="M982" i="12861" s="1"/>
  <c r="K528" i="12861"/>
  <c r="M528" i="12861" s="1"/>
  <c r="K645" i="12861"/>
  <c r="M645" i="12861" s="1"/>
  <c r="M839" i="12861"/>
  <c r="K493" i="12861"/>
  <c r="K507" i="12861" s="1"/>
  <c r="M507" i="12861" s="1"/>
  <c r="K457" i="12861"/>
  <c r="K471" i="12861" s="1"/>
  <c r="K963" i="12861"/>
  <c r="K884" i="12861" s="1"/>
  <c r="K564" i="12861"/>
  <c r="K580" i="12861" s="1"/>
  <c r="K621" i="12861"/>
  <c r="K830" i="12861"/>
  <c r="K854" i="12861" s="1"/>
  <c r="M854" i="12861" s="1"/>
  <c r="K563" i="12843"/>
  <c r="K579" i="12843" s="1"/>
  <c r="M1095" i="12861"/>
  <c r="K567" i="12861"/>
  <c r="K582" i="12861" s="1"/>
  <c r="K577" i="12767"/>
  <c r="M577" i="12767" s="1"/>
  <c r="G881" i="12843"/>
  <c r="I881" i="12843" s="1"/>
  <c r="W922" i="12843"/>
  <c r="X922" i="12843" s="1"/>
  <c r="I960" i="12843"/>
  <c r="I970" i="12843" s="1"/>
  <c r="I972" i="12843" s="1"/>
  <c r="G1036" i="12767"/>
  <c r="I1036" i="12767" s="1"/>
  <c r="I886" i="12843"/>
  <c r="G891" i="12843"/>
  <c r="I891" i="12843" s="1"/>
  <c r="X1098" i="12843"/>
  <c r="I1098" i="12843"/>
  <c r="N18" i="12868"/>
  <c r="G1101" i="12843"/>
  <c r="X1101" i="12843" s="1"/>
  <c r="N18" i="12867"/>
  <c r="G25" i="12866"/>
  <c r="G23" i="12866"/>
  <c r="G27" i="12866"/>
  <c r="G28" i="12866"/>
  <c r="G24" i="12866"/>
  <c r="G29" i="12866"/>
  <c r="G20" i="12866"/>
  <c r="G17" i="12866"/>
  <c r="G21" i="12866"/>
  <c r="G19" i="12866"/>
  <c r="G15" i="12866"/>
  <c r="G16" i="12866"/>
  <c r="I687" i="12843"/>
  <c r="I733" i="12843"/>
  <c r="G806" i="12843"/>
  <c r="I806" i="12843" s="1"/>
  <c r="G664" i="12843"/>
  <c r="I664" i="12843" s="1"/>
  <c r="I624" i="12843" s="1"/>
  <c r="M831" i="12767"/>
  <c r="K830" i="12843"/>
  <c r="M830" i="12843" s="1"/>
  <c r="G1005" i="12843"/>
  <c r="I15" i="12843"/>
  <c r="I20" i="12843"/>
  <c r="K802" i="12767"/>
  <c r="M802" i="12767" s="1"/>
  <c r="K784" i="12843"/>
  <c r="K803" i="12843" s="1"/>
  <c r="M803" i="12843" s="1"/>
  <c r="I16" i="12843"/>
  <c r="G844" i="12843"/>
  <c r="I844" i="12843" s="1"/>
  <c r="M791" i="12767"/>
  <c r="K856" i="12767"/>
  <c r="M856" i="12767" s="1"/>
  <c r="AA39" i="12831"/>
  <c r="AA38" i="12831"/>
  <c r="AA41" i="12831"/>
  <c r="AA37" i="12831"/>
  <c r="X27" i="12860" s="1"/>
  <c r="G20" i="12860" s="1"/>
  <c r="AA40" i="12831"/>
  <c r="K844" i="12767"/>
  <c r="M844" i="12767" s="1"/>
  <c r="M829" i="12843"/>
  <c r="I837" i="12843"/>
  <c r="I732" i="12843" s="1"/>
  <c r="M835" i="12843"/>
  <c r="AA18" i="12831"/>
  <c r="AA29" i="12831"/>
  <c r="X935" i="12860" s="1"/>
  <c r="AA25" i="12831"/>
  <c r="AA28" i="12831"/>
  <c r="X898" i="12860" s="1"/>
  <c r="AA24" i="12831"/>
  <c r="AA31" i="12831"/>
  <c r="AA27" i="12831"/>
  <c r="X768" i="12860" s="1"/>
  <c r="G740" i="12860" s="1"/>
  <c r="AA30" i="12831"/>
  <c r="Z1104" i="12860" s="1"/>
  <c r="G1092" i="12860" s="1"/>
  <c r="AA26" i="12831"/>
  <c r="Z636" i="12860" s="1"/>
  <c r="G602" i="12860" s="1"/>
  <c r="K749" i="12843"/>
  <c r="K854" i="12767"/>
  <c r="M854" i="12767" s="1"/>
  <c r="K843" i="12843"/>
  <c r="M843" i="12843" s="1"/>
  <c r="K751" i="12843"/>
  <c r="I839" i="12843"/>
  <c r="K738" i="12843"/>
  <c r="K759" i="12843" s="1"/>
  <c r="M777" i="12767"/>
  <c r="I19" i="12843"/>
  <c r="K803" i="12767"/>
  <c r="M803" i="12767" s="1"/>
  <c r="I82" i="12843"/>
  <c r="I84" i="12843" s="1"/>
  <c r="I755" i="12843"/>
  <c r="I21" i="12843"/>
  <c r="M783" i="12767"/>
  <c r="Q50" i="12831"/>
  <c r="I64" i="12843"/>
  <c r="I66" i="12843" s="1"/>
  <c r="I788" i="12843"/>
  <c r="I46" i="12843"/>
  <c r="I48" i="12843" s="1"/>
  <c r="G793" i="12843"/>
  <c r="I793" i="12843" s="1"/>
  <c r="AC46" i="12831"/>
  <c r="G805" i="12843"/>
  <c r="I805" i="12843" s="1"/>
  <c r="I753" i="12843" s="1"/>
  <c r="G858" i="12843"/>
  <c r="I858" i="12843" s="1"/>
  <c r="I17" i="12843"/>
  <c r="K963" i="12843"/>
  <c r="M963" i="12843" s="1"/>
  <c r="K982" i="12843"/>
  <c r="M982" i="12843" s="1"/>
  <c r="M962" i="12767"/>
  <c r="K886" i="12767"/>
  <c r="M886" i="12767" s="1"/>
  <c r="K979" i="12843"/>
  <c r="M979" i="12843" s="1"/>
  <c r="M683" i="12767"/>
  <c r="V50" i="12831"/>
  <c r="K563" i="12861"/>
  <c r="K579" i="12861" s="1"/>
  <c r="K684" i="12843"/>
  <c r="K700" i="12843" s="1"/>
  <c r="M700" i="12843" s="1"/>
  <c r="K646" i="12843"/>
  <c r="K662" i="12843" s="1"/>
  <c r="M662" i="12843" s="1"/>
  <c r="K661" i="12767"/>
  <c r="M661" i="12767" s="1"/>
  <c r="K578" i="12767"/>
  <c r="M578" i="12767" s="1"/>
  <c r="M562" i="12767"/>
  <c r="K650" i="12843"/>
  <c r="K665" i="12843" s="1"/>
  <c r="M665" i="12843" s="1"/>
  <c r="I649" i="12843"/>
  <c r="K579" i="12767"/>
  <c r="M579" i="12767" s="1"/>
  <c r="K688" i="12843"/>
  <c r="K703" i="12843" s="1"/>
  <c r="M703" i="12843" s="1"/>
  <c r="K698" i="12767"/>
  <c r="M698" i="12767" s="1"/>
  <c r="K621" i="12843"/>
  <c r="K581" i="12767"/>
  <c r="M581" i="12767" s="1"/>
  <c r="K664" i="12767"/>
  <c r="M664" i="12767" s="1"/>
  <c r="M566" i="12767"/>
  <c r="K661" i="12843"/>
  <c r="M661" i="12843" s="1"/>
  <c r="K567" i="12843"/>
  <c r="K582" i="12843" s="1"/>
  <c r="M644" i="12767"/>
  <c r="K662" i="12767"/>
  <c r="M662" i="12767" s="1"/>
  <c r="K683" i="12843"/>
  <c r="M683" i="12843" s="1"/>
  <c r="M687" i="12767"/>
  <c r="K562" i="12861"/>
  <c r="K578" i="12861" s="1"/>
  <c r="K623" i="12843"/>
  <c r="M561" i="12767"/>
  <c r="K562" i="12843"/>
  <c r="K578" i="12843" s="1"/>
  <c r="K685" i="12843"/>
  <c r="M685" i="12843" s="1"/>
  <c r="K564" i="12843"/>
  <c r="K580" i="12843" s="1"/>
  <c r="M563" i="12767"/>
  <c r="M684" i="12767"/>
  <c r="I604" i="12843"/>
  <c r="I603" i="12843"/>
  <c r="M353" i="12861"/>
  <c r="M844" i="12861"/>
  <c r="K864" i="12861"/>
  <c r="M864" i="12861" s="1"/>
  <c r="F1279" i="12860"/>
  <c r="F1281" i="12860" s="1"/>
  <c r="M352" i="12861"/>
  <c r="K508" i="12861"/>
  <c r="M508" i="12861" s="1"/>
  <c r="M494" i="12861"/>
  <c r="K541" i="12861"/>
  <c r="M541" i="12861" s="1"/>
  <c r="M527" i="12861"/>
  <c r="M1092" i="12843"/>
  <c r="M1092" i="12861"/>
  <c r="M881" i="12843"/>
  <c r="M881" i="12861"/>
  <c r="M581" i="12843"/>
  <c r="M581" i="12861"/>
  <c r="M882" i="12843"/>
  <c r="M882" i="12861"/>
  <c r="M566" i="12843"/>
  <c r="M566" i="12861"/>
  <c r="K812" i="12861"/>
  <c r="M812" i="12861" s="1"/>
  <c r="M793" i="12861"/>
  <c r="M297" i="12861"/>
  <c r="M308" i="12861"/>
  <c r="M239" i="12861" s="1"/>
  <c r="I615" i="12843"/>
  <c r="I630" i="12843"/>
  <c r="I227" i="12843"/>
  <c r="I351" i="12843"/>
  <c r="I173" i="12843" s="1"/>
  <c r="I291" i="12843"/>
  <c r="G303" i="12843"/>
  <c r="I303" i="12843" s="1"/>
  <c r="G442" i="12843"/>
  <c r="I442" i="12843" s="1"/>
  <c r="I430" i="12843"/>
  <c r="I325" i="12843"/>
  <c r="G337" i="12843"/>
  <c r="I337" i="12843" s="1"/>
  <c r="M228" i="12767"/>
  <c r="I395" i="12843"/>
  <c r="G407" i="12843"/>
  <c r="I407" i="12843" s="1"/>
  <c r="G513" i="12843"/>
  <c r="I513" i="12843" s="1"/>
  <c r="I501" i="12843"/>
  <c r="I256" i="12843"/>
  <c r="G268" i="12843"/>
  <c r="I268" i="12843" s="1"/>
  <c r="G548" i="12843"/>
  <c r="I548" i="12843" s="1"/>
  <c r="I536" i="12843"/>
  <c r="M351" i="12767"/>
  <c r="M352" i="12767"/>
  <c r="S50" i="12831"/>
  <c r="M215" i="12767"/>
  <c r="I228" i="12843"/>
  <c r="K330" i="12843"/>
  <c r="M330" i="12843" s="1"/>
  <c r="I751" i="12843"/>
  <c r="G811" i="12843"/>
  <c r="I811" i="12843" s="1"/>
  <c r="I759" i="12843" s="1"/>
  <c r="M213" i="12767"/>
  <c r="K1095" i="12767"/>
  <c r="M1095" i="12843"/>
  <c r="I694" i="12843"/>
  <c r="I656" i="12843"/>
  <c r="G669" i="12843"/>
  <c r="I669" i="12843" s="1"/>
  <c r="I629" i="12843" s="1"/>
  <c r="M844" i="12843"/>
  <c r="I1025" i="12843"/>
  <c r="I1061" i="12843" s="1"/>
  <c r="K793" i="12843"/>
  <c r="M793" i="12843" s="1"/>
  <c r="M786" i="12843"/>
  <c r="M845" i="12767"/>
  <c r="M792" i="12767"/>
  <c r="M227" i="12767"/>
  <c r="M367" i="12843"/>
  <c r="M388" i="12843"/>
  <c r="M353" i="12843" s="1"/>
  <c r="K529" i="12843"/>
  <c r="M529" i="12843" s="1"/>
  <c r="M214" i="12843"/>
  <c r="K457" i="12843"/>
  <c r="K471" i="12843" s="1"/>
  <c r="K494" i="12843"/>
  <c r="M494" i="12843" s="1"/>
  <c r="K492" i="12843"/>
  <c r="K506" i="12843" s="1"/>
  <c r="M506" i="12843" s="1"/>
  <c r="M386" i="12843"/>
  <c r="K261" i="12843"/>
  <c r="M261" i="12843" s="1"/>
  <c r="K527" i="12843"/>
  <c r="K541" i="12843" s="1"/>
  <c r="M541" i="12843" s="1"/>
  <c r="K459" i="12843"/>
  <c r="K473" i="12843" s="1"/>
  <c r="K332" i="12843"/>
  <c r="M332" i="12843" s="1"/>
  <c r="M365" i="12843"/>
  <c r="M285" i="12843"/>
  <c r="K493" i="12843"/>
  <c r="K528" i="12843"/>
  <c r="K458" i="12843"/>
  <c r="K472" i="12843" s="1"/>
  <c r="M250" i="12843"/>
  <c r="K263" i="12843"/>
  <c r="M263" i="12843" s="1"/>
  <c r="M421" i="12843"/>
  <c r="K581" i="12843"/>
  <c r="I230" i="12843"/>
  <c r="I368" i="12843"/>
  <c r="I613" i="12843"/>
  <c r="I463" i="12843"/>
  <c r="I353" i="12843"/>
  <c r="I216" i="12843"/>
  <c r="M788" i="12843"/>
  <c r="M839" i="12843"/>
  <c r="M422" i="12843"/>
  <c r="M352" i="12843" s="1"/>
  <c r="I239" i="12843"/>
  <c r="M787" i="12843"/>
  <c r="M249" i="12843"/>
  <c r="M318" i="12843"/>
  <c r="I749" i="12843"/>
  <c r="K401" i="12843"/>
  <c r="M401" i="12843" s="1"/>
  <c r="M366" i="12843" s="1"/>
  <c r="I219" i="12843"/>
  <c r="I220" i="12843"/>
  <c r="I371" i="12843"/>
  <c r="I196" i="12843" s="1"/>
  <c r="I358" i="12843"/>
  <c r="I221" i="12843"/>
  <c r="I181" i="12843" s="1"/>
  <c r="I608" i="12843"/>
  <c r="I476" i="12843"/>
  <c r="I195" i="12843" s="1"/>
  <c r="G893" i="12843"/>
  <c r="I893" i="12843" s="1"/>
  <c r="M961" i="12843"/>
  <c r="K882" i="12843"/>
  <c r="M960" i="12843"/>
  <c r="K881" i="12843"/>
  <c r="M964" i="12843"/>
  <c r="K885" i="12843"/>
  <c r="I174" i="12843"/>
  <c r="M297" i="12843"/>
  <c r="M228" i="12843" s="1"/>
  <c r="M308" i="12843"/>
  <c r="M239" i="12843" s="1"/>
  <c r="K664" i="12843"/>
  <c r="M664" i="12843" s="1"/>
  <c r="M647" i="12843"/>
  <c r="K663" i="12843"/>
  <c r="M663" i="12843" s="1"/>
  <c r="I623" i="12843"/>
  <c r="I605" i="12843"/>
  <c r="I194" i="12843"/>
  <c r="I178" i="12843"/>
  <c r="I738" i="12843"/>
  <c r="I254" i="12767"/>
  <c r="G586" i="12767"/>
  <c r="I586" i="12767" s="1"/>
  <c r="I573" i="12767"/>
  <c r="I265" i="12767"/>
  <c r="I261" i="12767"/>
  <c r="I247" i="12767"/>
  <c r="P923" i="12787"/>
  <c r="P924" i="12787" s="1"/>
  <c r="Q907" i="12787" s="1"/>
  <c r="R907" i="12787" s="1"/>
  <c r="J25" i="12809"/>
  <c r="F1279" i="12767"/>
  <c r="O996" i="12787"/>
  <c r="Q68" i="12811"/>
  <c r="Q140" i="12811" s="1"/>
  <c r="G969" i="12767"/>
  <c r="G890" i="12767" s="1"/>
  <c r="X945" i="12767"/>
  <c r="O760" i="12787"/>
  <c r="P761" i="12787" s="1"/>
  <c r="X944" i="12767"/>
  <c r="X942" i="12767"/>
  <c r="I1004" i="12767"/>
  <c r="I930" i="12767" s="1"/>
  <c r="G965" i="12767"/>
  <c r="W927" i="12767" s="1"/>
  <c r="X927" i="12767" s="1"/>
  <c r="G982" i="12767"/>
  <c r="I982" i="12767" s="1"/>
  <c r="G986" i="12767"/>
  <c r="I986" i="12767" s="1"/>
  <c r="I942" i="12767"/>
  <c r="G1043" i="12767"/>
  <c r="I1043" i="12767" s="1"/>
  <c r="O176" i="12787"/>
  <c r="P177" i="12787" s="1"/>
  <c r="I945" i="12767"/>
  <c r="I944" i="12767"/>
  <c r="G968" i="12767"/>
  <c r="G962" i="12767"/>
  <c r="W924" i="12767" s="1"/>
  <c r="X924" i="12767" s="1"/>
  <c r="G1025" i="12767"/>
  <c r="I941" i="12767"/>
  <c r="G961" i="12767"/>
  <c r="W923" i="12767" s="1"/>
  <c r="X923" i="12767" s="1"/>
  <c r="I949" i="12767"/>
  <c r="G987" i="12767"/>
  <c r="I987" i="12767" s="1"/>
  <c r="X949" i="12767"/>
  <c r="G979" i="12767"/>
  <c r="I979" i="12767" s="1"/>
  <c r="I263" i="12767"/>
  <c r="I251" i="12767"/>
  <c r="I264" i="12767"/>
  <c r="I252" i="12767"/>
  <c r="O815" i="12787"/>
  <c r="P816" i="12787" s="1"/>
  <c r="P92" i="12787"/>
  <c r="I1099" i="12767"/>
  <c r="I1102" i="12767" s="1"/>
  <c r="O898" i="12787"/>
  <c r="O888" i="12787" s="1"/>
  <c r="I964" i="12767"/>
  <c r="G885" i="12767"/>
  <c r="X926" i="12767"/>
  <c r="I966" i="12767"/>
  <c r="X928" i="12767"/>
  <c r="G887" i="12767"/>
  <c r="G531" i="12767"/>
  <c r="G496" i="12767"/>
  <c r="G534" i="12767"/>
  <c r="G499" i="12767"/>
  <c r="G171" i="12843"/>
  <c r="X174" i="12767"/>
  <c r="X181" i="12767"/>
  <c r="G535" i="12767"/>
  <c r="G500" i="12767"/>
  <c r="O508" i="12787"/>
  <c r="O27" i="12787"/>
  <c r="P27" i="12787" s="1"/>
  <c r="X606" i="12767"/>
  <c r="G686" i="12767"/>
  <c r="G565" i="12767"/>
  <c r="G648" i="12767"/>
  <c r="G623" i="12767"/>
  <c r="X602" i="12767"/>
  <c r="G561" i="12767"/>
  <c r="G682" i="12767"/>
  <c r="G620" i="12767"/>
  <c r="G644" i="12767"/>
  <c r="X603" i="12767"/>
  <c r="G683" i="12767"/>
  <c r="G562" i="12767"/>
  <c r="G645" i="12767"/>
  <c r="G621" i="12767"/>
  <c r="I39" i="12767"/>
  <c r="I75" i="12767"/>
  <c r="I57" i="12767"/>
  <c r="I71" i="12767"/>
  <c r="I35" i="12767"/>
  <c r="I53" i="12767"/>
  <c r="I76" i="12767"/>
  <c r="I40" i="12767"/>
  <c r="I58" i="12767"/>
  <c r="G170" i="12843"/>
  <c r="X173" i="12767"/>
  <c r="G532" i="12767"/>
  <c r="G497" i="12767"/>
  <c r="G169" i="12843"/>
  <c r="X172" i="12767"/>
  <c r="G533" i="12767"/>
  <c r="G498" i="12767"/>
  <c r="O627" i="12787"/>
  <c r="G794" i="12767"/>
  <c r="G847" i="12767"/>
  <c r="G761" i="12767"/>
  <c r="X741" i="12767"/>
  <c r="G848" i="12767"/>
  <c r="G762" i="12767"/>
  <c r="G795" i="12767"/>
  <c r="X604" i="12767"/>
  <c r="G563" i="12767"/>
  <c r="G684" i="12767"/>
  <c r="G646" i="12767"/>
  <c r="G622" i="12767"/>
  <c r="G692" i="12767"/>
  <c r="G654" i="12767"/>
  <c r="G570" i="12767"/>
  <c r="G627" i="12767"/>
  <c r="X607" i="12767"/>
  <c r="G566" i="12767"/>
  <c r="G687" i="12767"/>
  <c r="G649" i="12767"/>
  <c r="G624" i="12767"/>
  <c r="I37" i="12767"/>
  <c r="I73" i="12767"/>
  <c r="I55" i="12767"/>
  <c r="I41" i="12767"/>
  <c r="I77" i="12767"/>
  <c r="I59" i="12767"/>
  <c r="I36" i="12767"/>
  <c r="I72" i="12767"/>
  <c r="I54" i="1276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G1098" i="12860" l="1"/>
  <c r="G1096" i="12860"/>
  <c r="G1095" i="12860"/>
  <c r="G729" i="12860"/>
  <c r="G723" i="12860"/>
  <c r="G1099" i="12860"/>
  <c r="G733" i="12860"/>
  <c r="G731" i="12860"/>
  <c r="M214" i="12861"/>
  <c r="M215" i="12861"/>
  <c r="G732" i="12860"/>
  <c r="I734" i="12843"/>
  <c r="M843" i="12861"/>
  <c r="M835" i="12861"/>
  <c r="K855" i="12861"/>
  <c r="M855" i="12861" s="1"/>
  <c r="M684" i="12861"/>
  <c r="K803" i="12861"/>
  <c r="M803" i="12861" s="1"/>
  <c r="M529" i="12861"/>
  <c r="M459" i="12861" s="1"/>
  <c r="M229" i="12861"/>
  <c r="K853" i="12861"/>
  <c r="M853" i="12861" s="1"/>
  <c r="M228" i="12861"/>
  <c r="K506" i="12861"/>
  <c r="M506" i="12861" s="1"/>
  <c r="M471" i="12861" s="1"/>
  <c r="M688" i="12861"/>
  <c r="M493" i="12861"/>
  <c r="M458" i="12861" s="1"/>
  <c r="K792" i="12861"/>
  <c r="K811" i="12861" s="1"/>
  <c r="M811" i="12861" s="1"/>
  <c r="K542" i="12861"/>
  <c r="M542" i="12861" s="1"/>
  <c r="M472" i="12861" s="1"/>
  <c r="M685" i="12861"/>
  <c r="M650" i="12861"/>
  <c r="K882" i="12861"/>
  <c r="K661" i="12861"/>
  <c r="M661" i="12861" s="1"/>
  <c r="M963" i="12861"/>
  <c r="M578" i="12861"/>
  <c r="M830" i="12861"/>
  <c r="M564" i="12861"/>
  <c r="M483" i="12861" s="1"/>
  <c r="M567" i="12861"/>
  <c r="M578" i="12843"/>
  <c r="M579" i="12861"/>
  <c r="M562" i="12843"/>
  <c r="M481" i="12843" s="1"/>
  <c r="M582" i="12843"/>
  <c r="M580" i="12861"/>
  <c r="M563" i="12861"/>
  <c r="M482" i="12861" s="1"/>
  <c r="M885" i="12843"/>
  <c r="G16" i="12860"/>
  <c r="G19" i="12860"/>
  <c r="G21" i="12860"/>
  <c r="G15" i="12860"/>
  <c r="G17" i="12860"/>
  <c r="Z100" i="12860"/>
  <c r="G91" i="12860" s="1"/>
  <c r="B6" i="12869"/>
  <c r="B44" i="12869" s="1"/>
  <c r="X916" i="12860"/>
  <c r="Z936" i="12860"/>
  <c r="G941" i="12860" s="1"/>
  <c r="X636" i="12860"/>
  <c r="G609" i="12860"/>
  <c r="X204" i="12860"/>
  <c r="G180" i="12860" s="1"/>
  <c r="X100" i="12860"/>
  <c r="G91" i="12767"/>
  <c r="I895" i="12843"/>
  <c r="I897" i="12843" s="1"/>
  <c r="X1005" i="12843"/>
  <c r="I910" i="12843"/>
  <c r="I607" i="12843"/>
  <c r="I754" i="12843"/>
  <c r="X1104" i="12860"/>
  <c r="G724" i="12860"/>
  <c r="G741" i="12860"/>
  <c r="K854" i="12843"/>
  <c r="M854" i="12843" s="1"/>
  <c r="X1005" i="12767"/>
  <c r="G1044" i="12767"/>
  <c r="I1044" i="12767" s="1"/>
  <c r="I1081" i="12767" s="1"/>
  <c r="G1026" i="12843"/>
  <c r="I1026" i="12843" s="1"/>
  <c r="I1062" i="12843" s="1"/>
  <c r="G1044" i="12843"/>
  <c r="I1044" i="12843" s="1"/>
  <c r="I1081" i="12843" s="1"/>
  <c r="G1026" i="12767"/>
  <c r="I1026" i="12767" s="1"/>
  <c r="I1005" i="12843"/>
  <c r="I930" i="12843" s="1"/>
  <c r="M784" i="12843"/>
  <c r="K792" i="12843"/>
  <c r="M792" i="12843" s="1"/>
  <c r="K863" i="12843"/>
  <c r="M863" i="12843" s="1"/>
  <c r="G864" i="12843"/>
  <c r="I864" i="12843" s="1"/>
  <c r="I739" i="12843"/>
  <c r="K884" i="12843"/>
  <c r="K864" i="12767"/>
  <c r="M864" i="12767" s="1"/>
  <c r="Z38" i="12831"/>
  <c r="X38" i="12831" s="1"/>
  <c r="Z39" i="12831"/>
  <c r="X39" i="12831" s="1"/>
  <c r="Z40" i="12831"/>
  <c r="X40" i="12831" s="1"/>
  <c r="Z31" i="12831"/>
  <c r="X31" i="12831" s="1"/>
  <c r="Z24" i="12831"/>
  <c r="X24" i="12831" s="1"/>
  <c r="Z41" i="12831"/>
  <c r="X41" i="12831" s="1"/>
  <c r="Z37" i="12831"/>
  <c r="X37" i="12831" s="1"/>
  <c r="Z27" i="12831"/>
  <c r="X27" i="12831" s="1"/>
  <c r="G812" i="12843"/>
  <c r="I812" i="12843" s="1"/>
  <c r="M174" i="12767"/>
  <c r="AC50" i="12831"/>
  <c r="Z28" i="12831"/>
  <c r="X28" i="12831" s="1"/>
  <c r="I25" i="12843"/>
  <c r="I27" i="12843" s="1"/>
  <c r="Z25" i="12831"/>
  <c r="X25" i="12831" s="1"/>
  <c r="M885" i="12861"/>
  <c r="M579" i="12843"/>
  <c r="M481" i="12767"/>
  <c r="M684" i="12843"/>
  <c r="M646" i="12843"/>
  <c r="M563" i="12843"/>
  <c r="M482" i="12843" s="1"/>
  <c r="M580" i="12843"/>
  <c r="M650" i="12843"/>
  <c r="M688" i="12843"/>
  <c r="M567" i="12843"/>
  <c r="M582" i="12861"/>
  <c r="M480" i="12767"/>
  <c r="K699" i="12843"/>
  <c r="M699" i="12843" s="1"/>
  <c r="M564" i="12843"/>
  <c r="M483" i="12843" s="1"/>
  <c r="K701" i="12843"/>
  <c r="M701" i="12843" s="1"/>
  <c r="M562" i="12861"/>
  <c r="M481" i="12861" s="1"/>
  <c r="M482" i="12767"/>
  <c r="G563" i="12843"/>
  <c r="I563" i="12843" s="1"/>
  <c r="I482" i="12843" s="1"/>
  <c r="I201" i="12843" s="1"/>
  <c r="K1095" i="12843"/>
  <c r="K1095" i="12861"/>
  <c r="G562" i="12843"/>
  <c r="G578" i="12843" s="1"/>
  <c r="I578" i="12843" s="1"/>
  <c r="K998" i="12767"/>
  <c r="M473" i="12861"/>
  <c r="M457" i="12861"/>
  <c r="G564" i="12843"/>
  <c r="I564" i="12843" s="1"/>
  <c r="I483" i="12843" s="1"/>
  <c r="I202" i="12843" s="1"/>
  <c r="I274" i="12843"/>
  <c r="I276" i="12843" s="1"/>
  <c r="I343" i="12843"/>
  <c r="I448" i="12843"/>
  <c r="I363" i="12843" s="1"/>
  <c r="I185" i="12843" s="1"/>
  <c r="I360" i="12843"/>
  <c r="I466" i="12843"/>
  <c r="I413" i="12843"/>
  <c r="I415" i="12843" s="1"/>
  <c r="I478" i="12843"/>
  <c r="I234" i="12843"/>
  <c r="I372" i="12843"/>
  <c r="I222" i="12843"/>
  <c r="M227" i="12843"/>
  <c r="Z30" i="12831"/>
  <c r="X30" i="12831" s="1"/>
  <c r="Z29" i="12831"/>
  <c r="X29" i="12831" s="1"/>
  <c r="Z18" i="12831"/>
  <c r="Z26" i="12831"/>
  <c r="X26" i="12831" s="1"/>
  <c r="G1019" i="12767"/>
  <c r="I1019" i="12767" s="1"/>
  <c r="G1037" i="12767"/>
  <c r="I1037" i="12767" s="1"/>
  <c r="I1074" i="12767" s="1"/>
  <c r="I998" i="12767"/>
  <c r="M998" i="12767" s="1"/>
  <c r="X998" i="12767"/>
  <c r="M229" i="12843"/>
  <c r="I614" i="12843"/>
  <c r="K812" i="12843"/>
  <c r="M812" i="12843" s="1"/>
  <c r="G567" i="12843"/>
  <c r="G582" i="12843" s="1"/>
  <c r="I582" i="12843" s="1"/>
  <c r="G566" i="12843"/>
  <c r="I566" i="12843" s="1"/>
  <c r="G1040" i="12767"/>
  <c r="I1040" i="12767" s="1"/>
  <c r="I1077" i="12767" s="1"/>
  <c r="I1000" i="12767"/>
  <c r="I926" i="12767" s="1"/>
  <c r="G1002" i="12843"/>
  <c r="K508" i="12843"/>
  <c r="M508" i="12843" s="1"/>
  <c r="M492" i="12843"/>
  <c r="K543" i="12843"/>
  <c r="M543" i="12843" s="1"/>
  <c r="M459" i="12843"/>
  <c r="M351" i="12843"/>
  <c r="M471" i="12843"/>
  <c r="M527" i="12843"/>
  <c r="M216" i="12843"/>
  <c r="K507" i="12843"/>
  <c r="M507" i="12843" s="1"/>
  <c r="M493" i="12843"/>
  <c r="K542" i="12843"/>
  <c r="M542" i="12843" s="1"/>
  <c r="M528" i="12843"/>
  <c r="I193" i="12843"/>
  <c r="I179" i="12843"/>
  <c r="I175" i="12843"/>
  <c r="I309" i="12843"/>
  <c r="I311" i="12843" s="1"/>
  <c r="M215" i="12843"/>
  <c r="I180" i="12843"/>
  <c r="Q971" i="12843"/>
  <c r="U1103" i="12843"/>
  <c r="Q1103" i="12843"/>
  <c r="I1001" i="12767"/>
  <c r="M1001" i="12767" s="1"/>
  <c r="G1022" i="12767"/>
  <c r="I1022" i="12767" s="1"/>
  <c r="G1021" i="12767"/>
  <c r="I1021" i="12767" s="1"/>
  <c r="I1057" i="12767" s="1"/>
  <c r="G1018" i="12767"/>
  <c r="I1018" i="12767" s="1"/>
  <c r="X1001" i="12767"/>
  <c r="K1001" i="12767"/>
  <c r="G1001" i="12843"/>
  <c r="X1002" i="12767"/>
  <c r="G1039" i="12767"/>
  <c r="I1039" i="12767" s="1"/>
  <c r="I1076" i="12767" s="1"/>
  <c r="G998" i="12843"/>
  <c r="I1002" i="12767"/>
  <c r="I928" i="12767" s="1"/>
  <c r="G1041" i="12767"/>
  <c r="I1041" i="12767" s="1"/>
  <c r="I1078" i="12767" s="1"/>
  <c r="G1000" i="12843"/>
  <c r="K1000" i="12767"/>
  <c r="X1000" i="12767"/>
  <c r="G1023" i="12767"/>
  <c r="I1023" i="12767" s="1"/>
  <c r="I1059" i="12767" s="1"/>
  <c r="G997" i="12843"/>
  <c r="K997" i="12767"/>
  <c r="X997" i="12767"/>
  <c r="I997" i="12767"/>
  <c r="I923" i="12767" s="1"/>
  <c r="Q989" i="12843"/>
  <c r="U952" i="12843"/>
  <c r="M989" i="12843"/>
  <c r="M952" i="12843"/>
  <c r="U989" i="12843"/>
  <c r="M971" i="12843"/>
  <c r="M942" i="12767"/>
  <c r="Q952" i="12843"/>
  <c r="U971" i="12843"/>
  <c r="M945" i="12767"/>
  <c r="G494" i="12843"/>
  <c r="G529" i="12843"/>
  <c r="X171" i="12843"/>
  <c r="G459" i="12843"/>
  <c r="G473" i="12843" s="1"/>
  <c r="X170" i="12843"/>
  <c r="G493" i="12843"/>
  <c r="G458" i="12843"/>
  <c r="G472" i="12843" s="1"/>
  <c r="G528" i="12843"/>
  <c r="G527" i="12843"/>
  <c r="G457" i="12843"/>
  <c r="G471" i="12843" s="1"/>
  <c r="X169" i="12843"/>
  <c r="G492" i="12843"/>
  <c r="Q99" i="12767"/>
  <c r="Q89" i="12767" s="1"/>
  <c r="O89" i="12767" s="1"/>
  <c r="O90" i="12861" s="1"/>
  <c r="M99" i="12767"/>
  <c r="M90" i="12767" s="1"/>
  <c r="K90" i="12767" s="1"/>
  <c r="K91" i="12861" s="1"/>
  <c r="U99" i="12767"/>
  <c r="U131" i="12767" s="1"/>
  <c r="I989" i="12767"/>
  <c r="I991" i="12767" s="1"/>
  <c r="I570" i="12767"/>
  <c r="G571" i="12843"/>
  <c r="I571" i="12843" s="1"/>
  <c r="S470" i="12767"/>
  <c r="O470" i="12767"/>
  <c r="K470" i="12767"/>
  <c r="S471" i="12767"/>
  <c r="O471" i="12767"/>
  <c r="K471" i="12767"/>
  <c r="K472" i="12767"/>
  <c r="S472" i="12767"/>
  <c r="O472" i="12767"/>
  <c r="I273" i="12767"/>
  <c r="I275" i="12767" s="1"/>
  <c r="I45" i="12767"/>
  <c r="I81" i="12767"/>
  <c r="I83" i="12767" s="1"/>
  <c r="I952" i="12767"/>
  <c r="I63" i="12767"/>
  <c r="I593" i="12767"/>
  <c r="I1005" i="12767"/>
  <c r="I931" i="12767" s="1"/>
  <c r="I969" i="12767"/>
  <c r="I1104" i="12767"/>
  <c r="P29" i="12783" s="1"/>
  <c r="Q29" i="12783" s="1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G889" i="12767"/>
  <c r="G894" i="12767" s="1"/>
  <c r="I1073" i="12767"/>
  <c r="I968" i="12767"/>
  <c r="I962" i="12767"/>
  <c r="G886" i="12767"/>
  <c r="I1025" i="12767"/>
  <c r="G883" i="12767"/>
  <c r="I883" i="12767" s="1"/>
  <c r="I965" i="12767"/>
  <c r="O177" i="12787"/>
  <c r="I961" i="12767"/>
  <c r="I1080" i="12767"/>
  <c r="O816" i="12787"/>
  <c r="G882" i="12767"/>
  <c r="O1035" i="12787"/>
  <c r="I16" i="12767"/>
  <c r="I21" i="12767"/>
  <c r="I17" i="12767"/>
  <c r="I20" i="12767"/>
  <c r="G892" i="12767"/>
  <c r="I887" i="12767"/>
  <c r="G893" i="12767"/>
  <c r="I885" i="12767"/>
  <c r="I890" i="12767"/>
  <c r="I649" i="12767"/>
  <c r="G664" i="12767"/>
  <c r="I664" i="12767" s="1"/>
  <c r="G581" i="12767"/>
  <c r="I581" i="12767" s="1"/>
  <c r="I566" i="12767"/>
  <c r="G705" i="12767"/>
  <c r="I705" i="12767" s="1"/>
  <c r="I692" i="12767"/>
  <c r="G655" i="12767"/>
  <c r="G571" i="12767"/>
  <c r="G628" i="12767"/>
  <c r="G693" i="12767"/>
  <c r="I684" i="12767"/>
  <c r="G700" i="12767"/>
  <c r="I700" i="12767" s="1"/>
  <c r="I795" i="12767"/>
  <c r="G815" i="12767"/>
  <c r="I815" i="12767" s="1"/>
  <c r="I848" i="12767"/>
  <c r="G868" i="12767"/>
  <c r="I868" i="12767" s="1"/>
  <c r="G867" i="12767"/>
  <c r="I867" i="12767" s="1"/>
  <c r="I847" i="12767"/>
  <c r="I498" i="12767"/>
  <c r="G510" i="12767"/>
  <c r="I510" i="12767" s="1"/>
  <c r="I300" i="12767"/>
  <c r="I288" i="12767"/>
  <c r="I427" i="12767"/>
  <c r="I439" i="12767"/>
  <c r="I420" i="12767"/>
  <c r="I434" i="12767"/>
  <c r="I282" i="12767"/>
  <c r="I295" i="12767"/>
  <c r="X168" i="12767"/>
  <c r="G526" i="12767"/>
  <c r="G491" i="12767"/>
  <c r="I497" i="12767"/>
  <c r="G509" i="12767"/>
  <c r="I509" i="12767" s="1"/>
  <c r="I299" i="12767"/>
  <c r="I287" i="12767"/>
  <c r="I438" i="12767"/>
  <c r="I426" i="12767"/>
  <c r="I283" i="12767"/>
  <c r="I421" i="12767"/>
  <c r="I435" i="12767"/>
  <c r="I317" i="12767"/>
  <c r="I330" i="12767"/>
  <c r="X169" i="12767"/>
  <c r="G492" i="12767"/>
  <c r="G527" i="12767"/>
  <c r="G578" i="12767"/>
  <c r="I578" i="12767" s="1"/>
  <c r="I562" i="12767"/>
  <c r="I644" i="12767"/>
  <c r="G660" i="12767"/>
  <c r="I660" i="12767" s="1"/>
  <c r="I682" i="12767"/>
  <c r="G698" i="12767"/>
  <c r="I698" i="12767" s="1"/>
  <c r="I648" i="12767"/>
  <c r="G663" i="12767"/>
  <c r="I663" i="12767" s="1"/>
  <c r="I686" i="12767"/>
  <c r="G701" i="12767"/>
  <c r="I701" i="12767" s="1"/>
  <c r="X731" i="12767"/>
  <c r="G785" i="12767"/>
  <c r="G752" i="12767"/>
  <c r="G735" i="12767"/>
  <c r="G838" i="12767"/>
  <c r="G738" i="12767"/>
  <c r="K738" i="12767" s="1"/>
  <c r="K759" i="12767" s="1"/>
  <c r="X732" i="12767"/>
  <c r="G786" i="12767"/>
  <c r="G753" i="12767"/>
  <c r="G839" i="12767"/>
  <c r="X733" i="12767"/>
  <c r="G840" i="12767"/>
  <c r="G787" i="12767"/>
  <c r="G754" i="12767"/>
  <c r="I394" i="12767"/>
  <c r="I406" i="12767"/>
  <c r="I429" i="12767"/>
  <c r="I441" i="12767"/>
  <c r="I290" i="12767"/>
  <c r="I302" i="12767"/>
  <c r="I318" i="12767"/>
  <c r="I331" i="12767"/>
  <c r="I284" i="12767"/>
  <c r="I297" i="12767"/>
  <c r="X170" i="12767"/>
  <c r="G493" i="12767"/>
  <c r="G528" i="12767"/>
  <c r="I405" i="12767"/>
  <c r="I393" i="12767"/>
  <c r="I440" i="12767"/>
  <c r="I428" i="12767"/>
  <c r="I390" i="12767"/>
  <c r="I402" i="12767"/>
  <c r="I425" i="12767"/>
  <c r="I437" i="12767"/>
  <c r="I19" i="12767"/>
  <c r="I687" i="12767"/>
  <c r="G702" i="12767"/>
  <c r="I702" i="12767" s="1"/>
  <c r="G667" i="12767"/>
  <c r="I667" i="12767" s="1"/>
  <c r="I654" i="12767"/>
  <c r="I646" i="12767"/>
  <c r="G662" i="12767"/>
  <c r="I662" i="12767" s="1"/>
  <c r="G579" i="12767"/>
  <c r="I579" i="12767" s="1"/>
  <c r="I563" i="12767"/>
  <c r="I482" i="12767" s="1"/>
  <c r="G814" i="12767"/>
  <c r="I814" i="12767" s="1"/>
  <c r="I794" i="12767"/>
  <c r="P628" i="12787"/>
  <c r="O628" i="12787"/>
  <c r="O630" i="12787" s="1"/>
  <c r="I392" i="12767"/>
  <c r="I404" i="12767"/>
  <c r="I533" i="12767"/>
  <c r="G545" i="12767"/>
  <c r="I545" i="12767" s="1"/>
  <c r="I322" i="12767"/>
  <c r="I334" i="12767"/>
  <c r="I316" i="12767"/>
  <c r="I329" i="12767"/>
  <c r="I385" i="12767"/>
  <c r="I399" i="12767"/>
  <c r="I391" i="12767"/>
  <c r="I403" i="12767"/>
  <c r="I532" i="12767"/>
  <c r="G544" i="12767"/>
  <c r="I544" i="12767" s="1"/>
  <c r="I321" i="12767"/>
  <c r="I333" i="12767"/>
  <c r="I400" i="12767"/>
  <c r="I386" i="12767"/>
  <c r="I15" i="12767"/>
  <c r="I645" i="12767"/>
  <c r="G661" i="12767"/>
  <c r="I661" i="12767" s="1"/>
  <c r="I683" i="12767"/>
  <c r="G699" i="12767"/>
  <c r="I699" i="12767" s="1"/>
  <c r="G577" i="12767"/>
  <c r="I577" i="12767" s="1"/>
  <c r="I561" i="12767"/>
  <c r="I480" i="12767" s="1"/>
  <c r="I199" i="12767" s="1"/>
  <c r="U199" i="12767" s="1"/>
  <c r="G580" i="12767"/>
  <c r="I580" i="12767" s="1"/>
  <c r="I565" i="12767"/>
  <c r="G830" i="12767"/>
  <c r="G777" i="12767"/>
  <c r="X723" i="12767"/>
  <c r="G748" i="12767"/>
  <c r="X729" i="12767"/>
  <c r="G734" i="12767"/>
  <c r="G737" i="12767"/>
  <c r="K737" i="12767" s="1"/>
  <c r="K758" i="12767" s="1"/>
  <c r="G783" i="12767"/>
  <c r="G836" i="12767"/>
  <c r="G750" i="12767"/>
  <c r="X724" i="12767"/>
  <c r="G778" i="12767"/>
  <c r="G749" i="12767"/>
  <c r="G831" i="12767"/>
  <c r="I16" i="12787"/>
  <c r="I20" i="12787"/>
  <c r="I17" i="12787"/>
  <c r="I21" i="12787"/>
  <c r="I18" i="12787"/>
  <c r="I22" i="12787"/>
  <c r="P509" i="12787"/>
  <c r="O509" i="12787"/>
  <c r="O511" i="12787" s="1"/>
  <c r="I500" i="12767"/>
  <c r="G512" i="12767"/>
  <c r="I512" i="12767" s="1"/>
  <c r="I535" i="12767"/>
  <c r="G547" i="12767"/>
  <c r="I547" i="12767" s="1"/>
  <c r="I324" i="12767"/>
  <c r="I336" i="12767"/>
  <c r="I422" i="12767"/>
  <c r="I436" i="12767"/>
  <c r="I387" i="12767"/>
  <c r="I401" i="12767"/>
  <c r="I499" i="12767"/>
  <c r="G511" i="12767"/>
  <c r="I511" i="12767" s="1"/>
  <c r="I301" i="12767"/>
  <c r="I289" i="12767"/>
  <c r="I534" i="12767"/>
  <c r="G546" i="12767"/>
  <c r="I546" i="12767" s="1"/>
  <c r="I335" i="12767"/>
  <c r="I323" i="12767"/>
  <c r="I496" i="12767"/>
  <c r="G508" i="12767"/>
  <c r="I508" i="12767" s="1"/>
  <c r="I286" i="12767"/>
  <c r="I298" i="12767"/>
  <c r="I531" i="12767"/>
  <c r="G543" i="12767"/>
  <c r="I543" i="12767" s="1"/>
  <c r="I320" i="12767"/>
  <c r="I332" i="12767"/>
  <c r="F1281" i="12767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G948" i="12860" l="1"/>
  <c r="G612" i="12860"/>
  <c r="G613" i="12860" s="1"/>
  <c r="G178" i="12860"/>
  <c r="G179" i="12860"/>
  <c r="G177" i="12860"/>
  <c r="G172" i="12860"/>
  <c r="G187" i="12860"/>
  <c r="G946" i="12860"/>
  <c r="G1002" i="12860"/>
  <c r="G1004" i="12860"/>
  <c r="G1005" i="12860"/>
  <c r="G1001" i="12860"/>
  <c r="G998" i="12860"/>
  <c r="G1000" i="12860"/>
  <c r="G997" i="12860"/>
  <c r="G173" i="12860"/>
  <c r="M792" i="12861"/>
  <c r="W1172" i="12861"/>
  <c r="W1174" i="12861" s="1"/>
  <c r="M941" i="12861"/>
  <c r="W637" i="12861"/>
  <c r="W1158" i="12861"/>
  <c r="W1159" i="12861" s="1"/>
  <c r="G92" i="12860"/>
  <c r="K997" i="12861"/>
  <c r="K1018" i="12861" s="1"/>
  <c r="M1018" i="12861" s="1"/>
  <c r="K1000" i="12861"/>
  <c r="K1021" i="12861" s="1"/>
  <c r="M1021" i="12861" s="1"/>
  <c r="M1057" i="12861" s="1"/>
  <c r="K1001" i="12861"/>
  <c r="K1022" i="12861" s="1"/>
  <c r="M1022" i="12861" s="1"/>
  <c r="M1058" i="12861" s="1"/>
  <c r="W205" i="12861"/>
  <c r="W1141" i="12861"/>
  <c r="W1143" i="12861" s="1"/>
  <c r="W1104" i="12861"/>
  <c r="K998" i="12861"/>
  <c r="K1019" i="12861" s="1"/>
  <c r="M1019" i="12861" s="1"/>
  <c r="M1055" i="12861" s="1"/>
  <c r="W27" i="12861"/>
  <c r="M175" i="12843"/>
  <c r="W1272" i="12861"/>
  <c r="W1273" i="12861" s="1"/>
  <c r="W897" i="12861"/>
  <c r="W769" i="12861"/>
  <c r="W1232" i="12861"/>
  <c r="G181" i="12860"/>
  <c r="G110" i="12860"/>
  <c r="G114" i="12860" s="1"/>
  <c r="I114" i="12860" s="1"/>
  <c r="G92" i="12861"/>
  <c r="G156" i="12861" s="1"/>
  <c r="Y91" i="12860"/>
  <c r="S91" i="12860"/>
  <c r="S93" i="12860" s="1"/>
  <c r="G155" i="12860"/>
  <c r="G157" i="12860" s="1"/>
  <c r="I157" i="12860" s="1"/>
  <c r="G140" i="12860"/>
  <c r="I140" i="12860" s="1"/>
  <c r="G125" i="12860"/>
  <c r="G127" i="12860" s="1"/>
  <c r="I127" i="12860" s="1"/>
  <c r="G93" i="12860"/>
  <c r="Y93" i="12860" s="1"/>
  <c r="G944" i="12860"/>
  <c r="G942" i="12860"/>
  <c r="G949" i="12860"/>
  <c r="G945" i="12860"/>
  <c r="G607" i="12860"/>
  <c r="G604" i="12860"/>
  <c r="G606" i="12860"/>
  <c r="G614" i="12860"/>
  <c r="G603" i="12860"/>
  <c r="G174" i="12860"/>
  <c r="G125" i="12767"/>
  <c r="G110" i="12767"/>
  <c r="S91" i="12767"/>
  <c r="G92" i="12767"/>
  <c r="Y91" i="12767"/>
  <c r="G92" i="12843"/>
  <c r="G93" i="12767"/>
  <c r="Y93" i="12767" s="1"/>
  <c r="G155" i="12767"/>
  <c r="G140" i="12767"/>
  <c r="W898" i="12843"/>
  <c r="X897" i="12843"/>
  <c r="N27" i="12783"/>
  <c r="X1099" i="12843"/>
  <c r="I1099" i="12843"/>
  <c r="X1002" i="12843"/>
  <c r="X1001" i="12843"/>
  <c r="G1037" i="12843"/>
  <c r="I1037" i="12843" s="1"/>
  <c r="I1074" i="12843" s="1"/>
  <c r="G1099" i="12861"/>
  <c r="I1099" i="12860"/>
  <c r="X1099" i="12860"/>
  <c r="G1096" i="12861"/>
  <c r="X1096" i="12860"/>
  <c r="I1096" i="12860"/>
  <c r="G1095" i="12861"/>
  <c r="I1095" i="12860"/>
  <c r="X1095" i="12860"/>
  <c r="I1092" i="12860"/>
  <c r="X1092" i="12860"/>
  <c r="G1092" i="12861"/>
  <c r="K1092" i="12860"/>
  <c r="I345" i="12843"/>
  <c r="W934" i="12861"/>
  <c r="W915" i="12861"/>
  <c r="X27" i="12843"/>
  <c r="X1098" i="12860"/>
  <c r="G1101" i="12860"/>
  <c r="X1101" i="12860" s="1"/>
  <c r="G1098" i="12861"/>
  <c r="I1098" i="12861" s="1"/>
  <c r="I1098" i="12860"/>
  <c r="G733" i="12861"/>
  <c r="V18" i="12865" s="1"/>
  <c r="G839" i="12860"/>
  <c r="G753" i="12860"/>
  <c r="G786" i="12860"/>
  <c r="K732" i="12860"/>
  <c r="X732" i="12860"/>
  <c r="G762" i="12860"/>
  <c r="G795" i="12860"/>
  <c r="X741" i="12860"/>
  <c r="G742" i="12861"/>
  <c r="G848" i="12860"/>
  <c r="G732" i="12861"/>
  <c r="X731" i="12860"/>
  <c r="K731" i="12860"/>
  <c r="G838" i="12860"/>
  <c r="G752" i="12860"/>
  <c r="G785" i="12860"/>
  <c r="G735" i="12860"/>
  <c r="G738" i="12860"/>
  <c r="G741" i="12861"/>
  <c r="V14" i="12865" s="1"/>
  <c r="G743" i="12860"/>
  <c r="X743" i="12860" s="1"/>
  <c r="G794" i="12860"/>
  <c r="G847" i="12860"/>
  <c r="G761" i="12860"/>
  <c r="X740" i="12860"/>
  <c r="G787" i="12860"/>
  <c r="K733" i="12860"/>
  <c r="G840" i="12860"/>
  <c r="G734" i="12861"/>
  <c r="V19" i="12865" s="1"/>
  <c r="X733" i="12860"/>
  <c r="G754" i="12860"/>
  <c r="G730" i="12861"/>
  <c r="V17" i="12865" s="1"/>
  <c r="G737" i="12860"/>
  <c r="G783" i="12860"/>
  <c r="X729" i="12860"/>
  <c r="K729" i="12860"/>
  <c r="G836" i="12860"/>
  <c r="G750" i="12860"/>
  <c r="G734" i="12860"/>
  <c r="G749" i="12860"/>
  <c r="G778" i="12860"/>
  <c r="G725" i="12861"/>
  <c r="V21" i="12865" s="1"/>
  <c r="X724" i="12860"/>
  <c r="G831" i="12860"/>
  <c r="K724" i="12860"/>
  <c r="X723" i="12860"/>
  <c r="G748" i="12860"/>
  <c r="G724" i="12861"/>
  <c r="V20" i="12865" s="1"/>
  <c r="K723" i="12860"/>
  <c r="G830" i="12860"/>
  <c r="G777" i="12860"/>
  <c r="O75" i="12860"/>
  <c r="Q75" i="12860" s="1"/>
  <c r="O57" i="12860"/>
  <c r="Q57" i="12860" s="1"/>
  <c r="G75" i="12860"/>
  <c r="I75" i="12860" s="1"/>
  <c r="S75" i="12860"/>
  <c r="U75" i="12860" s="1"/>
  <c r="O39" i="12860"/>
  <c r="Q39" i="12860" s="1"/>
  <c r="S39" i="12860"/>
  <c r="U39" i="12860" s="1"/>
  <c r="G57" i="12860"/>
  <c r="I57" i="12860" s="1"/>
  <c r="G19" i="12861"/>
  <c r="K57" i="12860"/>
  <c r="M57" i="12860" s="1"/>
  <c r="G39" i="12860"/>
  <c r="I39" i="12860" s="1"/>
  <c r="K75" i="12860"/>
  <c r="M75" i="12860" s="1"/>
  <c r="K39" i="12860"/>
  <c r="M39" i="12860" s="1"/>
  <c r="S57" i="12860"/>
  <c r="U57" i="12860" s="1"/>
  <c r="S40" i="12860"/>
  <c r="U40" i="12860" s="1"/>
  <c r="K58" i="12860"/>
  <c r="M58" i="12860" s="1"/>
  <c r="S76" i="12860"/>
  <c r="U76" i="12860" s="1"/>
  <c r="O58" i="12860"/>
  <c r="Q58" i="12860" s="1"/>
  <c r="K76" i="12860"/>
  <c r="M76" i="12860" s="1"/>
  <c r="G58" i="12860"/>
  <c r="I58" i="12860" s="1"/>
  <c r="G40" i="12860"/>
  <c r="I40" i="12860" s="1"/>
  <c r="S58" i="12860"/>
  <c r="U58" i="12860" s="1"/>
  <c r="G20" i="12861"/>
  <c r="G76" i="12860"/>
  <c r="I76" i="12860" s="1"/>
  <c r="O40" i="12860"/>
  <c r="Q40" i="12860" s="1"/>
  <c r="O76" i="12860"/>
  <c r="Q76" i="12860" s="1"/>
  <c r="K40" i="12860"/>
  <c r="M40" i="12860" s="1"/>
  <c r="G17" i="12861"/>
  <c r="K55" i="12860"/>
  <c r="M55" i="12860" s="1"/>
  <c r="G37" i="12860"/>
  <c r="I37" i="12860" s="1"/>
  <c r="K73" i="12860"/>
  <c r="M73" i="12860" s="1"/>
  <c r="S55" i="12860"/>
  <c r="U55" i="12860" s="1"/>
  <c r="S37" i="12860"/>
  <c r="U37" i="12860" s="1"/>
  <c r="G55" i="12860"/>
  <c r="I55" i="12860" s="1"/>
  <c r="O73" i="12860"/>
  <c r="Q73" i="12860" s="1"/>
  <c r="O55" i="12860"/>
  <c r="Q55" i="12860" s="1"/>
  <c r="O37" i="12860"/>
  <c r="Q37" i="12860" s="1"/>
  <c r="G73" i="12860"/>
  <c r="I73" i="12860" s="1"/>
  <c r="K37" i="12860"/>
  <c r="M37" i="12860" s="1"/>
  <c r="S73" i="12860"/>
  <c r="U73" i="12860" s="1"/>
  <c r="G15" i="12861"/>
  <c r="O35" i="12860"/>
  <c r="Q35" i="12860" s="1"/>
  <c r="O71" i="12860"/>
  <c r="Q71" i="12860" s="1"/>
  <c r="K53" i="12860"/>
  <c r="M53" i="12860" s="1"/>
  <c r="S53" i="12860"/>
  <c r="U53" i="12860" s="1"/>
  <c r="G35" i="12860"/>
  <c r="I35" i="12860" s="1"/>
  <c r="S35" i="12860"/>
  <c r="U35" i="12860" s="1"/>
  <c r="S71" i="12860"/>
  <c r="U71" i="12860" s="1"/>
  <c r="G71" i="12860"/>
  <c r="I71" i="12860" s="1"/>
  <c r="O53" i="12860"/>
  <c r="Q53" i="12860" s="1"/>
  <c r="K35" i="12860"/>
  <c r="M35" i="12860" s="1"/>
  <c r="G53" i="12860"/>
  <c r="I53" i="12860" s="1"/>
  <c r="K71" i="12860"/>
  <c r="M71" i="12860" s="1"/>
  <c r="G72" i="12860"/>
  <c r="I72" i="12860" s="1"/>
  <c r="O72" i="12860"/>
  <c r="Q72" i="12860" s="1"/>
  <c r="S36" i="12860"/>
  <c r="U36" i="12860" s="1"/>
  <c r="O36" i="12860"/>
  <c r="Q36" i="12860" s="1"/>
  <c r="K36" i="12860"/>
  <c r="M36" i="12860" s="1"/>
  <c r="S54" i="12860"/>
  <c r="U54" i="12860" s="1"/>
  <c r="S72" i="12860"/>
  <c r="U72" i="12860" s="1"/>
  <c r="G36" i="12860"/>
  <c r="I36" i="12860" s="1"/>
  <c r="G16" i="12861"/>
  <c r="O54" i="12860"/>
  <c r="Q54" i="12860" s="1"/>
  <c r="G54" i="12860"/>
  <c r="I54" i="12860" s="1"/>
  <c r="K54" i="12860"/>
  <c r="M54" i="12860" s="1"/>
  <c r="K72" i="12860"/>
  <c r="M72" i="12860" s="1"/>
  <c r="S41" i="12860"/>
  <c r="U41" i="12860" s="1"/>
  <c r="O77" i="12860"/>
  <c r="Q77" i="12860" s="1"/>
  <c r="K41" i="12860"/>
  <c r="M41" i="12860" s="1"/>
  <c r="G59" i="12860"/>
  <c r="I59" i="12860" s="1"/>
  <c r="S59" i="12860"/>
  <c r="U59" i="12860" s="1"/>
  <c r="K77" i="12860"/>
  <c r="M77" i="12860" s="1"/>
  <c r="S77" i="12860"/>
  <c r="U77" i="12860" s="1"/>
  <c r="G77" i="12860"/>
  <c r="I77" i="12860" s="1"/>
  <c r="O59" i="12860"/>
  <c r="Q59" i="12860" s="1"/>
  <c r="K59" i="12860"/>
  <c r="M59" i="12860" s="1"/>
  <c r="G41" i="12860"/>
  <c r="I41" i="12860" s="1"/>
  <c r="G21" i="12861"/>
  <c r="O41" i="12860"/>
  <c r="Q41" i="12860" s="1"/>
  <c r="W916" i="12860"/>
  <c r="I1062" i="12767"/>
  <c r="K811" i="12843"/>
  <c r="M811" i="12843" s="1"/>
  <c r="O154" i="12861"/>
  <c r="Q154" i="12861" s="1"/>
  <c r="Q161" i="12861" s="1"/>
  <c r="Q163" i="12861" s="1"/>
  <c r="O124" i="12861"/>
  <c r="O97" i="12861"/>
  <c r="O139" i="12861"/>
  <c r="Q139" i="12861" s="1"/>
  <c r="Q146" i="12861" s="1"/>
  <c r="Q148" i="12861" s="1"/>
  <c r="O109" i="12861"/>
  <c r="Q90" i="12861"/>
  <c r="Q99" i="12861" s="1"/>
  <c r="Q101" i="12861" s="1"/>
  <c r="I760" i="12843"/>
  <c r="K125" i="12861"/>
  <c r="M91" i="12861"/>
  <c r="K110" i="12861"/>
  <c r="K140" i="12861" s="1"/>
  <c r="M140" i="12861" s="1"/>
  <c r="K98" i="12861"/>
  <c r="K155" i="12861"/>
  <c r="M155" i="12861" s="1"/>
  <c r="M175" i="12861"/>
  <c r="AE41" i="12831"/>
  <c r="W1266" i="12860"/>
  <c r="W1267" i="12860" s="1"/>
  <c r="AE31" i="12831"/>
  <c r="W1226" i="12860"/>
  <c r="AE40" i="12831"/>
  <c r="W1169" i="12860"/>
  <c r="AE39" i="12831"/>
  <c r="W1155" i="12860"/>
  <c r="W1156" i="12860" s="1"/>
  <c r="AE38" i="12831"/>
  <c r="W1139" i="12860"/>
  <c r="W1140" i="12860" s="1"/>
  <c r="AE30" i="12831"/>
  <c r="W1104" i="12860"/>
  <c r="AE29" i="12831"/>
  <c r="W935" i="12860"/>
  <c r="AE28" i="12831"/>
  <c r="W898" i="12860"/>
  <c r="AE27" i="12831"/>
  <c r="W768" i="12860"/>
  <c r="AE26" i="12831"/>
  <c r="AE25" i="12831" s="1"/>
  <c r="W636" i="12860"/>
  <c r="AE24" i="12831"/>
  <c r="W204" i="12860"/>
  <c r="AE37" i="12831"/>
  <c r="W27" i="12860"/>
  <c r="K1019" i="12767"/>
  <c r="M1019" i="12767" s="1"/>
  <c r="M1055" i="12767" s="1"/>
  <c r="G579" i="12843"/>
  <c r="I579" i="12843" s="1"/>
  <c r="I562" i="12843"/>
  <c r="I481" i="12843" s="1"/>
  <c r="I200" i="12843" s="1"/>
  <c r="K1037" i="12767"/>
  <c r="M1037" i="12767" s="1"/>
  <c r="M1074" i="12767" s="1"/>
  <c r="G580" i="12843"/>
  <c r="I580" i="12843" s="1"/>
  <c r="K998" i="12843"/>
  <c r="K1019" i="12843" s="1"/>
  <c r="M1019" i="12843" s="1"/>
  <c r="M1055" i="12843" s="1"/>
  <c r="M944" i="12843"/>
  <c r="M944" i="12861"/>
  <c r="M1001" i="12843"/>
  <c r="M1001" i="12861"/>
  <c r="U200" i="12843"/>
  <c r="U200" i="12861"/>
  <c r="M998" i="12843"/>
  <c r="M998" i="12861"/>
  <c r="I450" i="12843"/>
  <c r="I182" i="12843"/>
  <c r="I378" i="12843"/>
  <c r="I380" i="12843" s="1"/>
  <c r="I197" i="12843"/>
  <c r="Z44" i="12831"/>
  <c r="AA44" i="12831" s="1"/>
  <c r="Z34" i="12831"/>
  <c r="AA34" i="12831" s="1"/>
  <c r="Z21" i="12831"/>
  <c r="AA21" i="12831" s="1"/>
  <c r="X18" i="12831"/>
  <c r="X34" i="12831"/>
  <c r="AE34" i="12831" s="1"/>
  <c r="X44" i="12831"/>
  <c r="AE44" i="12831" s="1"/>
  <c r="I1055" i="12767"/>
  <c r="I924" i="12767"/>
  <c r="I905" i="12767" s="1"/>
  <c r="M924" i="12767"/>
  <c r="M905" i="12767" s="1"/>
  <c r="M941" i="12843"/>
  <c r="M473" i="12843"/>
  <c r="I567" i="12843"/>
  <c r="I1002" i="12843"/>
  <c r="I927" i="12843" s="1"/>
  <c r="G1041" i="12843"/>
  <c r="I1041" i="12843" s="1"/>
  <c r="I1078" i="12843" s="1"/>
  <c r="G581" i="12843"/>
  <c r="I581" i="12843" s="1"/>
  <c r="K1040" i="12767"/>
  <c r="M1040" i="12767" s="1"/>
  <c r="M1077" i="12767" s="1"/>
  <c r="G1023" i="12843"/>
  <c r="M457" i="12843"/>
  <c r="M458" i="12843"/>
  <c r="M472" i="12843"/>
  <c r="I240" i="12843"/>
  <c r="I242" i="12843" s="1"/>
  <c r="N36" i="12783"/>
  <c r="W29" i="12843"/>
  <c r="X998" i="12843"/>
  <c r="Q90" i="12767"/>
  <c r="O90" i="12767" s="1"/>
  <c r="O91" i="12861" s="1"/>
  <c r="I228" i="12767"/>
  <c r="I927" i="12767"/>
  <c r="I908" i="12767" s="1"/>
  <c r="M927" i="12767"/>
  <c r="G1022" i="12843"/>
  <c r="I1058" i="12767"/>
  <c r="I909" i="12767"/>
  <c r="G1040" i="12843"/>
  <c r="I1040" i="12843" s="1"/>
  <c r="I1077" i="12843" s="1"/>
  <c r="K1001" i="12843"/>
  <c r="K1022" i="12843" s="1"/>
  <c r="M1022" i="12843" s="1"/>
  <c r="M1058" i="12843" s="1"/>
  <c r="K1022" i="12767"/>
  <c r="M1022" i="12767" s="1"/>
  <c r="M1058" i="12767" s="1"/>
  <c r="I1001" i="12843"/>
  <c r="I926" i="12843" s="1"/>
  <c r="G1019" i="12843"/>
  <c r="N16" i="12867" s="1"/>
  <c r="I998" i="12843"/>
  <c r="I923" i="12843" s="1"/>
  <c r="I1046" i="12767"/>
  <c r="I1048" i="12767" s="1"/>
  <c r="G1021" i="12843"/>
  <c r="I1000" i="12843"/>
  <c r="I925" i="12843" s="1"/>
  <c r="G1039" i="12843"/>
  <c r="I1039" i="12843" s="1"/>
  <c r="I1076" i="12843" s="1"/>
  <c r="X1000" i="12843"/>
  <c r="K1000" i="12843"/>
  <c r="K1039" i="12767"/>
  <c r="M1039" i="12767" s="1"/>
  <c r="K1021" i="12767"/>
  <c r="M1021" i="12767" s="1"/>
  <c r="M1000" i="12767"/>
  <c r="K997" i="12843"/>
  <c r="K1018" i="12767"/>
  <c r="M1018" i="12767" s="1"/>
  <c r="M1054" i="12767" s="1"/>
  <c r="K1036" i="12767"/>
  <c r="M1036" i="12767" s="1"/>
  <c r="M1073" i="12767" s="1"/>
  <c r="M997" i="12767"/>
  <c r="X997" i="12843"/>
  <c r="G1036" i="12843"/>
  <c r="I1036" i="12843" s="1"/>
  <c r="I997" i="12843"/>
  <c r="G1018" i="12843"/>
  <c r="I529" i="12843"/>
  <c r="G543" i="12843"/>
  <c r="I543" i="12843" s="1"/>
  <c r="I494" i="12843"/>
  <c r="G508" i="12843"/>
  <c r="I508" i="12843" s="1"/>
  <c r="I493" i="12843"/>
  <c r="G507" i="12843"/>
  <c r="I507" i="12843" s="1"/>
  <c r="G542" i="12843"/>
  <c r="I542" i="12843" s="1"/>
  <c r="I528" i="12843"/>
  <c r="I492" i="12843"/>
  <c r="G506" i="12843"/>
  <c r="I506" i="12843" s="1"/>
  <c r="G541" i="12843"/>
  <c r="I541" i="12843" s="1"/>
  <c r="I527" i="12843"/>
  <c r="M89" i="12767"/>
  <c r="K89" i="12767" s="1"/>
  <c r="K90" i="12861" s="1"/>
  <c r="O90" i="12843"/>
  <c r="U100" i="12843"/>
  <c r="K109" i="12767"/>
  <c r="K91" i="12843"/>
  <c r="K124" i="12767"/>
  <c r="M124" i="12767" s="1"/>
  <c r="K97" i="12767"/>
  <c r="K154" i="12767"/>
  <c r="M154" i="12767" s="1"/>
  <c r="U116" i="12767"/>
  <c r="U146" i="12767"/>
  <c r="U161" i="12767"/>
  <c r="Q161" i="12767"/>
  <c r="Q131" i="12767"/>
  <c r="Q146" i="12767"/>
  <c r="Q116" i="12767"/>
  <c r="Q100" i="12843"/>
  <c r="M100" i="12843"/>
  <c r="M131" i="12767"/>
  <c r="M161" i="12767"/>
  <c r="M146" i="12767"/>
  <c r="M116" i="12767"/>
  <c r="G591" i="12767"/>
  <c r="I591" i="12767" s="1"/>
  <c r="G572" i="12843"/>
  <c r="K734" i="12767"/>
  <c r="G735" i="12843"/>
  <c r="K735" i="12767"/>
  <c r="G736" i="12843"/>
  <c r="I954" i="12767"/>
  <c r="S542" i="12767"/>
  <c r="U542" i="12767" s="1"/>
  <c r="U528" i="12767"/>
  <c r="S541" i="12767"/>
  <c r="U541" i="12767" s="1"/>
  <c r="U527" i="12767"/>
  <c r="K542" i="12767"/>
  <c r="M542" i="12767" s="1"/>
  <c r="M528" i="12767"/>
  <c r="S507" i="12767"/>
  <c r="U507" i="12767" s="1"/>
  <c r="U493" i="12767"/>
  <c r="K541" i="12767"/>
  <c r="M541" i="12767" s="1"/>
  <c r="M527" i="12767"/>
  <c r="S506" i="12767"/>
  <c r="U506" i="12767" s="1"/>
  <c r="U492" i="12767"/>
  <c r="Q526" i="12767"/>
  <c r="O540" i="12767"/>
  <c r="Q540" i="12767" s="1"/>
  <c r="O542" i="12767"/>
  <c r="Q542" i="12767" s="1"/>
  <c r="Q528" i="12767"/>
  <c r="K507" i="12767"/>
  <c r="M507" i="12767" s="1"/>
  <c r="M493" i="12767"/>
  <c r="M458" i="12767" s="1"/>
  <c r="K506" i="12767"/>
  <c r="M506" i="12767" s="1"/>
  <c r="M492" i="12767"/>
  <c r="O505" i="12767"/>
  <c r="Q505" i="12767" s="1"/>
  <c r="Q491" i="12767"/>
  <c r="K505" i="12767"/>
  <c r="M505" i="12767" s="1"/>
  <c r="M491" i="12767"/>
  <c r="O507" i="12767"/>
  <c r="Q507" i="12767" s="1"/>
  <c r="Q493" i="12767"/>
  <c r="O541" i="12767"/>
  <c r="Q541" i="12767" s="1"/>
  <c r="Q527" i="12767"/>
  <c r="O506" i="12767"/>
  <c r="Q506" i="12767" s="1"/>
  <c r="Q492" i="12767"/>
  <c r="M526" i="12767"/>
  <c r="K540" i="12767"/>
  <c r="M540" i="12767" s="1"/>
  <c r="S505" i="12767"/>
  <c r="U505" i="12767" s="1"/>
  <c r="U491" i="12767"/>
  <c r="S540" i="12767"/>
  <c r="U540" i="12767" s="1"/>
  <c r="U526" i="12767"/>
  <c r="I412" i="12767"/>
  <c r="I1028" i="12767"/>
  <c r="I1030" i="12767" s="1"/>
  <c r="I342" i="12767"/>
  <c r="I344" i="12767" s="1"/>
  <c r="I971" i="12767"/>
  <c r="I447" i="12767"/>
  <c r="I449" i="12767" s="1"/>
  <c r="I1008" i="12767"/>
  <c r="I1010" i="12767" s="1"/>
  <c r="I481" i="12767"/>
  <c r="I200" i="12767" s="1"/>
  <c r="U200" i="12767" s="1"/>
  <c r="I296" i="12767"/>
  <c r="I227" i="12767" s="1"/>
  <c r="I238" i="12767"/>
  <c r="I201" i="12767" s="1"/>
  <c r="U201" i="12767" s="1"/>
  <c r="I359" i="12767"/>
  <c r="I358" i="12767"/>
  <c r="I65" i="12767"/>
  <c r="I215" i="12767"/>
  <c r="I741" i="12767"/>
  <c r="I907" i="12767"/>
  <c r="I1061" i="12767"/>
  <c r="I911" i="12767" s="1"/>
  <c r="W1105" i="12767"/>
  <c r="I365" i="12767"/>
  <c r="I356" i="12767"/>
  <c r="I357" i="12767"/>
  <c r="I761" i="12767"/>
  <c r="I624" i="12767"/>
  <c r="M624" i="12767" s="1"/>
  <c r="I351" i="12767"/>
  <c r="I368" i="12767"/>
  <c r="I364" i="12767"/>
  <c r="I369" i="12767"/>
  <c r="I352" i="12767"/>
  <c r="I229" i="12767"/>
  <c r="I233" i="12767"/>
  <c r="I230" i="12767"/>
  <c r="I226" i="12767"/>
  <c r="I232" i="12767"/>
  <c r="I231" i="12767"/>
  <c r="I220" i="12767"/>
  <c r="I219" i="12767"/>
  <c r="I217" i="12767"/>
  <c r="I221" i="12767"/>
  <c r="I218" i="12767"/>
  <c r="I214" i="12767"/>
  <c r="I213" i="12767"/>
  <c r="I366" i="12767"/>
  <c r="I889" i="12767"/>
  <c r="I886" i="12767"/>
  <c r="I1054" i="12767"/>
  <c r="I904" i="12767" s="1"/>
  <c r="I882" i="12767"/>
  <c r="I912" i="12767"/>
  <c r="I604" i="12767"/>
  <c r="M604" i="12767" s="1"/>
  <c r="I627" i="12767"/>
  <c r="I612" i="12767"/>
  <c r="I893" i="12767"/>
  <c r="I892" i="12767"/>
  <c r="I621" i="12767"/>
  <c r="M621" i="12767" s="1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G802" i="12767"/>
  <c r="I802" i="12767" s="1"/>
  <c r="I778" i="12767"/>
  <c r="G803" i="12767"/>
  <c r="I803" i="12767" s="1"/>
  <c r="G791" i="12767"/>
  <c r="I783" i="12767"/>
  <c r="G854" i="12767"/>
  <c r="I854" i="12767" s="1"/>
  <c r="I830" i="12767"/>
  <c r="I528" i="12767"/>
  <c r="G542" i="12767"/>
  <c r="I542" i="12767" s="1"/>
  <c r="I839" i="12767"/>
  <c r="G859" i="12767"/>
  <c r="I859" i="12767" s="1"/>
  <c r="X735" i="12767"/>
  <c r="G842" i="12767"/>
  <c r="G756" i="12767"/>
  <c r="G789" i="12767"/>
  <c r="I602" i="12767"/>
  <c r="M602" i="12767" s="1"/>
  <c r="G506" i="12767"/>
  <c r="I506" i="12767" s="1"/>
  <c r="I492" i="12767"/>
  <c r="G505" i="12767"/>
  <c r="I505" i="12767" s="1"/>
  <c r="I491" i="12767"/>
  <c r="G706" i="12767"/>
  <c r="I706" i="12767" s="1"/>
  <c r="I693" i="12767"/>
  <c r="G584" i="12767"/>
  <c r="I584" i="12767" s="1"/>
  <c r="I571" i="12767"/>
  <c r="I473" i="12767"/>
  <c r="I476" i="12767"/>
  <c r="I477" i="12767"/>
  <c r="I367" i="12767"/>
  <c r="I623" i="12767"/>
  <c r="M623" i="12767" s="1"/>
  <c r="I620" i="12767"/>
  <c r="M620" i="12767" s="1"/>
  <c r="I474" i="12767"/>
  <c r="I463" i="12767"/>
  <c r="I607" i="12767"/>
  <c r="M607" i="12767" s="1"/>
  <c r="I25" i="12767"/>
  <c r="I27" i="12767" s="1"/>
  <c r="I47" i="12767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G855" i="12767"/>
  <c r="I855" i="12767" s="1"/>
  <c r="I831" i="12767"/>
  <c r="I836" i="12767"/>
  <c r="G856" i="12767"/>
  <c r="I856" i="12767" s="1"/>
  <c r="G844" i="12767"/>
  <c r="G758" i="12767"/>
  <c r="X734" i="12767"/>
  <c r="G788" i="12767"/>
  <c r="G841" i="12767"/>
  <c r="G755" i="12767"/>
  <c r="I777" i="12767"/>
  <c r="G801" i="12767"/>
  <c r="I801" i="12767" s="1"/>
  <c r="I350" i="12767"/>
  <c r="I493" i="12767"/>
  <c r="G507" i="12767"/>
  <c r="I507" i="12767" s="1"/>
  <c r="I787" i="12767"/>
  <c r="G807" i="12767"/>
  <c r="I807" i="12767" s="1"/>
  <c r="G860" i="12767"/>
  <c r="I860" i="12767" s="1"/>
  <c r="I840" i="12767"/>
  <c r="I786" i="12767"/>
  <c r="G806" i="12767"/>
  <c r="I806" i="12767" s="1"/>
  <c r="G759" i="12767"/>
  <c r="I838" i="12767"/>
  <c r="G858" i="12767"/>
  <c r="I858" i="12767" s="1"/>
  <c r="G845" i="12767"/>
  <c r="I785" i="12767"/>
  <c r="G792" i="12767"/>
  <c r="G805" i="12767"/>
  <c r="G541" i="12767"/>
  <c r="I541" i="12767" s="1"/>
  <c r="I527" i="12767"/>
  <c r="I526" i="12767"/>
  <c r="G540" i="12767"/>
  <c r="I540" i="12767" s="1"/>
  <c r="G668" i="12767"/>
  <c r="I668" i="12767" s="1"/>
  <c r="I655" i="12767"/>
  <c r="X614" i="12767"/>
  <c r="G694" i="12767"/>
  <c r="G572" i="12767"/>
  <c r="G656" i="12767"/>
  <c r="I461" i="12767"/>
  <c r="I464" i="12767"/>
  <c r="I465" i="12767"/>
  <c r="I603" i="12767"/>
  <c r="M603" i="12767" s="1"/>
  <c r="I355" i="12767"/>
  <c r="I370" i="12767"/>
  <c r="I371" i="12767"/>
  <c r="I606" i="12767"/>
  <c r="M606" i="12767" s="1"/>
  <c r="I462" i="12767"/>
  <c r="I475" i="12767"/>
  <c r="I740" i="12767"/>
  <c r="I762" i="12767"/>
  <c r="I622" i="12767"/>
  <c r="M622" i="12767" s="1"/>
  <c r="K1030" i="12787"/>
  <c r="K1032" i="12787" s="1"/>
  <c r="M923" i="12787"/>
  <c r="M1030" i="12787"/>
  <c r="K923" i="12787"/>
  <c r="K925" i="12787" s="1"/>
  <c r="K1036" i="12861" l="1"/>
  <c r="M1036" i="12861" s="1"/>
  <c r="M1073" i="12861" s="1"/>
  <c r="K1039" i="12861"/>
  <c r="M1039" i="12861" s="1"/>
  <c r="M1076" i="12861" s="1"/>
  <c r="G111" i="12860"/>
  <c r="I111" i="12860" s="1"/>
  <c r="Y92" i="12860"/>
  <c r="G126" i="12860"/>
  <c r="I126" i="12860" s="1"/>
  <c r="G93" i="12861"/>
  <c r="G127" i="12861" s="1"/>
  <c r="I127" i="12861" s="1"/>
  <c r="K1037" i="12861"/>
  <c r="M1037" i="12861" s="1"/>
  <c r="M1074" i="12861" s="1"/>
  <c r="S92" i="12860"/>
  <c r="S126" i="12860" s="1"/>
  <c r="U126" i="12860" s="1"/>
  <c r="K1040" i="12861"/>
  <c r="M1040" i="12861" s="1"/>
  <c r="M1077" i="12861" s="1"/>
  <c r="G141" i="12860"/>
  <c r="I141" i="12860" s="1"/>
  <c r="G156" i="12860"/>
  <c r="I156" i="12860" s="1"/>
  <c r="G173" i="12861"/>
  <c r="G283" i="12861" s="1"/>
  <c r="G386" i="12860"/>
  <c r="G400" i="12860" s="1"/>
  <c r="I400" i="12860" s="1"/>
  <c r="M923" i="12861"/>
  <c r="M904" i="12861" s="1"/>
  <c r="G175" i="12861"/>
  <c r="G388" i="12861" s="1"/>
  <c r="G179" i="12861"/>
  <c r="G186" i="12861" s="1"/>
  <c r="K736" i="12861"/>
  <c r="K757" i="12861" s="1"/>
  <c r="G392" i="12860"/>
  <c r="G404" i="12860" s="1"/>
  <c r="I404" i="12860" s="1"/>
  <c r="K735" i="12861"/>
  <c r="K756" i="12861" s="1"/>
  <c r="M997" i="12861"/>
  <c r="M922" i="12861" s="1"/>
  <c r="M903" i="12861" s="1"/>
  <c r="G221" i="12860"/>
  <c r="G233" i="12860" s="1"/>
  <c r="G178" i="12861"/>
  <c r="G426" i="12861" s="1"/>
  <c r="G613" i="12861"/>
  <c r="G693" i="12861" s="1"/>
  <c r="I693" i="12861" s="1"/>
  <c r="G570" i="12860"/>
  <c r="X612" i="12860"/>
  <c r="G627" i="12860"/>
  <c r="G692" i="12860"/>
  <c r="I692" i="12860" s="1"/>
  <c r="G654" i="12860"/>
  <c r="G617" i="12860"/>
  <c r="X617" i="12860" s="1"/>
  <c r="G986" i="12860"/>
  <c r="I986" i="12860" s="1"/>
  <c r="G968" i="12860"/>
  <c r="G947" i="12861"/>
  <c r="X948" i="12860"/>
  <c r="G951" i="12860"/>
  <c r="X951" i="12860" s="1"/>
  <c r="I948" i="12860"/>
  <c r="G359" i="12860"/>
  <c r="G371" i="12860" s="1"/>
  <c r="G290" i="12860"/>
  <c r="G302" i="12860" s="1"/>
  <c r="I302" i="12860" s="1"/>
  <c r="G465" i="12860"/>
  <c r="G477" i="12860" s="1"/>
  <c r="G500" i="12860"/>
  <c r="G512" i="12860" s="1"/>
  <c r="I512" i="12860" s="1"/>
  <c r="I155" i="12860"/>
  <c r="X181" i="12860"/>
  <c r="G182" i="12861"/>
  <c r="G360" i="12861" s="1"/>
  <c r="G372" i="12861" s="1"/>
  <c r="G394" i="12860"/>
  <c r="I394" i="12860" s="1"/>
  <c r="G324" i="12860"/>
  <c r="I324" i="12860" s="1"/>
  <c r="G429" i="12860"/>
  <c r="G441" i="12860" s="1"/>
  <c r="I441" i="12860" s="1"/>
  <c r="G255" i="12860"/>
  <c r="G267" i="12860" s="1"/>
  <c r="I267" i="12860" s="1"/>
  <c r="G535" i="12860"/>
  <c r="I535" i="12860" s="1"/>
  <c r="G196" i="12860"/>
  <c r="S110" i="12860"/>
  <c r="U110" i="12860" s="1"/>
  <c r="G111" i="12861"/>
  <c r="G115" i="12861" s="1"/>
  <c r="I115" i="12861" s="1"/>
  <c r="G126" i="12861"/>
  <c r="G128" i="12861" s="1"/>
  <c r="I128" i="12861" s="1"/>
  <c r="I110" i="12860"/>
  <c r="X92" i="12861"/>
  <c r="G94" i="12861"/>
  <c r="X94" i="12861" s="1"/>
  <c r="G141" i="12861"/>
  <c r="G143" i="12861" s="1"/>
  <c r="I143" i="12861" s="1"/>
  <c r="S155" i="12860"/>
  <c r="S157" i="12860" s="1"/>
  <c r="U157" i="12860" s="1"/>
  <c r="S140" i="12860"/>
  <c r="S142" i="12860" s="1"/>
  <c r="U142" i="12860" s="1"/>
  <c r="S125" i="12860"/>
  <c r="U125" i="12860" s="1"/>
  <c r="I125" i="12860"/>
  <c r="G142" i="12860"/>
  <c r="I142" i="12860" s="1"/>
  <c r="I93" i="12860" s="1"/>
  <c r="G189" i="12860"/>
  <c r="G940" i="12861"/>
  <c r="G979" i="12860"/>
  <c r="I979" i="12860" s="1"/>
  <c r="I941" i="12860"/>
  <c r="X941" i="12860"/>
  <c r="G961" i="12860"/>
  <c r="K941" i="12860"/>
  <c r="G948" i="12861"/>
  <c r="W931" i="12860"/>
  <c r="X931" i="12860" s="1"/>
  <c r="G969" i="12860"/>
  <c r="G987" i="12860"/>
  <c r="I987" i="12860" s="1"/>
  <c r="X949" i="12860"/>
  <c r="I949" i="12860"/>
  <c r="X172" i="12860"/>
  <c r="G944" i="12861"/>
  <c r="G983" i="12860"/>
  <c r="I983" i="12860" s="1"/>
  <c r="X945" i="12860"/>
  <c r="I945" i="12860"/>
  <c r="M945" i="12860" s="1"/>
  <c r="K945" i="12860"/>
  <c r="G965" i="12860"/>
  <c r="G941" i="12861"/>
  <c r="X942" i="12860"/>
  <c r="G980" i="12860"/>
  <c r="I980" i="12860" s="1"/>
  <c r="K942" i="12860"/>
  <c r="G962" i="12860"/>
  <c r="I942" i="12860"/>
  <c r="M942" i="12860" s="1"/>
  <c r="K172" i="12860"/>
  <c r="K168" i="12860" s="1"/>
  <c r="G943" i="12861"/>
  <c r="I944" i="12860"/>
  <c r="K944" i="12860"/>
  <c r="G982" i="12860"/>
  <c r="I982" i="12860" s="1"/>
  <c r="X944" i="12860"/>
  <c r="G964" i="12860"/>
  <c r="G945" i="12861"/>
  <c r="G984" i="12860"/>
  <c r="I984" i="12860" s="1"/>
  <c r="X946" i="12860"/>
  <c r="I946" i="12860"/>
  <c r="G966" i="12860"/>
  <c r="G213" i="12860"/>
  <c r="G226" i="12860" s="1"/>
  <c r="G168" i="12860"/>
  <c r="G316" i="12860"/>
  <c r="I316" i="12860" s="1"/>
  <c r="G420" i="12860"/>
  <c r="G434" i="12860" s="1"/>
  <c r="I434" i="12860" s="1"/>
  <c r="G251" i="12860"/>
  <c r="G263" i="12860" s="1"/>
  <c r="I263" i="12860" s="1"/>
  <c r="G247" i="12860"/>
  <c r="G260" i="12860" s="1"/>
  <c r="I260" i="12860" s="1"/>
  <c r="G282" i="12860"/>
  <c r="I282" i="12860" s="1"/>
  <c r="G350" i="12860"/>
  <c r="G364" i="12860" s="1"/>
  <c r="G195" i="12860"/>
  <c r="G385" i="12860"/>
  <c r="I385" i="12860" s="1"/>
  <c r="G283" i="12860"/>
  <c r="G296" i="12860" s="1"/>
  <c r="I296" i="12860" s="1"/>
  <c r="K174" i="12860"/>
  <c r="K318" i="12860" s="1"/>
  <c r="G425" i="12860"/>
  <c r="I425" i="12860" s="1"/>
  <c r="G192" i="12860"/>
  <c r="G532" i="12860"/>
  <c r="G544" i="12860" s="1"/>
  <c r="I544" i="12860" s="1"/>
  <c r="G390" i="12860"/>
  <c r="G402" i="12860" s="1"/>
  <c r="I402" i="12860" s="1"/>
  <c r="G320" i="12860"/>
  <c r="I320" i="12860" s="1"/>
  <c r="G496" i="12860"/>
  <c r="G508" i="12860" s="1"/>
  <c r="I508" i="12860" s="1"/>
  <c r="G603" i="12861"/>
  <c r="G620" i="12860"/>
  <c r="G682" i="12860"/>
  <c r="K602" i="12860"/>
  <c r="G644" i="12860"/>
  <c r="G561" i="12860"/>
  <c r="X602" i="12860"/>
  <c r="X174" i="12860"/>
  <c r="G186" i="12860"/>
  <c r="G604" i="12861"/>
  <c r="K603" i="12860"/>
  <c r="G562" i="12860"/>
  <c r="G621" i="12860"/>
  <c r="X603" i="12860"/>
  <c r="G683" i="12860"/>
  <c r="G645" i="12860"/>
  <c r="G422" i="12860"/>
  <c r="I422" i="12860" s="1"/>
  <c r="G180" i="12861"/>
  <c r="G534" i="12861" s="1"/>
  <c r="G615" i="12861"/>
  <c r="G629" i="12860"/>
  <c r="G694" i="12860"/>
  <c r="G572" i="12860"/>
  <c r="G656" i="12860"/>
  <c r="X614" i="12860"/>
  <c r="G608" i="12861"/>
  <c r="G566" i="12860"/>
  <c r="G624" i="12860"/>
  <c r="G687" i="12860"/>
  <c r="G649" i="12860"/>
  <c r="X607" i="12860"/>
  <c r="K607" i="12860"/>
  <c r="G610" i="12861"/>
  <c r="G625" i="12860"/>
  <c r="G568" i="12860"/>
  <c r="X609" i="12860"/>
  <c r="G651" i="12860"/>
  <c r="G689" i="12860"/>
  <c r="G610" i="12860"/>
  <c r="G607" i="12861"/>
  <c r="G686" i="12860"/>
  <c r="G565" i="12860"/>
  <c r="G623" i="12860"/>
  <c r="X606" i="12860"/>
  <c r="K606" i="12860"/>
  <c r="G648" i="12860"/>
  <c r="G605" i="12861"/>
  <c r="G646" i="12860"/>
  <c r="K604" i="12860"/>
  <c r="X604" i="12860"/>
  <c r="G622" i="12860"/>
  <c r="G563" i="12860"/>
  <c r="G684" i="12860"/>
  <c r="G185" i="12860"/>
  <c r="G286" i="12860"/>
  <c r="I286" i="12860" s="1"/>
  <c r="G217" i="12860"/>
  <c r="G229" i="12860" s="1"/>
  <c r="G531" i="12860"/>
  <c r="I531" i="12860" s="1"/>
  <c r="G355" i="12860"/>
  <c r="G367" i="12860" s="1"/>
  <c r="X177" i="12860"/>
  <c r="G461" i="12860"/>
  <c r="G473" i="12860" s="1"/>
  <c r="G351" i="12860"/>
  <c r="G365" i="12860" s="1"/>
  <c r="G169" i="12860"/>
  <c r="G215" i="12860"/>
  <c r="G228" i="12860" s="1"/>
  <c r="G352" i="12860"/>
  <c r="G366" i="12860" s="1"/>
  <c r="G421" i="12860"/>
  <c r="G435" i="12860" s="1"/>
  <c r="I435" i="12860" s="1"/>
  <c r="X173" i="12860"/>
  <c r="G317" i="12860"/>
  <c r="I317" i="12860" s="1"/>
  <c r="G174" i="12861"/>
  <c r="G387" i="12861" s="1"/>
  <c r="G249" i="12860"/>
  <c r="G262" i="12860" s="1"/>
  <c r="I262" i="12860" s="1"/>
  <c r="G387" i="12860"/>
  <c r="I387" i="12860" s="1"/>
  <c r="G248" i="12860"/>
  <c r="I248" i="12860" s="1"/>
  <c r="K173" i="12860"/>
  <c r="K214" i="12860" s="1"/>
  <c r="G190" i="12860"/>
  <c r="G214" i="12860"/>
  <c r="G227" i="12860" s="1"/>
  <c r="G284" i="12860"/>
  <c r="G297" i="12860" s="1"/>
  <c r="I297" i="12860" s="1"/>
  <c r="G170" i="12860"/>
  <c r="G393" i="12860"/>
  <c r="G405" i="12860" s="1"/>
  <c r="I405" i="12860" s="1"/>
  <c r="G534" i="12860"/>
  <c r="G546" i="12860" s="1"/>
  <c r="I546" i="12860" s="1"/>
  <c r="G322" i="12860"/>
  <c r="G334" i="12860" s="1"/>
  <c r="I334" i="12860" s="1"/>
  <c r="G194" i="12860"/>
  <c r="G499" i="12860"/>
  <c r="I499" i="12860" s="1"/>
  <c r="G463" i="12860"/>
  <c r="G475" i="12860" s="1"/>
  <c r="G219" i="12860"/>
  <c r="G231" i="12860" s="1"/>
  <c r="G220" i="12860"/>
  <c r="G232" i="12860" s="1"/>
  <c r="G254" i="12860"/>
  <c r="G266" i="12860" s="1"/>
  <c r="I266" i="12860" s="1"/>
  <c r="G464" i="12860"/>
  <c r="G476" i="12860" s="1"/>
  <c r="G181" i="12861"/>
  <c r="G255" i="12861" s="1"/>
  <c r="G289" i="12860"/>
  <c r="G301" i="12860" s="1"/>
  <c r="I301" i="12860" s="1"/>
  <c r="G358" i="12860"/>
  <c r="G370" i="12860" s="1"/>
  <c r="X180" i="12860"/>
  <c r="G318" i="12860"/>
  <c r="I318" i="12860" s="1"/>
  <c r="G191" i="12860"/>
  <c r="G533" i="12860"/>
  <c r="G545" i="12860" s="1"/>
  <c r="I545" i="12860" s="1"/>
  <c r="X179" i="12860"/>
  <c r="G288" i="12860"/>
  <c r="I288" i="12860" s="1"/>
  <c r="G498" i="12860"/>
  <c r="G510" i="12860" s="1"/>
  <c r="I510" i="12860" s="1"/>
  <c r="G323" i="12860"/>
  <c r="G335" i="12860" s="1"/>
  <c r="I335" i="12860" s="1"/>
  <c r="G428" i="12860"/>
  <c r="G440" i="12860" s="1"/>
  <c r="I440" i="12860" s="1"/>
  <c r="G357" i="12860"/>
  <c r="G369" i="12860" s="1"/>
  <c r="G253" i="12860"/>
  <c r="G265" i="12860" s="1"/>
  <c r="I265" i="12860" s="1"/>
  <c r="G427" i="12860"/>
  <c r="G439" i="12860" s="1"/>
  <c r="I439" i="12860" s="1"/>
  <c r="G426" i="12860"/>
  <c r="G438" i="12860" s="1"/>
  <c r="I438" i="12860" s="1"/>
  <c r="G321" i="12860"/>
  <c r="G333" i="12860" s="1"/>
  <c r="I333" i="12860" s="1"/>
  <c r="G218" i="12860"/>
  <c r="G230" i="12860" s="1"/>
  <c r="G193" i="12860"/>
  <c r="G391" i="12860"/>
  <c r="I391" i="12860" s="1"/>
  <c r="X178" i="12860"/>
  <c r="G252" i="12860"/>
  <c r="G264" i="12860" s="1"/>
  <c r="I264" i="12860" s="1"/>
  <c r="G497" i="12860"/>
  <c r="I497" i="12860" s="1"/>
  <c r="G287" i="12860"/>
  <c r="G299" i="12860" s="1"/>
  <c r="I299" i="12860" s="1"/>
  <c r="G356" i="12860"/>
  <c r="G368" i="12860" s="1"/>
  <c r="G462" i="12860"/>
  <c r="G474" i="12860" s="1"/>
  <c r="I156" i="12861"/>
  <c r="G158" i="12861"/>
  <c r="I158" i="12861" s="1"/>
  <c r="G157" i="12767"/>
  <c r="I157" i="12767" s="1"/>
  <c r="I155" i="12767"/>
  <c r="S92" i="12861"/>
  <c r="S93" i="12767"/>
  <c r="S140" i="12767"/>
  <c r="S155" i="12767"/>
  <c r="S110" i="12767"/>
  <c r="S92" i="12843"/>
  <c r="S125" i="12767"/>
  <c r="G141" i="12843"/>
  <c r="X92" i="12843"/>
  <c r="G94" i="12843"/>
  <c r="X94" i="12843" s="1"/>
  <c r="G111" i="12843"/>
  <c r="G126" i="12843"/>
  <c r="G156" i="12843"/>
  <c r="G114" i="12767"/>
  <c r="I114" i="12767" s="1"/>
  <c r="I110" i="12767"/>
  <c r="G156" i="12767"/>
  <c r="I156" i="12767" s="1"/>
  <c r="G141" i="12767"/>
  <c r="I141" i="12767" s="1"/>
  <c r="Y92" i="12767"/>
  <c r="S92" i="12767"/>
  <c r="G126" i="12767"/>
  <c r="I126" i="12767" s="1"/>
  <c r="G93" i="12843"/>
  <c r="G111" i="12767"/>
  <c r="I111" i="12767" s="1"/>
  <c r="G142" i="12767"/>
  <c r="I142" i="12767" s="1"/>
  <c r="I140" i="12767"/>
  <c r="G127" i="12767"/>
  <c r="I127" i="12767" s="1"/>
  <c r="I125" i="12767"/>
  <c r="I911" i="12843"/>
  <c r="I1096" i="12843"/>
  <c r="N17" i="12868"/>
  <c r="X1096" i="12843"/>
  <c r="X1095" i="12843"/>
  <c r="I1095" i="12843"/>
  <c r="O16" i="12868"/>
  <c r="X1092" i="12843"/>
  <c r="N16" i="12868"/>
  <c r="I1092" i="12843"/>
  <c r="U1099" i="12860"/>
  <c r="S1099" i="12860" s="1"/>
  <c r="Q1099" i="12860"/>
  <c r="O1099" i="12860" s="1"/>
  <c r="X1099" i="12861"/>
  <c r="I1099" i="12861"/>
  <c r="I1102" i="12860"/>
  <c r="I1104" i="12860" s="1"/>
  <c r="X1096" i="12861"/>
  <c r="I1096" i="12861"/>
  <c r="R17" i="12868"/>
  <c r="M1095" i="12860"/>
  <c r="X1095" i="12861"/>
  <c r="I1095" i="12861"/>
  <c r="S16" i="12868"/>
  <c r="R16" i="12868"/>
  <c r="I1092" i="12861"/>
  <c r="X1092" i="12861"/>
  <c r="M1092" i="12860"/>
  <c r="G1101" i="12861"/>
  <c r="X1101" i="12861" s="1"/>
  <c r="R18" i="12868"/>
  <c r="W100" i="12860"/>
  <c r="W101" i="12861"/>
  <c r="O16" i="12867"/>
  <c r="O15" i="12867"/>
  <c r="N17" i="12867"/>
  <c r="N15" i="12867"/>
  <c r="M29" i="12865"/>
  <c r="Q29" i="12865" s="1"/>
  <c r="M27" i="12865"/>
  <c r="Q27" i="12865" s="1"/>
  <c r="M28" i="12865"/>
  <c r="Q28" i="12865" s="1"/>
  <c r="M31" i="12865"/>
  <c r="Q31" i="12865" s="1"/>
  <c r="M33" i="12865"/>
  <c r="Q33" i="12865" s="1"/>
  <c r="M32" i="12865"/>
  <c r="Q32" i="12865" s="1"/>
  <c r="M20" i="12865"/>
  <c r="Q20" i="12865" s="1"/>
  <c r="M25" i="12865"/>
  <c r="Q25" i="12865" s="1"/>
  <c r="M19" i="12865"/>
  <c r="Q19" i="12865" s="1"/>
  <c r="M24" i="12865"/>
  <c r="Q24" i="12865" s="1"/>
  <c r="M18" i="12865"/>
  <c r="Q18" i="12865" s="1"/>
  <c r="M23" i="12865"/>
  <c r="Q23" i="12865" s="1"/>
  <c r="K31" i="12865"/>
  <c r="O31" i="12865" s="1"/>
  <c r="K19" i="12865"/>
  <c r="O19" i="12865" s="1"/>
  <c r="K25" i="12865"/>
  <c r="O25" i="12865" s="1"/>
  <c r="K29" i="12865"/>
  <c r="O29" i="12865" s="1"/>
  <c r="K23" i="12865"/>
  <c r="O23" i="12865" s="1"/>
  <c r="K24" i="12865"/>
  <c r="O24" i="12865" s="1"/>
  <c r="K28" i="12865"/>
  <c r="O28" i="12865" s="1"/>
  <c r="K20" i="12865"/>
  <c r="O20" i="12865" s="1"/>
  <c r="K32" i="12865"/>
  <c r="O32" i="12865" s="1"/>
  <c r="K18" i="12865"/>
  <c r="O18" i="12865" s="1"/>
  <c r="K33" i="12865"/>
  <c r="O33" i="12865" s="1"/>
  <c r="K27" i="12865"/>
  <c r="O27" i="12865" s="1"/>
  <c r="I1019" i="12843"/>
  <c r="I1055" i="12843" s="1"/>
  <c r="X1098" i="12861"/>
  <c r="K778" i="12861"/>
  <c r="G778" i="12861"/>
  <c r="X724" i="12861"/>
  <c r="G829" i="12861"/>
  <c r="G749" i="12861"/>
  <c r="I831" i="12860"/>
  <c r="G855" i="12860"/>
  <c r="I855" i="12860" s="1"/>
  <c r="K783" i="12860"/>
  <c r="K836" i="12860"/>
  <c r="K750" i="12860"/>
  <c r="G738" i="12861"/>
  <c r="G759" i="12861" s="1"/>
  <c r="G751" i="12861"/>
  <c r="G835" i="12861"/>
  <c r="G784" i="12861"/>
  <c r="X730" i="12861"/>
  <c r="G860" i="12860"/>
  <c r="I860" i="12860" s="1"/>
  <c r="I840" i="12860"/>
  <c r="G762" i="12861"/>
  <c r="X741" i="12861"/>
  <c r="G744" i="12861"/>
  <c r="X744" i="12861" s="1"/>
  <c r="G846" i="12861"/>
  <c r="G795" i="12861"/>
  <c r="G739" i="12861"/>
  <c r="G760" i="12861" s="1"/>
  <c r="G753" i="12861"/>
  <c r="G837" i="12861"/>
  <c r="X732" i="12861"/>
  <c r="G786" i="12861"/>
  <c r="G815" i="12860"/>
  <c r="I815" i="12860" s="1"/>
  <c r="I795" i="12860"/>
  <c r="G806" i="12860"/>
  <c r="I806" i="12860" s="1"/>
  <c r="I786" i="12860"/>
  <c r="I777" i="12860"/>
  <c r="G801" i="12860"/>
  <c r="I801" i="12860" s="1"/>
  <c r="G788" i="12860"/>
  <c r="G841" i="12860"/>
  <c r="G755" i="12860"/>
  <c r="K734" i="12860"/>
  <c r="X734" i="12860"/>
  <c r="G735" i="12861"/>
  <c r="K787" i="12860"/>
  <c r="K840" i="12860"/>
  <c r="K754" i="12860"/>
  <c r="I847" i="12860"/>
  <c r="G867" i="12860"/>
  <c r="I867" i="12860" s="1"/>
  <c r="G759" i="12860"/>
  <c r="K738" i="12860"/>
  <c r="K759" i="12860" s="1"/>
  <c r="G858" i="12860"/>
  <c r="I858" i="12860" s="1"/>
  <c r="G845" i="12860"/>
  <c r="I838" i="12860"/>
  <c r="I848" i="12860"/>
  <c r="G868" i="12860"/>
  <c r="I868" i="12860" s="1"/>
  <c r="I830" i="12860"/>
  <c r="G854" i="12860"/>
  <c r="I854" i="12860" s="1"/>
  <c r="X725" i="12861"/>
  <c r="G830" i="12861"/>
  <c r="K779" i="12861"/>
  <c r="G750" i="12861"/>
  <c r="G779" i="12861"/>
  <c r="I783" i="12860"/>
  <c r="G791" i="12860"/>
  <c r="G803" i="12860"/>
  <c r="I803" i="12860" s="1"/>
  <c r="G807" i="12860"/>
  <c r="I807" i="12860" s="1"/>
  <c r="I787" i="12860"/>
  <c r="G814" i="12860"/>
  <c r="I814" i="12860" s="1"/>
  <c r="I794" i="12860"/>
  <c r="G736" i="12861"/>
  <c r="K735" i="12860"/>
  <c r="G842" i="12860"/>
  <c r="X735" i="12860"/>
  <c r="G756" i="12860"/>
  <c r="G789" i="12860"/>
  <c r="K785" i="12860"/>
  <c r="K752" i="12860"/>
  <c r="K838" i="12860"/>
  <c r="X742" i="12861"/>
  <c r="G763" i="12861"/>
  <c r="G847" i="12861"/>
  <c r="G796" i="12861"/>
  <c r="I839" i="12860"/>
  <c r="G859" i="12860"/>
  <c r="I859" i="12860" s="1"/>
  <c r="I21" i="12860"/>
  <c r="K830" i="12860"/>
  <c r="K777" i="12860"/>
  <c r="K748" i="12860"/>
  <c r="K831" i="12860"/>
  <c r="K778" i="12860"/>
  <c r="K749" i="12860"/>
  <c r="G802" i="12860"/>
  <c r="I802" i="12860" s="1"/>
  <c r="I778" i="12860"/>
  <c r="G844" i="12860"/>
  <c r="I836" i="12860"/>
  <c r="I729" i="12860" s="1"/>
  <c r="M729" i="12860" s="1"/>
  <c r="G856" i="12860"/>
  <c r="I856" i="12860" s="1"/>
  <c r="G758" i="12860"/>
  <c r="K737" i="12860"/>
  <c r="K758" i="12860" s="1"/>
  <c r="X734" i="12861"/>
  <c r="G839" i="12861"/>
  <c r="G788" i="12861"/>
  <c r="G755" i="12861"/>
  <c r="G805" i="12860"/>
  <c r="I805" i="12860" s="1"/>
  <c r="I752" i="12860" s="1"/>
  <c r="M752" i="12860" s="1"/>
  <c r="G792" i="12860"/>
  <c r="I785" i="12860"/>
  <c r="I731" i="12860" s="1"/>
  <c r="M731" i="12860" s="1"/>
  <c r="K753" i="12860"/>
  <c r="K786" i="12860"/>
  <c r="K839" i="12860"/>
  <c r="G754" i="12861"/>
  <c r="G838" i="12861"/>
  <c r="G787" i="12861"/>
  <c r="X733" i="12861"/>
  <c r="I63" i="12860"/>
  <c r="I65" i="12860" s="1"/>
  <c r="M63" i="12860"/>
  <c r="M65" i="12860" s="1"/>
  <c r="G38" i="12861"/>
  <c r="I38" i="12861" s="1"/>
  <c r="G56" i="12861"/>
  <c r="I56" i="12861" s="1"/>
  <c r="G74" i="12861"/>
  <c r="I74" i="12861" s="1"/>
  <c r="G40" i="12861"/>
  <c r="I40" i="12861" s="1"/>
  <c r="G76" i="12861"/>
  <c r="I76" i="12861" s="1"/>
  <c r="G58" i="12861"/>
  <c r="I58" i="12861" s="1"/>
  <c r="U45" i="12860"/>
  <c r="U47" i="12860" s="1"/>
  <c r="G77" i="12861"/>
  <c r="I77" i="12861" s="1"/>
  <c r="G59" i="12861"/>
  <c r="I59" i="12861" s="1"/>
  <c r="G41" i="12861"/>
  <c r="I41" i="12861" s="1"/>
  <c r="G42" i="12861"/>
  <c r="I42" i="12861" s="1"/>
  <c r="G60" i="12861"/>
  <c r="I60" i="12861" s="1"/>
  <c r="G78" i="12861"/>
  <c r="I78" i="12861" s="1"/>
  <c r="G55" i="12861"/>
  <c r="I55" i="12861" s="1"/>
  <c r="G37" i="12861"/>
  <c r="I37" i="12861" s="1"/>
  <c r="G73" i="12861"/>
  <c r="I73" i="12861" s="1"/>
  <c r="Q63" i="12860"/>
  <c r="Q65" i="12860" s="1"/>
  <c r="I45" i="12860"/>
  <c r="I15" i="12860"/>
  <c r="Q45" i="12860"/>
  <c r="Q47" i="12860" s="1"/>
  <c r="I17" i="12860"/>
  <c r="I19" i="12860"/>
  <c r="U81" i="12860"/>
  <c r="U83" i="12860" s="1"/>
  <c r="M45" i="12860"/>
  <c r="M47" i="12860" s="1"/>
  <c r="Q81" i="12860"/>
  <c r="Q83" i="12860" s="1"/>
  <c r="I16" i="12860"/>
  <c r="M81" i="12860"/>
  <c r="M83" i="12860" s="1"/>
  <c r="I81" i="12860"/>
  <c r="I83" i="12860" s="1"/>
  <c r="U63" i="12860"/>
  <c r="U65" i="12860" s="1"/>
  <c r="G36" i="12861"/>
  <c r="I36" i="12861" s="1"/>
  <c r="G72" i="12861"/>
  <c r="I72" i="12861" s="1"/>
  <c r="G54" i="12861"/>
  <c r="I54" i="12861" s="1"/>
  <c r="I20" i="12860"/>
  <c r="O155" i="12861"/>
  <c r="Q155" i="12861" s="1"/>
  <c r="O125" i="12861"/>
  <c r="O98" i="12861"/>
  <c r="Q91" i="12861"/>
  <c r="O110" i="12861"/>
  <c r="O140" i="12861" s="1"/>
  <c r="Q140" i="12861" s="1"/>
  <c r="M125" i="12843"/>
  <c r="M125" i="12861"/>
  <c r="K154" i="12861"/>
  <c r="M154" i="12861" s="1"/>
  <c r="M161" i="12861" s="1"/>
  <c r="M163" i="12861" s="1"/>
  <c r="K109" i="12861"/>
  <c r="K139" i="12861"/>
  <c r="M139" i="12861" s="1"/>
  <c r="M146" i="12861" s="1"/>
  <c r="M148" i="12861" s="1"/>
  <c r="K124" i="12861"/>
  <c r="K97" i="12861"/>
  <c r="M90" i="12861"/>
  <c r="M99" i="12861" s="1"/>
  <c r="M101" i="12861" s="1"/>
  <c r="W1170" i="12860"/>
  <c r="Z1177" i="12860"/>
  <c r="M923" i="12843"/>
  <c r="M904" i="12843" s="1"/>
  <c r="K1037" i="12843"/>
  <c r="M1037" i="12843" s="1"/>
  <c r="M1074" i="12843" s="1"/>
  <c r="M607" i="12843"/>
  <c r="M607" i="12861"/>
  <c r="M604" i="12843"/>
  <c r="M604" i="12861"/>
  <c r="M608" i="12843"/>
  <c r="M608" i="12861"/>
  <c r="M624" i="12843"/>
  <c r="M624" i="12861"/>
  <c r="U202" i="12843"/>
  <c r="U202" i="12861"/>
  <c r="M926" i="12861"/>
  <c r="M907" i="12861" s="1"/>
  <c r="G573" i="12843"/>
  <c r="I573" i="12843" s="1"/>
  <c r="M603" i="12843"/>
  <c r="M603" i="12861"/>
  <c r="M622" i="12843"/>
  <c r="M622" i="12861"/>
  <c r="M605" i="12843"/>
  <c r="M605" i="12861"/>
  <c r="U201" i="12843"/>
  <c r="U201" i="12861"/>
  <c r="M1054" i="12861"/>
  <c r="M623" i="12843"/>
  <c r="M623" i="12861"/>
  <c r="M621" i="12843"/>
  <c r="M621" i="12861"/>
  <c r="M625" i="12843"/>
  <c r="M625" i="12861"/>
  <c r="M1000" i="12843"/>
  <c r="M1000" i="12861"/>
  <c r="U1065" i="12860"/>
  <c r="U1029" i="12860"/>
  <c r="U1084" i="12860"/>
  <c r="U1047" i="12860"/>
  <c r="U1009" i="12860"/>
  <c r="U934" i="12860" s="1"/>
  <c r="U915" i="12860" s="1"/>
  <c r="M1065" i="12860"/>
  <c r="M1029" i="12860"/>
  <c r="M1084" i="12860"/>
  <c r="M1047" i="12860"/>
  <c r="M1009" i="12860"/>
  <c r="M934" i="12860" s="1"/>
  <c r="M915" i="12860" s="1"/>
  <c r="Q1065" i="12860"/>
  <c r="Q1029" i="12860"/>
  <c r="Q1084" i="12860"/>
  <c r="Q1047" i="12860"/>
  <c r="Q1009" i="12860"/>
  <c r="Q934" i="12860" s="1"/>
  <c r="Q915" i="12860" s="1"/>
  <c r="X21" i="12831"/>
  <c r="AE21" i="12831" s="1"/>
  <c r="AE18" i="12831"/>
  <c r="Z46" i="12831"/>
  <c r="U457" i="12767"/>
  <c r="M923" i="12767"/>
  <c r="M904" i="12767" s="1"/>
  <c r="M997" i="12843"/>
  <c r="M922" i="12843" s="1"/>
  <c r="M903" i="12843" s="1"/>
  <c r="I1023" i="12843"/>
  <c r="I1059" i="12843" s="1"/>
  <c r="K789" i="12767"/>
  <c r="M789" i="12767" s="1"/>
  <c r="K842" i="12767"/>
  <c r="M842" i="12767" s="1"/>
  <c r="K788" i="12767"/>
  <c r="M788" i="12767" s="1"/>
  <c r="K841" i="12767"/>
  <c r="M841" i="12767" s="1"/>
  <c r="U162" i="12843"/>
  <c r="U132" i="12843"/>
  <c r="O124" i="12767"/>
  <c r="Q124" i="12767" s="1"/>
  <c r="O96" i="12767"/>
  <c r="M472" i="12767"/>
  <c r="Q26" i="12843"/>
  <c r="Q83" i="12843" s="1"/>
  <c r="U26" i="12843"/>
  <c r="U47" i="12843" s="1"/>
  <c r="O109" i="12767"/>
  <c r="O139" i="12767" s="1"/>
  <c r="Q139" i="12767" s="1"/>
  <c r="M26" i="12843"/>
  <c r="M65" i="12843" s="1"/>
  <c r="Q1099" i="12767"/>
  <c r="O97" i="12767"/>
  <c r="O91" i="12843"/>
  <c r="Q91" i="12843" s="1"/>
  <c r="Q98" i="12767"/>
  <c r="Q100" i="12767" s="1"/>
  <c r="O154" i="12767"/>
  <c r="Q154" i="12767" s="1"/>
  <c r="O108" i="12767"/>
  <c r="Q108" i="12767" s="1"/>
  <c r="M98" i="12767"/>
  <c r="M100" i="12767" s="1"/>
  <c r="U147" i="12843"/>
  <c r="O123" i="12767"/>
  <c r="Q123" i="12767" s="1"/>
  <c r="I1022" i="12843"/>
  <c r="I1058" i="12843" s="1"/>
  <c r="K1040" i="12843"/>
  <c r="M1040" i="12843" s="1"/>
  <c r="M1077" i="12843" s="1"/>
  <c r="M926" i="12843"/>
  <c r="M907" i="12843" s="1"/>
  <c r="I1083" i="12767"/>
  <c r="I1085" i="12767" s="1"/>
  <c r="K1039" i="12843"/>
  <c r="M1039" i="12843" s="1"/>
  <c r="M1076" i="12843" s="1"/>
  <c r="K1021" i="12843"/>
  <c r="M1021" i="12843" s="1"/>
  <c r="M1057" i="12843" s="1"/>
  <c r="I1021" i="12843"/>
  <c r="I1057" i="12843" s="1"/>
  <c r="I906" i="12843" s="1"/>
  <c r="K1018" i="12843"/>
  <c r="M1018" i="12843" s="1"/>
  <c r="M1054" i="12843" s="1"/>
  <c r="K1036" i="12843"/>
  <c r="M1036" i="12843" s="1"/>
  <c r="M1073" i="12843" s="1"/>
  <c r="I922" i="12843"/>
  <c r="I1008" i="12843"/>
  <c r="I1073" i="12843"/>
  <c r="I1046" i="12843"/>
  <c r="I1018" i="12843"/>
  <c r="Q471" i="12767"/>
  <c r="Q472" i="12767"/>
  <c r="I473" i="12843"/>
  <c r="I192" i="12843" s="1"/>
  <c r="I459" i="12843"/>
  <c r="I171" i="12843" s="1"/>
  <c r="U472" i="12767"/>
  <c r="M471" i="12767"/>
  <c r="I471" i="12843"/>
  <c r="I190" i="12843" s="1"/>
  <c r="I472" i="12843"/>
  <c r="I191" i="12843" s="1"/>
  <c r="I458" i="12843"/>
  <c r="I170" i="12843" s="1"/>
  <c r="U470" i="12767"/>
  <c r="I457" i="12843"/>
  <c r="I169" i="12843" s="1"/>
  <c r="I554" i="12843"/>
  <c r="U456" i="12767"/>
  <c r="I519" i="12843"/>
  <c r="U117" i="12843"/>
  <c r="O138" i="12767"/>
  <c r="Q138" i="12767" s="1"/>
  <c r="O153" i="12767"/>
  <c r="Q153" i="12767" s="1"/>
  <c r="Q132" i="12843"/>
  <c r="Q117" i="12843"/>
  <c r="Q162" i="12843"/>
  <c r="Q147" i="12843"/>
  <c r="K98" i="12843"/>
  <c r="M91" i="12843"/>
  <c r="K155" i="12843"/>
  <c r="M155" i="12843" s="1"/>
  <c r="K110" i="12843"/>
  <c r="K125" i="12843"/>
  <c r="M147" i="12843"/>
  <c r="M117" i="12843"/>
  <c r="M132" i="12843"/>
  <c r="M162" i="12843"/>
  <c r="K90" i="12843"/>
  <c r="K96" i="12767"/>
  <c r="K123" i="12767"/>
  <c r="M123" i="12767" s="1"/>
  <c r="M124" i="12861" s="1"/>
  <c r="M131" i="12861" s="1"/>
  <c r="M133" i="12861" s="1"/>
  <c r="K138" i="12767"/>
  <c r="M138" i="12767" s="1"/>
  <c r="K108" i="12767"/>
  <c r="M108" i="12767" s="1"/>
  <c r="K153" i="12767"/>
  <c r="M153" i="12767" s="1"/>
  <c r="M160" i="12767" s="1"/>
  <c r="M162" i="12767" s="1"/>
  <c r="M109" i="12767"/>
  <c r="K139" i="12767"/>
  <c r="M139" i="12767" s="1"/>
  <c r="I935" i="12767"/>
  <c r="P28" i="12783" s="1"/>
  <c r="I933" i="12767"/>
  <c r="I572" i="12843"/>
  <c r="G592" i="12843"/>
  <c r="I592" i="12843" s="1"/>
  <c r="G585" i="12843"/>
  <c r="I585" i="12843" s="1"/>
  <c r="K755" i="12767"/>
  <c r="K735" i="12843"/>
  <c r="K756" i="12767"/>
  <c r="K736" i="12843"/>
  <c r="G789" i="12843"/>
  <c r="G840" i="12843"/>
  <c r="G756" i="12843"/>
  <c r="X735" i="12843"/>
  <c r="G757" i="12843"/>
  <c r="X736" i="12843"/>
  <c r="G790" i="12843"/>
  <c r="G841" i="12843"/>
  <c r="U1099" i="12767"/>
  <c r="Q457" i="12767"/>
  <c r="Q458" i="12767"/>
  <c r="M457" i="12767"/>
  <c r="U458" i="12767"/>
  <c r="X1010" i="12767"/>
  <c r="M456" i="12767"/>
  <c r="Q456" i="12767"/>
  <c r="Q470" i="12767"/>
  <c r="U471" i="12767"/>
  <c r="M470" i="12767"/>
  <c r="U1103" i="12767"/>
  <c r="Q1103" i="12767"/>
  <c r="U908" i="12767"/>
  <c r="M911" i="12767"/>
  <c r="S695" i="12767"/>
  <c r="S657" i="12767"/>
  <c r="S632" i="12767"/>
  <c r="S592" i="12767"/>
  <c r="U592" i="12767" s="1"/>
  <c r="S808" i="12767"/>
  <c r="U808" i="12767" s="1"/>
  <c r="U788" i="12767"/>
  <c r="S862" i="12767"/>
  <c r="U862" i="12767" s="1"/>
  <c r="U842" i="12767"/>
  <c r="U789" i="12767"/>
  <c r="S809" i="12767"/>
  <c r="U809" i="12767" s="1"/>
  <c r="S861" i="12767"/>
  <c r="U861" i="12767" s="1"/>
  <c r="U841" i="12767"/>
  <c r="O895" i="12767"/>
  <c r="Q895" i="12767" s="1"/>
  <c r="O988" i="12767"/>
  <c r="Q988" i="12767" s="1"/>
  <c r="Q1082" i="12767" s="1"/>
  <c r="O970" i="12767"/>
  <c r="Q970" i="12767" s="1"/>
  <c r="O862" i="12767"/>
  <c r="Q862" i="12767" s="1"/>
  <c r="Q842" i="12767"/>
  <c r="O808" i="12767"/>
  <c r="Q808" i="12767" s="1"/>
  <c r="Q788" i="12767"/>
  <c r="O861" i="12767"/>
  <c r="Q861" i="12767" s="1"/>
  <c r="Q841" i="12767"/>
  <c r="O809" i="12767"/>
  <c r="Q809" i="12767" s="1"/>
  <c r="Q789" i="12767"/>
  <c r="K632" i="12767"/>
  <c r="M632" i="12767" s="1"/>
  <c r="K695" i="12767"/>
  <c r="K657" i="12767"/>
  <c r="K592" i="12767"/>
  <c r="M592" i="12767" s="1"/>
  <c r="K617" i="12767"/>
  <c r="I308" i="12767"/>
  <c r="I239" i="12767" s="1"/>
  <c r="I553" i="12767"/>
  <c r="I518" i="12767"/>
  <c r="I805" i="12767"/>
  <c r="I752" i="12767" s="1"/>
  <c r="M752" i="12767" s="1"/>
  <c r="I362" i="12767"/>
  <c r="I184" i="12767" s="1"/>
  <c r="I174" i="12767"/>
  <c r="I173" i="12767"/>
  <c r="M173" i="12767" s="1"/>
  <c r="I753" i="12767"/>
  <c r="M753" i="12767" s="1"/>
  <c r="I472" i="12767"/>
  <c r="I191" i="12767" s="1"/>
  <c r="I732" i="12767"/>
  <c r="M732" i="12767" s="1"/>
  <c r="I458" i="12767"/>
  <c r="I894" i="12767"/>
  <c r="I896" i="12767" s="1"/>
  <c r="I628" i="12767"/>
  <c r="I613" i="12767"/>
  <c r="I1064" i="12767"/>
  <c r="I1066" i="12767" s="1"/>
  <c r="I973" i="12767"/>
  <c r="I470" i="12767"/>
  <c r="I189" i="12767" s="1"/>
  <c r="I179" i="12767"/>
  <c r="I193" i="12767"/>
  <c r="M25" i="12787"/>
  <c r="K59" i="12787"/>
  <c r="K61" i="12787" s="1"/>
  <c r="I748" i="12767"/>
  <c r="M748" i="12767" s="1"/>
  <c r="K17" i="12787"/>
  <c r="K20" i="12787"/>
  <c r="K22" i="12787"/>
  <c r="I177" i="12767"/>
  <c r="I733" i="12767"/>
  <c r="M733" i="12767" s="1"/>
  <c r="I195" i="12767"/>
  <c r="K18" i="12787"/>
  <c r="G585" i="12767"/>
  <c r="I585" i="12767" s="1"/>
  <c r="I572" i="12767"/>
  <c r="I377" i="12767"/>
  <c r="I379" i="12767" s="1"/>
  <c r="I414" i="12767"/>
  <c r="I723" i="12767"/>
  <c r="M723" i="12767" s="1"/>
  <c r="G861" i="12767"/>
  <c r="I861" i="12767" s="1"/>
  <c r="I841" i="12767"/>
  <c r="I788" i="12767"/>
  <c r="G808" i="12767"/>
  <c r="I808" i="12767" s="1"/>
  <c r="I844" i="12767"/>
  <c r="G864" i="12767"/>
  <c r="I864" i="12767" s="1"/>
  <c r="P36" i="12783"/>
  <c r="W28" i="12767"/>
  <c r="G809" i="12767"/>
  <c r="I809" i="12767" s="1"/>
  <c r="I789" i="12767"/>
  <c r="I842" i="12767"/>
  <c r="G862" i="12767"/>
  <c r="I862" i="12767" s="1"/>
  <c r="I731" i="12767"/>
  <c r="M731" i="12767" s="1"/>
  <c r="I754" i="12767"/>
  <c r="M754" i="12767" s="1"/>
  <c r="I192" i="12767"/>
  <c r="I172" i="12767"/>
  <c r="M172" i="12767" s="1"/>
  <c r="I471" i="12767"/>
  <c r="I190" i="12767" s="1"/>
  <c r="I729" i="12767"/>
  <c r="M729" i="12767" s="1"/>
  <c r="I750" i="12767"/>
  <c r="M750" i="12767" s="1"/>
  <c r="I749" i="12767"/>
  <c r="M749" i="12767" s="1"/>
  <c r="K21" i="12787"/>
  <c r="I656" i="12767"/>
  <c r="G669" i="12767"/>
  <c r="I669" i="12767" s="1"/>
  <c r="I694" i="12767"/>
  <c r="G707" i="12767"/>
  <c r="I707" i="12767" s="1"/>
  <c r="I456" i="12767"/>
  <c r="G812" i="12767"/>
  <c r="I812" i="12767" s="1"/>
  <c r="I792" i="12767"/>
  <c r="G865" i="12767"/>
  <c r="I865" i="12767" s="1"/>
  <c r="I845" i="12767"/>
  <c r="K42" i="12787"/>
  <c r="K16" i="12787"/>
  <c r="G811" i="12767"/>
  <c r="I811" i="12767" s="1"/>
  <c r="I791" i="12767"/>
  <c r="I196" i="12767"/>
  <c r="I194" i="12767"/>
  <c r="I178" i="12767"/>
  <c r="I181" i="12767"/>
  <c r="I180" i="12767"/>
  <c r="I457" i="12767"/>
  <c r="I724" i="12767"/>
  <c r="M724" i="12767" s="1"/>
  <c r="P1033" i="12787"/>
  <c r="O1033" i="12787"/>
  <c r="O926" i="12787"/>
  <c r="P926" i="12787"/>
  <c r="U593" i="12843" l="1"/>
  <c r="U593" i="12861"/>
  <c r="M593" i="12843"/>
  <c r="M593" i="12861"/>
  <c r="G667" i="12860"/>
  <c r="G142" i="12861"/>
  <c r="I142" i="12861" s="1"/>
  <c r="K227" i="12860"/>
  <c r="I130" i="12860"/>
  <c r="I132" i="12860" s="1"/>
  <c r="K790" i="12861"/>
  <c r="K809" i="12861" s="1"/>
  <c r="M809" i="12861" s="1"/>
  <c r="G319" i="12861"/>
  <c r="I319" i="12861" s="1"/>
  <c r="G498" i="12861"/>
  <c r="I498" i="12861" s="1"/>
  <c r="G532" i="12861"/>
  <c r="I532" i="12861" s="1"/>
  <c r="G219" i="12861"/>
  <c r="AA21" i="12863" s="1"/>
  <c r="AB21" i="12863" s="1"/>
  <c r="K789" i="12861"/>
  <c r="M789" i="12861" s="1"/>
  <c r="X93" i="12861"/>
  <c r="G322" i="12861"/>
  <c r="I322" i="12861" s="1"/>
  <c r="G421" i="12861"/>
  <c r="I421" i="12861" s="1"/>
  <c r="G157" i="12861"/>
  <c r="I157" i="12861" s="1"/>
  <c r="I161" i="12861" s="1"/>
  <c r="I163" i="12861" s="1"/>
  <c r="G693" i="12860"/>
  <c r="I693" i="12860" s="1"/>
  <c r="I115" i="12860"/>
  <c r="I117" i="12860" s="1"/>
  <c r="I160" i="12860"/>
  <c r="I162" i="12860" s="1"/>
  <c r="G194" i="12861"/>
  <c r="G392" i="12861"/>
  <c r="G404" i="12861" s="1"/>
  <c r="I404" i="12861" s="1"/>
  <c r="G356" i="12861"/>
  <c r="G368" i="12861" s="1"/>
  <c r="G288" i="12861"/>
  <c r="G300" i="12861" s="1"/>
  <c r="I300" i="12861" s="1"/>
  <c r="G285" i="12861"/>
  <c r="I285" i="12861" s="1"/>
  <c r="G252" i="12861"/>
  <c r="G264" i="12861" s="1"/>
  <c r="I264" i="12861" s="1"/>
  <c r="I92" i="12860"/>
  <c r="G463" i="12861"/>
  <c r="G475" i="12861" s="1"/>
  <c r="G253" i="12861"/>
  <c r="I253" i="12861" s="1"/>
  <c r="G427" i="12861"/>
  <c r="G439" i="12861" s="1"/>
  <c r="I439" i="12861" s="1"/>
  <c r="G357" i="12861"/>
  <c r="G369" i="12861" s="1"/>
  <c r="X178" i="12861"/>
  <c r="G287" i="12861"/>
  <c r="G299" i="12861" s="1"/>
  <c r="I299" i="12861" s="1"/>
  <c r="G112" i="12861"/>
  <c r="I112" i="12861" s="1"/>
  <c r="X179" i="12861"/>
  <c r="G533" i="12861"/>
  <c r="I533" i="12861" s="1"/>
  <c r="G218" i="12861"/>
  <c r="G230" i="12861" s="1"/>
  <c r="G351" i="12861"/>
  <c r="G365" i="12861" s="1"/>
  <c r="S156" i="12860"/>
  <c r="U156" i="12860" s="1"/>
  <c r="G614" i="12861"/>
  <c r="X614" i="12861" s="1"/>
  <c r="G214" i="12861"/>
  <c r="AA14" i="12863" s="1"/>
  <c r="AA15" i="12863" s="1"/>
  <c r="G386" i="12861"/>
  <c r="G400" i="12861" s="1"/>
  <c r="I400" i="12861" s="1"/>
  <c r="G317" i="12861"/>
  <c r="I317" i="12861" s="1"/>
  <c r="S141" i="12860"/>
  <c r="U141" i="12860" s="1"/>
  <c r="K841" i="12861"/>
  <c r="K861" i="12861" s="1"/>
  <c r="M861" i="12861" s="1"/>
  <c r="G216" i="12861"/>
  <c r="G229" i="12861" s="1"/>
  <c r="G190" i="12861"/>
  <c r="G248" i="12861"/>
  <c r="G261" i="12861" s="1"/>
  <c r="I261" i="12861" s="1"/>
  <c r="S111" i="12860"/>
  <c r="U111" i="12860" s="1"/>
  <c r="G655" i="12860"/>
  <c r="K840" i="12861"/>
  <c r="K860" i="12861" s="1"/>
  <c r="M860" i="12861" s="1"/>
  <c r="G571" i="12860"/>
  <c r="G584" i="12860" s="1"/>
  <c r="I584" i="12860" s="1"/>
  <c r="G628" i="12860"/>
  <c r="X175" i="12861"/>
  <c r="X173" i="12861"/>
  <c r="G618" i="12860"/>
  <c r="X618" i="12860" s="1"/>
  <c r="G192" i="12861"/>
  <c r="G250" i="12861"/>
  <c r="G263" i="12861" s="1"/>
  <c r="I263" i="12861" s="1"/>
  <c r="G423" i="12861"/>
  <c r="I423" i="12861" s="1"/>
  <c r="G353" i="12861"/>
  <c r="G367" i="12861" s="1"/>
  <c r="U1099" i="12861"/>
  <c r="I392" i="12860"/>
  <c r="X168" i="12860"/>
  <c r="G193" i="12861"/>
  <c r="G391" i="12861"/>
  <c r="G403" i="12861" s="1"/>
  <c r="I403" i="12861" s="1"/>
  <c r="G462" i="12861"/>
  <c r="G474" i="12861" s="1"/>
  <c r="I386" i="12860"/>
  <c r="G493" i="12860"/>
  <c r="I493" i="12860" s="1"/>
  <c r="X613" i="12860"/>
  <c r="X169" i="12860"/>
  <c r="Q1099" i="12861"/>
  <c r="G321" i="12861"/>
  <c r="G333" i="12861" s="1"/>
  <c r="I333" i="12861" s="1"/>
  <c r="G497" i="12861"/>
  <c r="I497" i="12861" s="1"/>
  <c r="G571" i="12861"/>
  <c r="I571" i="12861" s="1"/>
  <c r="G706" i="12861"/>
  <c r="I706" i="12861" s="1"/>
  <c r="G655" i="12861"/>
  <c r="R19" i="12864" s="1"/>
  <c r="U19" i="12864" s="1"/>
  <c r="X613" i="12861"/>
  <c r="G618" i="12861"/>
  <c r="X618" i="12861" s="1"/>
  <c r="G628" i="12861"/>
  <c r="G705" i="12860"/>
  <c r="I705" i="12860" s="1"/>
  <c r="I570" i="12860"/>
  <c r="I654" i="12860"/>
  <c r="I612" i="12860" s="1"/>
  <c r="S114" i="12860"/>
  <c r="U114" i="12860" s="1"/>
  <c r="U140" i="12860"/>
  <c r="I290" i="12860"/>
  <c r="X1004" i="12860"/>
  <c r="I1004" i="12860"/>
  <c r="I930" i="12860" s="1"/>
  <c r="I911" i="12860" s="1"/>
  <c r="G1007" i="12860"/>
  <c r="X1007" i="12860" s="1"/>
  <c r="G1004" i="12861"/>
  <c r="G1043" i="12860"/>
  <c r="I1043" i="12860" s="1"/>
  <c r="I1080" i="12860" s="1"/>
  <c r="G1025" i="12860"/>
  <c r="I1025" i="12860" s="1"/>
  <c r="G950" i="12861"/>
  <c r="X950" i="12861" s="1"/>
  <c r="X947" i="12861"/>
  <c r="I947" i="12861"/>
  <c r="G967" i="12861"/>
  <c r="G985" i="12861"/>
  <c r="I985" i="12861" s="1"/>
  <c r="I968" i="12860"/>
  <c r="G889" i="12860"/>
  <c r="I255" i="12860"/>
  <c r="I500" i="12860"/>
  <c r="I465" i="12860" s="1"/>
  <c r="G325" i="12861"/>
  <c r="G337" i="12861" s="1"/>
  <c r="I337" i="12861" s="1"/>
  <c r="X182" i="12861"/>
  <c r="G466" i="12861"/>
  <c r="G478" i="12861" s="1"/>
  <c r="G536" i="12861"/>
  <c r="G548" i="12861" s="1"/>
  <c r="I548" i="12861" s="1"/>
  <c r="G395" i="12861"/>
  <c r="G407" i="12861" s="1"/>
  <c r="I407" i="12861" s="1"/>
  <c r="G291" i="12861"/>
  <c r="I291" i="12861" s="1"/>
  <c r="G197" i="12861"/>
  <c r="G430" i="12861"/>
  <c r="I430" i="12861" s="1"/>
  <c r="G256" i="12861"/>
  <c r="I256" i="12861" s="1"/>
  <c r="G222" i="12861"/>
  <c r="G234" i="12861" s="1"/>
  <c r="G501" i="12861"/>
  <c r="I501" i="12861" s="1"/>
  <c r="I429" i="12860"/>
  <c r="I359" i="12860" s="1"/>
  <c r="G336" i="12860"/>
  <c r="I336" i="12860" s="1"/>
  <c r="I233" i="12860" s="1"/>
  <c r="G406" i="12860"/>
  <c r="I406" i="12860" s="1"/>
  <c r="I371" i="12860" s="1"/>
  <c r="G547" i="12860"/>
  <c r="I547" i="12860" s="1"/>
  <c r="I477" i="12860" s="1"/>
  <c r="W1105" i="12860"/>
  <c r="U29" i="12783"/>
  <c r="I111" i="12861"/>
  <c r="I126" i="12861"/>
  <c r="I131" i="12861" s="1"/>
  <c r="I133" i="12861" s="1"/>
  <c r="I141" i="12861"/>
  <c r="U155" i="12860"/>
  <c r="S127" i="12860"/>
  <c r="U127" i="12860" s="1"/>
  <c r="I145" i="12860"/>
  <c r="I147" i="12860" s="1"/>
  <c r="I91" i="12860"/>
  <c r="M633" i="12843"/>
  <c r="M633" i="12861"/>
  <c r="Q894" i="12843"/>
  <c r="Q1282" i="12843" s="1"/>
  <c r="Q894" i="12861"/>
  <c r="Q1284" i="12861" s="1"/>
  <c r="I247" i="12860"/>
  <c r="I213" i="12860" s="1"/>
  <c r="G332" i="12860"/>
  <c r="I332" i="12860" s="1"/>
  <c r="G491" i="12860"/>
  <c r="I491" i="12860" s="1"/>
  <c r="I534" i="12860"/>
  <c r="I464" i="12860" s="1"/>
  <c r="K420" i="12860"/>
  <c r="M420" i="12860" s="1"/>
  <c r="G359" i="12861"/>
  <c r="G371" i="12861" s="1"/>
  <c r="K350" i="12860"/>
  <c r="K364" i="12860" s="1"/>
  <c r="G437" i="12860"/>
  <c r="I437" i="12860" s="1"/>
  <c r="I367" i="12860" s="1"/>
  <c r="X945" i="12861"/>
  <c r="I945" i="12861"/>
  <c r="G983" i="12861"/>
  <c r="I983" i="12861" s="1"/>
  <c r="G965" i="12861"/>
  <c r="X941" i="12861"/>
  <c r="G961" i="12861"/>
  <c r="G979" i="12861"/>
  <c r="I979" i="12861" s="1"/>
  <c r="I941" i="12861"/>
  <c r="K385" i="12860"/>
  <c r="M385" i="12860" s="1"/>
  <c r="I964" i="12860"/>
  <c r="W926" i="12860"/>
  <c r="X926" i="12860" s="1"/>
  <c r="G885" i="12860"/>
  <c r="I885" i="12860" s="1"/>
  <c r="K980" i="12860"/>
  <c r="M980" i="12860" s="1"/>
  <c r="K962" i="12860"/>
  <c r="I965" i="12860"/>
  <c r="W927" i="12860"/>
  <c r="X927" i="12860" s="1"/>
  <c r="G886" i="12860"/>
  <c r="I886" i="12860" s="1"/>
  <c r="W930" i="12861"/>
  <c r="X930" i="12861" s="1"/>
  <c r="X948" i="12861"/>
  <c r="G968" i="12861"/>
  <c r="I948" i="12861"/>
  <c r="G986" i="12861"/>
  <c r="I986" i="12861" s="1"/>
  <c r="I952" i="12860"/>
  <c r="I954" i="12860" s="1"/>
  <c r="K282" i="12860"/>
  <c r="K295" i="12860" s="1"/>
  <c r="M295" i="12860" s="1"/>
  <c r="K247" i="12860"/>
  <c r="K260" i="12860" s="1"/>
  <c r="M260" i="12860" s="1"/>
  <c r="K316" i="12860"/>
  <c r="K329" i="12860" s="1"/>
  <c r="M329" i="12860" s="1"/>
  <c r="X943" i="12861"/>
  <c r="G981" i="12861"/>
  <c r="I981" i="12861" s="1"/>
  <c r="G963" i="12861"/>
  <c r="I943" i="12861"/>
  <c r="K965" i="12860"/>
  <c r="K983" i="12860"/>
  <c r="M983" i="12860" s="1"/>
  <c r="G982" i="12861"/>
  <c r="I982" i="12861" s="1"/>
  <c r="G964" i="12861"/>
  <c r="I944" i="12861"/>
  <c r="X944" i="12861"/>
  <c r="K979" i="12860"/>
  <c r="M979" i="12860" s="1"/>
  <c r="K961" i="12860"/>
  <c r="M941" i="12860"/>
  <c r="I989" i="12860"/>
  <c r="I991" i="12860" s="1"/>
  <c r="I966" i="12860"/>
  <c r="G887" i="12860"/>
  <c r="W928" i="12860"/>
  <c r="X928" i="12860" s="1"/>
  <c r="K964" i="12860"/>
  <c r="K982" i="12860"/>
  <c r="M982" i="12860" s="1"/>
  <c r="M944" i="12860"/>
  <c r="W924" i="12860"/>
  <c r="X924" i="12860" s="1"/>
  <c r="G883" i="12860"/>
  <c r="I883" i="12860" s="1"/>
  <c r="I962" i="12860"/>
  <c r="U949" i="12860"/>
  <c r="S949" i="12860" s="1"/>
  <c r="Q949" i="12860"/>
  <c r="O949" i="12860" s="1"/>
  <c r="K189" i="12860"/>
  <c r="M189" i="12860" s="1"/>
  <c r="K213" i="12860"/>
  <c r="G890" i="12860"/>
  <c r="I890" i="12860" s="1"/>
  <c r="I969" i="12860"/>
  <c r="I961" i="12860"/>
  <c r="W923" i="12860"/>
  <c r="X923" i="12860" s="1"/>
  <c r="G882" i="12860"/>
  <c r="I882" i="12860" s="1"/>
  <c r="G978" i="12861"/>
  <c r="I978" i="12861" s="1"/>
  <c r="I940" i="12861"/>
  <c r="G960" i="12861"/>
  <c r="X940" i="12861"/>
  <c r="G526" i="12860"/>
  <c r="G540" i="12860" s="1"/>
  <c r="I540" i="12860" s="1"/>
  <c r="G295" i="12860"/>
  <c r="I295" i="12860" s="1"/>
  <c r="G169" i="12861"/>
  <c r="G457" i="12861" s="1"/>
  <c r="G471" i="12861" s="1"/>
  <c r="G399" i="12860"/>
  <c r="I399" i="12860" s="1"/>
  <c r="I364" i="12860" s="1"/>
  <c r="G456" i="12860"/>
  <c r="G470" i="12860" s="1"/>
  <c r="I420" i="12860"/>
  <c r="I350" i="12860" s="1"/>
  <c r="I251" i="12860"/>
  <c r="I217" i="12860" s="1"/>
  <c r="G329" i="12860"/>
  <c r="I329" i="12860" s="1"/>
  <c r="G289" i="12861"/>
  <c r="I289" i="12861" s="1"/>
  <c r="K422" i="12860"/>
  <c r="M422" i="12860" s="1"/>
  <c r="G492" i="12860"/>
  <c r="G506" i="12860" s="1"/>
  <c r="I506" i="12860" s="1"/>
  <c r="K170" i="12860"/>
  <c r="K458" i="12860" s="1"/>
  <c r="K472" i="12860" s="1"/>
  <c r="I283" i="12860"/>
  <c r="I214" i="12860" s="1"/>
  <c r="G254" i="12861"/>
  <c r="G266" i="12861" s="1"/>
  <c r="I266" i="12861" s="1"/>
  <c r="K284" i="12860"/>
  <c r="M284" i="12860" s="1"/>
  <c r="K215" i="12860"/>
  <c r="K191" i="12860"/>
  <c r="M191" i="12860" s="1"/>
  <c r="K352" i="12860"/>
  <c r="K366" i="12860" s="1"/>
  <c r="K249" i="12860"/>
  <c r="M249" i="12860" s="1"/>
  <c r="G298" i="12860"/>
  <c r="I298" i="12860" s="1"/>
  <c r="G358" i="12861"/>
  <c r="G370" i="12861" s="1"/>
  <c r="K387" i="12860"/>
  <c r="K401" i="12860" s="1"/>
  <c r="M401" i="12860" s="1"/>
  <c r="I390" i="12860"/>
  <c r="I355" i="12860" s="1"/>
  <c r="G403" i="12860"/>
  <c r="I403" i="12860" s="1"/>
  <c r="I368" i="12860" s="1"/>
  <c r="G401" i="12860"/>
  <c r="I401" i="12860" s="1"/>
  <c r="I428" i="12860"/>
  <c r="G170" i="12861"/>
  <c r="G493" i="12861" s="1"/>
  <c r="G436" i="12860"/>
  <c r="I436" i="12860" s="1"/>
  <c r="I532" i="12860"/>
  <c r="I462" i="12860" s="1"/>
  <c r="I496" i="12860"/>
  <c r="G527" i="12860"/>
  <c r="I527" i="12860" s="1"/>
  <c r="G464" i="12861"/>
  <c r="G476" i="12861" s="1"/>
  <c r="G195" i="12861"/>
  <c r="G220" i="12861"/>
  <c r="AA22" i="12863" s="1"/>
  <c r="AB22" i="12863" s="1"/>
  <c r="I284" i="12860"/>
  <c r="G457" i="12860"/>
  <c r="G471" i="12860" s="1"/>
  <c r="I287" i="12860"/>
  <c r="G499" i="12861"/>
  <c r="G511" i="12861" s="1"/>
  <c r="I511" i="12861" s="1"/>
  <c r="X180" i="12861"/>
  <c r="G393" i="12861"/>
  <c r="I393" i="12861" s="1"/>
  <c r="G428" i="12861"/>
  <c r="I428" i="12861" s="1"/>
  <c r="G187" i="12861"/>
  <c r="G323" i="12861"/>
  <c r="G335" i="12861" s="1"/>
  <c r="I335" i="12861" s="1"/>
  <c r="I533" i="12860"/>
  <c r="K686" i="12860"/>
  <c r="K648" i="12860"/>
  <c r="K623" i="12860"/>
  <c r="K565" i="12860"/>
  <c r="G690" i="12861"/>
  <c r="G626" i="12861"/>
  <c r="X610" i="12861"/>
  <c r="G652" i="12861"/>
  <c r="G611" i="12861"/>
  <c r="G661" i="12860"/>
  <c r="I645" i="12860"/>
  <c r="G563" i="12861"/>
  <c r="I562" i="12860"/>
  <c r="I481" i="12860" s="1"/>
  <c r="I200" i="12860" s="1"/>
  <c r="U200" i="12860" s="1"/>
  <c r="G578" i="12860"/>
  <c r="I578" i="12860" s="1"/>
  <c r="K620" i="12860"/>
  <c r="K644" i="12860"/>
  <c r="K561" i="12860"/>
  <c r="K682" i="12860"/>
  <c r="G662" i="12860"/>
  <c r="I646" i="12860"/>
  <c r="G657" i="12861"/>
  <c r="X615" i="12861"/>
  <c r="G630" i="12861"/>
  <c r="G695" i="12861"/>
  <c r="K621" i="12860"/>
  <c r="K562" i="12860"/>
  <c r="K645" i="12860"/>
  <c r="K683" i="12860"/>
  <c r="G698" i="12860"/>
  <c r="I698" i="12860" s="1"/>
  <c r="I682" i="12860"/>
  <c r="I249" i="12860"/>
  <c r="I215" i="12860" s="1"/>
  <c r="R16" i="12864"/>
  <c r="G623" i="12861"/>
  <c r="G647" i="12861"/>
  <c r="X605" i="12861"/>
  <c r="G685" i="12861"/>
  <c r="X610" i="12860"/>
  <c r="G626" i="12860"/>
  <c r="G569" i="12861"/>
  <c r="G582" i="12860"/>
  <c r="I568" i="12860"/>
  <c r="G567" i="12861"/>
  <c r="I566" i="12860"/>
  <c r="G581" i="12860"/>
  <c r="I581" i="12860" s="1"/>
  <c r="G573" i="12861"/>
  <c r="G586" i="12861" s="1"/>
  <c r="I586" i="12861" s="1"/>
  <c r="G585" i="12860"/>
  <c r="I585" i="12860" s="1"/>
  <c r="I572" i="12860"/>
  <c r="G684" i="12861"/>
  <c r="X604" i="12861"/>
  <c r="G622" i="12861"/>
  <c r="G646" i="12861"/>
  <c r="G562" i="12861"/>
  <c r="G577" i="12860"/>
  <c r="I577" i="12860" s="1"/>
  <c r="I561" i="12860"/>
  <c r="I480" i="12860" s="1"/>
  <c r="I199" i="12860" s="1"/>
  <c r="U199" i="12860" s="1"/>
  <c r="G700" i="12860"/>
  <c r="I700" i="12860" s="1"/>
  <c r="I684" i="12860"/>
  <c r="K622" i="12860"/>
  <c r="K646" i="12860"/>
  <c r="K684" i="12860"/>
  <c r="K563" i="12860"/>
  <c r="I686" i="12860"/>
  <c r="G701" i="12860"/>
  <c r="I701" i="12860" s="1"/>
  <c r="I651" i="12860"/>
  <c r="G652" i="12860"/>
  <c r="G665" i="12860"/>
  <c r="G702" i="12860"/>
  <c r="I702" i="12860" s="1"/>
  <c r="I687" i="12860"/>
  <c r="G511" i="12860"/>
  <c r="I511" i="12860" s="1"/>
  <c r="I476" i="12860" s="1"/>
  <c r="G564" i="12861"/>
  <c r="I563" i="12860"/>
  <c r="I482" i="12860" s="1"/>
  <c r="I201" i="12860" s="1"/>
  <c r="U201" i="12860" s="1"/>
  <c r="G579" i="12860"/>
  <c r="I579" i="12860" s="1"/>
  <c r="X607" i="12861"/>
  <c r="G687" i="12861"/>
  <c r="G624" i="12861"/>
  <c r="G649" i="12861"/>
  <c r="K624" i="12860"/>
  <c r="K566" i="12860"/>
  <c r="K649" i="12860"/>
  <c r="K687" i="12860"/>
  <c r="G669" i="12860"/>
  <c r="I656" i="12860"/>
  <c r="I683" i="12860"/>
  <c r="G699" i="12860"/>
  <c r="I699" i="12860" s="1"/>
  <c r="I254" i="12860"/>
  <c r="G249" i="12861"/>
  <c r="G262" i="12861" s="1"/>
  <c r="I262" i="12861" s="1"/>
  <c r="I648" i="12860"/>
  <c r="G663" i="12860"/>
  <c r="G566" i="12861"/>
  <c r="I565" i="12860"/>
  <c r="G580" i="12860"/>
  <c r="I580" i="12860" s="1"/>
  <c r="I689" i="12860"/>
  <c r="G690" i="12860"/>
  <c r="G703" i="12860"/>
  <c r="I703" i="12860" s="1"/>
  <c r="G664" i="12860"/>
  <c r="I649" i="12860"/>
  <c r="I607" i="12860" s="1"/>
  <c r="M607" i="12860" s="1"/>
  <c r="G688" i="12861"/>
  <c r="G625" i="12861"/>
  <c r="X608" i="12861"/>
  <c r="G650" i="12861"/>
  <c r="I694" i="12860"/>
  <c r="G707" i="12860"/>
  <c r="I707" i="12860" s="1"/>
  <c r="I644" i="12860"/>
  <c r="G660" i="12860"/>
  <c r="G645" i="12861"/>
  <c r="G621" i="12861"/>
  <c r="G683" i="12861"/>
  <c r="X603" i="12861"/>
  <c r="I427" i="12860"/>
  <c r="I323" i="12860"/>
  <c r="G543" i="12860"/>
  <c r="I543" i="12860" s="1"/>
  <c r="I473" i="12860" s="1"/>
  <c r="I393" i="12860"/>
  <c r="I421" i="12860"/>
  <c r="I475" i="12860"/>
  <c r="I461" i="12860"/>
  <c r="G458" i="12860"/>
  <c r="G472" i="12860" s="1"/>
  <c r="K386" i="12860"/>
  <c r="K400" i="12860" s="1"/>
  <c r="M400" i="12860" s="1"/>
  <c r="G261" i="12860"/>
  <c r="I261" i="12860" s="1"/>
  <c r="G191" i="12861"/>
  <c r="K283" i="12860"/>
  <c r="M283" i="12860" s="1"/>
  <c r="I289" i="12860"/>
  <c r="G352" i="12861"/>
  <c r="G366" i="12861" s="1"/>
  <c r="K351" i="12860"/>
  <c r="K365" i="12860" s="1"/>
  <c r="G330" i="12860"/>
  <c r="I330" i="12860" s="1"/>
  <c r="G528" i="12860"/>
  <c r="I528" i="12860" s="1"/>
  <c r="G215" i="12861"/>
  <c r="AB14" i="12863" s="1"/>
  <c r="AB15" i="12863" s="1"/>
  <c r="G284" i="12861"/>
  <c r="I284" i="12861" s="1"/>
  <c r="I322" i="12860"/>
  <c r="K317" i="12860"/>
  <c r="K330" i="12860" s="1"/>
  <c r="M330" i="12860" s="1"/>
  <c r="K169" i="12860"/>
  <c r="K527" i="12860" s="1"/>
  <c r="K190" i="12860"/>
  <c r="M190" i="12860" s="1"/>
  <c r="X170" i="12860"/>
  <c r="G171" i="12861"/>
  <c r="G459" i="12861" s="1"/>
  <c r="G473" i="12861" s="1"/>
  <c r="G422" i="12861"/>
  <c r="I422" i="12861" s="1"/>
  <c r="K248" i="12860"/>
  <c r="M248" i="12860" s="1"/>
  <c r="G318" i="12861"/>
  <c r="G331" i="12861" s="1"/>
  <c r="I331" i="12861" s="1"/>
  <c r="X174" i="12861"/>
  <c r="K421" i="12860"/>
  <c r="M421" i="12860" s="1"/>
  <c r="I253" i="12860"/>
  <c r="I498" i="12860"/>
  <c r="G535" i="12861"/>
  <c r="I535" i="12861" s="1"/>
  <c r="G331" i="12860"/>
  <c r="I331" i="12860" s="1"/>
  <c r="I228" i="12860" s="1"/>
  <c r="G500" i="12861"/>
  <c r="G512" i="12861" s="1"/>
  <c r="I512" i="12861" s="1"/>
  <c r="G290" i="12861"/>
  <c r="I290" i="12861" s="1"/>
  <c r="G188" i="12861"/>
  <c r="X181" i="12861"/>
  <c r="G196" i="12861"/>
  <c r="G465" i="12861"/>
  <c r="G477" i="12861" s="1"/>
  <c r="G300" i="12860"/>
  <c r="I300" i="12860" s="1"/>
  <c r="I321" i="12860"/>
  <c r="I426" i="12860"/>
  <c r="G221" i="12861"/>
  <c r="AA23" i="12863" s="1"/>
  <c r="AB23" i="12863" s="1"/>
  <c r="G324" i="12861"/>
  <c r="I324" i="12861" s="1"/>
  <c r="G394" i="12861"/>
  <c r="G406" i="12861" s="1"/>
  <c r="I406" i="12861" s="1"/>
  <c r="G429" i="12861"/>
  <c r="G441" i="12861" s="1"/>
  <c r="I441" i="12861" s="1"/>
  <c r="I92" i="12767"/>
  <c r="I252" i="12860"/>
  <c r="G509" i="12860"/>
  <c r="I509" i="12860" s="1"/>
  <c r="I474" i="12860" s="1"/>
  <c r="I94" i="12861"/>
  <c r="I145" i="12767"/>
  <c r="I147" i="12767" s="1"/>
  <c r="S94" i="12861"/>
  <c r="U94" i="12861" s="1"/>
  <c r="S94" i="12843"/>
  <c r="U94" i="12843" s="1"/>
  <c r="G127" i="12843"/>
  <c r="I127" i="12843" s="1"/>
  <c r="X93" i="12843"/>
  <c r="G157" i="12843"/>
  <c r="I157" i="12843" s="1"/>
  <c r="G142" i="12843"/>
  <c r="I142" i="12843" s="1"/>
  <c r="G112" i="12843"/>
  <c r="I112" i="12843" s="1"/>
  <c r="S141" i="12861"/>
  <c r="U92" i="12861"/>
  <c r="S126" i="12861"/>
  <c r="S128" i="12861" s="1"/>
  <c r="S111" i="12861"/>
  <c r="S115" i="12861" s="1"/>
  <c r="S156" i="12861"/>
  <c r="I130" i="12767"/>
  <c r="I132" i="12767" s="1"/>
  <c r="I126" i="12843"/>
  <c r="G128" i="12843"/>
  <c r="I128" i="12843" s="1"/>
  <c r="I141" i="12843"/>
  <c r="G143" i="12843"/>
  <c r="I143" i="12843" s="1"/>
  <c r="S157" i="12767"/>
  <c r="U157" i="12767" s="1"/>
  <c r="U155" i="12767"/>
  <c r="I160" i="12767"/>
  <c r="I162" i="12767" s="1"/>
  <c r="I93" i="12767"/>
  <c r="S141" i="12843"/>
  <c r="S156" i="12843"/>
  <c r="S126" i="12843"/>
  <c r="S128" i="12843" s="1"/>
  <c r="U92" i="12843"/>
  <c r="S111" i="12843"/>
  <c r="S115" i="12843" s="1"/>
  <c r="G158" i="12843"/>
  <c r="I158" i="12843" s="1"/>
  <c r="I156" i="12843"/>
  <c r="S114" i="12767"/>
  <c r="U114" i="12767" s="1"/>
  <c r="U110" i="12767"/>
  <c r="S93" i="12861"/>
  <c r="S93" i="12843"/>
  <c r="S141" i="12767"/>
  <c r="U141" i="12767" s="1"/>
  <c r="S126" i="12767"/>
  <c r="U126" i="12767" s="1"/>
  <c r="S111" i="12767"/>
  <c r="U111" i="12767" s="1"/>
  <c r="S156" i="12767"/>
  <c r="U156" i="12767" s="1"/>
  <c r="I91" i="12767"/>
  <c r="I115" i="12767"/>
  <c r="I111" i="12843"/>
  <c r="G115" i="12843"/>
  <c r="I115" i="12843" s="1"/>
  <c r="U125" i="12767"/>
  <c r="S127" i="12767"/>
  <c r="U127" i="12767" s="1"/>
  <c r="U140" i="12767"/>
  <c r="S142" i="12767"/>
  <c r="U142" i="12767" s="1"/>
  <c r="U17" i="12868"/>
  <c r="I908" i="12843"/>
  <c r="I907" i="12843"/>
  <c r="G25" i="12868"/>
  <c r="G19" i="12868"/>
  <c r="G28" i="12868"/>
  <c r="G17" i="12868"/>
  <c r="G23" i="12868"/>
  <c r="G15" i="12868"/>
  <c r="G29" i="12868"/>
  <c r="G27" i="12868"/>
  <c r="G20" i="12868"/>
  <c r="G21" i="12868"/>
  <c r="G24" i="12868"/>
  <c r="G16" i="12868"/>
  <c r="I1102" i="12843"/>
  <c r="I1104" i="12843" s="1"/>
  <c r="N29" i="12783" s="1"/>
  <c r="W29" i="12783" s="1"/>
  <c r="I904" i="12843"/>
  <c r="I1102" i="12861"/>
  <c r="I1104" i="12861" s="1"/>
  <c r="K1095" i="12860"/>
  <c r="M1096" i="12860"/>
  <c r="I28" i="12868"/>
  <c r="U18" i="12868"/>
  <c r="I15" i="12868"/>
  <c r="I23" i="12868"/>
  <c r="I27" i="12868"/>
  <c r="I16" i="12868"/>
  <c r="I20" i="12868"/>
  <c r="I19" i="12868"/>
  <c r="I21" i="12868"/>
  <c r="I25" i="12868"/>
  <c r="I24" i="12868"/>
  <c r="I17" i="12868"/>
  <c r="I29" i="12868"/>
  <c r="I556" i="12843"/>
  <c r="W1271" i="12860"/>
  <c r="W1277" i="12861"/>
  <c r="G23" i="12867"/>
  <c r="G27" i="12867"/>
  <c r="G28" i="12867"/>
  <c r="G25" i="12867"/>
  <c r="G29" i="12867"/>
  <c r="G24" i="12867"/>
  <c r="G15" i="12867"/>
  <c r="G19" i="12867"/>
  <c r="G16" i="12867"/>
  <c r="G20" i="12867"/>
  <c r="G21" i="12867"/>
  <c r="G17" i="12867"/>
  <c r="I762" i="12860"/>
  <c r="I754" i="12860"/>
  <c r="M754" i="12860" s="1"/>
  <c r="I749" i="12860"/>
  <c r="M749" i="12860" s="1"/>
  <c r="I733" i="12860"/>
  <c r="M733" i="12860" s="1"/>
  <c r="I724" i="12860"/>
  <c r="M724" i="12860" s="1"/>
  <c r="I740" i="12860"/>
  <c r="I750" i="12860"/>
  <c r="M750" i="12860" s="1"/>
  <c r="I741" i="12860"/>
  <c r="U741" i="12860" s="1"/>
  <c r="S741" i="12860" s="1"/>
  <c r="I753" i="12860"/>
  <c r="M753" i="12860" s="1"/>
  <c r="I787" i="12861"/>
  <c r="G806" i="12861"/>
  <c r="I806" i="12861" s="1"/>
  <c r="M786" i="12860"/>
  <c r="K806" i="12860"/>
  <c r="M806" i="12860" s="1"/>
  <c r="M777" i="12860"/>
  <c r="K801" i="12860"/>
  <c r="M801" i="12860" s="1"/>
  <c r="I789" i="12860"/>
  <c r="G809" i="12860"/>
  <c r="I809" i="12860" s="1"/>
  <c r="K756" i="12860"/>
  <c r="K789" i="12860"/>
  <c r="K842" i="12860"/>
  <c r="G854" i="12861"/>
  <c r="I854" i="12861" s="1"/>
  <c r="I830" i="12861"/>
  <c r="G756" i="12861"/>
  <c r="X735" i="12861"/>
  <c r="G789" i="12861"/>
  <c r="G840" i="12861"/>
  <c r="I841" i="12860"/>
  <c r="G861" i="12860"/>
  <c r="I861" i="12860" s="1"/>
  <c r="I732" i="12860"/>
  <c r="M732" i="12860" s="1"/>
  <c r="G805" i="12861"/>
  <c r="I805" i="12861" s="1"/>
  <c r="I786" i="12861"/>
  <c r="G793" i="12861"/>
  <c r="G858" i="12861"/>
  <c r="I858" i="12861" s="1"/>
  <c r="I838" i="12861"/>
  <c r="I844" i="12860"/>
  <c r="G864" i="12860"/>
  <c r="I864" i="12860" s="1"/>
  <c r="K802" i="12860"/>
  <c r="M802" i="12860" s="1"/>
  <c r="M778" i="12860"/>
  <c r="M830" i="12860"/>
  <c r="K854" i="12860"/>
  <c r="M854" i="12860" s="1"/>
  <c r="G815" i="12861"/>
  <c r="I815" i="12861" s="1"/>
  <c r="I796" i="12861"/>
  <c r="K858" i="12860"/>
  <c r="M858" i="12860" s="1"/>
  <c r="K845" i="12860"/>
  <c r="M838" i="12860"/>
  <c r="G841" i="12861"/>
  <c r="G757" i="12861"/>
  <c r="X736" i="12861"/>
  <c r="G790" i="12861"/>
  <c r="I779" i="12861"/>
  <c r="G802" i="12861"/>
  <c r="I802" i="12861" s="1"/>
  <c r="G808" i="12860"/>
  <c r="I808" i="12860" s="1"/>
  <c r="I788" i="12860"/>
  <c r="I795" i="12861"/>
  <c r="G814" i="12861"/>
  <c r="I814" i="12861" s="1"/>
  <c r="G803" i="12861"/>
  <c r="I803" i="12861" s="1"/>
  <c r="G792" i="12861"/>
  <c r="I784" i="12861"/>
  <c r="I778" i="12861"/>
  <c r="G801" i="12861"/>
  <c r="I801" i="12861" s="1"/>
  <c r="I788" i="12861"/>
  <c r="G807" i="12861"/>
  <c r="I807" i="12861" s="1"/>
  <c r="M831" i="12860"/>
  <c r="K855" i="12860"/>
  <c r="M855" i="12860" s="1"/>
  <c r="I847" i="12861"/>
  <c r="G867" i="12861"/>
  <c r="I867" i="12861" s="1"/>
  <c r="K860" i="12860"/>
  <c r="M860" i="12860" s="1"/>
  <c r="M840" i="12860"/>
  <c r="K841" i="12860"/>
  <c r="K788" i="12860"/>
  <c r="K755" i="12860"/>
  <c r="I748" i="12860"/>
  <c r="M748" i="12860" s="1"/>
  <c r="G844" i="12861"/>
  <c r="I837" i="12861"/>
  <c r="G857" i="12861"/>
  <c r="I857" i="12861" s="1"/>
  <c r="I846" i="12861"/>
  <c r="G866" i="12861"/>
  <c r="I866" i="12861" s="1"/>
  <c r="I835" i="12861"/>
  <c r="G843" i="12861"/>
  <c r="G855" i="12861"/>
  <c r="I855" i="12861" s="1"/>
  <c r="K844" i="12860"/>
  <c r="K856" i="12860"/>
  <c r="M856" i="12860" s="1"/>
  <c r="M836" i="12860"/>
  <c r="K801" i="12861"/>
  <c r="M801" i="12861" s="1"/>
  <c r="M778" i="12861"/>
  <c r="K859" i="12860"/>
  <c r="M859" i="12860" s="1"/>
  <c r="M839" i="12860"/>
  <c r="I792" i="12860"/>
  <c r="G812" i="12860"/>
  <c r="I812" i="12860" s="1"/>
  <c r="G859" i="12861"/>
  <c r="I859" i="12861" s="1"/>
  <c r="I839" i="12861"/>
  <c r="M785" i="12860"/>
  <c r="K792" i="12860"/>
  <c r="K805" i="12860"/>
  <c r="M805" i="12860" s="1"/>
  <c r="G862" i="12860"/>
  <c r="I862" i="12860" s="1"/>
  <c r="I842" i="12860"/>
  <c r="I791" i="12860"/>
  <c r="G811" i="12860"/>
  <c r="I811" i="12860" s="1"/>
  <c r="K802" i="12861"/>
  <c r="M802" i="12861" s="1"/>
  <c r="M779" i="12861"/>
  <c r="I845" i="12860"/>
  <c r="G865" i="12860"/>
  <c r="I865" i="12860" s="1"/>
  <c r="I761" i="12860"/>
  <c r="M787" i="12860"/>
  <c r="K807" i="12860"/>
  <c r="M807" i="12860" s="1"/>
  <c r="I723" i="12860"/>
  <c r="M723" i="12860" s="1"/>
  <c r="K803" i="12860"/>
  <c r="M803" i="12860" s="1"/>
  <c r="M783" i="12860"/>
  <c r="K791" i="12860"/>
  <c r="I829" i="12861"/>
  <c r="G853" i="12861"/>
  <c r="I853" i="12861" s="1"/>
  <c r="Q21" i="12860"/>
  <c r="O21" i="12860" s="1"/>
  <c r="I230" i="12860"/>
  <c r="I365" i="12860"/>
  <c r="I534" i="12861"/>
  <c r="G546" i="12861"/>
  <c r="I546" i="12861" s="1"/>
  <c r="G401" i="12861"/>
  <c r="I401" i="12861" s="1"/>
  <c r="I387" i="12861"/>
  <c r="G267" i="12861"/>
  <c r="I267" i="12861" s="1"/>
  <c r="I255" i="12861"/>
  <c r="I352" i="12860"/>
  <c r="G438" i="12861"/>
  <c r="I438" i="12861" s="1"/>
  <c r="I426" i="12861"/>
  <c r="I369" i="12860"/>
  <c r="G402" i="12861"/>
  <c r="I402" i="12861" s="1"/>
  <c r="I388" i="12861"/>
  <c r="I232" i="12860"/>
  <c r="I283" i="12861"/>
  <c r="G296" i="12861"/>
  <c r="I296" i="12861" s="1"/>
  <c r="M318" i="12860"/>
  <c r="K331" i="12860"/>
  <c r="M331" i="12860" s="1"/>
  <c r="K491" i="12860"/>
  <c r="K456" i="12860"/>
  <c r="K470" i="12860" s="1"/>
  <c r="K526" i="12860"/>
  <c r="I370" i="12860"/>
  <c r="U20" i="12860"/>
  <c r="S20" i="12860" s="1"/>
  <c r="M20" i="12860"/>
  <c r="K20" i="12860" s="1"/>
  <c r="Q20" i="12860"/>
  <c r="O20" i="12860" s="1"/>
  <c r="M21" i="12860"/>
  <c r="K21" i="12860" s="1"/>
  <c r="I64" i="12861"/>
  <c r="I66" i="12861" s="1"/>
  <c r="Q15" i="12860"/>
  <c r="U15" i="12860"/>
  <c r="M15" i="12860"/>
  <c r="I16" i="12861"/>
  <c r="I21" i="12861"/>
  <c r="I19" i="12861"/>
  <c r="I15" i="12861"/>
  <c r="I46" i="12861"/>
  <c r="M16" i="12860"/>
  <c r="K16" i="12860" s="1"/>
  <c r="Q16" i="12860"/>
  <c r="O16" i="12860" s="1"/>
  <c r="U16" i="12860"/>
  <c r="S16" i="12860" s="1"/>
  <c r="M17" i="12860"/>
  <c r="K17" i="12860" s="1"/>
  <c r="Q17" i="12860"/>
  <c r="O17" i="12860" s="1"/>
  <c r="U17" i="12860"/>
  <c r="S17" i="12860" s="1"/>
  <c r="I17" i="12861"/>
  <c r="I82" i="12861"/>
  <c r="I84" i="12861" s="1"/>
  <c r="U21" i="12860"/>
  <c r="S21" i="12860" s="1"/>
  <c r="M19" i="12860"/>
  <c r="K19" i="12860" s="1"/>
  <c r="U19" i="12860"/>
  <c r="S19" i="12860" s="1"/>
  <c r="Q19" i="12860"/>
  <c r="O19" i="12860" s="1"/>
  <c r="I47" i="12860"/>
  <c r="I25" i="12860"/>
  <c r="I27" i="12860" s="1"/>
  <c r="I20" i="12861"/>
  <c r="M109" i="12843"/>
  <c r="M109" i="12861"/>
  <c r="M116" i="12861" s="1"/>
  <c r="M118" i="12861" s="1"/>
  <c r="Q124" i="12843"/>
  <c r="Q124" i="12861"/>
  <c r="Q131" i="12861" s="1"/>
  <c r="Q133" i="12861" s="1"/>
  <c r="M110" i="12843"/>
  <c r="M110" i="12861"/>
  <c r="Q109" i="12843"/>
  <c r="Q109" i="12861"/>
  <c r="Q116" i="12861" s="1"/>
  <c r="Q118" i="12861" s="1"/>
  <c r="Q125" i="12843"/>
  <c r="Q125" i="12861"/>
  <c r="G586" i="12843"/>
  <c r="I586" i="12843" s="1"/>
  <c r="M725" i="12843"/>
  <c r="M725" i="12861"/>
  <c r="M734" i="12843"/>
  <c r="M734" i="12861"/>
  <c r="M751" i="12843"/>
  <c r="M751" i="12861"/>
  <c r="M730" i="12843"/>
  <c r="M730" i="12861"/>
  <c r="M755" i="12843"/>
  <c r="M755" i="12861"/>
  <c r="M754" i="12843"/>
  <c r="M754" i="12861"/>
  <c r="M753" i="12843"/>
  <c r="M753" i="12861"/>
  <c r="M732" i="12843"/>
  <c r="M732" i="12861"/>
  <c r="M174" i="12843"/>
  <c r="M174" i="12861"/>
  <c r="M750" i="12843"/>
  <c r="M750" i="12861"/>
  <c r="M173" i="12843"/>
  <c r="M173" i="12861"/>
  <c r="M724" i="12843"/>
  <c r="M724" i="12861"/>
  <c r="M749" i="12843"/>
  <c r="M749" i="12861"/>
  <c r="M733" i="12843"/>
  <c r="M733" i="12861"/>
  <c r="X46" i="12831"/>
  <c r="X50" i="12831" s="1"/>
  <c r="AA46" i="12831"/>
  <c r="Z50" i="12831"/>
  <c r="AA50" i="12831" s="1"/>
  <c r="M130" i="12767"/>
  <c r="M132" i="12767" s="1"/>
  <c r="M124" i="12843"/>
  <c r="S1099" i="12767"/>
  <c r="U1099" i="12843"/>
  <c r="O1099" i="12767"/>
  <c r="Q1099" i="12843"/>
  <c r="K809" i="12767"/>
  <c r="M809" i="12767" s="1"/>
  <c r="K861" i="12767"/>
  <c r="M861" i="12767" s="1"/>
  <c r="Q1084" i="12767"/>
  <c r="U1084" i="12767"/>
  <c r="M1084" i="12767"/>
  <c r="U1065" i="12767"/>
  <c r="Q1047" i="12767"/>
  <c r="Q1065" i="12767"/>
  <c r="M1065" i="12767"/>
  <c r="U1047" i="12767"/>
  <c r="M1047" i="12767"/>
  <c r="K862" i="12767"/>
  <c r="M862" i="12767" s="1"/>
  <c r="K808" i="12767"/>
  <c r="M808" i="12767" s="1"/>
  <c r="Q130" i="12767"/>
  <c r="Q132" i="12767" s="1"/>
  <c r="M145" i="12767"/>
  <c r="M147" i="12767" s="1"/>
  <c r="Q47" i="12843"/>
  <c r="Q65" i="12843"/>
  <c r="U65" i="12843"/>
  <c r="U83" i="12843"/>
  <c r="Q109" i="12767"/>
  <c r="Q110" i="12861" s="1"/>
  <c r="Q145" i="12767"/>
  <c r="Q147" i="12767" s="1"/>
  <c r="M83" i="12843"/>
  <c r="M47" i="12843"/>
  <c r="O110" i="12843"/>
  <c r="O140" i="12843" s="1"/>
  <c r="Q140" i="12843" s="1"/>
  <c r="O125" i="12843"/>
  <c r="O155" i="12843"/>
  <c r="Q155" i="12843" s="1"/>
  <c r="O98" i="12843"/>
  <c r="Q160" i="12767"/>
  <c r="Q162" i="12767" s="1"/>
  <c r="I1054" i="12843"/>
  <c r="I903" i="12843" s="1"/>
  <c r="I1028" i="12843"/>
  <c r="I1048" i="12843"/>
  <c r="I1083" i="12843"/>
  <c r="I1010" i="12843"/>
  <c r="I932" i="12843"/>
  <c r="I521" i="12843"/>
  <c r="I484" i="12843"/>
  <c r="O109" i="12843"/>
  <c r="O124" i="12843"/>
  <c r="O139" i="12843"/>
  <c r="Q139" i="12843" s="1"/>
  <c r="Q90" i="12843"/>
  <c r="Q99" i="12843" s="1"/>
  <c r="Q101" i="12843" s="1"/>
  <c r="O154" i="12843"/>
  <c r="Q154" i="12843" s="1"/>
  <c r="O97" i="12843"/>
  <c r="K140" i="12843"/>
  <c r="M140" i="12843" s="1"/>
  <c r="M115" i="12767"/>
  <c r="M117" i="12767" s="1"/>
  <c r="K139" i="12843"/>
  <c r="M139" i="12843" s="1"/>
  <c r="K109" i="12843"/>
  <c r="K124" i="12843"/>
  <c r="K154" i="12843"/>
  <c r="M154" i="12843" s="1"/>
  <c r="M161" i="12843" s="1"/>
  <c r="M163" i="12843" s="1"/>
  <c r="K97" i="12843"/>
  <c r="M90" i="12843"/>
  <c r="M99" i="12843" s="1"/>
  <c r="M101" i="12843" s="1"/>
  <c r="U990" i="12767"/>
  <c r="U953" i="12767"/>
  <c r="Q972" i="12767"/>
  <c r="Q990" i="12767"/>
  <c r="Q953" i="12767"/>
  <c r="Q949" i="12767"/>
  <c r="M990" i="12767"/>
  <c r="U972" i="12767"/>
  <c r="M953" i="12767"/>
  <c r="U949" i="12767"/>
  <c r="M972" i="12767"/>
  <c r="I790" i="12843"/>
  <c r="G809" i="12843"/>
  <c r="I809" i="12843" s="1"/>
  <c r="K757" i="12843"/>
  <c r="K790" i="12843"/>
  <c r="K841" i="12843"/>
  <c r="G860" i="12843"/>
  <c r="I860" i="12843" s="1"/>
  <c r="I840" i="12843"/>
  <c r="I841" i="12843"/>
  <c r="G861" i="12843"/>
  <c r="I861" i="12843" s="1"/>
  <c r="G808" i="12843"/>
  <c r="I808" i="12843" s="1"/>
  <c r="I789" i="12843"/>
  <c r="K756" i="12843"/>
  <c r="K840" i="12843"/>
  <c r="K789" i="12843"/>
  <c r="U1029" i="12767"/>
  <c r="M1029" i="12767"/>
  <c r="Q1029" i="12767"/>
  <c r="U26" i="12767"/>
  <c r="Q26" i="12767"/>
  <c r="Q15" i="12767" s="1"/>
  <c r="M26" i="12767"/>
  <c r="U1005" i="12767"/>
  <c r="Q1009" i="12767"/>
  <c r="Q1005" i="12767"/>
  <c r="U1009" i="12767"/>
  <c r="M1009" i="12767"/>
  <c r="M1002" i="12767" s="1"/>
  <c r="U184" i="12767"/>
  <c r="M1096" i="12767"/>
  <c r="M908" i="12767"/>
  <c r="S515" i="12767"/>
  <c r="U515" i="12767" s="1"/>
  <c r="S430" i="12767"/>
  <c r="U430" i="12767" s="1"/>
  <c r="S374" i="12767"/>
  <c r="S291" i="12767"/>
  <c r="U291" i="12767" s="1"/>
  <c r="S480" i="12767"/>
  <c r="S360" i="12767"/>
  <c r="S325" i="12767"/>
  <c r="U325" i="12767" s="1"/>
  <c r="S256" i="12767"/>
  <c r="U256" i="12767" s="1"/>
  <c r="S199" i="12767"/>
  <c r="S536" i="12767"/>
  <c r="U536" i="12767" s="1"/>
  <c r="S339" i="12767"/>
  <c r="U339" i="12767" s="1"/>
  <c r="S236" i="12767"/>
  <c r="S444" i="12767"/>
  <c r="U444" i="12767" s="1"/>
  <c r="S409" i="12767"/>
  <c r="U409" i="12767" s="1"/>
  <c r="S305" i="12767"/>
  <c r="U305" i="12767" s="1"/>
  <c r="S270" i="12767"/>
  <c r="U270" i="12767" s="1"/>
  <c r="S501" i="12767"/>
  <c r="U501" i="12767" s="1"/>
  <c r="S466" i="12767"/>
  <c r="S222" i="12767"/>
  <c r="S550" i="12767"/>
  <c r="U550" i="12767" s="1"/>
  <c r="S395" i="12767"/>
  <c r="U395" i="12767" s="1"/>
  <c r="S710" i="12767"/>
  <c r="U710" i="12767" s="1"/>
  <c r="U695" i="12767"/>
  <c r="S551" i="12767"/>
  <c r="U551" i="12767" s="1"/>
  <c r="S502" i="12767"/>
  <c r="U502" i="12767" s="1"/>
  <c r="S445" i="12767"/>
  <c r="U445" i="12767" s="1"/>
  <c r="S361" i="12767"/>
  <c r="S306" i="12767"/>
  <c r="U306" i="12767" s="1"/>
  <c r="S431" i="12767"/>
  <c r="U431" i="12767" s="1"/>
  <c r="S396" i="12767"/>
  <c r="U396" i="12767" s="1"/>
  <c r="S271" i="12767"/>
  <c r="U271" i="12767" s="1"/>
  <c r="S410" i="12767"/>
  <c r="U410" i="12767" s="1"/>
  <c r="S292" i="12767"/>
  <c r="U292" i="12767" s="1"/>
  <c r="S223" i="12767"/>
  <c r="S537" i="12767"/>
  <c r="U537" i="12767" s="1"/>
  <c r="S467" i="12767"/>
  <c r="S375" i="12767"/>
  <c r="S326" i="12767"/>
  <c r="U326" i="12767" s="1"/>
  <c r="S257" i="12767"/>
  <c r="U257" i="12767" s="1"/>
  <c r="S200" i="12767"/>
  <c r="S516" i="12767"/>
  <c r="U516" i="12767" s="1"/>
  <c r="S481" i="12767"/>
  <c r="S340" i="12767"/>
  <c r="U340" i="12767" s="1"/>
  <c r="S237" i="12767"/>
  <c r="S633" i="12767"/>
  <c r="S696" i="12767"/>
  <c r="S658" i="12767"/>
  <c r="S593" i="12767"/>
  <c r="U593" i="12767" s="1"/>
  <c r="S672" i="12767"/>
  <c r="U672" i="12767" s="1"/>
  <c r="U657" i="12767"/>
  <c r="S517" i="12767"/>
  <c r="U517" i="12767" s="1"/>
  <c r="S432" i="12767"/>
  <c r="U432" i="12767" s="1"/>
  <c r="S376" i="12767"/>
  <c r="S293" i="12767"/>
  <c r="U293" i="12767" s="1"/>
  <c r="S552" i="12767"/>
  <c r="U552" i="12767" s="1"/>
  <c r="S503" i="12767"/>
  <c r="U503" i="12767" s="1"/>
  <c r="S468" i="12767"/>
  <c r="S307" i="12767"/>
  <c r="U307" i="12767" s="1"/>
  <c r="S258" i="12767"/>
  <c r="U258" i="12767" s="1"/>
  <c r="S201" i="12767"/>
  <c r="S482" i="12767"/>
  <c r="S362" i="12767"/>
  <c r="S327" i="12767"/>
  <c r="U327" i="12767" s="1"/>
  <c r="S238" i="12767"/>
  <c r="S272" i="12767"/>
  <c r="U272" i="12767" s="1"/>
  <c r="S538" i="12767"/>
  <c r="U538" i="12767" s="1"/>
  <c r="S411" i="12767"/>
  <c r="U411" i="12767" s="1"/>
  <c r="S397" i="12767"/>
  <c r="U397" i="12767" s="1"/>
  <c r="S341" i="12767"/>
  <c r="U341" i="12767" s="1"/>
  <c r="S446" i="12767"/>
  <c r="U446" i="12767" s="1"/>
  <c r="S224" i="12767"/>
  <c r="Q1063" i="12767"/>
  <c r="I310" i="12767"/>
  <c r="K710" i="12767"/>
  <c r="M710" i="12767" s="1"/>
  <c r="M695" i="12767"/>
  <c r="K538" i="12767"/>
  <c r="M538" i="12767" s="1"/>
  <c r="K482" i="12767"/>
  <c r="K397" i="12767"/>
  <c r="M397" i="12767" s="1"/>
  <c r="K341" i="12767"/>
  <c r="M341" i="12767" s="1"/>
  <c r="K468" i="12767"/>
  <c r="K432" i="12767"/>
  <c r="M432" i="12767" s="1"/>
  <c r="K272" i="12767"/>
  <c r="M272" i="12767" s="1"/>
  <c r="K552" i="12767"/>
  <c r="M552" i="12767" s="1"/>
  <c r="K446" i="12767"/>
  <c r="M446" i="12767" s="1"/>
  <c r="K327" i="12767"/>
  <c r="M327" i="12767" s="1"/>
  <c r="K224" i="12767"/>
  <c r="K517" i="12767"/>
  <c r="M517" i="12767" s="1"/>
  <c r="K503" i="12767"/>
  <c r="M503" i="12767" s="1"/>
  <c r="M468" i="12767" s="1"/>
  <c r="K362" i="12767"/>
  <c r="K293" i="12767"/>
  <c r="M293" i="12767" s="1"/>
  <c r="K258" i="12767"/>
  <c r="M258" i="12767" s="1"/>
  <c r="K307" i="12767"/>
  <c r="M307" i="12767" s="1"/>
  <c r="K201" i="12767"/>
  <c r="M201" i="12767" s="1"/>
  <c r="K411" i="12767"/>
  <c r="M411" i="12767" s="1"/>
  <c r="K376" i="12767"/>
  <c r="K238" i="12767"/>
  <c r="K551" i="12767"/>
  <c r="M551" i="12767" s="1"/>
  <c r="K467" i="12767"/>
  <c r="K410" i="12767"/>
  <c r="M410" i="12767" s="1"/>
  <c r="K326" i="12767"/>
  <c r="M326" i="12767" s="1"/>
  <c r="K516" i="12767"/>
  <c r="M516" i="12767" s="1"/>
  <c r="K396" i="12767"/>
  <c r="M396" i="12767" s="1"/>
  <c r="K361" i="12767"/>
  <c r="K257" i="12767"/>
  <c r="M257" i="12767" s="1"/>
  <c r="K200" i="12767"/>
  <c r="K375" i="12767"/>
  <c r="K292" i="12767"/>
  <c r="M292" i="12767" s="1"/>
  <c r="K237" i="12767"/>
  <c r="K223" i="12767"/>
  <c r="K537" i="12767"/>
  <c r="M537" i="12767" s="1"/>
  <c r="K502" i="12767"/>
  <c r="M502" i="12767" s="1"/>
  <c r="K481" i="12767"/>
  <c r="K431" i="12767"/>
  <c r="M431" i="12767" s="1"/>
  <c r="K306" i="12767"/>
  <c r="M306" i="12767" s="1"/>
  <c r="K445" i="12767"/>
  <c r="M445" i="12767" s="1"/>
  <c r="K340" i="12767"/>
  <c r="M340" i="12767" s="1"/>
  <c r="K271" i="12767"/>
  <c r="M271" i="12767" s="1"/>
  <c r="K536" i="12767"/>
  <c r="M536" i="12767" s="1"/>
  <c r="K480" i="12767"/>
  <c r="K395" i="12767"/>
  <c r="M395" i="12767" s="1"/>
  <c r="K339" i="12767"/>
  <c r="M339" i="12767" s="1"/>
  <c r="K444" i="12767"/>
  <c r="M444" i="12767" s="1"/>
  <c r="K325" i="12767"/>
  <c r="M325" i="12767" s="1"/>
  <c r="K270" i="12767"/>
  <c r="M270" i="12767" s="1"/>
  <c r="K515" i="12767"/>
  <c r="M515" i="12767" s="1"/>
  <c r="K501" i="12767"/>
  <c r="M501" i="12767" s="1"/>
  <c r="K305" i="12767"/>
  <c r="M305" i="12767" s="1"/>
  <c r="K222" i="12767"/>
  <c r="K236" i="12767"/>
  <c r="K430" i="12767"/>
  <c r="M430" i="12767" s="1"/>
  <c r="K374" i="12767"/>
  <c r="K199" i="12767"/>
  <c r="K550" i="12767"/>
  <c r="M550" i="12767" s="1"/>
  <c r="K360" i="12767"/>
  <c r="K256" i="12767"/>
  <c r="M256" i="12767" s="1"/>
  <c r="K291" i="12767"/>
  <c r="M291" i="12767" s="1"/>
  <c r="K466" i="12767"/>
  <c r="K409" i="12767"/>
  <c r="M409" i="12767" s="1"/>
  <c r="K658" i="12767"/>
  <c r="K696" i="12767"/>
  <c r="K593" i="12767"/>
  <c r="M593" i="12767" s="1"/>
  <c r="K633" i="12767"/>
  <c r="M633" i="12767" s="1"/>
  <c r="K618" i="12767"/>
  <c r="M657" i="12767"/>
  <c r="K672" i="12767"/>
  <c r="M672" i="12767" s="1"/>
  <c r="I819" i="12767"/>
  <c r="I872" i="12767"/>
  <c r="I874" i="12767" s="1"/>
  <c r="I555" i="12767"/>
  <c r="I169" i="12767"/>
  <c r="M169" i="12767" s="1"/>
  <c r="I168" i="12767"/>
  <c r="M168" i="12767" s="1"/>
  <c r="I170" i="12767"/>
  <c r="M170" i="12767" s="1"/>
  <c r="I898" i="12767"/>
  <c r="I913" i="12767"/>
  <c r="I758" i="12767"/>
  <c r="M758" i="12767" s="1"/>
  <c r="I737" i="12767"/>
  <c r="M737" i="12767" s="1"/>
  <c r="I755" i="12767"/>
  <c r="M755" i="12767" s="1"/>
  <c r="I756" i="12767"/>
  <c r="M756" i="12767" s="1"/>
  <c r="I483" i="12767"/>
  <c r="I485" i="12767" s="1"/>
  <c r="I520" i="12767"/>
  <c r="I738" i="12767"/>
  <c r="M738" i="12767" s="1"/>
  <c r="I629" i="12767"/>
  <c r="I241" i="12767"/>
  <c r="K44" i="12787"/>
  <c r="K25" i="12787"/>
  <c r="K27" i="12787" s="1"/>
  <c r="P43" i="12783"/>
  <c r="Q36" i="12783"/>
  <c r="I759" i="12767"/>
  <c r="M759" i="12767" s="1"/>
  <c r="I614" i="12767"/>
  <c r="I735" i="12767"/>
  <c r="M735" i="12767" s="1"/>
  <c r="I734" i="12767"/>
  <c r="M734" i="12767" s="1"/>
  <c r="M594" i="12843" l="1"/>
  <c r="M594" i="12861"/>
  <c r="U594" i="12843"/>
  <c r="U594" i="12861"/>
  <c r="I146" i="12861"/>
  <c r="I148" i="12861" s="1"/>
  <c r="I664" i="12860"/>
  <c r="I624" i="12860" s="1"/>
  <c r="M624" i="12860" s="1"/>
  <c r="I661" i="12860"/>
  <c r="I621" i="12860" s="1"/>
  <c r="M621" i="12860" s="1"/>
  <c r="I669" i="12860"/>
  <c r="I629" i="12860" s="1"/>
  <c r="G668" i="12860"/>
  <c r="I665" i="12860"/>
  <c r="I625" i="12860" s="1"/>
  <c r="I660" i="12860"/>
  <c r="I620" i="12860" s="1"/>
  <c r="M620" i="12860" s="1"/>
  <c r="I663" i="12860"/>
  <c r="I623" i="12860" s="1"/>
  <c r="M623" i="12860" s="1"/>
  <c r="I662" i="12860"/>
  <c r="I622" i="12860" s="1"/>
  <c r="M622" i="12860" s="1"/>
  <c r="I667" i="12860"/>
  <c r="I627" i="12860" s="1"/>
  <c r="K228" i="12860"/>
  <c r="K226" i="12860"/>
  <c r="G510" i="12861"/>
  <c r="I510" i="12861" s="1"/>
  <c r="M790" i="12861"/>
  <c r="G332" i="12861"/>
  <c r="I332" i="12861" s="1"/>
  <c r="I287" i="12861"/>
  <c r="G231" i="12861"/>
  <c r="I93" i="12861"/>
  <c r="G227" i="12861"/>
  <c r="M841" i="12861"/>
  <c r="G334" i="12861"/>
  <c r="I334" i="12861" s="1"/>
  <c r="AA20" i="12863"/>
  <c r="AB20" i="12863" s="1"/>
  <c r="G591" i="12860"/>
  <c r="I591" i="12860" s="1"/>
  <c r="G265" i="12861"/>
  <c r="I265" i="12861" s="1"/>
  <c r="G572" i="12861"/>
  <c r="G592" i="12861" s="1"/>
  <c r="I592" i="12861" s="1"/>
  <c r="G544" i="12861"/>
  <c r="I544" i="12861" s="1"/>
  <c r="I392" i="12861"/>
  <c r="K808" i="12861"/>
  <c r="M808" i="12861" s="1"/>
  <c r="I321" i="12861"/>
  <c r="G298" i="12861"/>
  <c r="I298" i="12861" s="1"/>
  <c r="G435" i="12861"/>
  <c r="I435" i="12861" s="1"/>
  <c r="I365" i="12861" s="1"/>
  <c r="I288" i="12861"/>
  <c r="I219" i="12861" s="1"/>
  <c r="I427" i="12861"/>
  <c r="I248" i="12861"/>
  <c r="I214" i="12861" s="1"/>
  <c r="G706" i="12860"/>
  <c r="I706" i="12860" s="1"/>
  <c r="G545" i="12861"/>
  <c r="I545" i="12861" s="1"/>
  <c r="U93" i="12860"/>
  <c r="G656" i="12861"/>
  <c r="R20" i="12864" s="1"/>
  <c r="U20" i="12864" s="1"/>
  <c r="I571" i="12860"/>
  <c r="I252" i="12861"/>
  <c r="G694" i="12861"/>
  <c r="I694" i="12861" s="1"/>
  <c r="I386" i="12861"/>
  <c r="I351" i="12861" s="1"/>
  <c r="G629" i="12861"/>
  <c r="M840" i="12861"/>
  <c r="G619" i="12861"/>
  <c r="X619" i="12861" s="1"/>
  <c r="G330" i="12861"/>
  <c r="I330" i="12861" s="1"/>
  <c r="I227" i="12861" s="1"/>
  <c r="I250" i="12861"/>
  <c r="I216" i="12861" s="1"/>
  <c r="AA18" i="12863"/>
  <c r="AB18" i="12863" s="1"/>
  <c r="I116" i="12861"/>
  <c r="I655" i="12860"/>
  <c r="I613" i="12860" s="1"/>
  <c r="U92" i="12860"/>
  <c r="G507" i="12860"/>
  <c r="I507" i="12860" s="1"/>
  <c r="G437" i="12861"/>
  <c r="I437" i="12861" s="1"/>
  <c r="I367" i="12861" s="1"/>
  <c r="I391" i="12861"/>
  <c r="I356" i="12861" s="1"/>
  <c r="I357" i="12860"/>
  <c r="I351" i="12860"/>
  <c r="I173" i="12860" s="1"/>
  <c r="M173" i="12860" s="1"/>
  <c r="G509" i="12861"/>
  <c r="I509" i="12861" s="1"/>
  <c r="Q15" i="12861"/>
  <c r="Q25" i="12861" s="1"/>
  <c r="Q27" i="12861" s="1"/>
  <c r="U948" i="12861"/>
  <c r="U185" i="12861"/>
  <c r="I655" i="12861"/>
  <c r="I613" i="12861" s="1"/>
  <c r="G668" i="12861"/>
  <c r="I668" i="12861" s="1"/>
  <c r="I628" i="12861" s="1"/>
  <c r="U91" i="12860"/>
  <c r="I221" i="12860"/>
  <c r="I181" i="12860" s="1"/>
  <c r="X1004" i="12861"/>
  <c r="G1025" i="12861"/>
  <c r="G1007" i="12861"/>
  <c r="X1007" i="12861" s="1"/>
  <c r="G1043" i="12861"/>
  <c r="I1043" i="12861" s="1"/>
  <c r="I1080" i="12861" s="1"/>
  <c r="I1004" i="12861"/>
  <c r="I929" i="12861" s="1"/>
  <c r="I910" i="12861" s="1"/>
  <c r="I889" i="12860"/>
  <c r="G894" i="12860"/>
  <c r="I894" i="12860" s="1"/>
  <c r="Q18" i="12866"/>
  <c r="T18" i="12866" s="1"/>
  <c r="G888" i="12861"/>
  <c r="I967" i="12861"/>
  <c r="I1061" i="12860"/>
  <c r="I229" i="12860"/>
  <c r="I192" i="12860" s="1"/>
  <c r="I325" i="12861"/>
  <c r="I222" i="12861" s="1"/>
  <c r="G303" i="12861"/>
  <c r="I303" i="12861" s="1"/>
  <c r="G442" i="12861"/>
  <c r="I442" i="12861" s="1"/>
  <c r="I372" i="12861" s="1"/>
  <c r="G513" i="12861"/>
  <c r="I513" i="12861" s="1"/>
  <c r="I478" i="12861" s="1"/>
  <c r="I536" i="12861"/>
  <c r="I466" i="12861" s="1"/>
  <c r="I395" i="12861"/>
  <c r="I360" i="12861" s="1"/>
  <c r="G268" i="12861"/>
  <c r="I268" i="12861" s="1"/>
  <c r="W1105" i="12861"/>
  <c r="S29" i="12783"/>
  <c r="X29" i="12783" s="1"/>
  <c r="V29" i="12783"/>
  <c r="I92" i="12861"/>
  <c r="G505" i="12860"/>
  <c r="I505" i="12860" s="1"/>
  <c r="I470" i="12860" s="1"/>
  <c r="I98" i="12860"/>
  <c r="I100" i="12860" s="1"/>
  <c r="U17" i="12783" s="1"/>
  <c r="U20" i="12783" s="1"/>
  <c r="M634" i="12843"/>
  <c r="M634" i="12861"/>
  <c r="M202" i="12843"/>
  <c r="M202" i="12861"/>
  <c r="M247" i="12860"/>
  <c r="K434" i="12860"/>
  <c r="M434" i="12860" s="1"/>
  <c r="M282" i="12860"/>
  <c r="G232" i="12861"/>
  <c r="M946" i="12860"/>
  <c r="U946" i="12860" s="1"/>
  <c r="U948" i="12860" s="1"/>
  <c r="K436" i="12860"/>
  <c r="M436" i="12860" s="1"/>
  <c r="M366" i="12860" s="1"/>
  <c r="K528" i="12860"/>
  <c r="K542" i="12860" s="1"/>
  <c r="M542" i="12860" s="1"/>
  <c r="K399" i="12860"/>
  <c r="M399" i="12860" s="1"/>
  <c r="I226" i="12860"/>
  <c r="I526" i="12860"/>
  <c r="I456" i="12860" s="1"/>
  <c r="I168" i="12860" s="1"/>
  <c r="M168" i="12860" s="1"/>
  <c r="K435" i="12860"/>
  <c r="M435" i="12860" s="1"/>
  <c r="M365" i="12860" s="1"/>
  <c r="G228" i="12861"/>
  <c r="I573" i="12861"/>
  <c r="I249" i="12861"/>
  <c r="I606" i="12860"/>
  <c r="M606" i="12860" s="1"/>
  <c r="Q15" i="12866"/>
  <c r="I960" i="12861"/>
  <c r="G881" i="12861"/>
  <c r="I881" i="12861" s="1"/>
  <c r="W922" i="12861"/>
  <c r="X922" i="12861" s="1"/>
  <c r="O969" i="12860"/>
  <c r="O987" i="12860"/>
  <c r="Q987" i="12860" s="1"/>
  <c r="G1001" i="12861"/>
  <c r="I1001" i="12860"/>
  <c r="X1001" i="12860"/>
  <c r="K1001" i="12860"/>
  <c r="G1040" i="12860"/>
  <c r="I1040" i="12860" s="1"/>
  <c r="I1077" i="12860" s="1"/>
  <c r="G1022" i="12860"/>
  <c r="I1022" i="12860" s="1"/>
  <c r="I1058" i="12860" s="1"/>
  <c r="K883" i="12860"/>
  <c r="M883" i="12860" s="1"/>
  <c r="M962" i="12860"/>
  <c r="Q17" i="12866"/>
  <c r="W927" i="12861"/>
  <c r="X927" i="12861" s="1"/>
  <c r="I965" i="12861"/>
  <c r="G886" i="12861"/>
  <c r="I971" i="12860"/>
  <c r="I973" i="12860" s="1"/>
  <c r="G1005" i="12861"/>
  <c r="I1005" i="12860"/>
  <c r="G1026" i="12860"/>
  <c r="I1026" i="12860" s="1"/>
  <c r="I1062" i="12860" s="1"/>
  <c r="X1005" i="12860"/>
  <c r="G1044" i="12860"/>
  <c r="I1044" i="12860" s="1"/>
  <c r="I1081" i="12860" s="1"/>
  <c r="K492" i="12860"/>
  <c r="K506" i="12860" s="1"/>
  <c r="M506" i="12860" s="1"/>
  <c r="M316" i="12860"/>
  <c r="G301" i="12861"/>
  <c r="I301" i="12861" s="1"/>
  <c r="I232" i="12861" s="1"/>
  <c r="I366" i="12860"/>
  <c r="I988" i="12861"/>
  <c r="I990" i="12861" s="1"/>
  <c r="I963" i="12861"/>
  <c r="G884" i="12861"/>
  <c r="I884" i="12861" s="1"/>
  <c r="R15" i="12866"/>
  <c r="W925" i="12861"/>
  <c r="X925" i="12861" s="1"/>
  <c r="G997" i="12861"/>
  <c r="G1018" i="12860"/>
  <c r="I1018" i="12860" s="1"/>
  <c r="G1036" i="12860"/>
  <c r="I1036" i="12860" s="1"/>
  <c r="X997" i="12860"/>
  <c r="K997" i="12860"/>
  <c r="I997" i="12860"/>
  <c r="G1002" i="12861"/>
  <c r="G1023" i="12860"/>
  <c r="I1023" i="12860" s="1"/>
  <c r="I1059" i="12860" s="1"/>
  <c r="G1041" i="12860"/>
  <c r="I1041" i="12860" s="1"/>
  <c r="I1078" i="12860" s="1"/>
  <c r="X1002" i="12860"/>
  <c r="I1002" i="12860"/>
  <c r="I928" i="12860" s="1"/>
  <c r="I909" i="12860" s="1"/>
  <c r="G889" i="12861"/>
  <c r="I889" i="12861" s="1"/>
  <c r="I968" i="12861"/>
  <c r="Q16" i="12866"/>
  <c r="I961" i="12861"/>
  <c r="W923" i="12861"/>
  <c r="X923" i="12861" s="1"/>
  <c r="G882" i="12861"/>
  <c r="I882" i="12861" s="1"/>
  <c r="K886" i="12860"/>
  <c r="M886" i="12860" s="1"/>
  <c r="M965" i="12860"/>
  <c r="I951" i="12861"/>
  <c r="S987" i="12860"/>
  <c r="U987" i="12860" s="1"/>
  <c r="S969" i="12860"/>
  <c r="G893" i="12860"/>
  <c r="I893" i="12860" s="1"/>
  <c r="G892" i="12860"/>
  <c r="I892" i="12860" s="1"/>
  <c r="I887" i="12860"/>
  <c r="M961" i="12860"/>
  <c r="K882" i="12860"/>
  <c r="M882" i="12860" s="1"/>
  <c r="R16" i="12866"/>
  <c r="I964" i="12861"/>
  <c r="W926" i="12861"/>
  <c r="X926" i="12861" s="1"/>
  <c r="G885" i="12861"/>
  <c r="I885" i="12861" s="1"/>
  <c r="G1000" i="12861"/>
  <c r="G1039" i="12860"/>
  <c r="I1039" i="12860" s="1"/>
  <c r="I1076" i="12860" s="1"/>
  <c r="K1000" i="12860"/>
  <c r="I1000" i="12860"/>
  <c r="I926" i="12860" s="1"/>
  <c r="I907" i="12860" s="1"/>
  <c r="G1021" i="12860"/>
  <c r="I1021" i="12860" s="1"/>
  <c r="I1057" i="12860" s="1"/>
  <c r="X1000" i="12860"/>
  <c r="X169" i="12861"/>
  <c r="G440" i="12861"/>
  <c r="I440" i="12861" s="1"/>
  <c r="I358" i="12860"/>
  <c r="M964" i="12860"/>
  <c r="K885" i="12860"/>
  <c r="M885" i="12860" s="1"/>
  <c r="G998" i="12861"/>
  <c r="G1019" i="12860"/>
  <c r="I1019" i="12860" s="1"/>
  <c r="I1055" i="12860" s="1"/>
  <c r="X998" i="12860"/>
  <c r="G1037" i="12860"/>
  <c r="I1037" i="12860" s="1"/>
  <c r="I1074" i="12860" s="1"/>
  <c r="I998" i="12860"/>
  <c r="K998" i="12860"/>
  <c r="G527" i="12861"/>
  <c r="G541" i="12861" s="1"/>
  <c r="I541" i="12861" s="1"/>
  <c r="G492" i="12861"/>
  <c r="I492" i="12861" s="1"/>
  <c r="K262" i="12860"/>
  <c r="M262" i="12860" s="1"/>
  <c r="M387" i="12860"/>
  <c r="M352" i="12860" s="1"/>
  <c r="I254" i="12861"/>
  <c r="I492" i="12860"/>
  <c r="I457" i="12860" s="1"/>
  <c r="I169" i="12860" s="1"/>
  <c r="M169" i="12860" s="1"/>
  <c r="G405" i="12861"/>
  <c r="I405" i="12861" s="1"/>
  <c r="K297" i="12860"/>
  <c r="M297" i="12860" s="1"/>
  <c r="K493" i="12860"/>
  <c r="K507" i="12860" s="1"/>
  <c r="M507" i="12860" s="1"/>
  <c r="G458" i="12861"/>
  <c r="G472" i="12861" s="1"/>
  <c r="I499" i="12861"/>
  <c r="I464" i="12861" s="1"/>
  <c r="I463" i="12860"/>
  <c r="G541" i="12860"/>
  <c r="I541" i="12860" s="1"/>
  <c r="I471" i="12860" s="1"/>
  <c r="X170" i="12861"/>
  <c r="I323" i="12861"/>
  <c r="G528" i="12861"/>
  <c r="I528" i="12861" s="1"/>
  <c r="K457" i="12860"/>
  <c r="K471" i="12860" s="1"/>
  <c r="G436" i="12861"/>
  <c r="I436" i="12861" s="1"/>
  <c r="I366" i="12861" s="1"/>
  <c r="I220" i="12860"/>
  <c r="I219" i="12860"/>
  <c r="I227" i="12860"/>
  <c r="I603" i="12860"/>
  <c r="M603" i="12860" s="1"/>
  <c r="I308" i="12860"/>
  <c r="I310" i="12860" s="1"/>
  <c r="I690" i="12860"/>
  <c r="G704" i="12860"/>
  <c r="I704" i="12860" s="1"/>
  <c r="I652" i="12860"/>
  <c r="G666" i="12860"/>
  <c r="K579" i="12860"/>
  <c r="M579" i="12860" s="1"/>
  <c r="M563" i="12860"/>
  <c r="M482" i="12860" s="1"/>
  <c r="G589" i="12860"/>
  <c r="I589" i="12860" s="1"/>
  <c r="G590" i="12860"/>
  <c r="I590" i="12860" s="1"/>
  <c r="I582" i="12860"/>
  <c r="M683" i="12860"/>
  <c r="K699" i="12860"/>
  <c r="M699" i="12860" s="1"/>
  <c r="G708" i="12861"/>
  <c r="I708" i="12861" s="1"/>
  <c r="I695" i="12861"/>
  <c r="M644" i="12860"/>
  <c r="K660" i="12860"/>
  <c r="M660" i="12860" s="1"/>
  <c r="R18" i="12864"/>
  <c r="I652" i="12861"/>
  <c r="G653" i="12861"/>
  <c r="G666" i="12861"/>
  <c r="I666" i="12861" s="1"/>
  <c r="M687" i="12860"/>
  <c r="K702" i="12860"/>
  <c r="M702" i="12860" s="1"/>
  <c r="I649" i="12861"/>
  <c r="S15" i="12864"/>
  <c r="G664" i="12861"/>
  <c r="I664" i="12861" s="1"/>
  <c r="I609" i="12860"/>
  <c r="K700" i="12860"/>
  <c r="M700" i="12860" s="1"/>
  <c r="M684" i="12860"/>
  <c r="R15" i="12864"/>
  <c r="I646" i="12861"/>
  <c r="G662" i="12861"/>
  <c r="I662" i="12861" s="1"/>
  <c r="I447" i="12860"/>
  <c r="I449" i="12860" s="1"/>
  <c r="G699" i="12861"/>
  <c r="I699" i="12861" s="1"/>
  <c r="I683" i="12861"/>
  <c r="K664" i="12860"/>
  <c r="M664" i="12860" s="1"/>
  <c r="M649" i="12860"/>
  <c r="K662" i="12860"/>
  <c r="M662" i="12860" s="1"/>
  <c r="M646" i="12860"/>
  <c r="I567" i="12861"/>
  <c r="G582" i="12861"/>
  <c r="I582" i="12861" s="1"/>
  <c r="G663" i="12861"/>
  <c r="I663" i="12861" s="1"/>
  <c r="I647" i="12861"/>
  <c r="I602" i="12860"/>
  <c r="M602" i="12860" s="1"/>
  <c r="K578" i="12860"/>
  <c r="M578" i="12860" s="1"/>
  <c r="M562" i="12860"/>
  <c r="M481" i="12860" s="1"/>
  <c r="K698" i="12860"/>
  <c r="M698" i="12860" s="1"/>
  <c r="M682" i="12860"/>
  <c r="M648" i="12860"/>
  <c r="K663" i="12860"/>
  <c r="M663" i="12860" s="1"/>
  <c r="R14" i="12864"/>
  <c r="I645" i="12861"/>
  <c r="G661" i="12861"/>
  <c r="I661" i="12861" s="1"/>
  <c r="I688" i="12861"/>
  <c r="G703" i="12861"/>
  <c r="I703" i="12861" s="1"/>
  <c r="G581" i="12861"/>
  <c r="I581" i="12861" s="1"/>
  <c r="I566" i="12861"/>
  <c r="I562" i="12861"/>
  <c r="I481" i="12861" s="1"/>
  <c r="I200" i="12861" s="1"/>
  <c r="G578" i="12861"/>
  <c r="I578" i="12861" s="1"/>
  <c r="I684" i="12861"/>
  <c r="G700" i="12861"/>
  <c r="I700" i="12861" s="1"/>
  <c r="I685" i="12861"/>
  <c r="G701" i="12861"/>
  <c r="I701" i="12861" s="1"/>
  <c r="I604" i="12860"/>
  <c r="M604" i="12860" s="1"/>
  <c r="G579" i="12861"/>
  <c r="I579" i="12861" s="1"/>
  <c r="I563" i="12861"/>
  <c r="I482" i="12861" s="1"/>
  <c r="I201" i="12861" s="1"/>
  <c r="M565" i="12860"/>
  <c r="K580" i="12860"/>
  <c r="M580" i="12860" s="1"/>
  <c r="G542" i="12860"/>
  <c r="I542" i="12860" s="1"/>
  <c r="I734" i="12860"/>
  <c r="M734" i="12860" s="1"/>
  <c r="S16" i="12864"/>
  <c r="I650" i="12861"/>
  <c r="G665" i="12861"/>
  <c r="I665" i="12861" s="1"/>
  <c r="K661" i="12860"/>
  <c r="M661" i="12860" s="1"/>
  <c r="M645" i="12860"/>
  <c r="M317" i="12860"/>
  <c r="M214" i="12860" s="1"/>
  <c r="X171" i="12861"/>
  <c r="I614" i="12860"/>
  <c r="M566" i="12860"/>
  <c r="K581" i="12860"/>
  <c r="M581" i="12860" s="1"/>
  <c r="I687" i="12861"/>
  <c r="G702" i="12861"/>
  <c r="I702" i="12861" s="1"/>
  <c r="I564" i="12861"/>
  <c r="I483" i="12861" s="1"/>
  <c r="I202" i="12861" s="1"/>
  <c r="G580" i="12861"/>
  <c r="I580" i="12861" s="1"/>
  <c r="G670" i="12861"/>
  <c r="I670" i="12861" s="1"/>
  <c r="I657" i="12861"/>
  <c r="M561" i="12860"/>
  <c r="M480" i="12860" s="1"/>
  <c r="K577" i="12860"/>
  <c r="M577" i="12860" s="1"/>
  <c r="G627" i="12861"/>
  <c r="X611" i="12861"/>
  <c r="I690" i="12861"/>
  <c r="G704" i="12861"/>
  <c r="I704" i="12861" s="1"/>
  <c r="G691" i="12861"/>
  <c r="M686" i="12860"/>
  <c r="K701" i="12860"/>
  <c r="M701" i="12860" s="1"/>
  <c r="I412" i="12860"/>
  <c r="I414" i="12860" s="1"/>
  <c r="K296" i="12860"/>
  <c r="M296" i="12860" s="1"/>
  <c r="G297" i="12861"/>
  <c r="I297" i="12861" s="1"/>
  <c r="I228" i="12861" s="1"/>
  <c r="K261" i="12860"/>
  <c r="M261" i="12860" s="1"/>
  <c r="I273" i="12860"/>
  <c r="I275" i="12860" s="1"/>
  <c r="M386" i="12860"/>
  <c r="M351" i="12860" s="1"/>
  <c r="G529" i="12861"/>
  <c r="G543" i="12861" s="1"/>
  <c r="I543" i="12861" s="1"/>
  <c r="G336" i="12861"/>
  <c r="I336" i="12861" s="1"/>
  <c r="G547" i="12861"/>
  <c r="I547" i="12861" s="1"/>
  <c r="I477" i="12861" s="1"/>
  <c r="I750" i="12861"/>
  <c r="G233" i="12861"/>
  <c r="G494" i="12861"/>
  <c r="I494" i="12861" s="1"/>
  <c r="I231" i="12860"/>
  <c r="I194" i="12860" s="1"/>
  <c r="I318" i="12861"/>
  <c r="G302" i="12861"/>
  <c r="I302" i="12861" s="1"/>
  <c r="I429" i="12861"/>
  <c r="I500" i="12861"/>
  <c r="I465" i="12861" s="1"/>
  <c r="I356" i="12860"/>
  <c r="I342" i="12860"/>
  <c r="I344" i="12860" s="1"/>
  <c r="I394" i="12861"/>
  <c r="I218" i="12860"/>
  <c r="I131" i="12843"/>
  <c r="I133" i="12843" s="1"/>
  <c r="I93" i="12843"/>
  <c r="I94" i="12843"/>
  <c r="S127" i="12843"/>
  <c r="U93" i="12843"/>
  <c r="U90" i="12843" s="1"/>
  <c r="U99" i="12843" s="1"/>
  <c r="U101" i="12843" s="1"/>
  <c r="S157" i="12843"/>
  <c r="U157" i="12843" s="1"/>
  <c r="S142" i="12843"/>
  <c r="U142" i="12843" s="1"/>
  <c r="S112" i="12843"/>
  <c r="U112" i="12861"/>
  <c r="U112" i="12843"/>
  <c r="U92" i="12767"/>
  <c r="S158" i="12843"/>
  <c r="U158" i="12843" s="1"/>
  <c r="U156" i="12843"/>
  <c r="U128" i="12861"/>
  <c r="U128" i="12843"/>
  <c r="I117" i="12767"/>
  <c r="I98" i="12767"/>
  <c r="I100" i="12767" s="1"/>
  <c r="U127" i="12843"/>
  <c r="U127" i="12861"/>
  <c r="U111" i="12861"/>
  <c r="U111" i="12843"/>
  <c r="U91" i="12767"/>
  <c r="U141" i="12843"/>
  <c r="S143" i="12843"/>
  <c r="U143" i="12843" s="1"/>
  <c r="I146" i="12843"/>
  <c r="I148" i="12843" s="1"/>
  <c r="I92" i="12843"/>
  <c r="I161" i="12843"/>
  <c r="I163" i="12843" s="1"/>
  <c r="U156" i="12861"/>
  <c r="S158" i="12861"/>
  <c r="U158" i="12861" s="1"/>
  <c r="U141" i="12861"/>
  <c r="S143" i="12861"/>
  <c r="U143" i="12861" s="1"/>
  <c r="I116" i="12843"/>
  <c r="S157" i="12861"/>
  <c r="U157" i="12861" s="1"/>
  <c r="S112" i="12861"/>
  <c r="U93" i="12861"/>
  <c r="U90" i="12861" s="1"/>
  <c r="U99" i="12861" s="1"/>
  <c r="U101" i="12861" s="1"/>
  <c r="S127" i="12861"/>
  <c r="S142" i="12861"/>
  <c r="U142" i="12861" s="1"/>
  <c r="U126" i="12843"/>
  <c r="U126" i="12861"/>
  <c r="U115" i="12843"/>
  <c r="U115" i="12861"/>
  <c r="U93" i="12767"/>
  <c r="K19" i="12868"/>
  <c r="K29" i="12868"/>
  <c r="K28" i="12868"/>
  <c r="K20" i="12868"/>
  <c r="K16" i="12868"/>
  <c r="K23" i="12868"/>
  <c r="K21" i="12868"/>
  <c r="K25" i="12868"/>
  <c r="K15" i="12868"/>
  <c r="K27" i="12868"/>
  <c r="K17" i="12868"/>
  <c r="X1104" i="12843"/>
  <c r="W1105" i="12843"/>
  <c r="K24" i="12868"/>
  <c r="M1102" i="12860"/>
  <c r="M1104" i="12860" s="1"/>
  <c r="U1096" i="12860"/>
  <c r="Q1096" i="12860"/>
  <c r="K1096" i="12860"/>
  <c r="I1085" i="12843"/>
  <c r="I751" i="12861"/>
  <c r="M14" i="12863"/>
  <c r="M16" i="12863"/>
  <c r="M15" i="12863"/>
  <c r="K16" i="12863"/>
  <c r="K15" i="12863"/>
  <c r="K14" i="12863"/>
  <c r="I725" i="12861"/>
  <c r="I733" i="12861"/>
  <c r="I196" i="12860"/>
  <c r="I174" i="12860"/>
  <c r="Q741" i="12860"/>
  <c r="O741" i="12860" s="1"/>
  <c r="O795" i="12860" s="1"/>
  <c r="I758" i="12860"/>
  <c r="M758" i="12860" s="1"/>
  <c r="I753" i="12861"/>
  <c r="I763" i="12861"/>
  <c r="I732" i="12861"/>
  <c r="I872" i="12860"/>
  <c r="I874" i="12860" s="1"/>
  <c r="I193" i="12860"/>
  <c r="I195" i="12860"/>
  <c r="I353" i="12861"/>
  <c r="I735" i="12860"/>
  <c r="M735" i="12860" s="1"/>
  <c r="I756" i="12860"/>
  <c r="M756" i="12860" s="1"/>
  <c r="I819" i="12860"/>
  <c r="I738" i="12860"/>
  <c r="M738" i="12860" s="1"/>
  <c r="K864" i="12860"/>
  <c r="M864" i="12860" s="1"/>
  <c r="M844" i="12860"/>
  <c r="G864" i="12861"/>
  <c r="I864" i="12861" s="1"/>
  <c r="I844" i="12861"/>
  <c r="I724" i="12861"/>
  <c r="I762" i="12861"/>
  <c r="G808" i="12861"/>
  <c r="I808" i="12861" s="1"/>
  <c r="I789" i="12861"/>
  <c r="I458" i="12860"/>
  <c r="I170" i="12860" s="1"/>
  <c r="M170" i="12860" s="1"/>
  <c r="K811" i="12860"/>
  <c r="M811" i="12860" s="1"/>
  <c r="M791" i="12860"/>
  <c r="I734" i="12861"/>
  <c r="M788" i="12860"/>
  <c r="K808" i="12860"/>
  <c r="M808" i="12860" s="1"/>
  <c r="I755" i="12861"/>
  <c r="I730" i="12861"/>
  <c r="I741" i="12861"/>
  <c r="I841" i="12861"/>
  <c r="G861" i="12861"/>
  <c r="I861" i="12861" s="1"/>
  <c r="I742" i="12861"/>
  <c r="I793" i="12861"/>
  <c r="G812" i="12861"/>
  <c r="I812" i="12861" s="1"/>
  <c r="I755" i="12860"/>
  <c r="M755" i="12860" s="1"/>
  <c r="M842" i="12860"/>
  <c r="K862" i="12860"/>
  <c r="M862" i="12860" s="1"/>
  <c r="I843" i="12861"/>
  <c r="G863" i="12861"/>
  <c r="I863" i="12861" s="1"/>
  <c r="S795" i="12860"/>
  <c r="S848" i="12860"/>
  <c r="S762" i="12860"/>
  <c r="U762" i="12860" s="1"/>
  <c r="M841" i="12860"/>
  <c r="K861" i="12860"/>
  <c r="M861" i="12860" s="1"/>
  <c r="I792" i="12861"/>
  <c r="G811" i="12861"/>
  <c r="I811" i="12861" s="1"/>
  <c r="G809" i="12861"/>
  <c r="I809" i="12861" s="1"/>
  <c r="I790" i="12861"/>
  <c r="K809" i="12860"/>
  <c r="M809" i="12860" s="1"/>
  <c r="M789" i="12860"/>
  <c r="I754" i="12861"/>
  <c r="I737" i="12860"/>
  <c r="M737" i="12860" s="1"/>
  <c r="K812" i="12860"/>
  <c r="M812" i="12860" s="1"/>
  <c r="M792" i="12860"/>
  <c r="I759" i="12860"/>
  <c r="M759" i="12860" s="1"/>
  <c r="I749" i="12861"/>
  <c r="K865" i="12860"/>
  <c r="M865" i="12860" s="1"/>
  <c r="M845" i="12860"/>
  <c r="I840" i="12861"/>
  <c r="G860" i="12861"/>
  <c r="I860" i="12861" s="1"/>
  <c r="I221" i="12861"/>
  <c r="I358" i="12861"/>
  <c r="I463" i="12861"/>
  <c r="M350" i="12860"/>
  <c r="M527" i="12860"/>
  <c r="K541" i="12860"/>
  <c r="M541" i="12860" s="1"/>
  <c r="I493" i="12861"/>
  <c r="G507" i="12861"/>
  <c r="I507" i="12861" s="1"/>
  <c r="I352" i="12861"/>
  <c r="I172" i="12860"/>
  <c r="M172" i="12860" s="1"/>
  <c r="K505" i="12860"/>
  <c r="M505" i="12860" s="1"/>
  <c r="M491" i="12860"/>
  <c r="I462" i="12861"/>
  <c r="M215" i="12860"/>
  <c r="M526" i="12860"/>
  <c r="K540" i="12860"/>
  <c r="M540" i="12860" s="1"/>
  <c r="I368" i="12861"/>
  <c r="I369" i="12861"/>
  <c r="I230" i="12861"/>
  <c r="I177" i="12860"/>
  <c r="M226" i="12860"/>
  <c r="I476" i="12861"/>
  <c r="I371" i="12861"/>
  <c r="K15" i="12860"/>
  <c r="M25" i="12860"/>
  <c r="M27" i="12860" s="1"/>
  <c r="U36" i="12783"/>
  <c r="W28" i="12860"/>
  <c r="S15" i="12860"/>
  <c r="U25" i="12860"/>
  <c r="U27" i="12860" s="1"/>
  <c r="O15" i="12860"/>
  <c r="Q25" i="12860"/>
  <c r="Q27" i="12860" s="1"/>
  <c r="I25" i="12861"/>
  <c r="I27" i="12861" s="1"/>
  <c r="I48" i="12861"/>
  <c r="M756" i="12843"/>
  <c r="M756" i="12861"/>
  <c r="M735" i="12843"/>
  <c r="M735" i="12861"/>
  <c r="M738" i="12843"/>
  <c r="M738" i="12861"/>
  <c r="M171" i="12843"/>
  <c r="M171" i="12861"/>
  <c r="Q948" i="12843"/>
  <c r="Q948" i="12861"/>
  <c r="M736" i="12843"/>
  <c r="M736" i="12861"/>
  <c r="M169" i="12843"/>
  <c r="M169" i="12861"/>
  <c r="M760" i="12843"/>
  <c r="M760" i="12861"/>
  <c r="M1096" i="12843"/>
  <c r="M1096" i="12861"/>
  <c r="M1102" i="12861" s="1"/>
  <c r="M1104" i="12861" s="1"/>
  <c r="Q1005" i="12843"/>
  <c r="Q1005" i="12861"/>
  <c r="O1099" i="12843"/>
  <c r="O1099" i="12861"/>
  <c r="M759" i="12843"/>
  <c r="M759" i="12861"/>
  <c r="M739" i="12843"/>
  <c r="M739" i="12861"/>
  <c r="M757" i="12843"/>
  <c r="M757" i="12861"/>
  <c r="M170" i="12843"/>
  <c r="M170" i="12861"/>
  <c r="M1002" i="12843"/>
  <c r="M1002" i="12861"/>
  <c r="M1008" i="12861" s="1"/>
  <c r="M1010" i="12861" s="1"/>
  <c r="U1005" i="12843"/>
  <c r="U1005" i="12861"/>
  <c r="S1099" i="12843"/>
  <c r="S1099" i="12861"/>
  <c r="M374" i="12767"/>
  <c r="AE46" i="12831"/>
  <c r="AE50" i="12831"/>
  <c r="M131" i="12843"/>
  <c r="M133" i="12843" s="1"/>
  <c r="Q115" i="12767"/>
  <c r="Q117" i="12767" s="1"/>
  <c r="Q110" i="12843"/>
  <c r="Q116" i="12843" s="1"/>
  <c r="Q118" i="12843" s="1"/>
  <c r="S949" i="12767"/>
  <c r="U948" i="12843"/>
  <c r="O15" i="12767"/>
  <c r="Q15" i="12843"/>
  <c r="S1005" i="12767"/>
  <c r="O949" i="12767"/>
  <c r="U185" i="12843"/>
  <c r="U1096" i="12767"/>
  <c r="K1096" i="12767"/>
  <c r="U1002" i="12767"/>
  <c r="K1002" i="12767"/>
  <c r="Q1096" i="12767"/>
  <c r="Q131" i="12843"/>
  <c r="Q133" i="12843" s="1"/>
  <c r="Q161" i="12843"/>
  <c r="Q163" i="12843" s="1"/>
  <c r="I912" i="12843"/>
  <c r="I913" i="12843"/>
  <c r="I1030" i="12843"/>
  <c r="I1064" i="12843"/>
  <c r="I1066" i="12843" s="1"/>
  <c r="V937" i="12843"/>
  <c r="X937" i="12843" s="1"/>
  <c r="W935" i="12843"/>
  <c r="X1010" i="12843"/>
  <c r="I934" i="12843"/>
  <c r="I486" i="12843"/>
  <c r="I203" i="12843"/>
  <c r="M116" i="12843"/>
  <c r="M118" i="12843" s="1"/>
  <c r="Q146" i="12843"/>
  <c r="Q148" i="12843" s="1"/>
  <c r="M146" i="12843"/>
  <c r="M148" i="12843" s="1"/>
  <c r="U376" i="12767"/>
  <c r="U934" i="12767"/>
  <c r="U915" i="12767" s="1"/>
  <c r="Q934" i="12767"/>
  <c r="Q915" i="12767" s="1"/>
  <c r="Q931" i="12767"/>
  <c r="I756" i="12843"/>
  <c r="K808" i="12843"/>
  <c r="M808" i="12843" s="1"/>
  <c r="M789" i="12843"/>
  <c r="I871" i="12843"/>
  <c r="I873" i="12843" s="1"/>
  <c r="M841" i="12843"/>
  <c r="K861" i="12843"/>
  <c r="M861" i="12843" s="1"/>
  <c r="I757" i="12843"/>
  <c r="K860" i="12843"/>
  <c r="M860" i="12843" s="1"/>
  <c r="M840" i="12843"/>
  <c r="I735" i="12843"/>
  <c r="I818" i="12843"/>
  <c r="K809" i="12843"/>
  <c r="M809" i="12843" s="1"/>
  <c r="M790" i="12843"/>
  <c r="I736" i="12843"/>
  <c r="U931" i="12767"/>
  <c r="M934" i="12767"/>
  <c r="M915" i="12767" s="1"/>
  <c r="O1005" i="12767"/>
  <c r="W936" i="12767"/>
  <c r="V938" i="12767"/>
  <c r="U361" i="12767"/>
  <c r="U374" i="12767"/>
  <c r="M17" i="12767"/>
  <c r="S1112" i="12843"/>
  <c r="U1137" i="12843" s="1"/>
  <c r="U1139" i="12843" s="1"/>
  <c r="U1137" i="12767"/>
  <c r="U1139" i="12767" s="1"/>
  <c r="M20" i="12767"/>
  <c r="M21" i="12767"/>
  <c r="M19" i="12767"/>
  <c r="M16" i="12767"/>
  <c r="U20" i="12767"/>
  <c r="U21" i="12767"/>
  <c r="U17" i="12767"/>
  <c r="U19" i="12767"/>
  <c r="U15" i="12767"/>
  <c r="U16" i="12767"/>
  <c r="Q21" i="12767"/>
  <c r="Q20" i="12767"/>
  <c r="Q19" i="12767"/>
  <c r="Q17" i="12767"/>
  <c r="Q16" i="12767"/>
  <c r="M15" i="12767"/>
  <c r="Q1002" i="12767"/>
  <c r="M1008" i="12767"/>
  <c r="M1010" i="12767" s="1"/>
  <c r="U224" i="12767"/>
  <c r="M1102" i="12767"/>
  <c r="M1104" i="12767" s="1"/>
  <c r="M467" i="12767"/>
  <c r="M222" i="12767"/>
  <c r="U223" i="12767"/>
  <c r="U236" i="12767"/>
  <c r="U222" i="12767"/>
  <c r="U615" i="12767"/>
  <c r="U658" i="12767"/>
  <c r="S673" i="12767"/>
  <c r="U673" i="12767" s="1"/>
  <c r="U238" i="12767"/>
  <c r="S711" i="12767"/>
  <c r="U711" i="12767" s="1"/>
  <c r="U696" i="12767"/>
  <c r="U467" i="12767"/>
  <c r="U237" i="12767"/>
  <c r="U468" i="12767"/>
  <c r="U375" i="12767"/>
  <c r="U360" i="12767"/>
  <c r="U466" i="12767"/>
  <c r="M223" i="12767"/>
  <c r="M466" i="12767"/>
  <c r="M375" i="12767"/>
  <c r="M696" i="12767"/>
  <c r="K711" i="12767"/>
  <c r="M711" i="12767" s="1"/>
  <c r="M361" i="12767"/>
  <c r="M224" i="12767"/>
  <c r="K673" i="12767"/>
  <c r="M673" i="12767" s="1"/>
  <c r="M658" i="12767"/>
  <c r="M236" i="12767"/>
  <c r="M360" i="12767"/>
  <c r="M237" i="12767"/>
  <c r="M376" i="12767"/>
  <c r="M238" i="12767"/>
  <c r="I821" i="12767"/>
  <c r="I768" i="12767" s="1"/>
  <c r="I766" i="12767"/>
  <c r="P27" i="12783"/>
  <c r="W899" i="12767"/>
  <c r="I914" i="12767"/>
  <c r="I916" i="12767" s="1"/>
  <c r="I202" i="12767"/>
  <c r="I204" i="12767" s="1"/>
  <c r="Q28" i="12783"/>
  <c r="W36" i="12783"/>
  <c r="N43" i="12783"/>
  <c r="Q43" i="12783"/>
  <c r="K1035" i="12787"/>
  <c r="P28" i="12787"/>
  <c r="O28" i="12787"/>
  <c r="I99" i="12861" l="1"/>
  <c r="I101" i="12861" s="1"/>
  <c r="W102" i="12861" s="1"/>
  <c r="I668" i="12860"/>
  <c r="I628" i="12860" s="1"/>
  <c r="I666" i="12860"/>
  <c r="I626" i="12860" s="1"/>
  <c r="I370" i="12861"/>
  <c r="I195" i="12861" s="1"/>
  <c r="I475" i="12861"/>
  <c r="I229" i="12861"/>
  <c r="K19" i="12863"/>
  <c r="O19" i="12863" s="1"/>
  <c r="I231" i="12861"/>
  <c r="U90" i="12860"/>
  <c r="S90" i="12860" s="1"/>
  <c r="S109" i="12860" s="1"/>
  <c r="S139" i="12860" s="1"/>
  <c r="U139" i="12860" s="1"/>
  <c r="M32" i="12863"/>
  <c r="U32" i="12863" s="1"/>
  <c r="I218" i="12861"/>
  <c r="I178" i="12861" s="1"/>
  <c r="G585" i="12861"/>
  <c r="I585" i="12861" s="1"/>
  <c r="I474" i="12861"/>
  <c r="I193" i="12861" s="1"/>
  <c r="I572" i="12861"/>
  <c r="I118" i="12861"/>
  <c r="I357" i="12861"/>
  <c r="I179" i="12861" s="1"/>
  <c r="K24" i="12863"/>
  <c r="S24" i="12863" s="1"/>
  <c r="K32" i="12863"/>
  <c r="S32" i="12863" s="1"/>
  <c r="M19" i="12863"/>
  <c r="Q19" i="12863" s="1"/>
  <c r="G707" i="12861"/>
  <c r="I707" i="12861" s="1"/>
  <c r="M23" i="12863"/>
  <c r="Q23" i="12863" s="1"/>
  <c r="K26" i="12863"/>
  <c r="S26" i="12863" s="1"/>
  <c r="M26" i="12863"/>
  <c r="U26" i="12863" s="1"/>
  <c r="G669" i="12861"/>
  <c r="I669" i="12861" s="1"/>
  <c r="I178" i="12860"/>
  <c r="I656" i="12861"/>
  <c r="I614" i="12861" s="1"/>
  <c r="M20" i="12863"/>
  <c r="U20" i="12863" s="1"/>
  <c r="K23" i="12863"/>
  <c r="S23" i="12863" s="1"/>
  <c r="K20" i="12863"/>
  <c r="O20" i="12863" s="1"/>
  <c r="M28" i="12863"/>
  <c r="U28" i="12863" s="1"/>
  <c r="M31" i="12863"/>
  <c r="Q31" i="12863" s="1"/>
  <c r="K30" i="12863"/>
  <c r="O30" i="12863" s="1"/>
  <c r="K27" i="12863"/>
  <c r="O27" i="12863" s="1"/>
  <c r="M30" i="12863"/>
  <c r="Q30" i="12863" s="1"/>
  <c r="M27" i="12863"/>
  <c r="U27" i="12863" s="1"/>
  <c r="K28" i="12863"/>
  <c r="S28" i="12863" s="1"/>
  <c r="K31" i="12863"/>
  <c r="O31" i="12863" s="1"/>
  <c r="K18" i="12863"/>
  <c r="S18" i="12863" s="1"/>
  <c r="K22" i="12863"/>
  <c r="S22" i="12863" s="1"/>
  <c r="M18" i="12863"/>
  <c r="Q18" i="12863" s="1"/>
  <c r="M22" i="12863"/>
  <c r="U22" i="12863" s="1"/>
  <c r="M24" i="12863"/>
  <c r="U24" i="12863" s="1"/>
  <c r="Q16" i="12861"/>
  <c r="Q21" i="12861"/>
  <c r="M19" i="12861"/>
  <c r="Q17" i="12861"/>
  <c r="U21" i="12861"/>
  <c r="M17" i="12861"/>
  <c r="K1096" i="12861"/>
  <c r="Q1002" i="12861"/>
  <c r="Q1008" i="12861" s="1"/>
  <c r="Q1010" i="12861" s="1"/>
  <c r="Q19" i="12861"/>
  <c r="U15" i="12861"/>
  <c r="U25" i="12861" s="1"/>
  <c r="U27" i="12861" s="1"/>
  <c r="U20" i="12861"/>
  <c r="M20" i="12861"/>
  <c r="O1005" i="12861"/>
  <c r="O1026" i="12861" s="1"/>
  <c r="Q1026" i="12861" s="1"/>
  <c r="Q1096" i="12861"/>
  <c r="Q1102" i="12861" s="1"/>
  <c r="Q1104" i="12861" s="1"/>
  <c r="U1096" i="12861"/>
  <c r="U1102" i="12861" s="1"/>
  <c r="U1104" i="12861" s="1"/>
  <c r="U930" i="12861"/>
  <c r="U911" i="12861" s="1"/>
  <c r="U17" i="12861"/>
  <c r="U16" i="12861"/>
  <c r="M21" i="12861"/>
  <c r="M15" i="12861"/>
  <c r="M25" i="12861" s="1"/>
  <c r="M27" i="12861" s="1"/>
  <c r="Q20" i="12861"/>
  <c r="U19" i="12861"/>
  <c r="M16" i="12861"/>
  <c r="K1002" i="12861"/>
  <c r="K1041" i="12861" s="1"/>
  <c r="M1041" i="12861" s="1"/>
  <c r="U89" i="12860"/>
  <c r="S89" i="12860" s="1"/>
  <c r="I1025" i="12861"/>
  <c r="I1061" i="12861" s="1"/>
  <c r="Q18" i="12867"/>
  <c r="T18" i="12867" s="1"/>
  <c r="I888" i="12861"/>
  <c r="G893" i="12861"/>
  <c r="I893" i="12861" s="1"/>
  <c r="I234" i="12861"/>
  <c r="I197" i="12861" s="1"/>
  <c r="I413" i="12861"/>
  <c r="I415" i="12861" s="1"/>
  <c r="I179" i="12860"/>
  <c r="X934" i="12843"/>
  <c r="N28" i="12783"/>
  <c r="W101" i="12860"/>
  <c r="U616" i="12843"/>
  <c r="U616" i="12861"/>
  <c r="M364" i="12860"/>
  <c r="M213" i="12860"/>
  <c r="M952" i="12860"/>
  <c r="M954" i="12860" s="1"/>
  <c r="U952" i="12860"/>
  <c r="U954" i="12860" s="1"/>
  <c r="S946" i="12860"/>
  <c r="S984" i="12860" s="1"/>
  <c r="U984" i="12860" s="1"/>
  <c r="U989" i="12860" s="1"/>
  <c r="U991" i="12860" s="1"/>
  <c r="K946" i="12860"/>
  <c r="K966" i="12860" s="1"/>
  <c r="Q946" i="12860"/>
  <c r="O946" i="12860" s="1"/>
  <c r="M528" i="12860"/>
  <c r="I527" i="12861"/>
  <c r="I457" i="12861" s="1"/>
  <c r="I169" i="12861" s="1"/>
  <c r="I180" i="12860"/>
  <c r="I189" i="12860"/>
  <c r="I448" i="12861"/>
  <c r="I450" i="12861" s="1"/>
  <c r="I896" i="12860"/>
  <c r="I898" i="12860" s="1"/>
  <c r="U27" i="12783" s="1"/>
  <c r="V27" i="12783" s="1"/>
  <c r="I274" i="12861"/>
  <c r="I276" i="12861" s="1"/>
  <c r="G506" i="12861"/>
  <c r="I506" i="12861" s="1"/>
  <c r="I471" i="12861" s="1"/>
  <c r="I190" i="12861" s="1"/>
  <c r="I215" i="12861"/>
  <c r="I174" i="12861" s="1"/>
  <c r="K1037" i="12860"/>
  <c r="M1037" i="12860" s="1"/>
  <c r="M1074" i="12860" s="1"/>
  <c r="K1019" i="12860"/>
  <c r="M1019" i="12860" s="1"/>
  <c r="M1055" i="12860" s="1"/>
  <c r="K1039" i="12860"/>
  <c r="M1039" i="12860" s="1"/>
  <c r="M1076" i="12860" s="1"/>
  <c r="M1000" i="12860"/>
  <c r="M926" i="12860" s="1"/>
  <c r="M907" i="12860" s="1"/>
  <c r="K1021" i="12860"/>
  <c r="M1021" i="12860" s="1"/>
  <c r="M1057" i="12860" s="1"/>
  <c r="U969" i="12860"/>
  <c r="S890" i="12860"/>
  <c r="U890" i="12860" s="1"/>
  <c r="I923" i="12860"/>
  <c r="I904" i="12860" s="1"/>
  <c r="I1008" i="12860"/>
  <c r="Q969" i="12860"/>
  <c r="O890" i="12860"/>
  <c r="Q890" i="12860" s="1"/>
  <c r="X998" i="12861"/>
  <c r="G1037" i="12861"/>
  <c r="I1037" i="12861" s="1"/>
  <c r="I1074" i="12861" s="1"/>
  <c r="G1019" i="12861"/>
  <c r="I998" i="12861"/>
  <c r="I923" i="12861" s="1"/>
  <c r="I904" i="12861" s="1"/>
  <c r="I997" i="12861"/>
  <c r="X997" i="12861"/>
  <c r="G1018" i="12861"/>
  <c r="G1036" i="12861"/>
  <c r="I1036" i="12861" s="1"/>
  <c r="I927" i="12860"/>
  <c r="I908" i="12860" s="1"/>
  <c r="M1001" i="12860"/>
  <c r="M927" i="12860" s="1"/>
  <c r="M908" i="12860" s="1"/>
  <c r="M492" i="12860"/>
  <c r="M457" i="12860" s="1"/>
  <c r="G1039" i="12861"/>
  <c r="I1039" i="12861" s="1"/>
  <c r="I1076" i="12861" s="1"/>
  <c r="X1000" i="12861"/>
  <c r="I1000" i="12861"/>
  <c r="I925" i="12861" s="1"/>
  <c r="I906" i="12861" s="1"/>
  <c r="G1021" i="12861"/>
  <c r="I931" i="12860"/>
  <c r="I912" i="12860" s="1"/>
  <c r="Q1005" i="12860"/>
  <c r="U1005" i="12860"/>
  <c r="T17" i="12866"/>
  <c r="I21" i="12866"/>
  <c r="K21" i="12866" s="1"/>
  <c r="I24" i="12866"/>
  <c r="K24" i="12866" s="1"/>
  <c r="I16" i="12866"/>
  <c r="K16" i="12866" s="1"/>
  <c r="I25" i="12866"/>
  <c r="K25" i="12866" s="1"/>
  <c r="I23" i="12866"/>
  <c r="K23" i="12866" s="1"/>
  <c r="I29" i="12866"/>
  <c r="K29" i="12866" s="1"/>
  <c r="I27" i="12866"/>
  <c r="K27" i="12866" s="1"/>
  <c r="I28" i="12866"/>
  <c r="K28" i="12866" s="1"/>
  <c r="I19" i="12866"/>
  <c r="K19" i="12866" s="1"/>
  <c r="I17" i="12866"/>
  <c r="K17" i="12866" s="1"/>
  <c r="I15" i="12866"/>
  <c r="K15" i="12866" s="1"/>
  <c r="I20" i="12866"/>
  <c r="K20" i="12866" s="1"/>
  <c r="G1022" i="12861"/>
  <c r="I1001" i="12861"/>
  <c r="I926" i="12861" s="1"/>
  <c r="I907" i="12861" s="1"/>
  <c r="G1040" i="12861"/>
  <c r="I1040" i="12861" s="1"/>
  <c r="I1077" i="12861" s="1"/>
  <c r="X1001" i="12861"/>
  <c r="Q948" i="12860"/>
  <c r="O948" i="12860" s="1"/>
  <c r="S948" i="12860"/>
  <c r="I1054" i="12860"/>
  <c r="I1028" i="12860"/>
  <c r="I924" i="12860"/>
  <c r="I905" i="12860" s="1"/>
  <c r="M998" i="12860"/>
  <c r="M924" i="12860" s="1"/>
  <c r="M905" i="12860" s="1"/>
  <c r="K1018" i="12860"/>
  <c r="M1018" i="12860" s="1"/>
  <c r="M1054" i="12860" s="1"/>
  <c r="M997" i="12860"/>
  <c r="K1036" i="12860"/>
  <c r="M1036" i="12860" s="1"/>
  <c r="M1073" i="12860" s="1"/>
  <c r="M228" i="12860"/>
  <c r="I953" i="12861"/>
  <c r="G1023" i="12861"/>
  <c r="G1041" i="12861"/>
  <c r="I1041" i="12861" s="1"/>
  <c r="I1078" i="12861" s="1"/>
  <c r="I1002" i="12861"/>
  <c r="I927" i="12861" s="1"/>
  <c r="I908" i="12861" s="1"/>
  <c r="X1002" i="12861"/>
  <c r="I1073" i="12860"/>
  <c r="I1046" i="12860"/>
  <c r="I1005" i="12861"/>
  <c r="I930" i="12861" s="1"/>
  <c r="I911" i="12861" s="1"/>
  <c r="G1026" i="12861"/>
  <c r="I1026" i="12861" s="1"/>
  <c r="I1062" i="12861" s="1"/>
  <c r="X1005" i="12861"/>
  <c r="G1044" i="12861"/>
  <c r="I1044" i="12861" s="1"/>
  <c r="I1081" i="12861" s="1"/>
  <c r="I886" i="12861"/>
  <c r="G892" i="12861"/>
  <c r="I892" i="12861" s="1"/>
  <c r="G891" i="12861"/>
  <c r="I891" i="12861" s="1"/>
  <c r="K1040" i="12860"/>
  <c r="M1040" i="12860" s="1"/>
  <c r="M1077" i="12860" s="1"/>
  <c r="K1022" i="12860"/>
  <c r="M1022" i="12860" s="1"/>
  <c r="M1058" i="12860" s="1"/>
  <c r="I970" i="12861"/>
  <c r="I972" i="12861" s="1"/>
  <c r="I518" i="12860"/>
  <c r="I520" i="12860" s="1"/>
  <c r="I220" i="12861"/>
  <c r="I180" i="12861" s="1"/>
  <c r="M493" i="12860"/>
  <c r="I190" i="12860"/>
  <c r="I553" i="12860"/>
  <c r="I555" i="12860" s="1"/>
  <c r="G542" i="12861"/>
  <c r="I542" i="12861" s="1"/>
  <c r="I472" i="12861" s="1"/>
  <c r="I191" i="12861" s="1"/>
  <c r="I712" i="12860"/>
  <c r="I714" i="12860" s="1"/>
  <c r="I233" i="12861"/>
  <c r="I196" i="12861" s="1"/>
  <c r="I472" i="12860"/>
  <c r="I191" i="12860" s="1"/>
  <c r="I309" i="12861"/>
  <c r="I529" i="12861"/>
  <c r="I605" i="12861"/>
  <c r="I622" i="12861"/>
  <c r="I607" i="12861"/>
  <c r="I362" i="12860"/>
  <c r="I184" i="12860" s="1"/>
  <c r="U184" i="12860" s="1"/>
  <c r="U1278" i="12860" s="1"/>
  <c r="I377" i="12860"/>
  <c r="I379" i="12860" s="1"/>
  <c r="I604" i="12861"/>
  <c r="I610" i="12861"/>
  <c r="I615" i="12861"/>
  <c r="I594" i="12860"/>
  <c r="I596" i="12860" s="1"/>
  <c r="U24" i="12783" s="1"/>
  <c r="I653" i="12861"/>
  <c r="G667" i="12861"/>
  <c r="I667" i="12861" s="1"/>
  <c r="M307" i="12860"/>
  <c r="M238" i="12860" s="1"/>
  <c r="I625" i="12861"/>
  <c r="I621" i="12861"/>
  <c r="I624" i="12861"/>
  <c r="I630" i="12861"/>
  <c r="G705" i="12861"/>
  <c r="I705" i="12861" s="1"/>
  <c r="I691" i="12861"/>
  <c r="U614" i="12860"/>
  <c r="S614" i="12860" s="1"/>
  <c r="Q614" i="12860"/>
  <c r="O614" i="12860" s="1"/>
  <c r="I623" i="12861"/>
  <c r="I608" i="12861"/>
  <c r="I603" i="12861"/>
  <c r="I626" i="12861"/>
  <c r="I610" i="12860"/>
  <c r="M227" i="12860"/>
  <c r="I239" i="12860"/>
  <c r="I241" i="12860" s="1"/>
  <c r="I343" i="12861"/>
  <c r="I345" i="12861" s="1"/>
  <c r="G508" i="12861"/>
  <c r="I508" i="12861" s="1"/>
  <c r="I359" i="12861"/>
  <c r="I181" i="12861" s="1"/>
  <c r="U89" i="12767"/>
  <c r="U90" i="12767"/>
  <c r="S90" i="12767" s="1"/>
  <c r="P17" i="12783"/>
  <c r="W101" i="12767"/>
  <c r="I118" i="12843"/>
  <c r="I99" i="12843"/>
  <c r="I101" i="12843" s="1"/>
  <c r="U1098" i="12860"/>
  <c r="S1098" i="12860" s="1"/>
  <c r="S1101" i="12860" s="1"/>
  <c r="U1102" i="12860"/>
  <c r="U1104" i="12860" s="1"/>
  <c r="S1096" i="12860"/>
  <c r="Q1102" i="12860"/>
  <c r="Q1104" i="12860" s="1"/>
  <c r="O1096" i="12860"/>
  <c r="Q1098" i="12860"/>
  <c r="O1098" i="12860" s="1"/>
  <c r="O1101" i="12860" s="1"/>
  <c r="I205" i="12843"/>
  <c r="I915" i="12843"/>
  <c r="U14" i="12863"/>
  <c r="Q14" i="12863"/>
  <c r="U15" i="12863"/>
  <c r="Q15" i="12863"/>
  <c r="U16" i="12863"/>
  <c r="Q16" i="12863"/>
  <c r="O15" i="12863"/>
  <c r="S15" i="12863"/>
  <c r="O14" i="12863"/>
  <c r="S14" i="12863"/>
  <c r="O16" i="12863"/>
  <c r="S16" i="12863"/>
  <c r="O762" i="12860"/>
  <c r="Q762" i="12860" s="1"/>
  <c r="O848" i="12860"/>
  <c r="Q848" i="12860" s="1"/>
  <c r="I175" i="12861"/>
  <c r="I739" i="12861"/>
  <c r="I757" i="12861"/>
  <c r="I871" i="12861"/>
  <c r="I873" i="12861" s="1"/>
  <c r="I738" i="12861"/>
  <c r="I760" i="12861"/>
  <c r="I182" i="12861"/>
  <c r="I756" i="12861"/>
  <c r="Q795" i="12860"/>
  <c r="O815" i="12860"/>
  <c r="Q815" i="12860" s="1"/>
  <c r="I818" i="12861"/>
  <c r="M471" i="12860"/>
  <c r="I759" i="12861"/>
  <c r="I735" i="12861"/>
  <c r="U848" i="12860"/>
  <c r="S868" i="12860"/>
  <c r="U868" i="12860" s="1"/>
  <c r="I821" i="12860"/>
  <c r="I768" i="12860" s="1"/>
  <c r="I766" i="12860"/>
  <c r="M174" i="12860"/>
  <c r="M456" i="12860"/>
  <c r="I736" i="12861"/>
  <c r="U795" i="12860"/>
  <c r="S815" i="12860"/>
  <c r="U815" i="12860" s="1"/>
  <c r="M472" i="12860"/>
  <c r="M470" i="12860"/>
  <c r="I173" i="12861"/>
  <c r="I458" i="12861"/>
  <c r="I170" i="12861" s="1"/>
  <c r="U43" i="12783"/>
  <c r="V36" i="12783"/>
  <c r="S36" i="12783"/>
  <c r="W29" i="12861"/>
  <c r="U30" i="12861"/>
  <c r="S948" i="12843"/>
  <c r="S986" i="12843" s="1"/>
  <c r="U986" i="12843" s="1"/>
  <c r="S948" i="12861"/>
  <c r="U1002" i="12843"/>
  <c r="U1002" i="12861"/>
  <c r="U1008" i="12861" s="1"/>
  <c r="U1010" i="12861" s="1"/>
  <c r="O969" i="12767"/>
  <c r="O890" i="12767" s="1"/>
  <c r="Q890" i="12767" s="1"/>
  <c r="O948" i="12861"/>
  <c r="S1044" i="12767"/>
  <c r="U1044" i="12767" s="1"/>
  <c r="S1005" i="12861"/>
  <c r="O15" i="12843"/>
  <c r="O72" i="12843" s="1"/>
  <c r="Q72" i="12843" s="1"/>
  <c r="O15" i="12861"/>
  <c r="Q930" i="12861"/>
  <c r="Q911" i="12861" s="1"/>
  <c r="S969" i="12767"/>
  <c r="U969" i="12767" s="1"/>
  <c r="S1096" i="12767"/>
  <c r="U1096" i="12843"/>
  <c r="O1096" i="12767"/>
  <c r="Q1096" i="12843"/>
  <c r="S987" i="12767"/>
  <c r="U987" i="12767" s="1"/>
  <c r="S1005" i="12843"/>
  <c r="S1026" i="12843" s="1"/>
  <c r="U1026" i="12843" s="1"/>
  <c r="S20" i="12767"/>
  <c r="U20" i="12843"/>
  <c r="S19" i="12767"/>
  <c r="U19" i="12843"/>
  <c r="S21" i="12767"/>
  <c r="U21" i="12843"/>
  <c r="S17" i="12767"/>
  <c r="U17" i="12843"/>
  <c r="S16" i="12767"/>
  <c r="U16" i="12843"/>
  <c r="O19" i="12767"/>
  <c r="Q19" i="12843"/>
  <c r="O20" i="12767"/>
  <c r="Q20" i="12843"/>
  <c r="O21" i="12767"/>
  <c r="Q21" i="12843"/>
  <c r="O16" i="12767"/>
  <c r="Q16" i="12843"/>
  <c r="O17" i="12767"/>
  <c r="Q17" i="12843"/>
  <c r="K20" i="12767"/>
  <c r="M20" i="12843"/>
  <c r="K19" i="12767"/>
  <c r="M19" i="12843"/>
  <c r="K21" i="12767"/>
  <c r="M21" i="12843"/>
  <c r="K16" i="12767"/>
  <c r="M16" i="12843"/>
  <c r="K17" i="12767"/>
  <c r="M17" i="12843"/>
  <c r="O987" i="12767"/>
  <c r="Q987" i="12767" s="1"/>
  <c r="S1026" i="12767"/>
  <c r="U1026" i="12767" s="1"/>
  <c r="S15" i="12767"/>
  <c r="U15" i="12843"/>
  <c r="K15" i="12767"/>
  <c r="M15" i="12843"/>
  <c r="O948" i="12843"/>
  <c r="S1002" i="12767"/>
  <c r="O1002" i="12767"/>
  <c r="Q1002" i="12843"/>
  <c r="U1098" i="12767"/>
  <c r="U1004" i="12767"/>
  <c r="O1026" i="12767"/>
  <c r="Q1026" i="12767" s="1"/>
  <c r="K1096" i="12843"/>
  <c r="M1102" i="12843" s="1"/>
  <c r="M1104" i="12843" s="1"/>
  <c r="Q1098" i="12767"/>
  <c r="Q1029" i="12843"/>
  <c r="Q1065" i="12843"/>
  <c r="Q1084" i="12843"/>
  <c r="Q1047" i="12843"/>
  <c r="Q1009" i="12843"/>
  <c r="Q933" i="12843" s="1"/>
  <c r="Q914" i="12843" s="1"/>
  <c r="U1084" i="12843"/>
  <c r="U1065" i="12843"/>
  <c r="U1047" i="12843"/>
  <c r="U1029" i="12843"/>
  <c r="U1009" i="12843"/>
  <c r="U933" i="12843" s="1"/>
  <c r="U914" i="12843" s="1"/>
  <c r="M1084" i="12843"/>
  <c r="M1047" i="12843"/>
  <c r="M1029" i="12843"/>
  <c r="M1065" i="12843"/>
  <c r="M1009" i="12843"/>
  <c r="M933" i="12843" s="1"/>
  <c r="M914" i="12843" s="1"/>
  <c r="I767" i="12843"/>
  <c r="I820" i="12843"/>
  <c r="I769" i="12843" s="1"/>
  <c r="U930" i="12843"/>
  <c r="U911" i="12843" s="1"/>
  <c r="O1044" i="12767"/>
  <c r="Q1044" i="12767" s="1"/>
  <c r="O1005" i="12843"/>
  <c r="K1041" i="12767"/>
  <c r="M1041" i="12767" s="1"/>
  <c r="M1046" i="12767" s="1"/>
  <c r="M1048" i="12767" s="1"/>
  <c r="K1002" i="12843"/>
  <c r="K1112" i="12767"/>
  <c r="O1112" i="12767"/>
  <c r="Q1137" i="12767"/>
  <c r="Q1139" i="12767" s="1"/>
  <c r="M25" i="12767"/>
  <c r="M27" i="12767" s="1"/>
  <c r="Q25" i="12767"/>
  <c r="Q27" i="12767" s="1"/>
  <c r="U25" i="12767"/>
  <c r="U27" i="12767" s="1"/>
  <c r="K1023" i="12767"/>
  <c r="M1023" i="12767" s="1"/>
  <c r="M1028" i="12767" s="1"/>
  <c r="M1030" i="12767" s="1"/>
  <c r="U616" i="12767"/>
  <c r="U617" i="12861" s="1"/>
  <c r="W917" i="12767"/>
  <c r="X938" i="12767"/>
  <c r="W27" i="12783"/>
  <c r="P23" i="12783"/>
  <c r="Q27" i="12783"/>
  <c r="P26" i="12783"/>
  <c r="W205" i="12767"/>
  <c r="W769" i="12767"/>
  <c r="K1038" i="12787"/>
  <c r="P1036" i="12787" s="1"/>
  <c r="O1036" i="12787"/>
  <c r="W43" i="12783"/>
  <c r="S17" i="12783" l="1"/>
  <c r="X17" i="12783" s="1"/>
  <c r="U103" i="12861"/>
  <c r="I674" i="12860"/>
  <c r="I676" i="12860" s="1"/>
  <c r="S19" i="12863"/>
  <c r="I194" i="12861"/>
  <c r="Q26" i="12863"/>
  <c r="S97" i="12860"/>
  <c r="U19" i="12863"/>
  <c r="U109" i="12860"/>
  <c r="S124" i="12860"/>
  <c r="U124" i="12860" s="1"/>
  <c r="O23" i="12863"/>
  <c r="S154" i="12860"/>
  <c r="U154" i="12860" s="1"/>
  <c r="O1044" i="12861"/>
  <c r="Q1044" i="12861" s="1"/>
  <c r="Q32" i="12863"/>
  <c r="O24" i="12863"/>
  <c r="O32" i="12863"/>
  <c r="O26" i="12863"/>
  <c r="Q27" i="12863"/>
  <c r="I629" i="12861"/>
  <c r="U98" i="12860"/>
  <c r="U100" i="12860" s="1"/>
  <c r="U18" i="12863"/>
  <c r="O28" i="12863"/>
  <c r="S30" i="12863"/>
  <c r="U23" i="12863"/>
  <c r="Q22" i="12863"/>
  <c r="O18" i="12863"/>
  <c r="Q20" i="12863"/>
  <c r="O22" i="12863"/>
  <c r="U31" i="12863"/>
  <c r="Q28" i="12863"/>
  <c r="S31" i="12863"/>
  <c r="S20" i="12863"/>
  <c r="S27" i="12863"/>
  <c r="Q24" i="12863"/>
  <c r="U30" i="12863"/>
  <c r="S17" i="12861"/>
  <c r="S56" i="12861" s="1"/>
  <c r="U56" i="12861" s="1"/>
  <c r="U1098" i="12861"/>
  <c r="O1096" i="12861"/>
  <c r="K1023" i="12861"/>
  <c r="M1023" i="12861" s="1"/>
  <c r="M1028" i="12861" s="1"/>
  <c r="S19" i="12861"/>
  <c r="S40" i="12861" s="1"/>
  <c r="U40" i="12861" s="1"/>
  <c r="U1004" i="12861"/>
  <c r="Q952" i="12860"/>
  <c r="Q954" i="12860" s="1"/>
  <c r="U1284" i="12861"/>
  <c r="M458" i="12860"/>
  <c r="S966" i="12860"/>
  <c r="S887" i="12860" s="1"/>
  <c r="K984" i="12860"/>
  <c r="M984" i="12860" s="1"/>
  <c r="M989" i="12860" s="1"/>
  <c r="M991" i="12860" s="1"/>
  <c r="I519" i="12861"/>
  <c r="I521" i="12861" s="1"/>
  <c r="I363" i="12861"/>
  <c r="I185" i="12861" s="1"/>
  <c r="I378" i="12861"/>
  <c r="I380" i="12861" s="1"/>
  <c r="W899" i="12860"/>
  <c r="I895" i="12861"/>
  <c r="I897" i="12861" s="1"/>
  <c r="S27" i="12783" s="1"/>
  <c r="X27" i="12783" s="1"/>
  <c r="I1023" i="12861"/>
  <c r="I1059" i="12861" s="1"/>
  <c r="Q17" i="12867"/>
  <c r="I1008" i="12861"/>
  <c r="I922" i="12861"/>
  <c r="I903" i="12861" s="1"/>
  <c r="K887" i="12860"/>
  <c r="M966" i="12860"/>
  <c r="M971" i="12860" s="1"/>
  <c r="M973" i="12860" s="1"/>
  <c r="S986" i="12860"/>
  <c r="U986" i="12860" s="1"/>
  <c r="S951" i="12860"/>
  <c r="S968" i="12860"/>
  <c r="S1005" i="12860"/>
  <c r="U931" i="12860"/>
  <c r="U912" i="12860" s="1"/>
  <c r="I1073" i="12861"/>
  <c r="I1046" i="12861"/>
  <c r="O968" i="12860"/>
  <c r="O986" i="12860"/>
  <c r="Q986" i="12860" s="1"/>
  <c r="O951" i="12860"/>
  <c r="O1005" i="12860"/>
  <c r="Q931" i="12860"/>
  <c r="Q912" i="12860" s="1"/>
  <c r="I1021" i="12861"/>
  <c r="I1057" i="12861" s="1"/>
  <c r="R15" i="12867"/>
  <c r="I1018" i="12861"/>
  <c r="I1054" i="12861" s="1"/>
  <c r="Q15" i="12867"/>
  <c r="I1019" i="12861"/>
  <c r="Q16" i="12867"/>
  <c r="O984" i="12860"/>
  <c r="Q984" i="12860" s="1"/>
  <c r="Q989" i="12860" s="1"/>
  <c r="Q991" i="12860" s="1"/>
  <c r="O966" i="12860"/>
  <c r="I1083" i="12860"/>
  <c r="I1085" i="12860" s="1"/>
  <c r="I1048" i="12860"/>
  <c r="M923" i="12860"/>
  <c r="M904" i="12860" s="1"/>
  <c r="M1002" i="12860"/>
  <c r="M1008" i="12860" s="1"/>
  <c r="I1064" i="12860"/>
  <c r="I1066" i="12860" s="1"/>
  <c r="I1030" i="12860"/>
  <c r="I1022" i="12861"/>
  <c r="I1058" i="12861" s="1"/>
  <c r="R16" i="12867"/>
  <c r="I933" i="12860"/>
  <c r="I1010" i="12860"/>
  <c r="I483" i="12860"/>
  <c r="I485" i="12860" s="1"/>
  <c r="I554" i="12861"/>
  <c r="I556" i="12861" s="1"/>
  <c r="I459" i="12861"/>
  <c r="I171" i="12861" s="1"/>
  <c r="I240" i="12861"/>
  <c r="I242" i="12861" s="1"/>
  <c r="I311" i="12861"/>
  <c r="I473" i="12861"/>
  <c r="I192" i="12861" s="1"/>
  <c r="I713" i="12861"/>
  <c r="I715" i="12861" s="1"/>
  <c r="I627" i="12861"/>
  <c r="S694" i="12860"/>
  <c r="S572" i="12860"/>
  <c r="S629" i="12860"/>
  <c r="S656" i="12860"/>
  <c r="O694" i="12860"/>
  <c r="O656" i="12860"/>
  <c r="O629" i="12860"/>
  <c r="O572" i="12860"/>
  <c r="I611" i="12861"/>
  <c r="I675" i="12861"/>
  <c r="S123" i="12860"/>
  <c r="U123" i="12860" s="1"/>
  <c r="U130" i="12860" s="1"/>
  <c r="U132" i="12860" s="1"/>
  <c r="S138" i="12860"/>
  <c r="U138" i="12860" s="1"/>
  <c r="U145" i="12860" s="1"/>
  <c r="U147" i="12860" s="1"/>
  <c r="S108" i="12860"/>
  <c r="U108" i="12860" s="1"/>
  <c r="U115" i="12860" s="1"/>
  <c r="U117" i="12860" s="1"/>
  <c r="S96" i="12860"/>
  <c r="S153" i="12860"/>
  <c r="U153" i="12860" s="1"/>
  <c r="U160" i="12860" s="1"/>
  <c r="U162" i="12860" s="1"/>
  <c r="Q17" i="12783"/>
  <c r="P20" i="12783"/>
  <c r="Q20" i="12783" s="1"/>
  <c r="N17" i="12783"/>
  <c r="W102" i="12843"/>
  <c r="S89" i="12767"/>
  <c r="U98" i="12767"/>
  <c r="U100" i="12767" s="1"/>
  <c r="S91" i="12861"/>
  <c r="S154" i="12767"/>
  <c r="U154" i="12767" s="1"/>
  <c r="S91" i="12843"/>
  <c r="S97" i="12767"/>
  <c r="S109" i="12767"/>
  <c r="S124" i="12767"/>
  <c r="U124" i="12767" s="1"/>
  <c r="U103" i="12843"/>
  <c r="N23" i="12783"/>
  <c r="W23" i="12783" s="1"/>
  <c r="W916" i="12843"/>
  <c r="W206" i="12843"/>
  <c r="X205" i="12843"/>
  <c r="X915" i="12843"/>
  <c r="X769" i="12843"/>
  <c r="O868" i="12860"/>
  <c r="Q868" i="12860" s="1"/>
  <c r="U26" i="12783"/>
  <c r="W769" i="12860"/>
  <c r="I820" i="12861"/>
  <c r="I769" i="12861" s="1"/>
  <c r="I767" i="12861"/>
  <c r="X36" i="12783"/>
  <c r="S43" i="12783"/>
  <c r="X43" i="12783" s="1"/>
  <c r="V43" i="12783"/>
  <c r="O1112" i="12843"/>
  <c r="Q1137" i="12843" s="1"/>
  <c r="Q1139" i="12843" s="1"/>
  <c r="O1112" i="12861"/>
  <c r="K1112" i="12843"/>
  <c r="K1112" i="12861"/>
  <c r="Q969" i="12767"/>
  <c r="Q1062" i="12767" s="1"/>
  <c r="Q912" i="12767" s="1"/>
  <c r="S968" i="12843"/>
  <c r="U968" i="12843" s="1"/>
  <c r="U1062" i="12843" s="1"/>
  <c r="O36" i="12843"/>
  <c r="Q36" i="12843" s="1"/>
  <c r="U1081" i="12767"/>
  <c r="S15" i="12843"/>
  <c r="S72" i="12843" s="1"/>
  <c r="U72" i="12843" s="1"/>
  <c r="S15" i="12861"/>
  <c r="K17" i="12843"/>
  <c r="K56" i="12843" s="1"/>
  <c r="M56" i="12843" s="1"/>
  <c r="K17" i="12861"/>
  <c r="K21" i="12843"/>
  <c r="K60" i="12843" s="1"/>
  <c r="M60" i="12843" s="1"/>
  <c r="K21" i="12861"/>
  <c r="K20" i="12843"/>
  <c r="K41" i="12843" s="1"/>
  <c r="M41" i="12843" s="1"/>
  <c r="K20" i="12861"/>
  <c r="O16" i="12843"/>
  <c r="O73" i="12843" s="1"/>
  <c r="Q73" i="12843" s="1"/>
  <c r="O16" i="12861"/>
  <c r="O20" i="12843"/>
  <c r="O41" i="12843" s="1"/>
  <c r="Q41" i="12843" s="1"/>
  <c r="O20" i="12861"/>
  <c r="S16" i="12843"/>
  <c r="S37" i="12843" s="1"/>
  <c r="U37" i="12843" s="1"/>
  <c r="S16" i="12861"/>
  <c r="S21" i="12843"/>
  <c r="S42" i="12843" s="1"/>
  <c r="U42" i="12843" s="1"/>
  <c r="S21" i="12861"/>
  <c r="S20" i="12843"/>
  <c r="S77" i="12843" s="1"/>
  <c r="U77" i="12843" s="1"/>
  <c r="S20" i="12861"/>
  <c r="M1046" i="12861"/>
  <c r="S968" i="12861"/>
  <c r="S986" i="12861"/>
  <c r="U986" i="12861" s="1"/>
  <c r="O54" i="12843"/>
  <c r="Q54" i="12843" s="1"/>
  <c r="S1026" i="12861"/>
  <c r="U1026" i="12861" s="1"/>
  <c r="S1044" i="12861"/>
  <c r="U1044" i="12861" s="1"/>
  <c r="Q1098" i="12843"/>
  <c r="Q1098" i="12861"/>
  <c r="O1023" i="12767"/>
  <c r="Q1023" i="12767" s="1"/>
  <c r="O1002" i="12861"/>
  <c r="K15" i="12843"/>
  <c r="K54" i="12843" s="1"/>
  <c r="M54" i="12843" s="1"/>
  <c r="K15" i="12861"/>
  <c r="K16" i="12843"/>
  <c r="K37" i="12843" s="1"/>
  <c r="M37" i="12843" s="1"/>
  <c r="K16" i="12861"/>
  <c r="K19" i="12843"/>
  <c r="K40" i="12843" s="1"/>
  <c r="M40" i="12843" s="1"/>
  <c r="K19" i="12861"/>
  <c r="O17" i="12843"/>
  <c r="O56" i="12843" s="1"/>
  <c r="Q56" i="12843" s="1"/>
  <c r="O17" i="12861"/>
  <c r="O21" i="12843"/>
  <c r="O60" i="12843" s="1"/>
  <c r="Q60" i="12843" s="1"/>
  <c r="O21" i="12861"/>
  <c r="O19" i="12843"/>
  <c r="O58" i="12843" s="1"/>
  <c r="Q58" i="12843" s="1"/>
  <c r="O19" i="12861"/>
  <c r="S1096" i="12843"/>
  <c r="S1096" i="12861"/>
  <c r="O986" i="12861"/>
  <c r="Q986" i="12861" s="1"/>
  <c r="O968" i="12861"/>
  <c r="S1023" i="12767"/>
  <c r="U1023" i="12767" s="1"/>
  <c r="S1002" i="12861"/>
  <c r="O72" i="12861"/>
  <c r="Q72" i="12861" s="1"/>
  <c r="Q82" i="12861" s="1"/>
  <c r="Q84" i="12861" s="1"/>
  <c r="O36" i="12861"/>
  <c r="Q36" i="12861" s="1"/>
  <c r="Q46" i="12861" s="1"/>
  <c r="Q48" i="12861" s="1"/>
  <c r="O54" i="12861"/>
  <c r="Q54" i="12861" s="1"/>
  <c r="Q64" i="12861" s="1"/>
  <c r="Q66" i="12861" s="1"/>
  <c r="Q889" i="12843"/>
  <c r="Q889" i="12861"/>
  <c r="S890" i="12767"/>
  <c r="U890" i="12767" s="1"/>
  <c r="U617" i="12843"/>
  <c r="U1282" i="12843" s="1"/>
  <c r="U1278" i="12767"/>
  <c r="U1062" i="12767"/>
  <c r="S1098" i="12767"/>
  <c r="U1098" i="12843"/>
  <c r="U1102" i="12843" s="1"/>
  <c r="S1044" i="12843"/>
  <c r="U1044" i="12843" s="1"/>
  <c r="U1081" i="12843" s="1"/>
  <c r="Q1081" i="12767"/>
  <c r="O1041" i="12767"/>
  <c r="Q1041" i="12767" s="1"/>
  <c r="O986" i="12843"/>
  <c r="Q986" i="12843" s="1"/>
  <c r="O968" i="12843"/>
  <c r="Q968" i="12843" s="1"/>
  <c r="S1002" i="12843"/>
  <c r="S1041" i="12843" s="1"/>
  <c r="U1041" i="12843" s="1"/>
  <c r="O1002" i="12843"/>
  <c r="O1023" i="12843" s="1"/>
  <c r="Q1023" i="12843" s="1"/>
  <c r="Q1004" i="12767"/>
  <c r="U1004" i="12843"/>
  <c r="S1004" i="12767"/>
  <c r="S1041" i="12767"/>
  <c r="U1041" i="12767" s="1"/>
  <c r="U1102" i="12767"/>
  <c r="U1104" i="12767" s="1"/>
  <c r="U1008" i="12767"/>
  <c r="U1010" i="12767" s="1"/>
  <c r="S19" i="12843"/>
  <c r="S76" i="12843" s="1"/>
  <c r="U76" i="12843" s="1"/>
  <c r="O1096" i="12843"/>
  <c r="S17" i="12843"/>
  <c r="S74" i="12843" s="1"/>
  <c r="U74" i="12843" s="1"/>
  <c r="U873" i="12767"/>
  <c r="Q873" i="12767"/>
  <c r="M873" i="12767"/>
  <c r="U820" i="12767"/>
  <c r="Q820" i="12767"/>
  <c r="M820" i="12767"/>
  <c r="U554" i="12767"/>
  <c r="Q554" i="12767"/>
  <c r="M554" i="12767"/>
  <c r="U519" i="12767"/>
  <c r="Q519" i="12767"/>
  <c r="M519" i="12767"/>
  <c r="Q484" i="12767"/>
  <c r="U484" i="12767"/>
  <c r="M484" i="12767"/>
  <c r="M448" i="12767"/>
  <c r="U448" i="12767"/>
  <c r="Q448" i="12767"/>
  <c r="U413" i="12767"/>
  <c r="Q413" i="12767"/>
  <c r="M413" i="12767"/>
  <c r="U337" i="12767"/>
  <c r="U378" i="12767"/>
  <c r="Q378" i="12767"/>
  <c r="M378" i="12767"/>
  <c r="Q337" i="12767"/>
  <c r="Q303" i="12767"/>
  <c r="U303" i="12767"/>
  <c r="U268" i="12767"/>
  <c r="Q268" i="12767"/>
  <c r="Q234" i="12767"/>
  <c r="U343" i="12767"/>
  <c r="Q343" i="12767"/>
  <c r="M343" i="12767"/>
  <c r="U309" i="12767"/>
  <c r="Q309" i="12767"/>
  <c r="M309" i="12767"/>
  <c r="U240" i="12767"/>
  <c r="U274" i="12767"/>
  <c r="Q274" i="12767"/>
  <c r="M274" i="12767"/>
  <c r="Q240" i="12767"/>
  <c r="M240" i="12767"/>
  <c r="O1098" i="12767"/>
  <c r="Q1102" i="12767"/>
  <c r="Q1104" i="12767" s="1"/>
  <c r="U204" i="12843"/>
  <c r="M204" i="12843"/>
  <c r="Q204" i="12843"/>
  <c r="N26" i="12783"/>
  <c r="W770" i="12843"/>
  <c r="Q930" i="12843"/>
  <c r="Q911" i="12843" s="1"/>
  <c r="M1008" i="12843"/>
  <c r="M1010" i="12843" s="1"/>
  <c r="O1044" i="12843"/>
  <c r="Q1044" i="12843" s="1"/>
  <c r="O1026" i="12843"/>
  <c r="Q1026" i="12843" s="1"/>
  <c r="K1041" i="12843"/>
  <c r="M1041" i="12843" s="1"/>
  <c r="M1046" i="12843" s="1"/>
  <c r="M1048" i="12843" s="1"/>
  <c r="K1023" i="12843"/>
  <c r="M1023" i="12843" s="1"/>
  <c r="M1028" i="12843" s="1"/>
  <c r="M1030" i="12843" s="1"/>
  <c r="U912" i="12767"/>
  <c r="U741" i="12767"/>
  <c r="Q741" i="12767"/>
  <c r="U763" i="12767"/>
  <c r="U764" i="12861" s="1"/>
  <c r="Q763" i="12767"/>
  <c r="Q764" i="12861" s="1"/>
  <c r="Q767" i="12767"/>
  <c r="U767" i="12767"/>
  <c r="M767" i="12767"/>
  <c r="U197" i="12767"/>
  <c r="U198" i="12861" s="1"/>
  <c r="S198" i="12861" s="1"/>
  <c r="Q197" i="12767"/>
  <c r="Q198" i="12861" s="1"/>
  <c r="O198" i="12861" s="1"/>
  <c r="U181" i="12767"/>
  <c r="Q181" i="12767"/>
  <c r="U203" i="12767"/>
  <c r="Q203" i="12767"/>
  <c r="M203" i="12767"/>
  <c r="M1278" i="12767"/>
  <c r="Q23" i="12783"/>
  <c r="Q26" i="12783"/>
  <c r="S20" i="12783" l="1"/>
  <c r="X20" i="12783" s="1"/>
  <c r="I634" i="12860"/>
  <c r="I636" i="12860" s="1"/>
  <c r="W637" i="12860" s="1"/>
  <c r="Q1081" i="12861"/>
  <c r="S38" i="12861"/>
  <c r="U38" i="12861" s="1"/>
  <c r="S76" i="12861"/>
  <c r="U76" i="12861" s="1"/>
  <c r="S74" i="12861"/>
  <c r="U74" i="12861" s="1"/>
  <c r="Q768" i="12861"/>
  <c r="Q872" i="12861" s="1"/>
  <c r="M768" i="12861"/>
  <c r="M872" i="12861" s="1"/>
  <c r="O1098" i="12861"/>
  <c r="O1101" i="12861" s="1"/>
  <c r="S58" i="12861"/>
  <c r="U58" i="12861" s="1"/>
  <c r="U768" i="12861"/>
  <c r="U819" i="12861" s="1"/>
  <c r="I202" i="12860"/>
  <c r="I204" i="12860" s="1"/>
  <c r="O269" i="12861"/>
  <c r="Q269" i="12861" s="1"/>
  <c r="O549" i="12861"/>
  <c r="Q549" i="12861" s="1"/>
  <c r="O408" i="12861"/>
  <c r="Q408" i="12861" s="1"/>
  <c r="O373" i="12861"/>
  <c r="O235" i="12861"/>
  <c r="O443" i="12861"/>
  <c r="Q443" i="12861" s="1"/>
  <c r="O514" i="12861"/>
  <c r="Q514" i="12861" s="1"/>
  <c r="O338" i="12861"/>
  <c r="Q338" i="12861" s="1"/>
  <c r="O304" i="12861"/>
  <c r="Q304" i="12861" s="1"/>
  <c r="O479" i="12861"/>
  <c r="S338" i="12861"/>
  <c r="U338" i="12861" s="1"/>
  <c r="S304" i="12861"/>
  <c r="U304" i="12861" s="1"/>
  <c r="S269" i="12861"/>
  <c r="U269" i="12861" s="1"/>
  <c r="S514" i="12861"/>
  <c r="U514" i="12861" s="1"/>
  <c r="S443" i="12861"/>
  <c r="U443" i="12861" s="1"/>
  <c r="S408" i="12861"/>
  <c r="U408" i="12861" s="1"/>
  <c r="S479" i="12861"/>
  <c r="S373" i="12861"/>
  <c r="S235" i="12861"/>
  <c r="S549" i="12861"/>
  <c r="U549" i="12861" s="1"/>
  <c r="U182" i="12843"/>
  <c r="U182" i="12861"/>
  <c r="Q182" i="12843"/>
  <c r="Q182" i="12861"/>
  <c r="U966" i="12860"/>
  <c r="U971" i="12860" s="1"/>
  <c r="U973" i="12860" s="1"/>
  <c r="W898" i="12861"/>
  <c r="I484" i="12861"/>
  <c r="I486" i="12861" s="1"/>
  <c r="X1010" i="12860"/>
  <c r="I935" i="12860"/>
  <c r="W936" i="12860"/>
  <c r="V938" i="12860"/>
  <c r="X938" i="12860" s="1"/>
  <c r="I1010" i="12861"/>
  <c r="I932" i="12861"/>
  <c r="I913" i="12860"/>
  <c r="I914" i="12860"/>
  <c r="I916" i="12860" s="1"/>
  <c r="W917" i="12860" s="1"/>
  <c r="S1026" i="12860"/>
  <c r="U1026" i="12860" s="1"/>
  <c r="U1062" i="12860" s="1"/>
  <c r="S1044" i="12860"/>
  <c r="U1044" i="12860" s="1"/>
  <c r="U1081" i="12860" s="1"/>
  <c r="M933" i="12860"/>
  <c r="M1010" i="12860"/>
  <c r="M935" i="12860" s="1"/>
  <c r="S892" i="12860"/>
  <c r="U892" i="12860" s="1"/>
  <c r="U887" i="12860"/>
  <c r="U896" i="12860" s="1"/>
  <c r="U898" i="12860" s="1"/>
  <c r="S893" i="12860"/>
  <c r="U893" i="12860" s="1"/>
  <c r="O1026" i="12860"/>
  <c r="Q1026" i="12860" s="1"/>
  <c r="Q1062" i="12860" s="1"/>
  <c r="O1044" i="12860"/>
  <c r="Q1044" i="12860" s="1"/>
  <c r="Q1081" i="12860" s="1"/>
  <c r="I1083" i="12861"/>
  <c r="I1085" i="12861" s="1"/>
  <c r="I1048" i="12861"/>
  <c r="U968" i="12860"/>
  <c r="S889" i="12860"/>
  <c r="K893" i="12860"/>
  <c r="M893" i="12860" s="1"/>
  <c r="M887" i="12860"/>
  <c r="M896" i="12860" s="1"/>
  <c r="M898" i="12860" s="1"/>
  <c r="K892" i="12860"/>
  <c r="M892" i="12860" s="1"/>
  <c r="I19" i="12867"/>
  <c r="K19" i="12867" s="1"/>
  <c r="I15" i="12867"/>
  <c r="K15" i="12867" s="1"/>
  <c r="I21" i="12867"/>
  <c r="K21" i="12867" s="1"/>
  <c r="I20" i="12867"/>
  <c r="K20" i="12867" s="1"/>
  <c r="T17" i="12867"/>
  <c r="I23" i="12867"/>
  <c r="K23" i="12867" s="1"/>
  <c r="I24" i="12867"/>
  <c r="K24" i="12867" s="1"/>
  <c r="I17" i="12867"/>
  <c r="K17" i="12867" s="1"/>
  <c r="I16" i="12867"/>
  <c r="K16" i="12867" s="1"/>
  <c r="I28" i="12867"/>
  <c r="K28" i="12867" s="1"/>
  <c r="I27" i="12867"/>
  <c r="K27" i="12867" s="1"/>
  <c r="I29" i="12867"/>
  <c r="K29" i="12867" s="1"/>
  <c r="I1028" i="12861"/>
  <c r="I1055" i="12861"/>
  <c r="O889" i="12860"/>
  <c r="Q968" i="12860"/>
  <c r="Q1002" i="12860"/>
  <c r="U1002" i="12860"/>
  <c r="M928" i="12860"/>
  <c r="M909" i="12860" s="1"/>
  <c r="K1002" i="12860"/>
  <c r="O887" i="12860"/>
  <c r="Q966" i="12860"/>
  <c r="Q971" i="12860" s="1"/>
  <c r="Q973" i="12860" s="1"/>
  <c r="I25" i="12867"/>
  <c r="K25" i="12867" s="1"/>
  <c r="I635" i="12861"/>
  <c r="I637" i="12861" s="1"/>
  <c r="I677" i="12861"/>
  <c r="U656" i="12860"/>
  <c r="S669" i="12860"/>
  <c r="U669" i="12860" s="1"/>
  <c r="O707" i="12860"/>
  <c r="Q707" i="12860" s="1"/>
  <c r="Q694" i="12860"/>
  <c r="O585" i="12860"/>
  <c r="Q585" i="12860" s="1"/>
  <c r="Q572" i="12860"/>
  <c r="O573" i="12860"/>
  <c r="S585" i="12860"/>
  <c r="U585" i="12860" s="1"/>
  <c r="S573" i="12860"/>
  <c r="U572" i="12860"/>
  <c r="Q656" i="12860"/>
  <c r="O669" i="12860"/>
  <c r="Q669" i="12860" s="1"/>
  <c r="U694" i="12860"/>
  <c r="S707" i="12860"/>
  <c r="U707" i="12860" s="1"/>
  <c r="U125" i="12861"/>
  <c r="U125" i="12843"/>
  <c r="S139" i="12767"/>
  <c r="U139" i="12767" s="1"/>
  <c r="U109" i="12767"/>
  <c r="S110" i="12861"/>
  <c r="S140" i="12861" s="1"/>
  <c r="U140" i="12861" s="1"/>
  <c r="S98" i="12861"/>
  <c r="S155" i="12861"/>
  <c r="U155" i="12861" s="1"/>
  <c r="S125" i="12861"/>
  <c r="U91" i="12861"/>
  <c r="V17" i="12783"/>
  <c r="W22" i="12862" s="1"/>
  <c r="N20" i="12783"/>
  <c r="W17" i="12783"/>
  <c r="U91" i="12843"/>
  <c r="S155" i="12843"/>
  <c r="U155" i="12843" s="1"/>
  <c r="S98" i="12843"/>
  <c r="S125" i="12843"/>
  <c r="S110" i="12843"/>
  <c r="S140" i="12843" s="1"/>
  <c r="U140" i="12843" s="1"/>
  <c r="S90" i="12861"/>
  <c r="S123" i="12767"/>
  <c r="U123" i="12767" s="1"/>
  <c r="S90" i="12843"/>
  <c r="S96" i="12767"/>
  <c r="S138" i="12767"/>
  <c r="U138" i="12767" s="1"/>
  <c r="U145" i="12767" s="1"/>
  <c r="U147" i="12767" s="1"/>
  <c r="S153" i="12767"/>
  <c r="U153" i="12767" s="1"/>
  <c r="U160" i="12767" s="1"/>
  <c r="U162" i="12767" s="1"/>
  <c r="S108" i="12767"/>
  <c r="U108" i="12767" s="1"/>
  <c r="W28" i="12783"/>
  <c r="V26" i="12783"/>
  <c r="T33" i="12865" s="1"/>
  <c r="W770" i="12861"/>
  <c r="S26" i="12783"/>
  <c r="X26" i="12783" s="1"/>
  <c r="S889" i="12843"/>
  <c r="S890" i="12843" s="1"/>
  <c r="K76" i="12843"/>
  <c r="M76" i="12843" s="1"/>
  <c r="S73" i="12843"/>
  <c r="U73" i="12843" s="1"/>
  <c r="K36" i="12843"/>
  <c r="M36" i="12843" s="1"/>
  <c r="M46" i="12843" s="1"/>
  <c r="M48" i="12843" s="1"/>
  <c r="S55" i="12843"/>
  <c r="U55" i="12843" s="1"/>
  <c r="S41" i="12843"/>
  <c r="U41" i="12843" s="1"/>
  <c r="K78" i="12843"/>
  <c r="M78" i="12843" s="1"/>
  <c r="O55" i="12843"/>
  <c r="Q55" i="12843" s="1"/>
  <c r="S36" i="12843"/>
  <c r="U36" i="12843" s="1"/>
  <c r="K42" i="12843"/>
  <c r="M42" i="12843" s="1"/>
  <c r="O37" i="12843"/>
  <c r="Q37" i="12843" s="1"/>
  <c r="S54" i="12843"/>
  <c r="U54" i="12843" s="1"/>
  <c r="S59" i="12843"/>
  <c r="U59" i="12843" s="1"/>
  <c r="O40" i="12843"/>
  <c r="Q40" i="12843" s="1"/>
  <c r="K55" i="12843"/>
  <c r="M55" i="12843" s="1"/>
  <c r="O76" i="12843"/>
  <c r="Q76" i="12843" s="1"/>
  <c r="O38" i="12843"/>
  <c r="Q38" i="12843" s="1"/>
  <c r="O74" i="12843"/>
  <c r="Q74" i="12843" s="1"/>
  <c r="K59" i="12843"/>
  <c r="M59" i="12843" s="1"/>
  <c r="O77" i="12843"/>
  <c r="Q77" i="12843" s="1"/>
  <c r="S60" i="12843"/>
  <c r="U60" i="12843" s="1"/>
  <c r="K38" i="12843"/>
  <c r="M38" i="12843" s="1"/>
  <c r="O59" i="12843"/>
  <c r="Q59" i="12843" s="1"/>
  <c r="K73" i="12843"/>
  <c r="M73" i="12843" s="1"/>
  <c r="S78" i="12843"/>
  <c r="U78" i="12843" s="1"/>
  <c r="K77" i="12843"/>
  <c r="M77" i="12843" s="1"/>
  <c r="S1098" i="12843"/>
  <c r="S1101" i="12843" s="1"/>
  <c r="S1098" i="12861"/>
  <c r="S1101" i="12861" s="1"/>
  <c r="S78" i="12861"/>
  <c r="U78" i="12861" s="1"/>
  <c r="S42" i="12861"/>
  <c r="U42" i="12861" s="1"/>
  <c r="S60" i="12861"/>
  <c r="U60" i="12861" s="1"/>
  <c r="K59" i="12861"/>
  <c r="M59" i="12861" s="1"/>
  <c r="K77" i="12861"/>
  <c r="M77" i="12861" s="1"/>
  <c r="K41" i="12861"/>
  <c r="M41" i="12861" s="1"/>
  <c r="S1043" i="12767"/>
  <c r="U1043" i="12767" s="1"/>
  <c r="S1004" i="12861"/>
  <c r="S1041" i="12861"/>
  <c r="U1041" i="12861" s="1"/>
  <c r="S1023" i="12861"/>
  <c r="U1023" i="12861" s="1"/>
  <c r="O76" i="12861"/>
  <c r="Q76" i="12861" s="1"/>
  <c r="O40" i="12861"/>
  <c r="Q40" i="12861" s="1"/>
  <c r="O58" i="12861"/>
  <c r="Q58" i="12861" s="1"/>
  <c r="O56" i="12861"/>
  <c r="Q56" i="12861" s="1"/>
  <c r="O74" i="12861"/>
  <c r="Q74" i="12861" s="1"/>
  <c r="O38" i="12861"/>
  <c r="Q38" i="12861" s="1"/>
  <c r="O1023" i="12861"/>
  <c r="Q1023" i="12861" s="1"/>
  <c r="O1041" i="12861"/>
  <c r="Q1041" i="12861" s="1"/>
  <c r="Q742" i="12843"/>
  <c r="Q742" i="12861"/>
  <c r="K74" i="12843"/>
  <c r="M74" i="12843" s="1"/>
  <c r="K58" i="12843"/>
  <c r="M58" i="12843" s="1"/>
  <c r="K72" i="12843"/>
  <c r="M72" i="12843" s="1"/>
  <c r="M82" i="12843" s="1"/>
  <c r="M84" i="12843" s="1"/>
  <c r="U1081" i="12861"/>
  <c r="U968" i="12861"/>
  <c r="U1062" i="12861" s="1"/>
  <c r="S889" i="12861"/>
  <c r="S890" i="12861" s="1"/>
  <c r="S59" i="12861"/>
  <c r="U59" i="12861" s="1"/>
  <c r="S77" i="12861"/>
  <c r="U77" i="12861" s="1"/>
  <c r="S41" i="12861"/>
  <c r="U41" i="12861" s="1"/>
  <c r="S73" i="12861"/>
  <c r="U73" i="12861" s="1"/>
  <c r="S37" i="12861"/>
  <c r="U37" i="12861" s="1"/>
  <c r="S55" i="12861"/>
  <c r="U55" i="12861" s="1"/>
  <c r="O55" i="12861"/>
  <c r="Q55" i="12861" s="1"/>
  <c r="O37" i="12861"/>
  <c r="Q37" i="12861" s="1"/>
  <c r="O73" i="12861"/>
  <c r="Q73" i="12861" s="1"/>
  <c r="K78" i="12861"/>
  <c r="M78" i="12861" s="1"/>
  <c r="K42" i="12861"/>
  <c r="M42" i="12861" s="1"/>
  <c r="K60" i="12861"/>
  <c r="M60" i="12861" s="1"/>
  <c r="S54" i="12861"/>
  <c r="U54" i="12861" s="1"/>
  <c r="U64" i="12861" s="1"/>
  <c r="U66" i="12861" s="1"/>
  <c r="S72" i="12861"/>
  <c r="U72" i="12861" s="1"/>
  <c r="U82" i="12861" s="1"/>
  <c r="U84" i="12861" s="1"/>
  <c r="S36" i="12861"/>
  <c r="U36" i="12861" s="1"/>
  <c r="U46" i="12861" s="1"/>
  <c r="U48" i="12861" s="1"/>
  <c r="U889" i="12843"/>
  <c r="U889" i="12861"/>
  <c r="M1030" i="12861"/>
  <c r="M1048" i="12861"/>
  <c r="O77" i="12861"/>
  <c r="Q77" i="12861" s="1"/>
  <c r="O41" i="12861"/>
  <c r="Q41" i="12861" s="1"/>
  <c r="O59" i="12861"/>
  <c r="Q59" i="12861" s="1"/>
  <c r="K74" i="12861"/>
  <c r="M74" i="12861" s="1"/>
  <c r="K38" i="12861"/>
  <c r="M38" i="12861" s="1"/>
  <c r="K56" i="12861"/>
  <c r="M56" i="12861" s="1"/>
  <c r="K73" i="12861"/>
  <c r="M73" i="12861" s="1"/>
  <c r="K37" i="12861"/>
  <c r="M37" i="12861" s="1"/>
  <c r="K55" i="12861"/>
  <c r="M55" i="12861" s="1"/>
  <c r="U742" i="12843"/>
  <c r="U742" i="12861"/>
  <c r="O42" i="12843"/>
  <c r="Q42" i="12843" s="1"/>
  <c r="O78" i="12843"/>
  <c r="Q78" i="12843" s="1"/>
  <c r="Q1004" i="12843"/>
  <c r="Q1004" i="12861"/>
  <c r="Q968" i="12861"/>
  <c r="Q1062" i="12861" s="1"/>
  <c r="O889" i="12861"/>
  <c r="O890" i="12861" s="1"/>
  <c r="O60" i="12861"/>
  <c r="Q60" i="12861" s="1"/>
  <c r="O42" i="12861"/>
  <c r="Q42" i="12861" s="1"/>
  <c r="O78" i="12861"/>
  <c r="Q78" i="12861" s="1"/>
  <c r="K58" i="12861"/>
  <c r="M58" i="12861" s="1"/>
  <c r="K76" i="12861"/>
  <c r="M76" i="12861" s="1"/>
  <c r="K40" i="12861"/>
  <c r="M40" i="12861" s="1"/>
  <c r="K54" i="12861"/>
  <c r="M54" i="12861" s="1"/>
  <c r="M64" i="12861" s="1"/>
  <c r="M66" i="12861" s="1"/>
  <c r="K72" i="12861"/>
  <c r="M72" i="12861" s="1"/>
  <c r="M82" i="12861" s="1"/>
  <c r="M84" i="12861" s="1"/>
  <c r="K36" i="12861"/>
  <c r="M36" i="12861" s="1"/>
  <c r="M46" i="12861" s="1"/>
  <c r="M48" i="12861" s="1"/>
  <c r="S1101" i="12767"/>
  <c r="S763" i="12767"/>
  <c r="U764" i="12843"/>
  <c r="O763" i="12767"/>
  <c r="Q764" i="12843"/>
  <c r="O1041" i="12843"/>
  <c r="Q1041" i="12843" s="1"/>
  <c r="O889" i="12843"/>
  <c r="O890" i="12843" s="1"/>
  <c r="S1023" i="12843"/>
  <c r="U1023" i="12843" s="1"/>
  <c r="Q1081" i="12843"/>
  <c r="Q1008" i="12767"/>
  <c r="Q1010" i="12767" s="1"/>
  <c r="O1004" i="12767"/>
  <c r="S197" i="12767"/>
  <c r="S234" i="12767" s="1"/>
  <c r="U198" i="12843"/>
  <c r="S198" i="12843" s="1"/>
  <c r="S479" i="12843" s="1"/>
  <c r="O197" i="12767"/>
  <c r="O234" i="12767" s="1"/>
  <c r="Q198" i="12843"/>
  <c r="O198" i="12843" s="1"/>
  <c r="O373" i="12843" s="1"/>
  <c r="S1007" i="12767"/>
  <c r="S1004" i="12843"/>
  <c r="U1008" i="12843" s="1"/>
  <c r="U1010" i="12843" s="1"/>
  <c r="S1025" i="12767"/>
  <c r="U1025" i="12767" s="1"/>
  <c r="U1028" i="12767" s="1"/>
  <c r="U1030" i="12767" s="1"/>
  <c r="Q64" i="12843"/>
  <c r="Q66" i="12843" s="1"/>
  <c r="S58" i="12843"/>
  <c r="U58" i="12843" s="1"/>
  <c r="S40" i="12843"/>
  <c r="U40" i="12843" s="1"/>
  <c r="M25" i="12843"/>
  <c r="M27" i="12843" s="1"/>
  <c r="M64" i="12843"/>
  <c r="M66" i="12843" s="1"/>
  <c r="Q25" i="12843"/>
  <c r="Q27" i="12843" s="1"/>
  <c r="Q82" i="12843"/>
  <c r="Q84" i="12843" s="1"/>
  <c r="S56" i="12843"/>
  <c r="U56" i="12843" s="1"/>
  <c r="Q46" i="12843"/>
  <c r="Q48" i="12843" s="1"/>
  <c r="Q768" i="12843"/>
  <c r="Q819" i="12843" s="1"/>
  <c r="S38" i="12843"/>
  <c r="U38" i="12843" s="1"/>
  <c r="U768" i="12843"/>
  <c r="U819" i="12843" s="1"/>
  <c r="M768" i="12843"/>
  <c r="M819" i="12843" s="1"/>
  <c r="U234" i="12767"/>
  <c r="U82" i="12843"/>
  <c r="U84" i="12843" s="1"/>
  <c r="O1098" i="12843"/>
  <c r="O1101" i="12767"/>
  <c r="U555" i="12843"/>
  <c r="U379" i="12843"/>
  <c r="U275" i="12843"/>
  <c r="U344" i="12843"/>
  <c r="U241" i="12843"/>
  <c r="U520" i="12843"/>
  <c r="U310" i="12843"/>
  <c r="U485" i="12843"/>
  <c r="U449" i="12843"/>
  <c r="U414" i="12843"/>
  <c r="Q275" i="12843"/>
  <c r="Q555" i="12843"/>
  <c r="Q241" i="12843"/>
  <c r="Q344" i="12843"/>
  <c r="Q485" i="12843"/>
  <c r="Q520" i="12843"/>
  <c r="Q449" i="12843"/>
  <c r="Q414" i="12843"/>
  <c r="Q310" i="12843"/>
  <c r="Q379" i="12843"/>
  <c r="M344" i="12843"/>
  <c r="M241" i="12843"/>
  <c r="M310" i="12843"/>
  <c r="M520" i="12843"/>
  <c r="M485" i="12843"/>
  <c r="M449" i="12843"/>
  <c r="M414" i="12843"/>
  <c r="M555" i="12843"/>
  <c r="M379" i="12843"/>
  <c r="M275" i="12843"/>
  <c r="U1104" i="12843"/>
  <c r="Q1062" i="12843"/>
  <c r="S181" i="12767"/>
  <c r="S182" i="12861" s="1"/>
  <c r="O181" i="12767"/>
  <c r="O182" i="12861" s="1"/>
  <c r="U1046" i="12767"/>
  <c r="S741" i="12767"/>
  <c r="O741" i="12767"/>
  <c r="O395" i="12767"/>
  <c r="Q395" i="12767" s="1"/>
  <c r="O396" i="12767"/>
  <c r="Q396" i="12767" s="1"/>
  <c r="O468" i="12767"/>
  <c r="W26" i="12783"/>
  <c r="U25" i="12783" l="1"/>
  <c r="Q819" i="12861"/>
  <c r="U872" i="12861"/>
  <c r="O742" i="12861"/>
  <c r="O763" i="12861" s="1"/>
  <c r="M819" i="12861"/>
  <c r="S742" i="12861"/>
  <c r="S763" i="12861" s="1"/>
  <c r="Q479" i="12861"/>
  <c r="U373" i="12861"/>
  <c r="U235" i="12861"/>
  <c r="W205" i="12860"/>
  <c r="U23" i="12783"/>
  <c r="U28" i="12783"/>
  <c r="V28" i="12783" s="1"/>
  <c r="N30" i="12868" s="1"/>
  <c r="Q373" i="12861"/>
  <c r="O869" i="12767"/>
  <c r="Q869" i="12767" s="1"/>
  <c r="O764" i="12861"/>
  <c r="S816" i="12767"/>
  <c r="U816" i="12767" s="1"/>
  <c r="S764" i="12861"/>
  <c r="U479" i="12861"/>
  <c r="S395" i="12861"/>
  <c r="S325" i="12861"/>
  <c r="S197" i="12861"/>
  <c r="S501" i="12861"/>
  <c r="S430" i="12861"/>
  <c r="S466" i="12861"/>
  <c r="S478" i="12861" s="1"/>
  <c r="S360" i="12861"/>
  <c r="S372" i="12861" s="1"/>
  <c r="S536" i="12861"/>
  <c r="S222" i="12861"/>
  <c r="S234" i="12861" s="1"/>
  <c r="S291" i="12861"/>
  <c r="S256" i="12861"/>
  <c r="O430" i="12861"/>
  <c r="O536" i="12861"/>
  <c r="O197" i="12861"/>
  <c r="O291" i="12861"/>
  <c r="O256" i="12861"/>
  <c r="O466" i="12861"/>
  <c r="O478" i="12861" s="1"/>
  <c r="O325" i="12861"/>
  <c r="O395" i="12861"/>
  <c r="O222" i="12861"/>
  <c r="O234" i="12861" s="1"/>
  <c r="O501" i="12861"/>
  <c r="O360" i="12861"/>
  <c r="O372" i="12861" s="1"/>
  <c r="Q235" i="12861"/>
  <c r="I203" i="12861"/>
  <c r="I205" i="12861" s="1"/>
  <c r="W206" i="12861" s="1"/>
  <c r="U629" i="12860"/>
  <c r="M914" i="12860"/>
  <c r="M916" i="12860" s="1"/>
  <c r="M913" i="12860"/>
  <c r="S1002" i="12860"/>
  <c r="U928" i="12860"/>
  <c r="U909" i="12860" s="1"/>
  <c r="U1004" i="12860"/>
  <c r="U1008" i="12860"/>
  <c r="O892" i="12860"/>
  <c r="Q892" i="12860" s="1"/>
  <c r="Q887" i="12860"/>
  <c r="Q896" i="12860" s="1"/>
  <c r="Q898" i="12860" s="1"/>
  <c r="O893" i="12860"/>
  <c r="Q893" i="12860" s="1"/>
  <c r="Q1008" i="12860"/>
  <c r="O1002" i="12860"/>
  <c r="Q928" i="12860"/>
  <c r="Q909" i="12860" s="1"/>
  <c r="I1064" i="12861"/>
  <c r="I1066" i="12861" s="1"/>
  <c r="I1030" i="12861"/>
  <c r="U889" i="12860"/>
  <c r="S894" i="12860"/>
  <c r="U894" i="12860" s="1"/>
  <c r="I913" i="12861"/>
  <c r="I915" i="12861" s="1"/>
  <c r="I912" i="12861"/>
  <c r="O894" i="12860"/>
  <c r="Q894" i="12860" s="1"/>
  <c r="Q889" i="12860"/>
  <c r="K1041" i="12860"/>
  <c r="M1041" i="12860" s="1"/>
  <c r="K1023" i="12860"/>
  <c r="M1023" i="12860" s="1"/>
  <c r="X1010" i="12861"/>
  <c r="I934" i="12861"/>
  <c r="W935" i="12861"/>
  <c r="V937" i="12861"/>
  <c r="X937" i="12861" s="1"/>
  <c r="Q629" i="12860"/>
  <c r="S586" i="12860"/>
  <c r="U586" i="12860" s="1"/>
  <c r="U573" i="12860"/>
  <c r="O586" i="12860"/>
  <c r="Q586" i="12860" s="1"/>
  <c r="Q573" i="12860"/>
  <c r="W638" i="12861"/>
  <c r="S25" i="12783"/>
  <c r="X25" i="12783" s="1"/>
  <c r="S124" i="12843"/>
  <c r="S97" i="12843"/>
  <c r="S109" i="12843"/>
  <c r="S154" i="12843"/>
  <c r="U154" i="12843" s="1"/>
  <c r="U161" i="12843" s="1"/>
  <c r="U163" i="12843" s="1"/>
  <c r="S139" i="12843"/>
  <c r="U139" i="12843" s="1"/>
  <c r="W20" i="12783"/>
  <c r="V20" i="12783"/>
  <c r="S97" i="12861"/>
  <c r="S124" i="12861"/>
  <c r="S139" i="12861"/>
  <c r="U139" i="12861" s="1"/>
  <c r="U146" i="12861" s="1"/>
  <c r="U148" i="12861" s="1"/>
  <c r="S154" i="12861"/>
  <c r="U154" i="12861" s="1"/>
  <c r="U161" i="12861" s="1"/>
  <c r="U163" i="12861" s="1"/>
  <c r="S109" i="12861"/>
  <c r="U109" i="12843"/>
  <c r="U116" i="12843" s="1"/>
  <c r="U118" i="12843" s="1"/>
  <c r="U109" i="12861"/>
  <c r="U116" i="12861" s="1"/>
  <c r="U118" i="12861" s="1"/>
  <c r="U115" i="12767"/>
  <c r="U117" i="12767" s="1"/>
  <c r="U110" i="12861"/>
  <c r="U110" i="12843"/>
  <c r="U124" i="12861"/>
  <c r="U131" i="12861" s="1"/>
  <c r="U133" i="12861" s="1"/>
  <c r="U124" i="12843"/>
  <c r="U131" i="12843" s="1"/>
  <c r="U133" i="12843" s="1"/>
  <c r="U130" i="12767"/>
  <c r="U132" i="12767" s="1"/>
  <c r="U146" i="12843"/>
  <c r="U148" i="12843" s="1"/>
  <c r="S23" i="12783"/>
  <c r="X23" i="12783" s="1"/>
  <c r="V23" i="12783"/>
  <c r="X34" i="12863" s="1"/>
  <c r="S1025" i="12861"/>
  <c r="U1025" i="12861" s="1"/>
  <c r="S1043" i="12861"/>
  <c r="U1043" i="12861" s="1"/>
  <c r="S1007" i="12861"/>
  <c r="Q1046" i="12861"/>
  <c r="U1028" i="12861"/>
  <c r="Q1028" i="12861"/>
  <c r="U1046" i="12861"/>
  <c r="O1007" i="12767"/>
  <c r="O1004" i="12861"/>
  <c r="S869" i="12767"/>
  <c r="U869" i="12767" s="1"/>
  <c r="S764" i="12843"/>
  <c r="S816" i="12843" s="1"/>
  <c r="U816" i="12843" s="1"/>
  <c r="O1004" i="12843"/>
  <c r="Q1008" i="12843" s="1"/>
  <c r="Q1010" i="12843" s="1"/>
  <c r="O816" i="12767"/>
  <c r="Q816" i="12767" s="1"/>
  <c r="O764" i="12843"/>
  <c r="O816" i="12843" s="1"/>
  <c r="Q816" i="12843" s="1"/>
  <c r="O1043" i="12767"/>
  <c r="Q1043" i="12767" s="1"/>
  <c r="Q1046" i="12767" s="1"/>
  <c r="O1025" i="12767"/>
  <c r="Q1025" i="12767" s="1"/>
  <c r="Q1028" i="12767" s="1"/>
  <c r="Q1030" i="12767" s="1"/>
  <c r="S478" i="12767"/>
  <c r="O235" i="12843"/>
  <c r="S303" i="12767"/>
  <c r="S407" i="12767"/>
  <c r="U407" i="12767" s="1"/>
  <c r="S548" i="12767"/>
  <c r="U548" i="12767" s="1"/>
  <c r="S442" i="12767"/>
  <c r="U442" i="12767" s="1"/>
  <c r="S268" i="12767"/>
  <c r="S513" i="12767"/>
  <c r="U513" i="12767" s="1"/>
  <c r="S337" i="12767"/>
  <c r="S338" i="12843"/>
  <c r="U338" i="12843" s="1"/>
  <c r="S304" i="12843"/>
  <c r="U304" i="12843" s="1"/>
  <c r="S235" i="12843"/>
  <c r="S269" i="12843"/>
  <c r="U269" i="12843" s="1"/>
  <c r="S443" i="12843"/>
  <c r="U443" i="12843" s="1"/>
  <c r="O338" i="12843"/>
  <c r="Q338" i="12843" s="1"/>
  <c r="O443" i="12843"/>
  <c r="Q443" i="12843" s="1"/>
  <c r="O549" i="12843"/>
  <c r="Q549" i="12843" s="1"/>
  <c r="O513" i="12767"/>
  <c r="Q513" i="12767" s="1"/>
  <c r="O442" i="12767"/>
  <c r="Q442" i="12767" s="1"/>
  <c r="O337" i="12767"/>
  <c r="O268" i="12767"/>
  <c r="O479" i="12843"/>
  <c r="O548" i="12767"/>
  <c r="Q548" i="12767" s="1"/>
  <c r="O478" i="12767"/>
  <c r="O407" i="12767"/>
  <c r="Q407" i="12767" s="1"/>
  <c r="O303" i="12767"/>
  <c r="S549" i="12843"/>
  <c r="U549" i="12843" s="1"/>
  <c r="S408" i="12843"/>
  <c r="U408" i="12843" s="1"/>
  <c r="O304" i="12843"/>
  <c r="Q304" i="12843" s="1"/>
  <c r="O408" i="12843"/>
  <c r="Q408" i="12843" s="1"/>
  <c r="S373" i="12843"/>
  <c r="S514" i="12843"/>
  <c r="U514" i="12843" s="1"/>
  <c r="O514" i="12843"/>
  <c r="Q514" i="12843" s="1"/>
  <c r="O269" i="12843"/>
  <c r="Q269" i="12843" s="1"/>
  <c r="S1025" i="12843"/>
  <c r="U1025" i="12843" s="1"/>
  <c r="U1028" i="12843" s="1"/>
  <c r="U1030" i="12843" s="1"/>
  <c r="S1007" i="12843"/>
  <c r="S1043" i="12843"/>
  <c r="U1043" i="12843" s="1"/>
  <c r="U1046" i="12843" s="1"/>
  <c r="U1048" i="12843" s="1"/>
  <c r="U46" i="12843"/>
  <c r="U48" i="12843" s="1"/>
  <c r="U64" i="12843"/>
  <c r="U66" i="12843" s="1"/>
  <c r="U25" i="12843"/>
  <c r="U27" i="12843" s="1"/>
  <c r="U30" i="12843" s="1"/>
  <c r="U872" i="12843"/>
  <c r="Q872" i="12843"/>
  <c r="S500" i="12767"/>
  <c r="S512" i="12767" s="1"/>
  <c r="U512" i="12767" s="1"/>
  <c r="M872" i="12843"/>
  <c r="O500" i="12767"/>
  <c r="O512" i="12767" s="1"/>
  <c r="Q512" i="12767" s="1"/>
  <c r="S795" i="12767"/>
  <c r="S815" i="12767" s="1"/>
  <c r="U815" i="12767" s="1"/>
  <c r="S848" i="12767"/>
  <c r="O795" i="12767"/>
  <c r="Q795" i="12767" s="1"/>
  <c r="O848" i="12767"/>
  <c r="S465" i="12767"/>
  <c r="S477" i="12767" s="1"/>
  <c r="S535" i="12767"/>
  <c r="O465" i="12767"/>
  <c r="O477" i="12767" s="1"/>
  <c r="O535" i="12767"/>
  <c r="S394" i="12767"/>
  <c r="U394" i="12767" s="1"/>
  <c r="S429" i="12767"/>
  <c r="O394" i="12767"/>
  <c r="Q394" i="12767" s="1"/>
  <c r="O429" i="12767"/>
  <c r="S324" i="12767"/>
  <c r="S336" i="12767" s="1"/>
  <c r="U336" i="12767" s="1"/>
  <c r="S359" i="12767"/>
  <c r="S371" i="12767" s="1"/>
  <c r="O324" i="12767"/>
  <c r="Q324" i="12767" s="1"/>
  <c r="O359" i="12767"/>
  <c r="O371" i="12767" s="1"/>
  <c r="S255" i="12767"/>
  <c r="S267" i="12767" s="1"/>
  <c r="U267" i="12767" s="1"/>
  <c r="S290" i="12767"/>
  <c r="O255" i="12767"/>
  <c r="Q255" i="12767" s="1"/>
  <c r="O290" i="12767"/>
  <c r="S182" i="12843"/>
  <c r="S536" i="12843" s="1"/>
  <c r="S221" i="12767"/>
  <c r="S233" i="12767" s="1"/>
  <c r="O182" i="12843"/>
  <c r="O501" i="12843" s="1"/>
  <c r="O221" i="12767"/>
  <c r="O233" i="12767" s="1"/>
  <c r="O1101" i="12843"/>
  <c r="Q1102" i="12843"/>
  <c r="Q1104" i="12843" s="1"/>
  <c r="S762" i="12767"/>
  <c r="U762" i="12767" s="1"/>
  <c r="S742" i="12843"/>
  <c r="O762" i="12767"/>
  <c r="Q762" i="12767" s="1"/>
  <c r="O742" i="12843"/>
  <c r="S196" i="12767"/>
  <c r="U196" i="12767" s="1"/>
  <c r="O196" i="12767"/>
  <c r="Q196" i="12767" s="1"/>
  <c r="U1048" i="12767"/>
  <c r="O326" i="12767"/>
  <c r="Q326" i="12767" s="1"/>
  <c r="O467" i="12767"/>
  <c r="O446" i="12767"/>
  <c r="Q446" i="12767" s="1"/>
  <c r="O538" i="12767"/>
  <c r="Q538" i="12767" s="1"/>
  <c r="O536" i="12767"/>
  <c r="Q536" i="12767" s="1"/>
  <c r="O550" i="12767"/>
  <c r="Q550" i="12767" s="1"/>
  <c r="O222" i="12767"/>
  <c r="O430" i="12767"/>
  <c r="Q430" i="12767" s="1"/>
  <c r="Q360" i="12767" s="1"/>
  <c r="O291" i="12767"/>
  <c r="Q291" i="12767" s="1"/>
  <c r="O501" i="12767"/>
  <c r="Q501" i="12767" s="1"/>
  <c r="O537" i="12767"/>
  <c r="Q537" i="12767" s="1"/>
  <c r="O410" i="12767"/>
  <c r="Q410" i="12767" s="1"/>
  <c r="O502" i="12767"/>
  <c r="Q502" i="12767" s="1"/>
  <c r="O551" i="12767"/>
  <c r="Q551" i="12767" s="1"/>
  <c r="O361" i="12767"/>
  <c r="O516" i="12767"/>
  <c r="Q516" i="12767" s="1"/>
  <c r="O327" i="12767"/>
  <c r="Q327" i="12767" s="1"/>
  <c r="O503" i="12767"/>
  <c r="Q503" i="12767" s="1"/>
  <c r="O258" i="12767"/>
  <c r="Q258" i="12767" s="1"/>
  <c r="O340" i="12767"/>
  <c r="Q340" i="12767" s="1"/>
  <c r="O257" i="12767"/>
  <c r="Q257" i="12767" s="1"/>
  <c r="O445" i="12767"/>
  <c r="Q445" i="12767" s="1"/>
  <c r="O292" i="12767"/>
  <c r="Q292" i="12767" s="1"/>
  <c r="O223" i="12767"/>
  <c r="O375" i="12767"/>
  <c r="O271" i="12767"/>
  <c r="Q271" i="12767" s="1"/>
  <c r="O481" i="12767"/>
  <c r="O224" i="12767"/>
  <c r="O201" i="12767"/>
  <c r="O397" i="12767"/>
  <c r="Q397" i="12767" s="1"/>
  <c r="O293" i="12767"/>
  <c r="Q293" i="12767" s="1"/>
  <c r="O411" i="12767"/>
  <c r="Q411" i="12767" s="1"/>
  <c r="O360" i="12767"/>
  <c r="O270" i="12767"/>
  <c r="Q270" i="12767" s="1"/>
  <c r="O339" i="12767"/>
  <c r="Q339" i="12767" s="1"/>
  <c r="O409" i="12767"/>
  <c r="Q409" i="12767" s="1"/>
  <c r="O376" i="12767"/>
  <c r="O432" i="12767"/>
  <c r="Q432" i="12767" s="1"/>
  <c r="O272" i="12767"/>
  <c r="Q272" i="12767" s="1"/>
  <c r="O307" i="12767"/>
  <c r="Q307" i="12767" s="1"/>
  <c r="O362" i="12767"/>
  <c r="O482" i="12767"/>
  <c r="O305" i="12767"/>
  <c r="Q305" i="12767" s="1"/>
  <c r="O374" i="12767"/>
  <c r="O325" i="12767"/>
  <c r="Q325" i="12767" s="1"/>
  <c r="O444" i="12767"/>
  <c r="Q444" i="12767" s="1"/>
  <c r="O236" i="12767"/>
  <c r="O238" i="12767"/>
  <c r="O341" i="12767"/>
  <c r="Q341" i="12767" s="1"/>
  <c r="O517" i="12767"/>
  <c r="Q517" i="12767" s="1"/>
  <c r="O552" i="12767"/>
  <c r="Q552" i="12767" s="1"/>
  <c r="O256" i="12767"/>
  <c r="Q256" i="12767" s="1"/>
  <c r="O480" i="12767"/>
  <c r="O466" i="12767"/>
  <c r="O199" i="12767"/>
  <c r="O515" i="12767"/>
  <c r="Q515" i="12767" s="1"/>
  <c r="O200" i="12767"/>
  <c r="O237" i="12767"/>
  <c r="O306" i="12767"/>
  <c r="Q306" i="12767" s="1"/>
  <c r="O431" i="12767"/>
  <c r="Q431" i="12767" s="1"/>
  <c r="N30" i="12866" l="1"/>
  <c r="N30" i="12867"/>
  <c r="S796" i="12861"/>
  <c r="S815" i="12861" s="1"/>
  <c r="U815" i="12861" s="1"/>
  <c r="O847" i="12861"/>
  <c r="Q847" i="12861" s="1"/>
  <c r="S847" i="12861"/>
  <c r="S867" i="12861" s="1"/>
  <c r="U867" i="12861" s="1"/>
  <c r="O796" i="12861"/>
  <c r="O815" i="12861" s="1"/>
  <c r="Q815" i="12861" s="1"/>
  <c r="X934" i="12861"/>
  <c r="S28" i="12783"/>
  <c r="X28" i="12783" s="1"/>
  <c r="Q197" i="12843"/>
  <c r="Q197" i="12861"/>
  <c r="U256" i="12861"/>
  <c r="S268" i="12861"/>
  <c r="U268" i="12861" s="1"/>
  <c r="O513" i="12861"/>
  <c r="Q513" i="12861" s="1"/>
  <c r="Q501" i="12861"/>
  <c r="Q536" i="12861"/>
  <c r="O548" i="12861"/>
  <c r="Q548" i="12861" s="1"/>
  <c r="U430" i="12861"/>
  <c r="S442" i="12861"/>
  <c r="U442" i="12861" s="1"/>
  <c r="S407" i="12861"/>
  <c r="U407" i="12861" s="1"/>
  <c r="U395" i="12861"/>
  <c r="O816" i="12861"/>
  <c r="Q816" i="12861" s="1"/>
  <c r="O868" i="12861"/>
  <c r="Q868" i="12861" s="1"/>
  <c r="Q395" i="12861"/>
  <c r="O407" i="12861"/>
  <c r="Q407" i="12861" s="1"/>
  <c r="O303" i="12861"/>
  <c r="Q303" i="12861" s="1"/>
  <c r="Q291" i="12861"/>
  <c r="S868" i="12861"/>
  <c r="U868" i="12861" s="1"/>
  <c r="S816" i="12861"/>
  <c r="U816" i="12861" s="1"/>
  <c r="U197" i="12843"/>
  <c r="U197" i="12861"/>
  <c r="Q325" i="12861"/>
  <c r="O337" i="12861"/>
  <c r="Q337" i="12861" s="1"/>
  <c r="S303" i="12861"/>
  <c r="U303" i="12861" s="1"/>
  <c r="U291" i="12861"/>
  <c r="S337" i="12861"/>
  <c r="U337" i="12861" s="1"/>
  <c r="U325" i="12861"/>
  <c r="Q256" i="12861"/>
  <c r="O268" i="12861"/>
  <c r="Q268" i="12861" s="1"/>
  <c r="Q430" i="12861"/>
  <c r="O442" i="12861"/>
  <c r="Q442" i="12861" s="1"/>
  <c r="U536" i="12861"/>
  <c r="S548" i="12861"/>
  <c r="U548" i="12861" s="1"/>
  <c r="U501" i="12861"/>
  <c r="S513" i="12861"/>
  <c r="U513" i="12861" s="1"/>
  <c r="O1023" i="12860"/>
  <c r="Q1023" i="12860" s="1"/>
  <c r="O1041" i="12860"/>
  <c r="Q1041" i="12860" s="1"/>
  <c r="S1041" i="12860"/>
  <c r="U1041" i="12860" s="1"/>
  <c r="S1023" i="12860"/>
  <c r="U1023" i="12860" s="1"/>
  <c r="M1059" i="12860"/>
  <c r="M1028" i="12860"/>
  <c r="Q933" i="12860"/>
  <c r="Q1010" i="12860"/>
  <c r="Q935" i="12860" s="1"/>
  <c r="U1010" i="12860"/>
  <c r="U935" i="12860" s="1"/>
  <c r="U933" i="12860"/>
  <c r="M1078" i="12860"/>
  <c r="M1046" i="12860"/>
  <c r="W916" i="12861"/>
  <c r="S1004" i="12860"/>
  <c r="U930" i="12860"/>
  <c r="U911" i="12860" s="1"/>
  <c r="Q1004" i="12860"/>
  <c r="O1043" i="12861"/>
  <c r="Q1043" i="12861" s="1"/>
  <c r="O1025" i="12861"/>
  <c r="Q1025" i="12861" s="1"/>
  <c r="O1007" i="12861"/>
  <c r="Q1030" i="12861"/>
  <c r="U1048" i="12861"/>
  <c r="U1030" i="12861"/>
  <c r="Q1048" i="12861"/>
  <c r="Q763" i="12843"/>
  <c r="Q763" i="12861"/>
  <c r="U763" i="12843"/>
  <c r="U763" i="12861"/>
  <c r="S868" i="12843"/>
  <c r="U868" i="12843" s="1"/>
  <c r="O1043" i="12843"/>
  <c r="Q1043" i="12843" s="1"/>
  <c r="Q1046" i="12843" s="1"/>
  <c r="Q1048" i="12843" s="1"/>
  <c r="O1007" i="12843"/>
  <c r="O1025" i="12843"/>
  <c r="Q1025" i="12843" s="1"/>
  <c r="Q1028" i="12843" s="1"/>
  <c r="Q1030" i="12843" s="1"/>
  <c r="O868" i="12843"/>
  <c r="Q868" i="12843" s="1"/>
  <c r="Q479" i="12843"/>
  <c r="U478" i="12767"/>
  <c r="Q373" i="12843"/>
  <c r="U372" i="12767"/>
  <c r="Q372" i="12767"/>
  <c r="U235" i="12843"/>
  <c r="U373" i="12843"/>
  <c r="Q478" i="12767"/>
  <c r="Q235" i="12843"/>
  <c r="U479" i="12843"/>
  <c r="Q500" i="12767"/>
  <c r="U500" i="12767"/>
  <c r="U795" i="12767"/>
  <c r="O815" i="12767"/>
  <c r="Q815" i="12767" s="1"/>
  <c r="S868" i="12767"/>
  <c r="U868" i="12767" s="1"/>
  <c r="U848" i="12767"/>
  <c r="O868" i="12767"/>
  <c r="Q868" i="12767" s="1"/>
  <c r="Q848" i="12767"/>
  <c r="U535" i="12767"/>
  <c r="S547" i="12767"/>
  <c r="U547" i="12767" s="1"/>
  <c r="U477" i="12767" s="1"/>
  <c r="S406" i="12767"/>
  <c r="U406" i="12767" s="1"/>
  <c r="Q535" i="12767"/>
  <c r="O547" i="12767"/>
  <c r="Q547" i="12767" s="1"/>
  <c r="Q477" i="12767" s="1"/>
  <c r="O406" i="12767"/>
  <c r="Q406" i="12767" s="1"/>
  <c r="S441" i="12767"/>
  <c r="U441" i="12767" s="1"/>
  <c r="U429" i="12767"/>
  <c r="U359" i="12767" s="1"/>
  <c r="O441" i="12767"/>
  <c r="Q441" i="12767" s="1"/>
  <c r="Q429" i="12767"/>
  <c r="Q359" i="12767" s="1"/>
  <c r="U324" i="12767"/>
  <c r="O336" i="12767"/>
  <c r="Q336" i="12767" s="1"/>
  <c r="U255" i="12767"/>
  <c r="O267" i="12767"/>
  <c r="Q267" i="12767" s="1"/>
  <c r="U290" i="12767"/>
  <c r="S302" i="12767"/>
  <c r="U302" i="12767" s="1"/>
  <c r="U233" i="12767" s="1"/>
  <c r="Q290" i="12767"/>
  <c r="Q221" i="12767" s="1"/>
  <c r="O302" i="12767"/>
  <c r="Q302" i="12767" s="1"/>
  <c r="S222" i="12843"/>
  <c r="S234" i="12843" s="1"/>
  <c r="S395" i="12843"/>
  <c r="S407" i="12843" s="1"/>
  <c r="U407" i="12843" s="1"/>
  <c r="S256" i="12843"/>
  <c r="S268" i="12843" s="1"/>
  <c r="U268" i="12843" s="1"/>
  <c r="S360" i="12843"/>
  <c r="S372" i="12843" s="1"/>
  <c r="S501" i="12843"/>
  <c r="U501" i="12843" s="1"/>
  <c r="S197" i="12843"/>
  <c r="S430" i="12843"/>
  <c r="U430" i="12843" s="1"/>
  <c r="S466" i="12843"/>
  <c r="S478" i="12843" s="1"/>
  <c r="S291" i="12843"/>
  <c r="U291" i="12843" s="1"/>
  <c r="S325" i="12843"/>
  <c r="S337" i="12843" s="1"/>
  <c r="U337" i="12843" s="1"/>
  <c r="O291" i="12843"/>
  <c r="O303" i="12843" s="1"/>
  <c r="Q303" i="12843" s="1"/>
  <c r="O395" i="12843"/>
  <c r="O407" i="12843" s="1"/>
  <c r="Q407" i="12843" s="1"/>
  <c r="O466" i="12843"/>
  <c r="O478" i="12843" s="1"/>
  <c r="O536" i="12843"/>
  <c r="Q536" i="12843" s="1"/>
  <c r="O325" i="12843"/>
  <c r="O337" i="12843" s="1"/>
  <c r="Q337" i="12843" s="1"/>
  <c r="O197" i="12843"/>
  <c r="O360" i="12843"/>
  <c r="O372" i="12843" s="1"/>
  <c r="O222" i="12843"/>
  <c r="O234" i="12843" s="1"/>
  <c r="O430" i="12843"/>
  <c r="Q430" i="12843" s="1"/>
  <c r="O256" i="12843"/>
  <c r="O268" i="12843" s="1"/>
  <c r="Q268" i="12843" s="1"/>
  <c r="Q376" i="12767"/>
  <c r="S763" i="12843"/>
  <c r="S796" i="12843"/>
  <c r="S847" i="12843"/>
  <c r="O763" i="12843"/>
  <c r="O796" i="12843"/>
  <c r="O847" i="12843"/>
  <c r="U536" i="12843"/>
  <c r="S548" i="12843"/>
  <c r="U548" i="12843" s="1"/>
  <c r="Q501" i="12843"/>
  <c r="O513" i="12843"/>
  <c r="Q513" i="12843" s="1"/>
  <c r="Q201" i="12767"/>
  <c r="Q1048" i="12767"/>
  <c r="Q466" i="12767"/>
  <c r="Q468" i="12767"/>
  <c r="Q375" i="12767"/>
  <c r="Q467" i="12767"/>
  <c r="Q224" i="12767"/>
  <c r="Q236" i="12767"/>
  <c r="Q237" i="12767"/>
  <c r="Q222" i="12767"/>
  <c r="Q223" i="12767"/>
  <c r="Q238" i="12767"/>
  <c r="Q374" i="12767"/>
  <c r="Q361" i="12767"/>
  <c r="U847" i="12861" l="1"/>
  <c r="U796" i="12861"/>
  <c r="O867" i="12861"/>
  <c r="Q867" i="12861" s="1"/>
  <c r="Q796" i="12861"/>
  <c r="U466" i="12861"/>
  <c r="U478" i="12861"/>
  <c r="U360" i="12861"/>
  <c r="Q372" i="12861"/>
  <c r="U222" i="12861"/>
  <c r="Q222" i="12861"/>
  <c r="U372" i="12861"/>
  <c r="Q466" i="12861"/>
  <c r="Q360" i="12861"/>
  <c r="Q202" i="12843"/>
  <c r="Q202" i="12861"/>
  <c r="U234" i="12861"/>
  <c r="Q234" i="12861"/>
  <c r="Q478" i="12861"/>
  <c r="M1083" i="12860"/>
  <c r="M1085" i="12860" s="1"/>
  <c r="M1048" i="12860"/>
  <c r="U1028" i="12860"/>
  <c r="U1059" i="12860"/>
  <c r="Q913" i="12860"/>
  <c r="Q914" i="12860"/>
  <c r="Q916" i="12860" s="1"/>
  <c r="U913" i="12860"/>
  <c r="U914" i="12860"/>
  <c r="U916" i="12860" s="1"/>
  <c r="M1064" i="12860"/>
  <c r="M1066" i="12860" s="1"/>
  <c r="M1030" i="12860"/>
  <c r="Q1046" i="12860"/>
  <c r="Q1078" i="12860"/>
  <c r="S1025" i="12860"/>
  <c r="U1025" i="12860" s="1"/>
  <c r="U1061" i="12860" s="1"/>
  <c r="S1007" i="12860"/>
  <c r="S1043" i="12860"/>
  <c r="U1043" i="12860" s="1"/>
  <c r="U1080" i="12860" s="1"/>
  <c r="U1078" i="12860"/>
  <c r="U1046" i="12860"/>
  <c r="Q930" i="12860"/>
  <c r="Q911" i="12860" s="1"/>
  <c r="O1004" i="12860"/>
  <c r="Q1028" i="12860"/>
  <c r="Q1059" i="12860"/>
  <c r="U465" i="12767"/>
  <c r="Q465" i="12767"/>
  <c r="U371" i="12767"/>
  <c r="Q371" i="12767"/>
  <c r="Q233" i="12767"/>
  <c r="U221" i="12767"/>
  <c r="U395" i="12843"/>
  <c r="U360" i="12843" s="1"/>
  <c r="S513" i="12843"/>
  <c r="U513" i="12843" s="1"/>
  <c r="U478" i="12843" s="1"/>
  <c r="U256" i="12843"/>
  <c r="U325" i="12843"/>
  <c r="S303" i="12843"/>
  <c r="U303" i="12843" s="1"/>
  <c r="U234" i="12843" s="1"/>
  <c r="S442" i="12843"/>
  <c r="U442" i="12843" s="1"/>
  <c r="U372" i="12843" s="1"/>
  <c r="Q291" i="12843"/>
  <c r="Q395" i="12843"/>
  <c r="Q360" i="12843" s="1"/>
  <c r="Q325" i="12843"/>
  <c r="Q256" i="12843"/>
  <c r="O548" i="12843"/>
  <c r="Q548" i="12843" s="1"/>
  <c r="Q478" i="12843" s="1"/>
  <c r="O442" i="12843"/>
  <c r="Q442" i="12843" s="1"/>
  <c r="Q372" i="12843" s="1"/>
  <c r="S867" i="12843"/>
  <c r="U867" i="12843" s="1"/>
  <c r="U847" i="12843"/>
  <c r="S815" i="12843"/>
  <c r="U815" i="12843" s="1"/>
  <c r="U796" i="12843"/>
  <c r="O815" i="12843"/>
  <c r="Q815" i="12843" s="1"/>
  <c r="Q796" i="12843"/>
  <c r="Q847" i="12843"/>
  <c r="O867" i="12843"/>
  <c r="Q867" i="12843" s="1"/>
  <c r="Q466" i="12843"/>
  <c r="U466" i="12843"/>
  <c r="Q234" i="12843"/>
  <c r="D37" i="12826"/>
  <c r="E48" i="12826"/>
  <c r="U1048" i="12860" l="1"/>
  <c r="U1083" i="12860"/>
  <c r="U1085" i="12860" s="1"/>
  <c r="Q1064" i="12860"/>
  <c r="Q1066" i="12860" s="1"/>
  <c r="Q1030" i="12860"/>
  <c r="O1043" i="12860"/>
  <c r="Q1043" i="12860" s="1"/>
  <c r="Q1080" i="12860" s="1"/>
  <c r="O1007" i="12860"/>
  <c r="O1025" i="12860"/>
  <c r="Q1025" i="12860" s="1"/>
  <c r="Q1061" i="12860" s="1"/>
  <c r="Q1048" i="12860"/>
  <c r="Q1083" i="12860"/>
  <c r="Q1085" i="12860" s="1"/>
  <c r="U1064" i="12860"/>
  <c r="U1066" i="12860" s="1"/>
  <c r="U1030" i="12860"/>
  <c r="U222" i="12843"/>
  <c r="Q222" i="12843"/>
  <c r="Q1278" i="12767"/>
  <c r="J29" i="12826"/>
  <c r="E35" i="12826"/>
  <c r="D35" i="12869" l="1"/>
  <c r="D17" i="12870" s="1"/>
  <c r="E40" i="12826"/>
  <c r="G35" i="12826"/>
  <c r="H35" i="12826" s="1"/>
  <c r="E37" i="12826"/>
  <c r="D40" i="12869" l="1"/>
  <c r="C16" i="12870" s="1"/>
  <c r="D37" i="12869"/>
  <c r="E44" i="12869"/>
  <c r="R52" i="12837"/>
  <c r="P52" i="12837"/>
  <c r="V52" i="12837" s="1"/>
  <c r="P31" i="12837"/>
  <c r="R31" i="12837"/>
  <c r="R22" i="12837"/>
  <c r="P22" i="12837"/>
  <c r="P16" i="12837"/>
  <c r="V16" i="12837" s="1"/>
  <c r="R16" i="12837"/>
  <c r="E35" i="12869" l="1"/>
  <c r="E46" i="12869"/>
  <c r="E48" i="12869" s="1"/>
  <c r="J29" i="12869" s="1"/>
  <c r="L54" i="12837"/>
  <c r="P50" i="12837"/>
  <c r="V50" i="12837" s="1"/>
  <c r="R50" i="12837"/>
  <c r="P24" i="12837"/>
  <c r="V24" i="12837" s="1"/>
  <c r="R24" i="12837"/>
  <c r="R49" i="12837"/>
  <c r="P49" i="12837"/>
  <c r="R32" i="12837"/>
  <c r="P32" i="12837"/>
  <c r="V32" i="12837" s="1"/>
  <c r="P34" i="12837"/>
  <c r="V34" i="12837" s="1"/>
  <c r="R34" i="12837"/>
  <c r="V22" i="12837"/>
  <c r="V31" i="12837"/>
  <c r="E40" i="12869" l="1"/>
  <c r="C17" i="12870" s="1"/>
  <c r="G35" i="12869"/>
  <c r="H35" i="12869" s="1"/>
  <c r="E37" i="12869"/>
  <c r="P23" i="12837"/>
  <c r="R23" i="12837"/>
  <c r="V49" i="12837"/>
  <c r="R15" i="12837"/>
  <c r="L19" i="12837"/>
  <c r="P15" i="12837"/>
  <c r="R54" i="12837"/>
  <c r="R51" i="12837"/>
  <c r="P51" i="12837"/>
  <c r="V51" i="12837" s="1"/>
  <c r="R40" i="12837"/>
  <c r="L42" i="12837"/>
  <c r="P40" i="12837"/>
  <c r="V40" i="12837" l="1"/>
  <c r="P42" i="12837"/>
  <c r="V42" i="12837" s="1"/>
  <c r="R19" i="12837"/>
  <c r="R42" i="12837"/>
  <c r="V15" i="12837"/>
  <c r="P19" i="12837"/>
  <c r="P54" i="12837"/>
  <c r="V54" i="12837" s="1"/>
  <c r="V23" i="12837"/>
  <c r="V19" i="12837" l="1"/>
  <c r="R35" i="12837"/>
  <c r="P35" i="12837"/>
  <c r="V35" i="12837" l="1"/>
  <c r="Q908" i="12767" l="1"/>
  <c r="M944" i="12767" l="1"/>
  <c r="K964" i="12767"/>
  <c r="K885" i="12767" s="1"/>
  <c r="M885" i="12767" s="1"/>
  <c r="K982" i="12767"/>
  <c r="M982" i="12767" s="1"/>
  <c r="M1076" i="12767" s="1"/>
  <c r="M884" i="12843" l="1"/>
  <c r="M884" i="12861"/>
  <c r="M943" i="12843"/>
  <c r="M925" i="12843" s="1"/>
  <c r="M906" i="12843" s="1"/>
  <c r="M943" i="12861"/>
  <c r="M964" i="12767"/>
  <c r="M1057" i="12767" s="1"/>
  <c r="M946" i="12767"/>
  <c r="M926" i="12767"/>
  <c r="M907" i="12767" s="1"/>
  <c r="M945" i="12861" l="1"/>
  <c r="M927" i="12861" s="1"/>
  <c r="M908" i="12861" s="1"/>
  <c r="M925" i="12861"/>
  <c r="M906" i="12861" s="1"/>
  <c r="M928" i="12767"/>
  <c r="M945" i="12843"/>
  <c r="Q946" i="12767"/>
  <c r="M952" i="12767"/>
  <c r="M933" i="12767" s="1"/>
  <c r="K946" i="12767"/>
  <c r="U946" i="12767"/>
  <c r="M951" i="12861" l="1"/>
  <c r="M953" i="12861" s="1"/>
  <c r="M934" i="12861" s="1"/>
  <c r="Q945" i="12861"/>
  <c r="Q951" i="12861" s="1"/>
  <c r="U945" i="12861"/>
  <c r="U927" i="12861" s="1"/>
  <c r="U908" i="12861" s="1"/>
  <c r="K945" i="12861"/>
  <c r="K983" i="12861" s="1"/>
  <c r="M983" i="12861" s="1"/>
  <c r="U928" i="12767"/>
  <c r="U945" i="12843"/>
  <c r="Q928" i="12767"/>
  <c r="Q945" i="12843"/>
  <c r="K945" i="12843"/>
  <c r="M927" i="12843" s="1"/>
  <c r="O946" i="12767"/>
  <c r="K984" i="12767"/>
  <c r="M984" i="12767" s="1"/>
  <c r="M989" i="12767" s="1"/>
  <c r="M954" i="12767"/>
  <c r="M935" i="12767" s="1"/>
  <c r="K966" i="12767"/>
  <c r="M966" i="12767" s="1"/>
  <c r="U948" i="12767"/>
  <c r="S946" i="12767"/>
  <c r="Q927" i="12861" l="1"/>
  <c r="Q908" i="12861" s="1"/>
  <c r="M932" i="12861"/>
  <c r="M912" i="12861" s="1"/>
  <c r="U951" i="12861"/>
  <c r="U953" i="12861" s="1"/>
  <c r="U934" i="12861" s="1"/>
  <c r="K965" i="12861"/>
  <c r="M965" i="12861" s="1"/>
  <c r="O945" i="12861"/>
  <c r="O983" i="12861" s="1"/>
  <c r="Q983" i="12861" s="1"/>
  <c r="S945" i="12861"/>
  <c r="S965" i="12861" s="1"/>
  <c r="U947" i="12861"/>
  <c r="U929" i="12861" s="1"/>
  <c r="U910" i="12861" s="1"/>
  <c r="Q932" i="12861"/>
  <c r="Q953" i="12861"/>
  <c r="Q934" i="12861" s="1"/>
  <c r="M988" i="12861"/>
  <c r="M1078" i="12861"/>
  <c r="U930" i="12767"/>
  <c r="U947" i="12843"/>
  <c r="K983" i="12843"/>
  <c r="M983" i="12843" s="1"/>
  <c r="M988" i="12843" s="1"/>
  <c r="M990" i="12843" s="1"/>
  <c r="K965" i="12843"/>
  <c r="K886" i="12843" s="1"/>
  <c r="K891" i="12843" s="1"/>
  <c r="M951" i="12843"/>
  <c r="M932" i="12843" s="1"/>
  <c r="M912" i="12843" s="1"/>
  <c r="S945" i="12843"/>
  <c r="U927" i="12843" s="1"/>
  <c r="U908" i="12843" s="1"/>
  <c r="O945" i="12843"/>
  <c r="Q927" i="12843" s="1"/>
  <c r="O966" i="12767"/>
  <c r="Q966" i="12767" s="1"/>
  <c r="Q1059" i="12767" s="1"/>
  <c r="Q909" i="12767" s="1"/>
  <c r="O984" i="12767"/>
  <c r="Q984" i="12767" s="1"/>
  <c r="Q1078" i="12767" s="1"/>
  <c r="M1078" i="12767"/>
  <c r="S948" i="12767"/>
  <c r="U952" i="12767"/>
  <c r="U933" i="12767" s="1"/>
  <c r="S966" i="12767"/>
  <c r="S887" i="12767" s="1"/>
  <c r="Q948" i="12767"/>
  <c r="K887" i="12767"/>
  <c r="K893" i="12767" s="1"/>
  <c r="M893" i="12767" s="1"/>
  <c r="S984" i="12767"/>
  <c r="U984" i="12767" s="1"/>
  <c r="U1078" i="12767" s="1"/>
  <c r="M991" i="12767"/>
  <c r="M1083" i="12767"/>
  <c r="M1085" i="12767" s="1"/>
  <c r="M1059" i="12767"/>
  <c r="M909" i="12767" s="1"/>
  <c r="M971" i="12767"/>
  <c r="M913" i="12861" l="1"/>
  <c r="M915" i="12861" s="1"/>
  <c r="K886" i="12861"/>
  <c r="K891" i="12861" s="1"/>
  <c r="O965" i="12861"/>
  <c r="Q965" i="12861" s="1"/>
  <c r="U932" i="12861"/>
  <c r="U912" i="12861" s="1"/>
  <c r="S983" i="12861"/>
  <c r="U983" i="12861" s="1"/>
  <c r="U1078" i="12861" s="1"/>
  <c r="S947" i="12861"/>
  <c r="S950" i="12861" s="1"/>
  <c r="Q947" i="12861"/>
  <c r="Q929" i="12861" s="1"/>
  <c r="Q910" i="12861" s="1"/>
  <c r="Q912" i="12861"/>
  <c r="Q913" i="12861"/>
  <c r="Q915" i="12861" s="1"/>
  <c r="M970" i="12861"/>
  <c r="M1059" i="12861"/>
  <c r="U965" i="12861"/>
  <c r="S886" i="12861"/>
  <c r="Q988" i="12861"/>
  <c r="Q1078" i="12861"/>
  <c r="M892" i="12843"/>
  <c r="M892" i="12861"/>
  <c r="M990" i="12861"/>
  <c r="M1083" i="12861"/>
  <c r="M1085" i="12861" s="1"/>
  <c r="Q930" i="12767"/>
  <c r="Q947" i="12843"/>
  <c r="M953" i="12843"/>
  <c r="M934" i="12843" s="1"/>
  <c r="M965" i="12843"/>
  <c r="M970" i="12843" s="1"/>
  <c r="M1064" i="12843" s="1"/>
  <c r="M1066" i="12843" s="1"/>
  <c r="M913" i="12843"/>
  <c r="M915" i="12843" s="1"/>
  <c r="K892" i="12843"/>
  <c r="M1083" i="12843"/>
  <c r="M1085" i="12843" s="1"/>
  <c r="S983" i="12843"/>
  <c r="U983" i="12843" s="1"/>
  <c r="U1078" i="12843" s="1"/>
  <c r="M1078" i="12843"/>
  <c r="S965" i="12843"/>
  <c r="U965" i="12843" s="1"/>
  <c r="U1059" i="12843" s="1"/>
  <c r="O983" i="12843"/>
  <c r="Q983" i="12843" s="1"/>
  <c r="Q1078" i="12843" s="1"/>
  <c r="O965" i="12843"/>
  <c r="Q965" i="12843" s="1"/>
  <c r="Q1059" i="12843" s="1"/>
  <c r="Q908" i="12843" s="1"/>
  <c r="S947" i="12843"/>
  <c r="U951" i="12843" s="1"/>
  <c r="U953" i="12843" s="1"/>
  <c r="U934" i="12843" s="1"/>
  <c r="O887" i="12767"/>
  <c r="O892" i="12767" s="1"/>
  <c r="Q892" i="12767" s="1"/>
  <c r="K892" i="12767"/>
  <c r="M892" i="12767" s="1"/>
  <c r="S951" i="12767"/>
  <c r="S986" i="12767"/>
  <c r="U986" i="12767" s="1"/>
  <c r="U1080" i="12767" s="1"/>
  <c r="U954" i="12767"/>
  <c r="U935" i="12767" s="1"/>
  <c r="U966" i="12767"/>
  <c r="U1059" i="12767" s="1"/>
  <c r="U909" i="12767" s="1"/>
  <c r="S968" i="12767"/>
  <c r="U968" i="12767" s="1"/>
  <c r="U1061" i="12767" s="1"/>
  <c r="U911" i="12767" s="1"/>
  <c r="O948" i="12767"/>
  <c r="Q952" i="12767"/>
  <c r="Q933" i="12767" s="1"/>
  <c r="M887" i="12767"/>
  <c r="U887" i="12767"/>
  <c r="S892" i="12767"/>
  <c r="U892" i="12767" s="1"/>
  <c r="S893" i="12767"/>
  <c r="U893" i="12767" s="1"/>
  <c r="M1064" i="12767"/>
  <c r="M973" i="12767"/>
  <c r="U988" i="12861" l="1"/>
  <c r="U990" i="12861" s="1"/>
  <c r="U913" i="12861"/>
  <c r="U915" i="12861" s="1"/>
  <c r="K892" i="12861"/>
  <c r="S967" i="12861"/>
  <c r="S888" i="12861" s="1"/>
  <c r="S893" i="12861" s="1"/>
  <c r="O886" i="12861"/>
  <c r="O891" i="12861" s="1"/>
  <c r="S985" i="12861"/>
  <c r="U985" i="12861" s="1"/>
  <c r="U1080" i="12861" s="1"/>
  <c r="O947" i="12861"/>
  <c r="O950" i="12861" s="1"/>
  <c r="U891" i="12843"/>
  <c r="U891" i="12861"/>
  <c r="Q990" i="12861"/>
  <c r="Q1083" i="12861"/>
  <c r="Q1085" i="12861" s="1"/>
  <c r="M972" i="12861"/>
  <c r="M1064" i="12861"/>
  <c r="M1066" i="12861" s="1"/>
  <c r="M886" i="12843"/>
  <c r="M895" i="12843" s="1"/>
  <c r="M897" i="12843" s="1"/>
  <c r="M886" i="12861"/>
  <c r="M895" i="12861" s="1"/>
  <c r="M897" i="12861" s="1"/>
  <c r="M891" i="12843"/>
  <c r="M891" i="12861"/>
  <c r="Q970" i="12861"/>
  <c r="Q1059" i="12861"/>
  <c r="S891" i="12861"/>
  <c r="S892" i="12861"/>
  <c r="U886" i="12843"/>
  <c r="U886" i="12861"/>
  <c r="U895" i="12861" s="1"/>
  <c r="U897" i="12861" s="1"/>
  <c r="U892" i="12843"/>
  <c r="U892" i="12861"/>
  <c r="Q891" i="12843"/>
  <c r="Q891" i="12861"/>
  <c r="U970" i="12861"/>
  <c r="U1059" i="12861"/>
  <c r="M1059" i="12843"/>
  <c r="M908" i="12843" s="1"/>
  <c r="M972" i="12843"/>
  <c r="S886" i="12843"/>
  <c r="S892" i="12843" s="1"/>
  <c r="O886" i="12843"/>
  <c r="O892" i="12843" s="1"/>
  <c r="S985" i="12843"/>
  <c r="U985" i="12843" s="1"/>
  <c r="U988" i="12843" s="1"/>
  <c r="U1083" i="12843" s="1"/>
  <c r="U1085" i="12843" s="1"/>
  <c r="U929" i="12843"/>
  <c r="U910" i="12843" s="1"/>
  <c r="S950" i="12843"/>
  <c r="S967" i="12843"/>
  <c r="S888" i="12843" s="1"/>
  <c r="S893" i="12843" s="1"/>
  <c r="U932" i="12843"/>
  <c r="U913" i="12843" s="1"/>
  <c r="U915" i="12843" s="1"/>
  <c r="O947" i="12843"/>
  <c r="Q929" i="12843" s="1"/>
  <c r="O893" i="12767"/>
  <c r="Q893" i="12767" s="1"/>
  <c r="Q887" i="12767"/>
  <c r="M896" i="12767"/>
  <c r="M898" i="12767" s="1"/>
  <c r="U989" i="12767"/>
  <c r="U991" i="12767" s="1"/>
  <c r="O968" i="12767"/>
  <c r="O889" i="12767" s="1"/>
  <c r="O894" i="12767" s="1"/>
  <c r="O951" i="12767"/>
  <c r="O986" i="12767"/>
  <c r="Q986" i="12767" s="1"/>
  <c r="Q989" i="12767" s="1"/>
  <c r="S889" i="12767"/>
  <c r="S894" i="12767" s="1"/>
  <c r="U894" i="12767" s="1"/>
  <c r="Q954" i="12767"/>
  <c r="Q935" i="12767" s="1"/>
  <c r="U971" i="12767"/>
  <c r="U973" i="12767" s="1"/>
  <c r="M1066" i="12767"/>
  <c r="U1083" i="12861" l="1"/>
  <c r="U1085" i="12861" s="1"/>
  <c r="U967" i="12861"/>
  <c r="U1061" i="12861" s="1"/>
  <c r="O892" i="12861"/>
  <c r="O967" i="12861"/>
  <c r="Q967" i="12861" s="1"/>
  <c r="Q1061" i="12861" s="1"/>
  <c r="O985" i="12861"/>
  <c r="Q985" i="12861" s="1"/>
  <c r="Q1080" i="12861" s="1"/>
  <c r="U893" i="12843"/>
  <c r="U893" i="12861"/>
  <c r="U972" i="12861"/>
  <c r="U1064" i="12861"/>
  <c r="U1066" i="12861" s="1"/>
  <c r="Q886" i="12843"/>
  <c r="Q886" i="12861"/>
  <c r="Q895" i="12861" s="1"/>
  <c r="Q897" i="12861" s="1"/>
  <c r="Q892" i="12843"/>
  <c r="Q892" i="12861"/>
  <c r="Q972" i="12861"/>
  <c r="Q1064" i="12861"/>
  <c r="Q1066" i="12861" s="1"/>
  <c r="S891" i="12843"/>
  <c r="U990" i="12843"/>
  <c r="U1080" i="12843"/>
  <c r="O891" i="12843"/>
  <c r="U967" i="12843"/>
  <c r="U1061" i="12843" s="1"/>
  <c r="O967" i="12843"/>
  <c r="Q967" i="12843" s="1"/>
  <c r="Q970" i="12843" s="1"/>
  <c r="U912" i="12843"/>
  <c r="O950" i="12843"/>
  <c r="O985" i="12843"/>
  <c r="Q985" i="12843" s="1"/>
  <c r="Q1080" i="12843" s="1"/>
  <c r="Q951" i="12843"/>
  <c r="Q953" i="12843" s="1"/>
  <c r="Q934" i="12843" s="1"/>
  <c r="U1083" i="12767"/>
  <c r="U1085" i="12767" s="1"/>
  <c r="Q968" i="12767"/>
  <c r="Q971" i="12767" s="1"/>
  <c r="Q1080" i="12767"/>
  <c r="U889" i="12767"/>
  <c r="U1064" i="12767"/>
  <c r="U1066" i="12767" s="1"/>
  <c r="Q991" i="12767"/>
  <c r="Q1083" i="12767"/>
  <c r="Q1085" i="12767" s="1"/>
  <c r="Q889" i="12767"/>
  <c r="Q894" i="12767"/>
  <c r="M914" i="12767"/>
  <c r="M916" i="12767" s="1"/>
  <c r="M913" i="12767"/>
  <c r="O888" i="12861" l="1"/>
  <c r="O893" i="12861" s="1"/>
  <c r="U888" i="12861"/>
  <c r="Q888" i="12843"/>
  <c r="Q888" i="12861"/>
  <c r="Q893" i="12843"/>
  <c r="Q893" i="12861"/>
  <c r="U896" i="12767"/>
  <c r="U898" i="12767" s="1"/>
  <c r="U888" i="12843"/>
  <c r="U895" i="12843" s="1"/>
  <c r="U897" i="12843" s="1"/>
  <c r="U970" i="12843"/>
  <c r="U1064" i="12843" s="1"/>
  <c r="U1066" i="12843" s="1"/>
  <c r="O888" i="12843"/>
  <c r="Q1061" i="12843"/>
  <c r="Q910" i="12843" s="1"/>
  <c r="Q932" i="12843"/>
  <c r="Q912" i="12843" s="1"/>
  <c r="Q988" i="12843"/>
  <c r="Q990" i="12843" s="1"/>
  <c r="Q1061" i="12767"/>
  <c r="Q911" i="12767" s="1"/>
  <c r="Q972" i="12843"/>
  <c r="Q1064" i="12843"/>
  <c r="Q1066" i="12843" s="1"/>
  <c r="Q896" i="12767"/>
  <c r="Q898" i="12767" s="1"/>
  <c r="U913" i="12767"/>
  <c r="U914" i="12767"/>
  <c r="U916" i="12767" s="1"/>
  <c r="Q973" i="12767"/>
  <c r="Q1064" i="12767"/>
  <c r="O893" i="12843" l="1"/>
  <c r="Q895" i="12843" s="1"/>
  <c r="Q897" i="12843" s="1"/>
  <c r="U972" i="12843"/>
  <c r="Q913" i="12843"/>
  <c r="Q915" i="12843" s="1"/>
  <c r="Q1083" i="12843"/>
  <c r="Q1085" i="12843" s="1"/>
  <c r="Q1066" i="12767"/>
  <c r="Q913" i="12767" l="1"/>
  <c r="Q914" i="12767"/>
  <c r="Q916" i="12767" s="1"/>
  <c r="M1164" i="12767"/>
  <c r="M1197" i="12767"/>
  <c r="M1199" i="12767" s="1"/>
  <c r="M1167" i="12767" l="1"/>
  <c r="M1169" i="12767" s="1"/>
  <c r="K1234" i="12767"/>
  <c r="K1235" i="12767"/>
  <c r="K1238" i="12767"/>
  <c r="K1242" i="12767"/>
  <c r="K1243" i="12767"/>
  <c r="K1257" i="12767"/>
  <c r="K1258" i="12767"/>
  <c r="K1236" i="12767"/>
  <c r="K1239" i="12767"/>
  <c r="K1244" i="12767"/>
  <c r="K1246" i="12767"/>
  <c r="K1247" i="12767"/>
  <c r="K1250" i="12767"/>
  <c r="K1251" i="12767"/>
  <c r="K1252" i="12767"/>
  <c r="K1254" i="12767"/>
  <c r="K1255" i="12767"/>
  <c r="K1259" i="12767"/>
  <c r="K1261" i="12767"/>
  <c r="M1264" i="12767"/>
  <c r="M1266" i="12767" s="1"/>
  <c r="K1258" i="12843" l="1"/>
  <c r="K1260" i="12861"/>
  <c r="K1251" i="12843"/>
  <c r="K1253" i="12861"/>
  <c r="K1240" i="12843"/>
  <c r="K1242" i="12861"/>
  <c r="K1246" i="12843"/>
  <c r="K1248" i="12861"/>
  <c r="K1265" i="12843"/>
  <c r="K1267" i="12861"/>
  <c r="K1256" i="12843"/>
  <c r="K1258" i="12861"/>
  <c r="K1250" i="12843"/>
  <c r="K1252" i="12861"/>
  <c r="K1262" i="12843"/>
  <c r="K1264" i="12861"/>
  <c r="K1242" i="12843"/>
  <c r="K1244" i="12861"/>
  <c r="K1263" i="12843"/>
  <c r="K1265" i="12861"/>
  <c r="K1255" i="12843"/>
  <c r="K1257" i="12861"/>
  <c r="K1248" i="12843"/>
  <c r="K1250" i="12861"/>
  <c r="K1261" i="12843"/>
  <c r="K1263" i="12861"/>
  <c r="K1239" i="12843"/>
  <c r="K1241" i="12861"/>
  <c r="K1259" i="12843"/>
  <c r="K1261" i="12861"/>
  <c r="K1254" i="12843"/>
  <c r="K1256" i="12861"/>
  <c r="K1243" i="12843"/>
  <c r="K1245" i="12861"/>
  <c r="K1247" i="12843"/>
  <c r="K1249" i="12861"/>
  <c r="K1238" i="12843"/>
  <c r="K1240" i="12861"/>
  <c r="M1268" i="12843"/>
  <c r="M1270" i="12843" s="1"/>
  <c r="O1234" i="12767"/>
  <c r="O1235" i="12767"/>
  <c r="O1238" i="12767"/>
  <c r="O1242" i="12767"/>
  <c r="O1243" i="12767"/>
  <c r="O1257" i="12767"/>
  <c r="O1258" i="12767"/>
  <c r="O1236" i="12767"/>
  <c r="O1239" i="12767"/>
  <c r="O1244" i="12767"/>
  <c r="O1246" i="12767"/>
  <c r="O1247" i="12767"/>
  <c r="O1250" i="12767"/>
  <c r="O1251" i="12767"/>
  <c r="O1252" i="12767"/>
  <c r="O1254" i="12767"/>
  <c r="O1255" i="12767"/>
  <c r="O1259" i="12767"/>
  <c r="O1261" i="12767"/>
  <c r="Q1264" i="12767"/>
  <c r="Q1266" i="12767" s="1"/>
  <c r="O1263" i="12843" l="1"/>
  <c r="O1265" i="12861"/>
  <c r="O1255" i="12843"/>
  <c r="O1257" i="12861"/>
  <c r="O1248" i="12843"/>
  <c r="O1250" i="12861"/>
  <c r="O1239" i="12843"/>
  <c r="O1241" i="12861"/>
  <c r="O1259" i="12843"/>
  <c r="O1261" i="12861"/>
  <c r="O1254" i="12843"/>
  <c r="O1256" i="12861"/>
  <c r="O1243" i="12843"/>
  <c r="O1245" i="12861"/>
  <c r="O1247" i="12843"/>
  <c r="O1249" i="12861"/>
  <c r="O1238" i="12843"/>
  <c r="O1240" i="12861"/>
  <c r="O1258" i="12843"/>
  <c r="O1260" i="12861"/>
  <c r="O1251" i="12843"/>
  <c r="O1253" i="12861"/>
  <c r="O1240" i="12843"/>
  <c r="O1242" i="12861"/>
  <c r="O1246" i="12843"/>
  <c r="O1248" i="12861"/>
  <c r="O1265" i="12843"/>
  <c r="O1267" i="12861"/>
  <c r="O1256" i="12843"/>
  <c r="O1258" i="12861"/>
  <c r="O1250" i="12843"/>
  <c r="O1252" i="12861"/>
  <c r="O1262" i="12843"/>
  <c r="O1264" i="12861"/>
  <c r="O1242" i="12843"/>
  <c r="O1244" i="12861"/>
  <c r="O1261" i="12843"/>
  <c r="O1263" i="12861"/>
  <c r="Q1268" i="12843"/>
  <c r="Q1270" i="12843" s="1"/>
  <c r="S1234" i="12767"/>
  <c r="S1239" i="12843"/>
  <c r="S1242" i="12843"/>
  <c r="S1246" i="12843"/>
  <c r="S1243" i="12767"/>
  <c r="S1261" i="12843"/>
  <c r="S1262" i="12843"/>
  <c r="S1240" i="12843"/>
  <c r="S1243" i="12843"/>
  <c r="S1248" i="12843"/>
  <c r="S1250" i="12843"/>
  <c r="S1251" i="12843"/>
  <c r="S1254" i="12843"/>
  <c r="S1255" i="12843"/>
  <c r="S1256" i="12843"/>
  <c r="S1258" i="12843"/>
  <c r="S1259" i="12843"/>
  <c r="S1263" i="12843"/>
  <c r="S1261" i="12767"/>
  <c r="U1264" i="12767"/>
  <c r="U1266" i="12767" s="1"/>
  <c r="S1247" i="12843" l="1"/>
  <c r="S1249" i="12861"/>
  <c r="S1265" i="12843"/>
  <c r="S1267" i="12861"/>
  <c r="S1238" i="12843"/>
  <c r="S1240" i="12861"/>
  <c r="U1268" i="12843"/>
  <c r="U1270" i="12843" s="1"/>
  <c r="M1123" i="12767" l="1"/>
  <c r="M1124" i="12767"/>
  <c r="M1125" i="12767"/>
  <c r="M1126" i="12767"/>
  <c r="M1123" i="12843" l="1"/>
  <c r="M1124" i="12861"/>
  <c r="M1126" i="12843"/>
  <c r="M1128" i="12861"/>
  <c r="M1125" i="12843"/>
  <c r="M1127" i="12861"/>
  <c r="M1124" i="12843"/>
  <c r="M1125" i="12861"/>
  <c r="M1137" i="12843"/>
  <c r="M1139" i="12843" s="1"/>
  <c r="M1137" i="12767"/>
  <c r="M1139" i="12767" s="1"/>
  <c r="L33" i="12837" l="1"/>
  <c r="P33" i="12837" l="1"/>
  <c r="R33" i="12837"/>
  <c r="L37" i="12837"/>
  <c r="L25" i="12837"/>
  <c r="L44" i="12837" l="1"/>
  <c r="R44" i="12837" s="1"/>
  <c r="R37" i="12837"/>
  <c r="P37" i="12837"/>
  <c r="V33" i="12837"/>
  <c r="L28" i="12837"/>
  <c r="P25" i="12837"/>
  <c r="R25" i="12837"/>
  <c r="P44" i="12837" l="1"/>
  <c r="V44" i="12837" s="1"/>
  <c r="V37" i="12837"/>
  <c r="L46" i="12837"/>
  <c r="R46" i="12837" s="1"/>
  <c r="L58" i="12837"/>
  <c r="R58" i="12837" s="1"/>
  <c r="R28" i="12837"/>
  <c r="V25" i="12837"/>
  <c r="P28" i="12837"/>
  <c r="V28" i="12837" l="1"/>
  <c r="P46" i="12837"/>
  <c r="V46" i="12837" s="1"/>
  <c r="P58" i="12837"/>
  <c r="V58" i="12837" s="1"/>
  <c r="G610" i="12843" l="1"/>
  <c r="G568" i="12767"/>
  <c r="X609" i="12767"/>
  <c r="G610" i="12767"/>
  <c r="G626" i="12767" s="1"/>
  <c r="G625" i="12767"/>
  <c r="G651" i="12767"/>
  <c r="G652" i="12767" s="1"/>
  <c r="G689" i="12767"/>
  <c r="I689" i="12767" s="1"/>
  <c r="G611" i="12843" l="1"/>
  <c r="G627" i="12843" s="1"/>
  <c r="O18" i="12864"/>
  <c r="G582" i="12767"/>
  <c r="I582" i="12767" s="1"/>
  <c r="X610" i="12767"/>
  <c r="X610" i="12843"/>
  <c r="I651" i="12767"/>
  <c r="I609" i="12767" s="1"/>
  <c r="G665" i="12767"/>
  <c r="I665" i="12767" s="1"/>
  <c r="G703" i="12767"/>
  <c r="I703" i="12767" s="1"/>
  <c r="G690" i="12843"/>
  <c r="G691" i="12843" s="1"/>
  <c r="G652" i="12843"/>
  <c r="G626" i="12843"/>
  <c r="G666" i="12767"/>
  <c r="I666" i="12767" s="1"/>
  <c r="I652" i="12767"/>
  <c r="G690" i="12767"/>
  <c r="G569" i="12843"/>
  <c r="I568" i="12767"/>
  <c r="X611" i="12843" l="1"/>
  <c r="G26" i="12864"/>
  <c r="G30" i="12864"/>
  <c r="G36" i="12864"/>
  <c r="G28" i="12864"/>
  <c r="G35" i="12864"/>
  <c r="G27" i="12864"/>
  <c r="G34" i="12864"/>
  <c r="G40" i="12864"/>
  <c r="G32" i="12864"/>
  <c r="G39" i="12864"/>
  <c r="G31" i="12864"/>
  <c r="G38" i="12864"/>
  <c r="G23" i="12864"/>
  <c r="G18" i="12864"/>
  <c r="G15" i="12864"/>
  <c r="G22" i="12864"/>
  <c r="G24" i="12864"/>
  <c r="G19" i="12864"/>
  <c r="G16" i="12864"/>
  <c r="G20" i="12864"/>
  <c r="G14" i="12864"/>
  <c r="G583" i="12861"/>
  <c r="I569" i="12861"/>
  <c r="G589" i="12767"/>
  <c r="I589" i="12767" s="1"/>
  <c r="G590" i="12767"/>
  <c r="I590" i="12767" s="1"/>
  <c r="I625" i="12767"/>
  <c r="I652" i="12843"/>
  <c r="I690" i="12843"/>
  <c r="G704" i="12843"/>
  <c r="I704" i="12843" s="1"/>
  <c r="G666" i="12843"/>
  <c r="I666" i="12843" s="1"/>
  <c r="G653" i="12843"/>
  <c r="I674" i="12767"/>
  <c r="I676" i="12767" s="1"/>
  <c r="I691" i="12843"/>
  <c r="G705" i="12843"/>
  <c r="I705" i="12843" s="1"/>
  <c r="I690" i="12767"/>
  <c r="G704" i="12767"/>
  <c r="I704" i="12767" s="1"/>
  <c r="I626" i="12767" s="1"/>
  <c r="G583" i="12843"/>
  <c r="I583" i="12843" s="1"/>
  <c r="I569" i="12843"/>
  <c r="I26" i="12864" l="1"/>
  <c r="K26" i="12864" s="1"/>
  <c r="I24" i="12864"/>
  <c r="K24" i="12864" s="1"/>
  <c r="I23" i="12864"/>
  <c r="K23" i="12864" s="1"/>
  <c r="I22" i="12864"/>
  <c r="K22" i="12864" s="1"/>
  <c r="I15" i="12864"/>
  <c r="K15" i="12864" s="1"/>
  <c r="U18" i="12864"/>
  <c r="I16" i="12864"/>
  <c r="K16" i="12864" s="1"/>
  <c r="I14" i="12864"/>
  <c r="K14" i="12864" s="1"/>
  <c r="I27" i="12864"/>
  <c r="K27" i="12864" s="1"/>
  <c r="I20" i="12864"/>
  <c r="K20" i="12864" s="1"/>
  <c r="I34" i="12864"/>
  <c r="K34" i="12864" s="1"/>
  <c r="I40" i="12864"/>
  <c r="K40" i="12864" s="1"/>
  <c r="I32" i="12864"/>
  <c r="K32" i="12864" s="1"/>
  <c r="I39" i="12864"/>
  <c r="K39" i="12864" s="1"/>
  <c r="I19" i="12864"/>
  <c r="K19" i="12864" s="1"/>
  <c r="I38" i="12864"/>
  <c r="K38" i="12864" s="1"/>
  <c r="I18" i="12864"/>
  <c r="K18" i="12864" s="1"/>
  <c r="I30" i="12864"/>
  <c r="K30" i="12864" s="1"/>
  <c r="I31" i="12864"/>
  <c r="K31" i="12864" s="1"/>
  <c r="I28" i="12864"/>
  <c r="K28" i="12864" s="1"/>
  <c r="I35" i="12864"/>
  <c r="K35" i="12864" s="1"/>
  <c r="I36" i="12864"/>
  <c r="K36" i="12864" s="1"/>
  <c r="I594" i="12767"/>
  <c r="I596" i="12767" s="1"/>
  <c r="I583" i="12861"/>
  <c r="G591" i="12861"/>
  <c r="I591" i="12861" s="1"/>
  <c r="G590" i="12861"/>
  <c r="I590" i="12861" s="1"/>
  <c r="I610" i="12843"/>
  <c r="I713" i="12843"/>
  <c r="I626" i="12843"/>
  <c r="I653" i="12843"/>
  <c r="G667" i="12843"/>
  <c r="I667" i="12843" s="1"/>
  <c r="I627" i="12843" s="1"/>
  <c r="G590" i="12843"/>
  <c r="I590" i="12843" s="1"/>
  <c r="G591" i="12843"/>
  <c r="I591" i="12843" s="1"/>
  <c r="I712" i="12767"/>
  <c r="I610" i="12767"/>
  <c r="I715" i="12843" l="1"/>
  <c r="P24" i="12783"/>
  <c r="I595" i="12861"/>
  <c r="I597" i="12861" s="1"/>
  <c r="I595" i="12843"/>
  <c r="I597" i="12843" s="1"/>
  <c r="I611" i="12843"/>
  <c r="I675" i="12843"/>
  <c r="I714" i="12767"/>
  <c r="I634" i="12767"/>
  <c r="I636" i="12767" s="1"/>
  <c r="N24" i="12783" l="1"/>
  <c r="S24" i="12783"/>
  <c r="I635" i="12843"/>
  <c r="I677" i="12843"/>
  <c r="W637" i="12767"/>
  <c r="P25" i="12783"/>
  <c r="I637" i="12843" l="1"/>
  <c r="U630" i="12767"/>
  <c r="U631" i="12861" s="1"/>
  <c r="U675" i="12767"/>
  <c r="U614" i="12767"/>
  <c r="U713" i="12767"/>
  <c r="U635" i="12767"/>
  <c r="M675" i="12767"/>
  <c r="M635" i="12767"/>
  <c r="M713" i="12767"/>
  <c r="Q25" i="12783"/>
  <c r="Q713" i="12767"/>
  <c r="Q630" i="12767"/>
  <c r="Q631" i="12861" s="1"/>
  <c r="Q635" i="12767"/>
  <c r="Q675" i="12767"/>
  <c r="Q614" i="12767"/>
  <c r="Q615" i="12861" l="1"/>
  <c r="U615" i="12861"/>
  <c r="X637" i="12843"/>
  <c r="W638" i="12843"/>
  <c r="N25" i="12783"/>
  <c r="V25" i="12783" s="1"/>
  <c r="Q24" i="12783"/>
  <c r="U636" i="12843"/>
  <c r="U714" i="12843" s="1"/>
  <c r="M636" i="12843"/>
  <c r="Q636" i="12843"/>
  <c r="Q615" i="12843"/>
  <c r="O614" i="12767"/>
  <c r="S614" i="12767"/>
  <c r="U615" i="12843"/>
  <c r="Q631" i="12843"/>
  <c r="O630" i="12767"/>
  <c r="O631" i="12861" s="1"/>
  <c r="U631" i="12843"/>
  <c r="S630" i="12767"/>
  <c r="S631" i="12861" s="1"/>
  <c r="V24" i="12783" l="1"/>
  <c r="O32" i="12864"/>
  <c r="S615" i="12861"/>
  <c r="S630" i="12861" s="1"/>
  <c r="O615" i="12861"/>
  <c r="O695" i="12861" s="1"/>
  <c r="S709" i="12861"/>
  <c r="U709" i="12861" s="1"/>
  <c r="S671" i="12861"/>
  <c r="U671" i="12861" s="1"/>
  <c r="O671" i="12861"/>
  <c r="Q671" i="12861" s="1"/>
  <c r="O709" i="12861"/>
  <c r="Q709" i="12861" s="1"/>
  <c r="W25" i="12783"/>
  <c r="U676" i="12843"/>
  <c r="Q676" i="12843"/>
  <c r="Q714" i="12843"/>
  <c r="M676" i="12843"/>
  <c r="M714" i="12843"/>
  <c r="O631" i="12843"/>
  <c r="O670" i="12767"/>
  <c r="Q670" i="12767" s="1"/>
  <c r="O708" i="12767"/>
  <c r="Q708" i="12767" s="1"/>
  <c r="S615" i="12843"/>
  <c r="S656" i="12767"/>
  <c r="S694" i="12767"/>
  <c r="S572" i="12767"/>
  <c r="S629" i="12767"/>
  <c r="O615" i="12843"/>
  <c r="O656" i="12767"/>
  <c r="O629" i="12767"/>
  <c r="O572" i="12767"/>
  <c r="O694" i="12767"/>
  <c r="S631" i="12843"/>
  <c r="S670" i="12767"/>
  <c r="U670" i="12767" s="1"/>
  <c r="S708" i="12767"/>
  <c r="U708" i="12767" s="1"/>
  <c r="S657" i="12861" l="1"/>
  <c r="U657" i="12861" s="1"/>
  <c r="S695" i="12861"/>
  <c r="U695" i="12861" s="1"/>
  <c r="O657" i="12861"/>
  <c r="O670" i="12861" s="1"/>
  <c r="Q670" i="12861" s="1"/>
  <c r="O573" i="12861"/>
  <c r="O586" i="12861" s="1"/>
  <c r="O630" i="12861"/>
  <c r="S573" i="12861"/>
  <c r="S586" i="12861" s="1"/>
  <c r="Q695" i="12861"/>
  <c r="O708" i="12861"/>
  <c r="Q708" i="12861" s="1"/>
  <c r="S669" i="12767"/>
  <c r="U669" i="12767" s="1"/>
  <c r="U656" i="12767"/>
  <c r="S709" i="12843"/>
  <c r="U709" i="12843" s="1"/>
  <c r="S671" i="12843"/>
  <c r="U671" i="12843" s="1"/>
  <c r="O669" i="12767"/>
  <c r="Q669" i="12767" s="1"/>
  <c r="Q656" i="12767"/>
  <c r="S630" i="12843"/>
  <c r="S695" i="12843"/>
  <c r="S657" i="12843"/>
  <c r="O709" i="12843"/>
  <c r="Q709" i="12843" s="1"/>
  <c r="O671" i="12843"/>
  <c r="Q671" i="12843" s="1"/>
  <c r="Q694" i="12767"/>
  <c r="O707" i="12767"/>
  <c r="Q707" i="12767" s="1"/>
  <c r="O695" i="12843"/>
  <c r="O630" i="12843"/>
  <c r="O657" i="12843"/>
  <c r="S573" i="12843"/>
  <c r="S586" i="12843" s="1"/>
  <c r="U572" i="12767"/>
  <c r="S573" i="12767"/>
  <c r="S585" i="12767"/>
  <c r="U585" i="12767" s="1"/>
  <c r="O573" i="12843"/>
  <c r="O586" i="12843" s="1"/>
  <c r="Q572" i="12767"/>
  <c r="O573" i="12767"/>
  <c r="O585" i="12767"/>
  <c r="Q585" i="12767" s="1"/>
  <c r="U694" i="12767"/>
  <c r="S707" i="12767"/>
  <c r="U707" i="12767" s="1"/>
  <c r="S670" i="12861" l="1"/>
  <c r="U670" i="12861" s="1"/>
  <c r="S708" i="12861"/>
  <c r="U708" i="12861" s="1"/>
  <c r="Q657" i="12861"/>
  <c r="O574" i="12861"/>
  <c r="O587" i="12861" s="1"/>
  <c r="S574" i="12861"/>
  <c r="S587" i="12861" s="1"/>
  <c r="U573" i="12843"/>
  <c r="U573" i="12861"/>
  <c r="Q586" i="12843"/>
  <c r="Q586" i="12861"/>
  <c r="U586" i="12843"/>
  <c r="U586" i="12861"/>
  <c r="Q573" i="12843"/>
  <c r="Q573" i="12861"/>
  <c r="Q629" i="12767"/>
  <c r="U629" i="12767"/>
  <c r="O708" i="12843"/>
  <c r="Q708" i="12843" s="1"/>
  <c r="Q695" i="12843"/>
  <c r="U657" i="12843"/>
  <c r="S670" i="12843"/>
  <c r="U670" i="12843" s="1"/>
  <c r="O574" i="12843"/>
  <c r="O587" i="12843" s="1"/>
  <c r="Q573" i="12767"/>
  <c r="O586" i="12767"/>
  <c r="Q586" i="12767" s="1"/>
  <c r="Q657" i="12843"/>
  <c r="O670" i="12843"/>
  <c r="Q670" i="12843" s="1"/>
  <c r="S574" i="12843"/>
  <c r="S587" i="12843" s="1"/>
  <c r="U573" i="12767"/>
  <c r="S586" i="12767"/>
  <c r="U586" i="12767" s="1"/>
  <c r="S708" i="12843"/>
  <c r="U708" i="12843" s="1"/>
  <c r="U695" i="12843"/>
  <c r="U587" i="12843" l="1"/>
  <c r="U587" i="12861"/>
  <c r="U630" i="12843"/>
  <c r="U630" i="12861"/>
  <c r="Q574" i="12843"/>
  <c r="Q574" i="12861"/>
  <c r="U574" i="12843"/>
  <c r="U574" i="12861"/>
  <c r="Q587" i="12843"/>
  <c r="Q587" i="12861"/>
  <c r="Q630" i="12843"/>
  <c r="Q630" i="12861"/>
  <c r="S609" i="12767" l="1"/>
  <c r="O609" i="12767"/>
  <c r="O610" i="12861" s="1"/>
  <c r="O611" i="12861" l="1"/>
  <c r="O627" i="12861" s="1"/>
  <c r="O626" i="12861"/>
  <c r="O690" i="12861"/>
  <c r="O652" i="12861"/>
  <c r="S689" i="12767"/>
  <c r="S690" i="12767" s="1"/>
  <c r="S610" i="12861"/>
  <c r="O610" i="12843"/>
  <c r="O626" i="12843" s="1"/>
  <c r="O651" i="12767"/>
  <c r="Q651" i="12767" s="1"/>
  <c r="U689" i="12767"/>
  <c r="O611" i="12843"/>
  <c r="O627" i="12843" s="1"/>
  <c r="O652" i="12843"/>
  <c r="S610" i="12843"/>
  <c r="S568" i="12767"/>
  <c r="S569" i="12861" s="1"/>
  <c r="S583" i="12861" s="1"/>
  <c r="S610" i="12767"/>
  <c r="S651" i="12767"/>
  <c r="S625" i="12767"/>
  <c r="U625" i="12767" s="1"/>
  <c r="O610" i="12767"/>
  <c r="O689" i="12767"/>
  <c r="O625" i="12767"/>
  <c r="Q625" i="12767" s="1"/>
  <c r="O568" i="12767"/>
  <c r="O569" i="12861" s="1"/>
  <c r="O583" i="12861" s="1"/>
  <c r="S590" i="12861" l="1"/>
  <c r="S591" i="12861"/>
  <c r="O666" i="12861"/>
  <c r="Q666" i="12861" s="1"/>
  <c r="O653" i="12861"/>
  <c r="Q652" i="12861"/>
  <c r="O691" i="12861"/>
  <c r="O704" i="12861"/>
  <c r="Q704" i="12861" s="1"/>
  <c r="Q690" i="12861"/>
  <c r="S703" i="12767"/>
  <c r="U703" i="12767" s="1"/>
  <c r="S652" i="12861"/>
  <c r="S690" i="12861"/>
  <c r="S626" i="12861"/>
  <c r="S611" i="12861"/>
  <c r="S627" i="12861" s="1"/>
  <c r="O591" i="12861"/>
  <c r="O590" i="12861"/>
  <c r="O690" i="12843"/>
  <c r="O691" i="12843" s="1"/>
  <c r="Q626" i="12843"/>
  <c r="Q626" i="12861"/>
  <c r="U626" i="12843"/>
  <c r="U626" i="12861"/>
  <c r="O665" i="12767"/>
  <c r="Q665" i="12767" s="1"/>
  <c r="O652" i="12767"/>
  <c r="O666" i="12767" s="1"/>
  <c r="Q666" i="12767" s="1"/>
  <c r="Q689" i="12767"/>
  <c r="O703" i="12767"/>
  <c r="Q703" i="12767" s="1"/>
  <c r="O690" i="12767"/>
  <c r="U651" i="12767"/>
  <c r="S665" i="12767"/>
  <c r="U665" i="12767" s="1"/>
  <c r="S652" i="12767"/>
  <c r="S626" i="12843"/>
  <c r="S690" i="12843"/>
  <c r="S652" i="12843"/>
  <c r="S611" i="12843"/>
  <c r="S627" i="12843" s="1"/>
  <c r="U610" i="12767"/>
  <c r="S626" i="12767"/>
  <c r="U626" i="12767" s="1"/>
  <c r="O666" i="12843"/>
  <c r="Q666" i="12843" s="1"/>
  <c r="Q652" i="12843"/>
  <c r="O653" i="12843"/>
  <c r="S704" i="12767"/>
  <c r="U704" i="12767" s="1"/>
  <c r="U690" i="12767"/>
  <c r="O569" i="12843"/>
  <c r="O583" i="12843" s="1"/>
  <c r="Q568" i="12767"/>
  <c r="Q569" i="12861" s="1"/>
  <c r="O582" i="12767"/>
  <c r="Q610" i="12767"/>
  <c r="O626" i="12767"/>
  <c r="Q626" i="12767" s="1"/>
  <c r="S569" i="12843"/>
  <c r="S583" i="12843" s="1"/>
  <c r="U568" i="12767"/>
  <c r="U569" i="12861" s="1"/>
  <c r="S582" i="12767"/>
  <c r="Q690" i="12843" l="1"/>
  <c r="S704" i="12861"/>
  <c r="U704" i="12861" s="1"/>
  <c r="S691" i="12861"/>
  <c r="U690" i="12861"/>
  <c r="O704" i="12843"/>
  <c r="Q704" i="12843" s="1"/>
  <c r="S653" i="12861"/>
  <c r="S666" i="12861"/>
  <c r="U666" i="12861" s="1"/>
  <c r="U652" i="12861"/>
  <c r="O705" i="12861"/>
  <c r="Q705" i="12861" s="1"/>
  <c r="Q691" i="12861"/>
  <c r="O667" i="12861"/>
  <c r="Q667" i="12861" s="1"/>
  <c r="Q653" i="12861"/>
  <c r="Q627" i="12843"/>
  <c r="Q627" i="12861"/>
  <c r="Q611" i="12843"/>
  <c r="Q611" i="12861"/>
  <c r="U611" i="12843"/>
  <c r="U611" i="12861"/>
  <c r="U627" i="12843"/>
  <c r="U627" i="12861"/>
  <c r="Q652" i="12767"/>
  <c r="S591" i="12843"/>
  <c r="S590" i="12843"/>
  <c r="O667" i="12843"/>
  <c r="Q667" i="12843" s="1"/>
  <c r="Q653" i="12843"/>
  <c r="O590" i="12843"/>
  <c r="O591" i="12843"/>
  <c r="S653" i="12843"/>
  <c r="U652" i="12843"/>
  <c r="S666" i="12843"/>
  <c r="U666" i="12843" s="1"/>
  <c r="S590" i="12767"/>
  <c r="U590" i="12767" s="1"/>
  <c r="U582" i="12767"/>
  <c r="S589" i="12767"/>
  <c r="U589" i="12767" s="1"/>
  <c r="S704" i="12843"/>
  <c r="U704" i="12843" s="1"/>
  <c r="U690" i="12843"/>
  <c r="S691" i="12843"/>
  <c r="Q569" i="12843"/>
  <c r="U652" i="12767"/>
  <c r="S666" i="12767"/>
  <c r="U666" i="12767" s="1"/>
  <c r="U569" i="12843"/>
  <c r="Q582" i="12767"/>
  <c r="O590" i="12767"/>
  <c r="Q590" i="12767" s="1"/>
  <c r="O589" i="12767"/>
  <c r="Q589" i="12767" s="1"/>
  <c r="O705" i="12843"/>
  <c r="Q705" i="12843" s="1"/>
  <c r="Q691" i="12843"/>
  <c r="Q690" i="12767"/>
  <c r="O704" i="12767"/>
  <c r="Q704" i="12767" s="1"/>
  <c r="U583" i="12843" l="1"/>
  <c r="U583" i="12861"/>
  <c r="Q590" i="12843"/>
  <c r="Q590" i="12861"/>
  <c r="U591" i="12843"/>
  <c r="U591" i="12861"/>
  <c r="S705" i="12861"/>
  <c r="U705" i="12861" s="1"/>
  <c r="U691" i="12861"/>
  <c r="Q591" i="12843"/>
  <c r="Q591" i="12861"/>
  <c r="S667" i="12861"/>
  <c r="U667" i="12861" s="1"/>
  <c r="U653" i="12861"/>
  <c r="Q583" i="12843"/>
  <c r="Q583" i="12861"/>
  <c r="U590" i="12843"/>
  <c r="U590" i="12861"/>
  <c r="S705" i="12843"/>
  <c r="U705" i="12843" s="1"/>
  <c r="U691" i="12843"/>
  <c r="S667" i="12843"/>
  <c r="U667" i="12843" s="1"/>
  <c r="U653" i="12843"/>
  <c r="D10" i="12869"/>
  <c r="D12" i="12869" s="1"/>
  <c r="F12" i="12869" s="1"/>
  <c r="V14" i="12869"/>
  <c r="V15" i="12869"/>
  <c r="V16" i="12869"/>
  <c r="V18" i="12869"/>
  <c r="V17" i="12869" s="1"/>
  <c r="V19" i="12869"/>
  <c r="V20" i="12869"/>
  <c r="V21" i="12869"/>
  <c r="V22" i="12869"/>
  <c r="V23" i="12869"/>
  <c r="V24" i="12869"/>
  <c r="V25" i="12869"/>
  <c r="V26" i="12869"/>
  <c r="V27" i="12869"/>
  <c r="D39" i="12869"/>
  <c r="S10" i="12869" l="1"/>
  <c r="S12" i="12869" s="1"/>
  <c r="F10" i="12869"/>
  <c r="G1224" i="12861"/>
  <c r="I1224" i="12861" s="1"/>
  <c r="I1218" i="12860"/>
  <c r="X1218" i="12860"/>
  <c r="G1225" i="12861"/>
  <c r="I1225" i="12861"/>
  <c r="I1219" i="12860"/>
  <c r="I1224" i="12860" s="1"/>
  <c r="I1226" i="12860" s="1"/>
  <c r="X1219" i="12860"/>
  <c r="I1230" i="12861" l="1"/>
  <c r="I1232" i="12861" s="1"/>
  <c r="X1232" i="12861" s="1"/>
  <c r="U30" i="12783"/>
  <c r="W1227" i="12860"/>
  <c r="I1271" i="12860"/>
  <c r="X1226" i="12860"/>
  <c r="W1233" i="12861" l="1"/>
  <c r="I1277" i="12861"/>
  <c r="I1280" i="12861" s="1"/>
  <c r="S30" i="12783"/>
  <c r="S33" i="12783" s="1"/>
  <c r="X30" i="12783"/>
  <c r="W1272" i="12860"/>
  <c r="I1274" i="12860"/>
  <c r="U33" i="12783"/>
  <c r="W1278" i="12861" l="1"/>
  <c r="U45" i="12783"/>
  <c r="X33" i="12783"/>
  <c r="S45" i="12783"/>
  <c r="U49" i="12783" l="1"/>
  <c r="X45" i="12783"/>
  <c r="S49" i="12783"/>
  <c r="X49" i="12783" s="1"/>
  <c r="G1222" i="12843"/>
  <c r="I1222" i="12843" s="1"/>
  <c r="I1218" i="12767"/>
  <c r="X1218" i="12767"/>
  <c r="G1223" i="12843"/>
  <c r="I1223" i="12843" s="1"/>
  <c r="I1219" i="12767"/>
  <c r="I1224" i="12767" s="1"/>
  <c r="I1226" i="12767" s="1"/>
  <c r="X1219" i="12767"/>
  <c r="I1228" i="12843" l="1"/>
  <c r="I1230" i="12843" s="1"/>
  <c r="X1230" i="12843" s="1"/>
  <c r="W1227" i="12767"/>
  <c r="I1271" i="12767"/>
  <c r="P30" i="12783"/>
  <c r="X1226" i="12767"/>
  <c r="I1275" i="12843"/>
  <c r="N30" i="12783"/>
  <c r="W1231" i="12843" l="1"/>
  <c r="V30" i="12783"/>
  <c r="W30" i="12783"/>
  <c r="N33" i="12783"/>
  <c r="W1272" i="12767"/>
  <c r="I1274" i="12767"/>
  <c r="W1276" i="12843"/>
  <c r="I1278" i="12843"/>
  <c r="Q30" i="12783"/>
  <c r="P33" i="12783"/>
  <c r="V33" i="12783" l="1"/>
  <c r="W33" i="12783"/>
  <c r="N45" i="12783"/>
  <c r="Q33" i="12783"/>
  <c r="P45" i="12783"/>
  <c r="N49" i="12783" l="1"/>
  <c r="V45" i="12783"/>
  <c r="W45" i="12783"/>
  <c r="P49" i="12783"/>
  <c r="Q49" i="12783" s="1"/>
  <c r="Q45" i="12783"/>
  <c r="W49" i="12783" l="1"/>
  <c r="V49" i="12783"/>
  <c r="O196" i="12843"/>
  <c r="O188" i="12843"/>
  <c r="M591" i="12861"/>
  <c r="M591" i="12843"/>
  <c r="K195" i="12861"/>
  <c r="K187" i="12861"/>
  <c r="M195" i="12860"/>
  <c r="M200" i="12860"/>
  <c r="M201" i="12861"/>
  <c r="M201" i="12843"/>
  <c r="S617" i="12767"/>
  <c r="S370" i="12767"/>
  <c r="M627" i="12843"/>
  <c r="M627" i="12861"/>
  <c r="K185" i="12767"/>
  <c r="M362" i="12767"/>
  <c r="M368" i="12767"/>
  <c r="O195" i="12861"/>
  <c r="O187" i="12861"/>
  <c r="M193" i="12843"/>
  <c r="M193" i="12861"/>
  <c r="Q321" i="12860"/>
  <c r="U628" i="12861"/>
  <c r="U628" i="12843"/>
  <c r="U193" i="12843"/>
  <c r="U193" i="12861"/>
  <c r="Q592" i="12843"/>
  <c r="Q592" i="12861"/>
  <c r="O195" i="12843"/>
  <c r="O187" i="12843"/>
  <c r="O188" i="12861"/>
  <c r="O196" i="12861"/>
  <c r="U311" i="12861"/>
  <c r="U762" i="12843"/>
  <c r="U762" i="12861"/>
  <c r="M194" i="12860"/>
  <c r="M199" i="12860"/>
  <c r="Q613" i="12843"/>
  <c r="Q613" i="12861"/>
  <c r="Q521" i="12861"/>
  <c r="O592" i="12843"/>
  <c r="O585" i="12843"/>
  <c r="M368" i="12860"/>
  <c r="M362" i="12860"/>
  <c r="K188" i="12861"/>
  <c r="K196" i="12861"/>
  <c r="O572" i="12843"/>
  <c r="U355" i="12767"/>
  <c r="M545" i="12861"/>
  <c r="Q571" i="12860"/>
  <c r="K744" i="12861"/>
  <c r="K762" i="12861"/>
  <c r="U429" i="12861"/>
  <c r="Q200" i="12861"/>
  <c r="Q200" i="12843"/>
  <c r="S187" i="12843"/>
  <c r="S195" i="12843"/>
  <c r="Q199" i="12860"/>
  <c r="Q194" i="12860"/>
  <c r="Q585" i="12843"/>
  <c r="Q585" i="12861"/>
  <c r="U196" i="12843"/>
  <c r="U196" i="12861"/>
  <c r="M180" i="12861"/>
  <c r="M180" i="12843"/>
  <c r="S186" i="12861"/>
  <c r="S194" i="12861"/>
  <c r="M611" i="12843"/>
  <c r="M611" i="12861"/>
  <c r="S196" i="12843"/>
  <c r="S188" i="12843"/>
  <c r="O186" i="12843"/>
  <c r="O194" i="12843"/>
  <c r="S194" i="12843"/>
  <c r="S186" i="12843"/>
  <c r="U194" i="12843"/>
  <c r="U194" i="12861"/>
  <c r="O187" i="12860"/>
  <c r="Q694" i="12861"/>
  <c r="O187" i="12767"/>
  <c r="K194" i="12861"/>
  <c r="K186" i="12861"/>
  <c r="U656" i="12843"/>
  <c r="S441" i="12861"/>
  <c r="U441" i="12861"/>
  <c r="M762" i="12843"/>
  <c r="M762" i="12861"/>
  <c r="M590" i="12861"/>
  <c r="M590" i="12843"/>
  <c r="M311" i="12861"/>
  <c r="S196" i="12861"/>
  <c r="S188" i="12861"/>
  <c r="S429" i="12861"/>
  <c r="U428" i="12861"/>
  <c r="Q428" i="12767"/>
  <c r="Q762" i="12861"/>
  <c r="Q762" i="12843"/>
  <c r="S592" i="12861"/>
  <c r="S585" i="12861"/>
  <c r="S187" i="12861"/>
  <c r="S195" i="12861"/>
  <c r="Q181" i="12843"/>
  <c r="Q181" i="12861"/>
  <c r="M200" i="12861"/>
  <c r="M200" i="12843"/>
  <c r="U613" i="12861"/>
  <c r="U613" i="12843"/>
  <c r="M323" i="12843"/>
  <c r="U323" i="12860"/>
  <c r="M242" i="12843"/>
  <c r="U254" i="12767"/>
  <c r="S619" i="12861"/>
  <c r="S629" i="12861"/>
  <c r="U333" i="12861"/>
  <c r="O571" i="12843"/>
  <c r="O571" i="12861"/>
  <c r="S618" i="12861"/>
  <c r="S628" i="12861"/>
  <c r="U465" i="12843"/>
  <c r="M652" i="12860"/>
  <c r="M240" i="12861"/>
  <c r="M242" i="12861"/>
  <c r="Q311" i="12843"/>
  <c r="O185" i="12860"/>
  <c r="Q356" i="12843"/>
  <c r="U628" i="12860"/>
  <c r="M324" i="12843"/>
  <c r="Q357" i="12861"/>
  <c r="Q252" i="12767"/>
  <c r="M414" i="12767"/>
  <c r="Q429" i="12843"/>
  <c r="Q768" i="12860"/>
  <c r="U363" i="12843"/>
  <c r="U369" i="12843"/>
  <c r="U363" i="12861"/>
  <c r="U369" i="12861"/>
  <c r="M626" i="12861"/>
  <c r="M626" i="12843"/>
  <c r="U439" i="12843"/>
  <c r="Q628" i="12843"/>
  <c r="Q628" i="12861"/>
  <c r="Q201" i="12843"/>
  <c r="Q200" i="12767"/>
  <c r="Q201" i="12861"/>
  <c r="M195" i="12861"/>
  <c r="M195" i="12843"/>
  <c r="Q196" i="12843"/>
  <c r="O195" i="12767"/>
  <c r="Q195" i="12767"/>
  <c r="Q196" i="12861"/>
  <c r="K187" i="12860"/>
  <c r="K195" i="12860"/>
  <c r="U427" i="12843"/>
  <c r="S427" i="12843"/>
  <c r="S439" i="12843"/>
  <c r="O194" i="12860"/>
  <c r="O186" i="12860"/>
  <c r="U276" i="12843"/>
  <c r="U233" i="12861"/>
  <c r="O618" i="12861"/>
  <c r="O628" i="12861"/>
  <c r="Q180" i="12861"/>
  <c r="Q180" i="12843"/>
  <c r="U368" i="12860"/>
  <c r="U362" i="12860"/>
  <c r="M821" i="12767"/>
  <c r="O592" i="12861"/>
  <c r="O572" i="12861"/>
  <c r="O585" i="12861"/>
  <c r="U474" i="12860"/>
  <c r="K195" i="12843"/>
  <c r="K187" i="12843"/>
  <c r="K186" i="12860"/>
  <c r="K194" i="12860"/>
  <c r="U614" i="12861"/>
  <c r="U614" i="12843"/>
  <c r="O194" i="12861"/>
  <c r="O186" i="12861"/>
  <c r="M221" i="12843"/>
  <c r="M427" i="12860"/>
  <c r="Q194" i="12861"/>
  <c r="Q194" i="12843"/>
  <c r="K762" i="12843"/>
  <c r="K744" i="12843"/>
  <c r="O357" i="12860"/>
  <c r="O369" i="12860"/>
  <c r="M475" i="12843"/>
  <c r="Q572" i="12861"/>
  <c r="Q571" i="12767"/>
  <c r="Q572" i="12843"/>
  <c r="U629" i="12861"/>
  <c r="U629" i="12843"/>
  <c r="M181" i="12861"/>
  <c r="M181" i="12843"/>
  <c r="O358" i="12767"/>
  <c r="O370" i="12767"/>
  <c r="O619" i="12861"/>
  <c r="O629" i="12861"/>
  <c r="U253" i="12843"/>
  <c r="M583" i="12861"/>
  <c r="M583" i="12843"/>
  <c r="M1274" i="12767"/>
  <c r="K545" i="12861"/>
  <c r="K533" i="12861"/>
  <c r="M533" i="12861"/>
  <c r="U218" i="12861"/>
  <c r="O428" i="12767"/>
  <c r="O440" i="12767"/>
  <c r="Q440" i="12767"/>
  <c r="K188" i="12843"/>
  <c r="K196" i="12843"/>
  <c r="U585" i="12861"/>
  <c r="U585" i="12843"/>
  <c r="M533" i="12860"/>
  <c r="Q263" i="12860"/>
  <c r="U322" i="12767"/>
  <c r="U547" i="12861"/>
  <c r="M356" i="12843"/>
  <c r="S185" i="12860"/>
  <c r="M229" i="12860"/>
  <c r="M264" i="12861"/>
  <c r="U656" i="12861"/>
  <c r="U241" i="12860"/>
  <c r="U694" i="12843"/>
  <c r="M590" i="12860"/>
  <c r="M194" i="12861"/>
  <c r="M194" i="12843"/>
  <c r="M254" i="12860"/>
  <c r="U332" i="12860"/>
  <c r="U1278" i="12843"/>
  <c r="U572" i="12861"/>
  <c r="U572" i="12843"/>
  <c r="Q199" i="12767"/>
  <c r="S359" i="12861"/>
  <c r="S371" i="12861"/>
  <c r="M461" i="12767"/>
  <c r="K358" i="12861"/>
  <c r="K370" i="12861"/>
  <c r="O629" i="12843"/>
  <c r="O619" i="12843"/>
  <c r="Q254" i="12843"/>
  <c r="Q324" i="12861"/>
  <c r="M333" i="12861"/>
  <c r="U231" i="12767"/>
  <c r="M427" i="12767"/>
  <c r="U694" i="12861"/>
  <c r="M324" i="12861"/>
  <c r="Q596" i="12860"/>
  <c r="M179" i="12861"/>
  <c r="M179" i="12843"/>
  <c r="M200" i="12767"/>
  <c r="S187" i="12767"/>
  <c r="S358" i="12767"/>
  <c r="O744" i="12843"/>
  <c r="O762" i="12843"/>
  <c r="Q322" i="12767"/>
  <c r="U180" i="12843"/>
  <c r="U180" i="12861"/>
  <c r="K439" i="12767"/>
  <c r="M439" i="12767"/>
  <c r="M194" i="12767"/>
  <c r="M199" i="12767"/>
  <c r="S572" i="12861"/>
  <c r="U571" i="12767"/>
  <c r="S193" i="12861"/>
  <c r="Q465" i="12843"/>
  <c r="O461" i="12860"/>
  <c r="O473" i="12860"/>
  <c r="K185" i="12860"/>
  <c r="S619" i="12843"/>
  <c r="S629" i="12843"/>
  <c r="Q355" i="12860"/>
  <c r="Q543" i="12860"/>
  <c r="O186" i="12767"/>
  <c r="Q362" i="12860"/>
  <c r="Q368" i="12860"/>
  <c r="M535" i="12843"/>
  <c r="O193" i="12843"/>
  <c r="Q461" i="12767"/>
  <c r="O617" i="12860"/>
  <c r="Q636" i="12860"/>
  <c r="K194" i="12843"/>
  <c r="K186" i="12843"/>
  <c r="Q193" i="12843"/>
  <c r="Q193" i="12861"/>
  <c r="O217" i="12860"/>
  <c r="O229" i="12860"/>
  <c r="U426" i="12860"/>
  <c r="S762" i="12861"/>
  <c r="S744" i="12861"/>
  <c r="O193" i="12861"/>
  <c r="M703" i="12860"/>
  <c r="Q714" i="12860"/>
  <c r="U768" i="12860"/>
  <c r="O429" i="12843"/>
  <c r="O441" i="12843"/>
  <c r="Q441" i="12843"/>
  <c r="K187" i="12767"/>
  <c r="U534" i="12861"/>
  <c r="K254" i="12860"/>
  <c r="K266" i="12860"/>
  <c r="M266" i="12860"/>
  <c r="Q655" i="12860"/>
  <c r="K627" i="12861"/>
  <c r="U232" i="12860"/>
  <c r="S762" i="12843"/>
  <c r="S744" i="12843"/>
  <c r="U302" i="12861"/>
  <c r="Q415" i="12843"/>
  <c r="M473" i="12860"/>
  <c r="M311" i="12843"/>
  <c r="M240" i="12843"/>
  <c r="S656" i="12843"/>
  <c r="S669" i="12843"/>
  <c r="U669" i="12843"/>
  <c r="U179" i="12843"/>
  <c r="U179" i="12861"/>
  <c r="Q200" i="12860"/>
  <c r="O195" i="12860"/>
  <c r="Q195" i="12860"/>
  <c r="M653" i="12843"/>
  <c r="Q195" i="12843"/>
  <c r="O194" i="12767"/>
  <c r="Q194" i="12767"/>
  <c r="Q195" i="12861"/>
  <c r="Q322" i="12860"/>
  <c r="M690" i="12860"/>
  <c r="Q323" i="12861"/>
  <c r="M231" i="12767"/>
  <c r="M253" i="12861"/>
  <c r="S628" i="12860"/>
  <c r="S618" i="12860"/>
  <c r="Q427" i="12860"/>
  <c r="O264" i="12767"/>
  <c r="Q264" i="12767"/>
  <c r="Q362" i="12767"/>
  <c r="Q368" i="12767"/>
  <c r="M676" i="12767"/>
  <c r="S186" i="12767"/>
  <c r="U427" i="12767"/>
  <c r="Q414" i="12860"/>
  <c r="S628" i="12843"/>
  <c r="S618" i="12843"/>
  <c r="Q426" i="12767"/>
  <c r="M231" i="12860"/>
  <c r="K590" i="12843"/>
  <c r="K591" i="12843"/>
  <c r="U533" i="12843"/>
  <c r="U592" i="12843"/>
  <c r="U592" i="12861"/>
  <c r="Q656" i="12861"/>
  <c r="Q520" i="12767"/>
  <c r="Q693" i="12767"/>
  <c r="O762" i="12861"/>
  <c r="O744" i="12861"/>
  <c r="Q179" i="12843"/>
  <c r="Q179" i="12861"/>
  <c r="M534" i="12861"/>
  <c r="U628" i="12767"/>
  <c r="M377" i="12767"/>
  <c r="M379" i="12767"/>
  <c r="O743" i="12860"/>
  <c r="Q535" i="12861"/>
  <c r="U532" i="12860"/>
  <c r="M636" i="12767"/>
  <c r="K703" i="12860"/>
  <c r="Q706" i="12843"/>
  <c r="K591" i="12861"/>
  <c r="K590" i="12861"/>
  <c r="M230" i="12843"/>
  <c r="Q461" i="12860"/>
  <c r="K253" i="12861"/>
  <c r="K265" i="12861"/>
  <c r="M265" i="12861"/>
  <c r="M220" i="12860"/>
  <c r="K743" i="12767"/>
  <c r="Q518" i="12767"/>
  <c r="Q483" i="12767"/>
  <c r="Q485" i="12767"/>
  <c r="Q253" i="12843"/>
  <c r="U520" i="12767"/>
  <c r="Q873" i="12843"/>
  <c r="S231" i="12860"/>
  <c r="M219" i="12860"/>
  <c r="S186" i="12860"/>
  <c r="S219" i="12860"/>
  <c r="M534" i="12843"/>
  <c r="M556" i="12861"/>
  <c r="Q220" i="12767"/>
  <c r="Q231" i="12843"/>
  <c r="Q614" i="12843"/>
  <c r="Q614" i="12861"/>
  <c r="Q629" i="12861"/>
  <c r="Q629" i="12843"/>
  <c r="O694" i="12861"/>
  <c r="O707" i="12861"/>
  <c r="Q707" i="12861"/>
  <c r="Q254" i="12860"/>
  <c r="O463" i="12843"/>
  <c r="O475" i="12843"/>
  <c r="Q428" i="12861"/>
  <c r="Q322" i="12843"/>
  <c r="M582" i="12767"/>
  <c r="U370" i="12843"/>
  <c r="Q275" i="12767"/>
  <c r="M415" i="12843"/>
  <c r="U217" i="12860"/>
  <c r="Q371" i="12861"/>
  <c r="U473" i="12767"/>
  <c r="S571" i="12843"/>
  <c r="S571" i="12861"/>
  <c r="M533" i="12767"/>
  <c r="S185" i="12767"/>
  <c r="M814" i="12767"/>
  <c r="U534" i="12843"/>
  <c r="K264" i="12861"/>
  <c r="O321" i="12860"/>
  <c r="O333" i="12860"/>
  <c r="Q333" i="12860"/>
  <c r="Q463" i="12860"/>
  <c r="S618" i="12767"/>
  <c r="S628" i="12767"/>
  <c r="M218" i="12843"/>
  <c r="M309" i="12843"/>
  <c r="M485" i="12767"/>
  <c r="M483" i="12767"/>
  <c r="M518" i="12767"/>
  <c r="M520" i="12767"/>
  <c r="U274" i="12843"/>
  <c r="Q403" i="12767"/>
  <c r="Q255" i="12843"/>
  <c r="M437" i="12767"/>
  <c r="U543" i="12767"/>
  <c r="M217" i="12860"/>
  <c r="M358" i="12843"/>
  <c r="S614" i="12843"/>
  <c r="S694" i="12843"/>
  <c r="S707" i="12843"/>
  <c r="U707" i="12843"/>
  <c r="U391" i="12860"/>
  <c r="U356" i="12860"/>
  <c r="M866" i="12861"/>
  <c r="K219" i="12860"/>
  <c r="K231" i="12860"/>
  <c r="U450" i="12861"/>
  <c r="U254" i="12860"/>
  <c r="Q440" i="12860"/>
  <c r="K230" i="12861"/>
  <c r="Q437" i="12767"/>
  <c r="M371" i="12843"/>
  <c r="M370" i="12861"/>
  <c r="K193" i="12843"/>
  <c r="S193" i="12843"/>
  <c r="K583" i="12861"/>
  <c r="Q428" i="12843"/>
  <c r="M428" i="12843"/>
  <c r="M391" i="12767"/>
  <c r="M356" i="12767"/>
  <c r="U821" i="12860"/>
  <c r="Q655" i="12767"/>
  <c r="M290" i="12843"/>
  <c r="O628" i="12843"/>
  <c r="O618" i="12843"/>
  <c r="U300" i="12861"/>
  <c r="U231" i="12861"/>
  <c r="Q253" i="12767"/>
  <c r="U239" i="12860"/>
  <c r="U308" i="12860"/>
  <c r="U310" i="12860"/>
  <c r="O357" i="12843"/>
  <c r="O369" i="12843"/>
  <c r="K590" i="12860"/>
  <c r="M582" i="12860"/>
  <c r="Q253" i="12860"/>
  <c r="M873" i="12861"/>
  <c r="U371" i="12861"/>
  <c r="K690" i="12860"/>
  <c r="K704" i="12860"/>
  <c r="M704" i="12860"/>
  <c r="S356" i="12861"/>
  <c r="S368" i="12861"/>
  <c r="U181" i="12861"/>
  <c r="U181" i="12843"/>
  <c r="U380" i="12861"/>
  <c r="S359" i="12843"/>
  <c r="S371" i="12843"/>
  <c r="U378" i="12861"/>
  <c r="U415" i="12861"/>
  <c r="U370" i="12767"/>
  <c r="M867" i="12767"/>
  <c r="U405" i="12843"/>
  <c r="U233" i="12843"/>
  <c r="M370" i="12843"/>
  <c r="U252" i="12860"/>
  <c r="K626" i="12861"/>
  <c r="K611" i="12861"/>
  <c r="O814" i="12860"/>
  <c r="Q814" i="12860"/>
  <c r="U357" i="12861"/>
  <c r="M521" i="12843"/>
  <c r="Q637" i="12861"/>
  <c r="Q533" i="12861"/>
  <c r="S187" i="12860"/>
  <c r="K464" i="12861"/>
  <c r="K476" i="12861"/>
  <c r="Q634" i="12860"/>
  <c r="S543" i="12767"/>
  <c r="Q821" i="12767"/>
  <c r="M534" i="12860"/>
  <c r="M1274" i="12860"/>
  <c r="M535" i="12861"/>
  <c r="M412" i="12767"/>
  <c r="M355" i="12767"/>
  <c r="Q498" i="12860"/>
  <c r="U253" i="12861"/>
  <c r="O185" i="12767"/>
  <c r="O252" i="12767"/>
  <c r="U221" i="12861"/>
  <c r="K463" i="12843"/>
  <c r="K475" i="12843"/>
  <c r="Q463" i="12843"/>
  <c r="U195" i="12861"/>
  <c r="U195" i="12843"/>
  <c r="Q521" i="12843"/>
  <c r="Q500" i="12843"/>
  <c r="U555" i="12860"/>
  <c r="O668" i="12860"/>
  <c r="Q668" i="12860"/>
  <c r="S254" i="12860"/>
  <c r="S266" i="12860"/>
  <c r="U266" i="12860"/>
  <c r="S229" i="12767"/>
  <c r="Q474" i="12860"/>
  <c r="U275" i="12767"/>
  <c r="Q533" i="12860"/>
  <c r="O617" i="12767"/>
  <c r="Q220" i="12843"/>
  <c r="K221" i="12861"/>
  <c r="K233" i="12861"/>
  <c r="M428" i="12861"/>
  <c r="K428" i="12843"/>
  <c r="K440" i="12843"/>
  <c r="M440" i="12843"/>
  <c r="U867" i="12767"/>
  <c r="Q520" i="12860"/>
  <c r="M253" i="12843"/>
  <c r="S217" i="12767"/>
  <c r="S193" i="12767"/>
  <c r="U193" i="12767"/>
  <c r="Q1274" i="12860"/>
  <c r="Q356" i="12861"/>
  <c r="M267" i="12861"/>
  <c r="M390" i="12767"/>
  <c r="U356" i="12861"/>
  <c r="U413" i="12861"/>
  <c r="K666" i="12860"/>
  <c r="M666" i="12860"/>
  <c r="U428" i="12767"/>
  <c r="U254" i="12843"/>
  <c r="U370" i="12861"/>
  <c r="M323" i="12861"/>
  <c r="U521" i="12861"/>
  <c r="K194" i="12767"/>
  <c r="K186" i="12767"/>
  <c r="K427" i="12767"/>
  <c r="M496" i="12767"/>
  <c r="Q667" i="12860"/>
  <c r="M264" i="12843"/>
  <c r="M310" i="12767"/>
  <c r="K866" i="12861"/>
  <c r="U715" i="12861"/>
  <c r="K253" i="12843"/>
  <c r="K265" i="12843"/>
  <c r="M265" i="12843"/>
  <c r="U264" i="12843"/>
  <c r="Q333" i="12843"/>
  <c r="U310" i="12767"/>
  <c r="K590" i="12767"/>
  <c r="M590" i="12767"/>
  <c r="U252" i="12767"/>
  <c r="M463" i="12860"/>
  <c r="M323" i="12860"/>
  <c r="Q367" i="12767"/>
  <c r="U814" i="12843"/>
  <c r="U553" i="12860"/>
  <c r="O218" i="12767"/>
  <c r="O230" i="12767"/>
  <c r="M415" i="12861"/>
  <c r="U231" i="12843"/>
  <c r="Q715" i="12861"/>
  <c r="S867" i="12767"/>
  <c r="K465" i="12843"/>
  <c r="K477" i="12843"/>
  <c r="M676" i="12860"/>
  <c r="Q462" i="12860"/>
  <c r="K221" i="12843"/>
  <c r="K233" i="12843"/>
  <c r="M703" i="12767"/>
  <c r="U344" i="12767"/>
  <c r="M555" i="12860"/>
  <c r="Q677" i="12843"/>
  <c r="M358" i="12860"/>
  <c r="Q1280" i="12861"/>
  <c r="Q217" i="12767"/>
  <c r="U276" i="12861"/>
  <c r="O618" i="12767"/>
  <c r="Q533" i="12767"/>
  <c r="Q447" i="12860"/>
  <c r="Q449" i="12860"/>
  <c r="S219" i="12767"/>
  <c r="S231" i="12767"/>
  <c r="U509" i="12860"/>
  <c r="M476" i="12861"/>
  <c r="Q532" i="12767"/>
  <c r="M196" i="12843"/>
  <c r="K195" i="12767"/>
  <c r="M195" i="12767"/>
  <c r="M196" i="12861"/>
  <c r="U254" i="12861"/>
  <c r="O220" i="12843"/>
  <c r="O232" i="12843"/>
  <c r="M323" i="12767"/>
  <c r="U255" i="12843"/>
  <c r="Q475" i="12767"/>
  <c r="U438" i="12861"/>
  <c r="M428" i="12860"/>
  <c r="U323" i="12767"/>
  <c r="Q323" i="12843"/>
  <c r="M355" i="12860"/>
  <c r="U263" i="12767"/>
  <c r="U636" i="12767"/>
  <c r="Q534" i="12843"/>
  <c r="O359" i="12861"/>
  <c r="O371" i="12861"/>
  <c r="M625" i="12767"/>
  <c r="Q766" i="12860"/>
  <c r="K356" i="12767"/>
  <c r="K368" i="12767"/>
  <c r="S219" i="12843"/>
  <c r="S231" i="12843"/>
  <c r="M230" i="12767"/>
  <c r="Q428" i="12860"/>
  <c r="O428" i="12860"/>
  <c r="O440" i="12860"/>
  <c r="S584" i="12767"/>
  <c r="U584" i="12767"/>
  <c r="K218" i="12861"/>
  <c r="K193" i="12861"/>
  <c r="U335" i="12843"/>
  <c r="K535" i="12861"/>
  <c r="K547" i="12861"/>
  <c r="M547" i="12861"/>
  <c r="M426" i="12860"/>
  <c r="K626" i="12843"/>
  <c r="S218" i="12843"/>
  <c r="S230" i="12843"/>
  <c r="K298" i="12860"/>
  <c r="M298" i="12860"/>
  <c r="K220" i="12843"/>
  <c r="K232" i="12843"/>
  <c r="U274" i="12861"/>
  <c r="K814" i="12767"/>
  <c r="O356" i="12767"/>
  <c r="O368" i="12767"/>
  <c r="M255" i="12861"/>
  <c r="K255" i="12861"/>
  <c r="K267" i="12861"/>
  <c r="U379" i="12860"/>
  <c r="Q427" i="12843"/>
  <c r="K743" i="12860"/>
  <c r="S465" i="12861"/>
  <c r="S477" i="12861"/>
  <c r="Q705" i="12767"/>
  <c r="K438" i="12861"/>
  <c r="M438" i="12861"/>
  <c r="M254" i="12861"/>
  <c r="K464" i="12767"/>
  <c r="K476" i="12767"/>
  <c r="Q402" i="12860"/>
  <c r="Q367" i="12860"/>
  <c r="M874" i="12767"/>
  <c r="K193" i="12767"/>
  <c r="M193" i="12767"/>
  <c r="U392" i="12861"/>
  <c r="Q370" i="12843"/>
  <c r="M429" i="12843"/>
  <c r="Q714" i="12767"/>
  <c r="Q544" i="12861"/>
  <c r="Q218" i="12861"/>
  <c r="S218" i="12861"/>
  <c r="S230" i="12861"/>
  <c r="U535" i="12861"/>
  <c r="S535" i="12861"/>
  <c r="S547" i="12861"/>
  <c r="Q218" i="12843"/>
  <c r="Q534" i="12767"/>
  <c r="U464" i="12767"/>
  <c r="K463" i="12861"/>
  <c r="K475" i="12861"/>
  <c r="S533" i="12843"/>
  <c r="S545" i="12843"/>
  <c r="U545" i="12843"/>
  <c r="S461" i="12767"/>
  <c r="S473" i="12767"/>
  <c r="M691" i="12843"/>
  <c r="S335" i="12843"/>
  <c r="S323" i="12843"/>
  <c r="U323" i="12843"/>
  <c r="Q814" i="12861"/>
  <c r="U356" i="12843"/>
  <c r="U324" i="12861"/>
  <c r="M276" i="12861"/>
  <c r="U866" i="12843"/>
  <c r="K357" i="12843"/>
  <c r="K369" i="12843"/>
  <c r="Q263" i="12767"/>
  <c r="Q511" i="12860"/>
  <c r="Q476" i="12860"/>
  <c r="U510" i="12860"/>
  <c r="U475" i="12860"/>
  <c r="O428" i="12843"/>
  <c r="O440" i="12843"/>
  <c r="Q440" i="12843"/>
  <c r="U368" i="12843"/>
  <c r="U362" i="12767"/>
  <c r="U368" i="12767"/>
  <c r="M413" i="12843"/>
  <c r="M378" i="12843"/>
  <c r="M380" i="12843"/>
  <c r="U534" i="12860"/>
  <c r="K625" i="12767"/>
  <c r="O219" i="12861"/>
  <c r="O231" i="12861"/>
  <c r="K219" i="12767"/>
  <c r="K231" i="12767"/>
  <c r="S357" i="12767"/>
  <c r="S369" i="12767"/>
  <c r="M367" i="12767"/>
  <c r="M344" i="12860"/>
  <c r="M476" i="12767"/>
  <c r="S302" i="12861"/>
  <c r="S290" i="12861"/>
  <c r="U290" i="12861"/>
  <c r="M714" i="12767"/>
  <c r="O322" i="12767"/>
  <c r="O334" i="12767"/>
  <c r="Q334" i="12767"/>
  <c r="M462" i="12861"/>
  <c r="S592" i="12843"/>
  <c r="S572" i="12843"/>
  <c r="S585" i="12843"/>
  <c r="M414" i="12860"/>
  <c r="U1275" i="12843"/>
  <c r="U322" i="12843"/>
  <c r="U230" i="12767"/>
  <c r="S464" i="12860"/>
  <c r="S476" i="12860"/>
  <c r="M254" i="12843"/>
  <c r="M521" i="12861"/>
  <c r="S544" i="12861"/>
  <c r="U544" i="12861"/>
  <c r="Q429" i="12861"/>
  <c r="K220" i="12861"/>
  <c r="K232" i="12861"/>
  <c r="K691" i="12843"/>
  <c r="K705" i="12843"/>
  <c r="M705" i="12843"/>
  <c r="M498" i="12767"/>
  <c r="M463" i="12767"/>
  <c r="Q344" i="12860"/>
  <c r="M462" i="12843"/>
  <c r="M403" i="12843"/>
  <c r="M368" i="12843"/>
  <c r="Q676" i="12860"/>
  <c r="S814" i="12860"/>
  <c r="U814" i="12860"/>
  <c r="U356" i="12767"/>
  <c r="Q656" i="12843"/>
  <c r="Q358" i="12861"/>
  <c r="U637" i="12861"/>
  <c r="O743" i="12767"/>
  <c r="M263" i="12767"/>
  <c r="K355" i="12860"/>
  <c r="K367" i="12860"/>
  <c r="K367" i="12767"/>
  <c r="O218" i="12861"/>
  <c r="O230" i="12861"/>
  <c r="O618" i="12860"/>
  <c r="O655" i="12860"/>
  <c r="S356" i="12843"/>
  <c r="S368" i="12843"/>
  <c r="Q264" i="12861"/>
  <c r="U427" i="12860"/>
  <c r="K611" i="12843"/>
  <c r="K627" i="12843"/>
  <c r="U820" i="12843"/>
  <c r="U253" i="12860"/>
  <c r="M218" i="12861"/>
  <c r="M287" i="12861"/>
  <c r="M309" i="12861"/>
  <c r="S300" i="12861"/>
  <c r="K794" i="12767"/>
  <c r="M794" i="12767"/>
  <c r="M819" i="12767"/>
  <c r="Q311" i="12861"/>
  <c r="Q276" i="12843"/>
  <c r="M597" i="12861"/>
  <c r="U322" i="12860"/>
  <c r="M321" i="12860"/>
  <c r="U769" i="12843"/>
  <c r="Q705" i="12860"/>
  <c r="O355" i="12860"/>
  <c r="O367" i="12860"/>
  <c r="M403" i="12861"/>
  <c r="M368" i="12861"/>
  <c r="M712" i="12767"/>
  <c r="U714" i="12767"/>
  <c r="U406" i="12861"/>
  <c r="Q218" i="12860"/>
  <c r="S405" i="12843"/>
  <c r="U333" i="12843"/>
  <c r="O534" i="12767"/>
  <c r="O546" i="12767"/>
  <c r="Q546" i="12767"/>
  <c r="Q465" i="12861"/>
  <c r="O473" i="12767"/>
  <c r="O427" i="12843"/>
  <c r="O439" i="12843"/>
  <c r="Q439" i="12843"/>
  <c r="Q819" i="12767"/>
  <c r="U655" i="12860"/>
  <c r="K428" i="12860"/>
  <c r="K440" i="12860"/>
  <c r="M440" i="12860"/>
  <c r="Q230" i="12860"/>
  <c r="U508" i="12767"/>
  <c r="U531" i="12860"/>
  <c r="O461" i="12767"/>
  <c r="K217" i="12860"/>
  <c r="K229" i="12860"/>
  <c r="Q332" i="12767"/>
  <c r="M474" i="12861"/>
  <c r="U252" i="12843"/>
  <c r="S252" i="12843"/>
  <c r="S264" i="12843"/>
  <c r="M477" i="12861"/>
  <c r="S220" i="12767"/>
  <c r="S232" i="12767"/>
  <c r="M322" i="12860"/>
  <c r="M231" i="12861"/>
  <c r="Q1278" i="12843"/>
  <c r="U462" i="12861"/>
  <c r="Q543" i="12767"/>
  <c r="U655" i="12767"/>
  <c r="O705" i="12767"/>
  <c r="K355" i="12767"/>
  <c r="S263" i="12767"/>
  <c r="M264" i="12860"/>
  <c r="S288" i="12861"/>
  <c r="U288" i="12861"/>
  <c r="U219" i="12861"/>
  <c r="K534" i="12861"/>
  <c r="K546" i="12861"/>
  <c r="M546" i="12861"/>
  <c r="M219" i="12861"/>
  <c r="Q500" i="12861"/>
  <c r="U461" i="12860"/>
  <c r="U414" i="12767"/>
  <c r="Q427" i="12767"/>
  <c r="O193" i="12860"/>
  <c r="Q193" i="12860"/>
  <c r="S357" i="12860"/>
  <c r="S369" i="12860"/>
  <c r="U676" i="12860"/>
  <c r="U461" i="12767"/>
  <c r="M356" i="12861"/>
  <c r="M241" i="12860"/>
  <c r="U475" i="12861"/>
  <c r="Q287" i="12860"/>
  <c r="Q463" i="12767"/>
  <c r="S253" i="12860"/>
  <c r="S265" i="12860"/>
  <c r="U265" i="12860"/>
  <c r="S254" i="12767"/>
  <c r="S266" i="12767"/>
  <c r="U266" i="12767"/>
  <c r="Q358" i="12767"/>
  <c r="S357" i="12861"/>
  <c r="S369" i="12861"/>
  <c r="O463" i="12860"/>
  <c r="O475" i="12860"/>
  <c r="Q427" i="12861"/>
  <c r="O357" i="12767"/>
  <c r="O369" i="12767"/>
  <c r="U426" i="12767"/>
  <c r="Q794" i="12767"/>
  <c r="U463" i="12767"/>
  <c r="Q232" i="12860"/>
  <c r="Q534" i="12860"/>
  <c r="K462" i="12861"/>
  <c r="K474" i="12861"/>
  <c r="M357" i="12843"/>
  <c r="U333" i="12860"/>
  <c r="O794" i="12860"/>
  <c r="Q794" i="12860"/>
  <c r="Q819" i="12860"/>
  <c r="Q821" i="12860"/>
  <c r="O255" i="12843"/>
  <c r="O267" i="12843"/>
  <c r="Q267" i="12843"/>
  <c r="M766" i="12860"/>
  <c r="M768" i="12860"/>
  <c r="M321" i="12767"/>
  <c r="M450" i="12861"/>
  <c r="M428" i="12767"/>
  <c r="K390" i="12767"/>
  <c r="K402" i="12767"/>
  <c r="M402" i="12767"/>
  <c r="S402" i="12860"/>
  <c r="U402" i="12860"/>
  <c r="U367" i="12860"/>
  <c r="S463" i="12861"/>
  <c r="S475" i="12861"/>
  <c r="Q322" i="12861"/>
  <c r="Q693" i="12860"/>
  <c r="S254" i="12843"/>
  <c r="S266" i="12843"/>
  <c r="U266" i="12843"/>
  <c r="U415" i="12843"/>
  <c r="Q464" i="12843"/>
  <c r="O253" i="12843"/>
  <c r="O265" i="12843"/>
  <c r="Q265" i="12843"/>
  <c r="Q309" i="12861"/>
  <c r="Q240" i="12861"/>
  <c r="Q242" i="12861"/>
  <c r="K437" i="12767"/>
  <c r="M473" i="12767"/>
  <c r="M814" i="12843"/>
  <c r="S392" i="12861"/>
  <c r="S404" i="12861"/>
  <c r="U404" i="12861"/>
  <c r="M405" i="12861"/>
  <c r="M556" i="12843"/>
  <c r="M814" i="12860"/>
  <c r="U534" i="12767"/>
  <c r="Q473" i="12767"/>
  <c r="M465" i="12843"/>
  <c r="K264" i="12860"/>
  <c r="K252" i="12860"/>
  <c r="M252" i="12860"/>
  <c r="M289" i="12860"/>
  <c r="Q496" i="12767"/>
  <c r="K323" i="12861"/>
  <c r="K335" i="12861"/>
  <c r="M335" i="12861"/>
  <c r="Q218" i="12767"/>
  <c r="K219" i="12843"/>
  <c r="K231" i="12843"/>
  <c r="O532" i="12767"/>
  <c r="O544" i="12767"/>
  <c r="Q544" i="12767"/>
  <c r="K220" i="12767"/>
  <c r="K232" i="12767"/>
  <c r="K703" i="12767"/>
  <c r="M689" i="12767"/>
  <c r="S333" i="12861"/>
  <c r="M665" i="12767"/>
  <c r="K496" i="12767"/>
  <c r="K508" i="12767"/>
  <c r="M508" i="12767"/>
  <c r="U485" i="12860"/>
  <c r="M232" i="12860"/>
  <c r="M1271" i="12767"/>
  <c r="U474" i="12861"/>
  <c r="U768" i="12767"/>
  <c r="S571" i="12767"/>
  <c r="S591" i="12767"/>
  <c r="U591" i="12767"/>
  <c r="Q370" i="12860"/>
  <c r="M367" i="12860"/>
  <c r="K358" i="12860"/>
  <c r="K370" i="12860"/>
  <c r="U323" i="12861"/>
  <c r="Q369" i="12843"/>
  <c r="O405" i="12843"/>
  <c r="Q405" i="12843"/>
  <c r="Q355" i="12767"/>
  <c r="Q499" i="12843"/>
  <c r="U767" i="12843"/>
  <c r="S426" i="12860"/>
  <c r="S438" i="12860"/>
  <c r="U438" i="12860"/>
  <c r="U532" i="12767"/>
  <c r="S461" i="12860"/>
  <c r="S473" i="12860"/>
  <c r="Q438" i="12843"/>
  <c r="U217" i="12767"/>
  <c r="Q450" i="12861"/>
  <c r="K583" i="12843"/>
  <c r="Q254" i="12861"/>
  <c r="O323" i="12843"/>
  <c r="O335" i="12843"/>
  <c r="Q335" i="12843"/>
  <c r="U229" i="12860"/>
  <c r="K220" i="12860"/>
  <c r="K232" i="12860"/>
  <c r="K321" i="12767"/>
  <c r="K333" i="12767"/>
  <c r="M333" i="12767"/>
  <c r="U533" i="12860"/>
  <c r="U403" i="12767"/>
  <c r="U253" i="12767"/>
  <c r="M652" i="12767"/>
  <c r="U286" i="12860"/>
  <c r="U597" i="12861"/>
  <c r="M252" i="12767"/>
  <c r="U267" i="12861"/>
  <c r="M369" i="12861"/>
  <c r="U412" i="12767"/>
  <c r="U377" i="12767"/>
  <c r="U379" i="12767"/>
  <c r="S508" i="12767"/>
  <c r="Q475" i="12861"/>
  <c r="O627" i="12860"/>
  <c r="Q627" i="12860"/>
  <c r="Q393" i="12861"/>
  <c r="Q310" i="12767"/>
  <c r="M543" i="12860"/>
  <c r="M220" i="12767"/>
  <c r="K324" i="12843"/>
  <c r="K336" i="12843"/>
  <c r="M336" i="12843"/>
  <c r="S220" i="12843"/>
  <c r="S232" i="12843"/>
  <c r="O323" i="12861"/>
  <c r="O335" i="12861"/>
  <c r="Q335" i="12861"/>
  <c r="U556" i="12843"/>
  <c r="U554" i="12843"/>
  <c r="K543" i="12860"/>
  <c r="Q356" i="12860"/>
  <c r="Q425" i="12860"/>
  <c r="U391" i="12843"/>
  <c r="U413" i="12843"/>
  <c r="U378" i="12843"/>
  <c r="U380" i="12843"/>
  <c r="S465" i="12843"/>
  <c r="S477" i="12843"/>
  <c r="U474" i="12767"/>
  <c r="K463" i="12860"/>
  <c r="K475" i="12860"/>
  <c r="M441" i="12861"/>
  <c r="M371" i="12861"/>
  <c r="S356" i="12860"/>
  <c r="S368" i="12860"/>
  <c r="M275" i="12767"/>
  <c r="M322" i="12843"/>
  <c r="U414" i="12860"/>
  <c r="U377" i="12860"/>
  <c r="M426" i="12767"/>
  <c r="M867" i="12860"/>
  <c r="Q532" i="12860"/>
  <c r="M691" i="12861"/>
  <c r="O263" i="12860"/>
  <c r="M221" i="12861"/>
  <c r="Q254" i="12767"/>
  <c r="U520" i="12860"/>
  <c r="U518" i="12860"/>
  <c r="U483" i="12860"/>
  <c r="U428" i="12860"/>
  <c r="M544" i="12843"/>
  <c r="U693" i="12767"/>
  <c r="Q474" i="12843"/>
  <c r="K704" i="12843"/>
  <c r="M704" i="12843"/>
  <c r="O429" i="12861"/>
  <c r="O441" i="12861"/>
  <c r="Q441" i="12861"/>
  <c r="S332" i="12860"/>
  <c r="M217" i="12767"/>
  <c r="S355" i="12860"/>
  <c r="S367" i="12860"/>
  <c r="Q555" i="12860"/>
  <c r="M532" i="12860"/>
  <c r="M290" i="12861"/>
  <c r="U544" i="12843"/>
  <c r="U355" i="12860"/>
  <c r="S390" i="12860"/>
  <c r="U390" i="12860"/>
  <c r="U412" i="12860"/>
  <c r="O356" i="12843"/>
  <c r="O368" i="12843"/>
  <c r="Q287" i="12861"/>
  <c r="S322" i="12767"/>
  <c r="S334" i="12767"/>
  <c r="U334" i="12767"/>
  <c r="U394" i="12843"/>
  <c r="U359" i="12843"/>
  <c r="O393" i="12843"/>
  <c r="Q393" i="12843"/>
  <c r="Q358" i="12843"/>
  <c r="M449" i="12767"/>
  <c r="S358" i="12843"/>
  <c r="S370" i="12843"/>
  <c r="Q255" i="12861"/>
  <c r="K531" i="12860"/>
  <c r="M531" i="12860"/>
  <c r="M553" i="12860"/>
  <c r="U498" i="12843"/>
  <c r="U463" i="12843"/>
  <c r="K356" i="12860"/>
  <c r="K368" i="12860"/>
  <c r="M555" i="12767"/>
  <c r="O218" i="12860"/>
  <c r="O230" i="12860"/>
  <c r="K322" i="12860"/>
  <c r="K334" i="12860"/>
  <c r="M334" i="12860"/>
  <c r="O219" i="12860"/>
  <c r="O231" i="12860"/>
  <c r="M357" i="12861"/>
  <c r="S253" i="12843"/>
  <c r="S265" i="12843"/>
  <c r="U265" i="12843"/>
  <c r="K569" i="12861"/>
  <c r="K569" i="12843"/>
  <c r="K462" i="12843"/>
  <c r="K474" i="12843"/>
  <c r="M275" i="12860"/>
  <c r="S462" i="12860"/>
  <c r="S474" i="12860"/>
  <c r="S743" i="12860"/>
  <c r="Q518" i="12860"/>
  <c r="Q483" i="12860"/>
  <c r="Q485" i="12860"/>
  <c r="K357" i="12861"/>
  <c r="K369" i="12861"/>
  <c r="M393" i="12860"/>
  <c r="O253" i="12860"/>
  <c r="O265" i="12860"/>
  <c r="Q265" i="12860"/>
  <c r="S814" i="12843"/>
  <c r="S391" i="12843"/>
  <c r="S403" i="12843"/>
  <c r="U403" i="12843"/>
  <c r="Q345" i="12861"/>
  <c r="M520" i="12860"/>
  <c r="K333" i="12861"/>
  <c r="M253" i="12860"/>
  <c r="S427" i="12767"/>
  <c r="S439" i="12767"/>
  <c r="U439" i="12767"/>
  <c r="Q252" i="12860"/>
  <c r="O627" i="12767"/>
  <c r="Q627" i="12767"/>
  <c r="M766" i="12767"/>
  <c r="M768" i="12767"/>
  <c r="K356" i="12843"/>
  <c r="K368" i="12843"/>
  <c r="O462" i="12861"/>
  <c r="O474" i="12861"/>
  <c r="U714" i="12860"/>
  <c r="U477" i="12843"/>
  <c r="M429" i="12861"/>
  <c r="K429" i="12861"/>
  <c r="K441" i="12861"/>
  <c r="S324" i="12861"/>
  <c r="S336" i="12861"/>
  <c r="U336" i="12861"/>
  <c r="O533" i="12860"/>
  <c r="O545" i="12860"/>
  <c r="Q545" i="12860"/>
  <c r="S221" i="12861"/>
  <c r="S233" i="12861"/>
  <c r="Q370" i="12767"/>
  <c r="M391" i="12843"/>
  <c r="K391" i="12843"/>
  <c r="K403" i="12843"/>
  <c r="O511" i="12860"/>
  <c r="O193" i="12767"/>
  <c r="Q193" i="12767"/>
  <c r="K252" i="12767"/>
  <c r="K264" i="12767"/>
  <c r="M264" i="12767"/>
  <c r="U847" i="12860"/>
  <c r="U872" i="12860"/>
  <c r="U874" i="12860"/>
  <c r="O427" i="12861"/>
  <c r="O439" i="12861"/>
  <c r="Q439" i="12861"/>
  <c r="S218" i="12860"/>
  <c r="S230" i="12860"/>
  <c r="U390" i="12767"/>
  <c r="K666" i="12767"/>
  <c r="M666" i="12767"/>
  <c r="M288" i="12860"/>
  <c r="Q463" i="12861"/>
  <c r="M553" i="12767"/>
  <c r="U309" i="12861"/>
  <c r="U240" i="12861"/>
  <c r="U242" i="12861"/>
  <c r="M531" i="12767"/>
  <c r="M474" i="12860"/>
  <c r="Q873" i="12861"/>
  <c r="O322" i="12861"/>
  <c r="O334" i="12861"/>
  <c r="Q334" i="12861"/>
  <c r="S463" i="12843"/>
  <c r="S475" i="12843"/>
  <c r="K322" i="12843"/>
  <c r="K334" i="12843"/>
  <c r="M334" i="12843"/>
  <c r="O425" i="12860"/>
  <c r="O437" i="12860"/>
  <c r="Q437" i="12860"/>
  <c r="S358" i="12861"/>
  <c r="S370" i="12861"/>
  <c r="O705" i="12860"/>
  <c r="K219" i="12861"/>
  <c r="K231" i="12861"/>
  <c r="U535" i="12843"/>
  <c r="K814" i="12860"/>
  <c r="S299" i="12767"/>
  <c r="U299" i="12767"/>
  <c r="M714" i="12860"/>
  <c r="U519" i="12861"/>
  <c r="U484" i="12861"/>
  <c r="U486" i="12861"/>
  <c r="U634" i="12767"/>
  <c r="O462" i="12767"/>
  <c r="O474" i="12767"/>
  <c r="U230" i="12860"/>
  <c r="U345" i="12861"/>
  <c r="M820" i="12861"/>
  <c r="K357" i="12860"/>
  <c r="K369" i="12860"/>
  <c r="Q323" i="12860"/>
  <c r="M634" i="12767"/>
  <c r="M715" i="12843"/>
  <c r="M462" i="12860"/>
  <c r="S531" i="12860"/>
  <c r="S543" i="12860"/>
  <c r="U543" i="12860"/>
  <c r="M596" i="12860"/>
  <c r="O403" i="12767"/>
  <c r="S462" i="12861"/>
  <c r="S474" i="12861"/>
  <c r="M533" i="12843"/>
  <c r="M231" i="12843"/>
  <c r="U288" i="12767"/>
  <c r="U219" i="12767"/>
  <c r="U597" i="12843"/>
  <c r="U465" i="12861"/>
  <c r="U311" i="12843"/>
  <c r="S655" i="12767"/>
  <c r="S668" i="12767"/>
  <c r="U668" i="12767"/>
  <c r="K461" i="12767"/>
  <c r="K473" i="12767"/>
  <c r="O322" i="12843"/>
  <c r="O334" i="12843"/>
  <c r="Q334" i="12843"/>
  <c r="M500" i="12861"/>
  <c r="M465" i="12861"/>
  <c r="S509" i="12860"/>
  <c r="S462" i="12843"/>
  <c r="S474" i="12843"/>
  <c r="U255" i="12861"/>
  <c r="S255" i="12861"/>
  <c r="S267" i="12861"/>
  <c r="U219" i="12843"/>
  <c r="K533" i="12767"/>
  <c r="K545" i="12767"/>
  <c r="M545" i="12767"/>
  <c r="K544" i="12843"/>
  <c r="O287" i="12860"/>
  <c r="O299" i="12860"/>
  <c r="Q299" i="12860"/>
  <c r="S254" i="12861"/>
  <c r="S266" i="12861"/>
  <c r="U266" i="12861"/>
  <c r="Q310" i="12860"/>
  <c r="M393" i="12767"/>
  <c r="M358" i="12767"/>
  <c r="M219" i="12843"/>
  <c r="M769" i="12843"/>
  <c r="U533" i="12767"/>
  <c r="O794" i="12767"/>
  <c r="O814" i="12767"/>
  <c r="Q814" i="12767"/>
  <c r="S323" i="12767"/>
  <c r="S335" i="12767"/>
  <c r="U335" i="12767"/>
  <c r="O534" i="12860"/>
  <c r="O546" i="12860"/>
  <c r="Q546" i="12860"/>
  <c r="O358" i="12860"/>
  <c r="O370" i="12860"/>
  <c r="S533" i="12860"/>
  <c r="S545" i="12860"/>
  <c r="U545" i="12860"/>
  <c r="Q219" i="12767"/>
  <c r="K465" i="12861"/>
  <c r="K477" i="12861"/>
  <c r="S302" i="12843"/>
  <c r="U302" i="12843"/>
  <c r="U533" i="12861"/>
  <c r="K462" i="12767"/>
  <c r="K474" i="12767"/>
  <c r="K867" i="12767"/>
  <c r="S617" i="12860"/>
  <c r="M1278" i="12843"/>
  <c r="M474" i="12767"/>
  <c r="K405" i="12861"/>
  <c r="K288" i="12860"/>
  <c r="K300" i="12860"/>
  <c r="M300" i="12860"/>
  <c r="O509" i="12843"/>
  <c r="Q509" i="12843"/>
  <c r="M394" i="12843"/>
  <c r="M359" i="12843"/>
  <c r="O533" i="12861"/>
  <c r="O545" i="12861"/>
  <c r="Q545" i="12861"/>
  <c r="M534" i="12767"/>
  <c r="Q357" i="12843"/>
  <c r="M369" i="12860"/>
  <c r="K253" i="12860"/>
  <c r="K265" i="12860"/>
  <c r="M265" i="12860"/>
  <c r="U220" i="12861"/>
  <c r="U308" i="12767"/>
  <c r="U239" i="12767"/>
  <c r="U241" i="12767"/>
  <c r="Q694" i="12843"/>
  <c r="O463" i="12767"/>
  <c r="O475" i="12767"/>
  <c r="Q392" i="12843"/>
  <c r="M204" i="12860"/>
  <c r="M1271" i="12860"/>
  <c r="M230" i="12861"/>
  <c r="M499" i="12843"/>
  <c r="M464" i="12843"/>
  <c r="U289" i="12767"/>
  <c r="U220" i="12767"/>
  <c r="Q766" i="12767"/>
  <c r="Q768" i="12767"/>
  <c r="S544" i="12843"/>
  <c r="S532" i="12843"/>
  <c r="U532" i="12843"/>
  <c r="U693" i="12861"/>
  <c r="U713" i="12861"/>
  <c r="U231" i="12860"/>
  <c r="S195" i="12860"/>
  <c r="U195" i="12860"/>
  <c r="U521" i="12843"/>
  <c r="M392" i="12860"/>
  <c r="M357" i="12860"/>
  <c r="M500" i="12843"/>
  <c r="U391" i="12861"/>
  <c r="Q217" i="12860"/>
  <c r="Q287" i="12767"/>
  <c r="S437" i="12860"/>
  <c r="U437" i="12860"/>
  <c r="M299" i="12767"/>
  <c r="Q474" i="12767"/>
  <c r="O427" i="12767"/>
  <c r="O439" i="12767"/>
  <c r="Q439" i="12767"/>
  <c r="Q219" i="12860"/>
  <c r="U596" i="12767"/>
  <c r="S656" i="12861"/>
  <c r="S669" i="12861"/>
  <c r="U669" i="12861"/>
  <c r="M255" i="12843"/>
  <c r="Q308" i="12767"/>
  <c r="Q239" i="12767"/>
  <c r="Q241" i="12767"/>
  <c r="S406" i="12861"/>
  <c r="O543" i="12767"/>
  <c r="U345" i="12843"/>
  <c r="Q231" i="12861"/>
  <c r="M769" i="12861"/>
  <c r="U450" i="12843"/>
  <c r="S426" i="12767"/>
  <c r="S438" i="12767"/>
  <c r="U438" i="12767"/>
  <c r="Q597" i="12843"/>
  <c r="O533" i="12767"/>
  <c r="O545" i="12767"/>
  <c r="Q545" i="12767"/>
  <c r="M677" i="12861"/>
  <c r="K704" i="12861"/>
  <c r="M704" i="12861"/>
  <c r="S705" i="12767"/>
  <c r="U705" i="12767"/>
  <c r="S693" i="12767"/>
  <c r="S706" i="12767"/>
  <c r="U706" i="12767"/>
  <c r="M288" i="12843"/>
  <c r="Q380" i="12861"/>
  <c r="M667" i="12861"/>
  <c r="Q342" i="12860"/>
  <c r="M230" i="12860"/>
  <c r="U428" i="12843"/>
  <c r="S323" i="12860"/>
  <c r="S335" i="12860"/>
  <c r="U335" i="12860"/>
  <c r="K324" i="12861"/>
  <c r="K336" i="12861"/>
  <c r="M336" i="12861"/>
  <c r="K428" i="12861"/>
  <c r="K440" i="12861"/>
  <c r="M440" i="12861"/>
  <c r="O692" i="12767"/>
  <c r="Q692" i="12767"/>
  <c r="Q712" i="12767"/>
  <c r="O437" i="12767"/>
  <c r="K358" i="12767"/>
  <c r="K370" i="12767"/>
  <c r="Q300" i="12843"/>
  <c r="M674" i="12860"/>
  <c r="M220" i="12843"/>
  <c r="Q476" i="12767"/>
  <c r="M690" i="12767"/>
  <c r="U324" i="12843"/>
  <c r="U357" i="12843"/>
  <c r="U464" i="12861"/>
  <c r="M427" i="12843"/>
  <c r="U464" i="12860"/>
  <c r="S534" i="12767"/>
  <c r="S546" i="12767"/>
  <c r="U546" i="12767"/>
  <c r="M597" i="12843"/>
  <c r="K299" i="12767"/>
  <c r="Q668" i="12861"/>
  <c r="O692" i="12860"/>
  <c r="Q692" i="12860"/>
  <c r="Q712" i="12860"/>
  <c r="K218" i="12860"/>
  <c r="K230" i="12860"/>
  <c r="S193" i="12860"/>
  <c r="U193" i="12860"/>
  <c r="M677" i="12843"/>
  <c r="S463" i="12860"/>
  <c r="S475" i="12860"/>
  <c r="K217" i="12767"/>
  <c r="K229" i="12767"/>
  <c r="U367" i="12767"/>
  <c r="S627" i="12767"/>
  <c r="U627" i="12767"/>
  <c r="K321" i="12860"/>
  <c r="K333" i="12860"/>
  <c r="M333" i="12860"/>
  <c r="Q233" i="12861"/>
  <c r="K867" i="12860"/>
  <c r="M519" i="12861"/>
  <c r="M484" i="12861"/>
  <c r="M486" i="12861"/>
  <c r="Q320" i="12860"/>
  <c r="U299" i="12860"/>
  <c r="M511" i="12861"/>
  <c r="U321" i="12860"/>
  <c r="S321" i="12860"/>
  <c r="S333" i="12860"/>
  <c r="Q571" i="12843"/>
  <c r="Q595" i="12843"/>
  <c r="U286" i="12767"/>
  <c r="K652" i="12767"/>
  <c r="K665" i="12767"/>
  <c r="Q874" i="12860"/>
  <c r="K500" i="12861"/>
  <c r="K512" i="12861"/>
  <c r="M512" i="12861"/>
  <c r="O392" i="12843"/>
  <c r="O404" i="12843"/>
  <c r="Q404" i="12843"/>
  <c r="S288" i="12767"/>
  <c r="S300" i="12767"/>
  <c r="U300" i="12767"/>
  <c r="K582" i="12767"/>
  <c r="K589" i="12767"/>
  <c r="M589" i="12767"/>
  <c r="Q474" i="12861"/>
  <c r="Q535" i="12843"/>
  <c r="Q462" i="12861"/>
  <c r="M509" i="12767"/>
  <c r="M301" i="12861"/>
  <c r="M232" i="12861"/>
  <c r="Q1277" i="12861"/>
  <c r="U218" i="12843"/>
  <c r="S496" i="12767"/>
  <c r="U496" i="12767"/>
  <c r="U518" i="12767"/>
  <c r="U483" i="12767"/>
  <c r="U485" i="12767"/>
  <c r="M254" i="12767"/>
  <c r="U556" i="12861"/>
  <c r="K426" i="12861"/>
  <c r="M426" i="12861"/>
  <c r="M448" i="12861"/>
  <c r="U766" i="12767"/>
  <c r="U741" i="12843"/>
  <c r="M497" i="12843"/>
  <c r="M519" i="12843"/>
  <c r="M484" i="12843"/>
  <c r="M486" i="12843"/>
  <c r="S534" i="12843"/>
  <c r="S546" i="12843"/>
  <c r="U546" i="12843"/>
  <c r="Q448" i="12843"/>
  <c r="Q450" i="12843"/>
  <c r="S655" i="12860"/>
  <c r="S668" i="12860"/>
  <c r="U668" i="12860"/>
  <c r="K403" i="12860"/>
  <c r="M403" i="12860"/>
  <c r="M310" i="12860"/>
  <c r="K286" i="12860"/>
  <c r="M286" i="12860"/>
  <c r="M308" i="12860"/>
  <c r="M239" i="12860"/>
  <c r="S290" i="12843"/>
  <c r="U290" i="12843"/>
  <c r="U221" i="12843"/>
  <c r="M636" i="12860"/>
  <c r="Q232" i="12767"/>
  <c r="U264" i="12861"/>
  <c r="S333" i="12843"/>
  <c r="Q392" i="12860"/>
  <c r="Q357" i="12860"/>
  <c r="U288" i="12843"/>
  <c r="O320" i="12860"/>
  <c r="O332" i="12860"/>
  <c r="Q332" i="12860"/>
  <c r="S322" i="12860"/>
  <c r="S334" i="12860"/>
  <c r="U334" i="12860"/>
  <c r="O357" i="12861"/>
  <c r="O369" i="12861"/>
  <c r="K391" i="12767"/>
  <c r="K403" i="12767"/>
  <c r="M403" i="12767"/>
  <c r="O499" i="12860"/>
  <c r="Q499" i="12860"/>
  <c r="Q464" i="12860"/>
  <c r="M626" i="12860"/>
  <c r="U218" i="12860"/>
  <c r="M818" i="12861"/>
  <c r="S428" i="12843"/>
  <c r="S440" i="12843"/>
  <c r="U440" i="12843"/>
  <c r="U594" i="12767"/>
  <c r="U287" i="12860"/>
  <c r="S287" i="12860"/>
  <c r="S299" i="12860"/>
  <c r="M651" i="12860"/>
  <c r="K652" i="12860"/>
  <c r="O359" i="12843"/>
  <c r="O371" i="12843"/>
  <c r="U427" i="12861"/>
  <c r="O219" i="12843"/>
  <c r="O231" i="12843"/>
  <c r="Q287" i="12843"/>
  <c r="Q309" i="12843"/>
  <c r="Q240" i="12843"/>
  <c r="Q242" i="12843"/>
  <c r="M287" i="12860"/>
  <c r="M218" i="12860"/>
  <c r="Q820" i="12843"/>
  <c r="S510" i="12861"/>
  <c r="U510" i="12861"/>
  <c r="O499" i="12843"/>
  <c r="O511" i="12843"/>
  <c r="Q511" i="12843"/>
  <c r="Q476" i="12843"/>
  <c r="K626" i="12767"/>
  <c r="M626" i="12767"/>
  <c r="Q275" i="12860"/>
  <c r="Q321" i="12767"/>
  <c r="K323" i="12843"/>
  <c r="K335" i="12843"/>
  <c r="M335" i="12843"/>
  <c r="U499" i="12767"/>
  <c r="Q253" i="12861"/>
  <c r="O463" i="12861"/>
  <c r="O475" i="12861"/>
  <c r="S253" i="12767"/>
  <c r="S265" i="12767"/>
  <c r="U265" i="12767"/>
  <c r="M741" i="12843"/>
  <c r="M767" i="12843"/>
  <c r="S286" i="12860"/>
  <c r="S298" i="12860"/>
  <c r="U298" i="12860"/>
  <c r="S403" i="12767"/>
  <c r="S391" i="12767"/>
  <c r="U391" i="12767"/>
  <c r="U232" i="12843"/>
  <c r="S866" i="12843"/>
  <c r="K511" i="12767"/>
  <c r="M511" i="12767"/>
  <c r="U613" i="12767"/>
  <c r="S613" i="12767"/>
  <c r="S614" i="12861"/>
  <c r="S694" i="12861"/>
  <c r="S707" i="12861"/>
  <c r="U707" i="12861"/>
  <c r="O667" i="12860"/>
  <c r="U499" i="12843"/>
  <c r="U464" i="12843"/>
  <c r="M866" i="12843"/>
  <c r="O428" i="12861"/>
  <c r="O440" i="12861"/>
  <c r="Q440" i="12861"/>
  <c r="U667" i="12860"/>
  <c r="S438" i="12861"/>
  <c r="K534" i="12767"/>
  <c r="K546" i="12767"/>
  <c r="M546" i="12767"/>
  <c r="U273" i="12860"/>
  <c r="U275" i="12860"/>
  <c r="O706" i="12861"/>
  <c r="Q706" i="12861"/>
  <c r="M715" i="12861"/>
  <c r="Q676" i="12767"/>
  <c r="O255" i="12861"/>
  <c r="O267" i="12861"/>
  <c r="Q267" i="12861"/>
  <c r="U333" i="12767"/>
  <c r="K394" i="12843"/>
  <c r="K406" i="12843"/>
  <c r="M406" i="12843"/>
  <c r="S464" i="12861"/>
  <c r="S476" i="12861"/>
  <c r="M427" i="12861"/>
  <c r="K321" i="12861"/>
  <c r="M321" i="12861"/>
  <c r="M343" i="12861"/>
  <c r="M345" i="12861"/>
  <c r="K464" i="12860"/>
  <c r="K476" i="12860"/>
  <c r="M795" i="12861"/>
  <c r="O217" i="12767"/>
  <c r="O229" i="12767"/>
  <c r="S463" i="12767"/>
  <c r="S475" i="12767"/>
  <c r="U230" i="12843"/>
  <c r="M532" i="12767"/>
  <c r="M370" i="12860"/>
  <c r="S693" i="12861"/>
  <c r="S706" i="12861"/>
  <c r="U706" i="12861"/>
  <c r="U693" i="12860"/>
  <c r="K218" i="12767"/>
  <c r="K230" i="12767"/>
  <c r="M476" i="12860"/>
  <c r="S743" i="12767"/>
  <c r="Q1275" i="12843"/>
  <c r="K264" i="12843"/>
  <c r="M287" i="12843"/>
  <c r="M653" i="12861"/>
  <c r="K653" i="12861"/>
  <c r="K667" i="12861"/>
  <c r="Q594" i="12767"/>
  <c r="Q596" i="12767"/>
  <c r="S255" i="12843"/>
  <c r="S267" i="12843"/>
  <c r="U267" i="12843"/>
  <c r="S219" i="12861"/>
  <c r="S231" i="12861"/>
  <c r="S220" i="12860"/>
  <c r="S232" i="12860"/>
  <c r="M511" i="12860"/>
  <c r="Q289" i="12767"/>
  <c r="O544" i="12861"/>
  <c r="M286" i="12767"/>
  <c r="M308" i="12767"/>
  <c r="M239" i="12767"/>
  <c r="M241" i="12767"/>
  <c r="M461" i="12860"/>
  <c r="U497" i="12861"/>
  <c r="Q378" i="12861"/>
  <c r="Q413" i="12861"/>
  <c r="Q415" i="12861"/>
  <c r="U251" i="12860"/>
  <c r="K402" i="12860"/>
  <c r="M402" i="12860"/>
  <c r="M334" i="12767"/>
  <c r="O500" i="12861"/>
  <c r="O512" i="12861"/>
  <c r="Q512" i="12861"/>
  <c r="Q477" i="12861"/>
  <c r="Q231" i="12860"/>
  <c r="K287" i="12767"/>
  <c r="M287" i="12767"/>
  <c r="M218" i="12767"/>
  <c r="Q264" i="12843"/>
  <c r="K535" i="12843"/>
  <c r="K547" i="12843"/>
  <c r="M547" i="12843"/>
  <c r="S321" i="12861"/>
  <c r="U321" i="12861"/>
  <c r="U343" i="12861"/>
  <c r="Q820" i="12861"/>
  <c r="U301" i="12843"/>
  <c r="S287" i="12767"/>
  <c r="U287" i="12767"/>
  <c r="U218" i="12767"/>
  <c r="Q556" i="12861"/>
  <c r="U449" i="12860"/>
  <c r="M449" i="12860"/>
  <c r="M497" i="12860"/>
  <c r="K429" i="12843"/>
  <c r="K441" i="12843"/>
  <c r="M441" i="12843"/>
  <c r="Q477" i="12843"/>
  <c r="K323" i="12860"/>
  <c r="K335" i="12860"/>
  <c r="M335" i="12860"/>
  <c r="Q220" i="12861"/>
  <c r="Q413" i="12843"/>
  <c r="Q378" i="12843"/>
  <c r="Q380" i="12843"/>
  <c r="S391" i="12860"/>
  <c r="S403" i="12860"/>
  <c r="U403" i="12860"/>
  <c r="S498" i="12843"/>
  <c r="S510" i="12843"/>
  <c r="U510" i="12843"/>
  <c r="U475" i="12843"/>
  <c r="K464" i="12843"/>
  <c r="K476" i="12843"/>
  <c r="K532" i="12843"/>
  <c r="M532" i="12843"/>
  <c r="M554" i="12843"/>
  <c r="Q509" i="12767"/>
  <c r="S532" i="12861"/>
  <c r="U532" i="12861"/>
  <c r="U554" i="12861"/>
  <c r="Q1271" i="12860"/>
  <c r="Q371" i="12843"/>
  <c r="K689" i="12767"/>
  <c r="K690" i="12767"/>
  <c r="K704" i="12767"/>
  <c r="M704" i="12767"/>
  <c r="S534" i="12860"/>
  <c r="S546" i="12860"/>
  <c r="U546" i="12860"/>
  <c r="O591" i="12860"/>
  <c r="Q591" i="12860"/>
  <c r="Q874" i="12767"/>
  <c r="K263" i="12767"/>
  <c r="K287" i="12843"/>
  <c r="K299" i="12843"/>
  <c r="M299" i="12843"/>
  <c r="M288" i="12861"/>
  <c r="Q555" i="12767"/>
  <c r="O656" i="12843"/>
  <c r="O669" i="12843"/>
  <c r="Q669" i="12843"/>
  <c r="U1274" i="12767"/>
  <c r="S393" i="12843"/>
  <c r="U393" i="12843"/>
  <c r="U358" i="12843"/>
  <c r="Q370" i="12861"/>
  <c r="U462" i="12843"/>
  <c r="M447" i="12860"/>
  <c r="O814" i="12861"/>
  <c r="S509" i="12767"/>
  <c r="U509" i="12767"/>
  <c r="K426" i="12767"/>
  <c r="K438" i="12767"/>
  <c r="M438" i="12767"/>
  <c r="K390" i="12860"/>
  <c r="M390" i="12860"/>
  <c r="M412" i="12860"/>
  <c r="M377" i="12860"/>
  <c r="M379" i="12860"/>
  <c r="O253" i="12767"/>
  <c r="O265" i="12767"/>
  <c r="Q265" i="12767"/>
  <c r="S462" i="12767"/>
  <c r="S474" i="12767"/>
  <c r="Q369" i="12861"/>
  <c r="M871" i="12843"/>
  <c r="M873" i="12843"/>
  <c r="Q509" i="12861"/>
  <c r="O221" i="12861"/>
  <c r="O233" i="12861"/>
  <c r="K323" i="12767"/>
  <c r="K335" i="12767"/>
  <c r="M335" i="12767"/>
  <c r="M359" i="12861"/>
  <c r="O438" i="12843"/>
  <c r="O426" i="12843"/>
  <c r="Q426" i="12843"/>
  <c r="O543" i="12860"/>
  <c r="U715" i="12843"/>
  <c r="Q324" i="12843"/>
  <c r="Q230" i="12861"/>
  <c r="S264" i="12861"/>
  <c r="S252" i="12861"/>
  <c r="U252" i="12861"/>
  <c r="O465" i="12861"/>
  <c r="O477" i="12861"/>
  <c r="Q274" i="12843"/>
  <c r="O264" i="12861"/>
  <c r="K461" i="12860"/>
  <c r="K473" i="12860"/>
  <c r="Q406" i="12861"/>
  <c r="O324" i="12861"/>
  <c r="O336" i="12861"/>
  <c r="Q336" i="12861"/>
  <c r="S427" i="12860"/>
  <c r="S439" i="12860"/>
  <c r="U439" i="12860"/>
  <c r="U571" i="12860"/>
  <c r="O654" i="12860"/>
  <c r="Q654" i="12860"/>
  <c r="Q674" i="12860"/>
  <c r="K392" i="12860"/>
  <c r="K404" i="12860"/>
  <c r="M404" i="12860"/>
  <c r="U769" i="12861"/>
  <c r="O355" i="12767"/>
  <c r="O367" i="12767"/>
  <c r="U474" i="12843"/>
  <c r="S194" i="12860"/>
  <c r="U194" i="12860"/>
  <c r="M675" i="12843"/>
  <c r="K534" i="12843"/>
  <c r="K546" i="12843"/>
  <c r="M546" i="12843"/>
  <c r="O535" i="12861"/>
  <c r="O547" i="12861"/>
  <c r="Q547" i="12861"/>
  <c r="M276" i="12843"/>
  <c r="Q462" i="12843"/>
  <c r="S693" i="12860"/>
  <c r="S706" i="12860"/>
  <c r="U706" i="12860"/>
  <c r="U706" i="12843"/>
  <c r="U342" i="12767"/>
  <c r="O219" i="12767"/>
  <c r="O231" i="12767"/>
  <c r="S428" i="12860"/>
  <c r="S440" i="12860"/>
  <c r="U440" i="12860"/>
  <c r="Q475" i="12843"/>
  <c r="U712" i="12860"/>
  <c r="U766" i="12860"/>
  <c r="O332" i="12767"/>
  <c r="O321" i="12767"/>
  <c r="O333" i="12767"/>
  <c r="Q333" i="12767"/>
  <c r="Q368" i="12861"/>
  <c r="U369" i="12860"/>
  <c r="K301" i="12861"/>
  <c r="K254" i="12861"/>
  <c r="K266" i="12861"/>
  <c r="M266" i="12861"/>
  <c r="U332" i="12767"/>
  <c r="Q369" i="12767"/>
  <c r="K254" i="12767"/>
  <c r="K266" i="12767"/>
  <c r="M266" i="12767"/>
  <c r="M392" i="12843"/>
  <c r="M334" i="12861"/>
  <c r="K511" i="12861"/>
  <c r="Q636" i="12767"/>
  <c r="K251" i="12767"/>
  <c r="M251" i="12767"/>
  <c r="M273" i="12767"/>
  <c r="Q300" i="12861"/>
  <c r="S252" i="12767"/>
  <c r="S264" i="12767"/>
  <c r="U264" i="12767"/>
  <c r="Q741" i="12843"/>
  <c r="Q767" i="12843"/>
  <c r="Q769" i="12843"/>
  <c r="M393" i="12843"/>
  <c r="U476" i="12843"/>
  <c r="S497" i="12767"/>
  <c r="U497" i="12767"/>
  <c r="U462" i="12767"/>
  <c r="Q667" i="12767"/>
  <c r="K358" i="12843"/>
  <c r="K370" i="12843"/>
  <c r="Q498" i="12861"/>
  <c r="U510" i="12767"/>
  <c r="U475" i="12767"/>
  <c r="S405" i="12861"/>
  <c r="U405" i="12861"/>
  <c r="S390" i="12767"/>
  <c r="S402" i="12767"/>
  <c r="U402" i="12767"/>
  <c r="Q847" i="12767"/>
  <c r="Q872" i="12767"/>
  <c r="M497" i="12861"/>
  <c r="O391" i="12767"/>
  <c r="Q391" i="12767"/>
  <c r="Q356" i="12767"/>
  <c r="U519" i="12843"/>
  <c r="U484" i="12843"/>
  <c r="U486" i="12843"/>
  <c r="O668" i="12861"/>
  <c r="Q473" i="12860"/>
  <c r="S324" i="12843"/>
  <c r="S336" i="12843"/>
  <c r="U336" i="12843"/>
  <c r="O220" i="12767"/>
  <c r="O232" i="12767"/>
  <c r="K532" i="12860"/>
  <c r="K544" i="12860"/>
  <c r="M544" i="12860"/>
  <c r="U499" i="12860"/>
  <c r="Q300" i="12860"/>
  <c r="U438" i="12843"/>
  <c r="K393" i="12861"/>
  <c r="M393" i="12861"/>
  <c r="M358" i="12861"/>
  <c r="M846" i="12843"/>
  <c r="K846" i="12843"/>
  <c r="K866" i="12843"/>
  <c r="U814" i="12861"/>
  <c r="Q519" i="12861"/>
  <c r="Q484" i="12861"/>
  <c r="Q486" i="12861"/>
  <c r="K509" i="12767"/>
  <c r="Q219" i="12843"/>
  <c r="S795" i="12843"/>
  <c r="U795" i="12843"/>
  <c r="U818" i="12843"/>
  <c r="Q414" i="12767"/>
  <c r="K254" i="12843"/>
  <c r="K266" i="12843"/>
  <c r="M266" i="12843"/>
  <c r="O289" i="12767"/>
  <c r="O301" i="12767"/>
  <c r="Q301" i="12767"/>
  <c r="Q323" i="12767"/>
  <c r="K582" i="12860"/>
  <c r="K589" i="12860"/>
  <c r="M589" i="12860"/>
  <c r="K334" i="12767"/>
  <c r="K322" i="12767"/>
  <c r="M322" i="12767"/>
  <c r="S301" i="12843"/>
  <c r="K499" i="12767"/>
  <c r="M499" i="12767"/>
  <c r="M464" i="12767"/>
  <c r="S426" i="12861"/>
  <c r="U426" i="12861"/>
  <c r="U448" i="12861"/>
  <c r="O263" i="12767"/>
  <c r="K425" i="12767"/>
  <c r="M425" i="12767"/>
  <c r="M447" i="12767"/>
  <c r="O356" i="12861"/>
  <c r="O368" i="12861"/>
  <c r="Q288" i="12767"/>
  <c r="Q511" i="12767"/>
  <c r="O532" i="12860"/>
  <c r="O544" i="12860"/>
  <c r="Q544" i="12860"/>
  <c r="O534" i="12843"/>
  <c r="O546" i="12843"/>
  <c r="Q546" i="12843"/>
  <c r="M425" i="12860"/>
  <c r="S358" i="12860"/>
  <c r="S370" i="12860"/>
  <c r="O847" i="12767"/>
  <c r="O867" i="12767"/>
  <c r="Q867" i="12767"/>
  <c r="K651" i="12767"/>
  <c r="M651" i="12767"/>
  <c r="M674" i="12767"/>
  <c r="O254" i="12767"/>
  <c r="O266" i="12767"/>
  <c r="Q266" i="12767"/>
  <c r="O570" i="12767"/>
  <c r="Q570" i="12767"/>
  <c r="Q571" i="12861"/>
  <c r="Q595" i="12861"/>
  <c r="Q597" i="12861"/>
  <c r="K544" i="12861"/>
  <c r="M544" i="12861"/>
  <c r="Q286" i="12767"/>
  <c r="Q498" i="12767"/>
  <c r="O498" i="12860"/>
  <c r="O510" i="12860"/>
  <c r="Q510" i="12860"/>
  <c r="Q475" i="12860"/>
  <c r="O693" i="12767"/>
  <c r="O706" i="12767"/>
  <c r="Q706" i="12767"/>
  <c r="M345" i="12843"/>
  <c r="Q677" i="12861"/>
  <c r="S217" i="12860"/>
  <c r="S229" i="12860"/>
  <c r="Q449" i="12767"/>
  <c r="M320" i="12767"/>
  <c r="M342" i="12767"/>
  <c r="M344" i="12767"/>
  <c r="O253" i="12861"/>
  <c r="O265" i="12861"/>
  <c r="Q265" i="12861"/>
  <c r="U500" i="12861"/>
  <c r="U496" i="12860"/>
  <c r="U498" i="12767"/>
  <c r="S498" i="12767"/>
  <c r="S510" i="12767"/>
  <c r="K511" i="12860"/>
  <c r="S533" i="12767"/>
  <c r="S545" i="12767"/>
  <c r="U545" i="12767"/>
  <c r="O221" i="12843"/>
  <c r="O233" i="12843"/>
  <c r="M289" i="12767"/>
  <c r="S322" i="12843"/>
  <c r="S334" i="12843"/>
  <c r="U334" i="12843"/>
  <c r="K497" i="12861"/>
  <c r="K509" i="12861"/>
  <c r="M509" i="12861"/>
  <c r="M392" i="12861"/>
  <c r="O706" i="12843"/>
  <c r="U571" i="12843"/>
  <c r="U595" i="12843"/>
  <c r="M288" i="12767"/>
  <c r="M219" i="12767"/>
  <c r="Q289" i="12861"/>
  <c r="O427" i="12860"/>
  <c r="O439" i="12860"/>
  <c r="Q439" i="12860"/>
  <c r="S194" i="12767"/>
  <c r="U194" i="12767"/>
  <c r="O252" i="12860"/>
  <c r="O264" i="12860"/>
  <c r="Q264" i="12860"/>
  <c r="O584" i="12767"/>
  <c r="Q584" i="12767"/>
  <c r="Q403" i="12843"/>
  <c r="Q368" i="12843"/>
  <c r="U1271" i="12767"/>
  <c r="M463" i="12843"/>
  <c r="M394" i="12861"/>
  <c r="U392" i="12843"/>
  <c r="K438" i="12843"/>
  <c r="M438" i="12843"/>
  <c r="S438" i="12843"/>
  <c r="S355" i="12767"/>
  <c r="S367" i="12767"/>
  <c r="K568" i="12860"/>
  <c r="M568" i="12860"/>
  <c r="M594" i="12860"/>
  <c r="Q412" i="12767"/>
  <c r="Q377" i="12767"/>
  <c r="Q379" i="12767"/>
  <c r="S510" i="12860"/>
  <c r="S405" i="12767"/>
  <c r="U405" i="12767"/>
  <c r="S847" i="12860"/>
  <c r="S867" i="12860"/>
  <c r="U867" i="12860"/>
  <c r="U636" i="12860"/>
  <c r="U205" i="12843"/>
  <c r="Q391" i="12861"/>
  <c r="Q390" i="12767"/>
  <c r="U873" i="12861"/>
  <c r="M357" i="12767"/>
  <c r="O462" i="12860"/>
  <c r="O474" i="12860"/>
  <c r="O509" i="12767"/>
  <c r="O322" i="12860"/>
  <c r="O334" i="12860"/>
  <c r="Q334" i="12860"/>
  <c r="O220" i="12860"/>
  <c r="O232" i="12860"/>
  <c r="U437" i="12767"/>
  <c r="M498" i="12860"/>
  <c r="O498" i="12861"/>
  <c r="O510" i="12861"/>
  <c r="Q510" i="12861"/>
  <c r="U499" i="12861"/>
  <c r="K425" i="12860"/>
  <c r="K437" i="12860"/>
  <c r="M437" i="12860"/>
  <c r="Q496" i="12860"/>
  <c r="Q497" i="12860"/>
  <c r="O628" i="12767"/>
  <c r="Q628" i="12767"/>
  <c r="Q426" i="12860"/>
  <c r="O254" i="12843"/>
  <c r="O266" i="12843"/>
  <c r="Q266" i="12843"/>
  <c r="U357" i="12767"/>
  <c r="K287" i="12860"/>
  <c r="K299" i="12860"/>
  <c r="M299" i="12860"/>
  <c r="O535" i="12843"/>
  <c r="O547" i="12843"/>
  <c r="Q547" i="12843"/>
  <c r="Q675" i="12843"/>
  <c r="O693" i="12860"/>
  <c r="O706" i="12860"/>
  <c r="Q706" i="12860"/>
  <c r="O614" i="12843"/>
  <c r="O694" i="12843"/>
  <c r="O707" i="12843"/>
  <c r="Q707" i="12843"/>
  <c r="Q231" i="12767"/>
  <c r="Q498" i="12843"/>
  <c r="O464" i="12843"/>
  <c r="O476" i="12843"/>
  <c r="O425" i="12767"/>
  <c r="Q425" i="12767"/>
  <c r="Q447" i="12767"/>
  <c r="K651" i="12860"/>
  <c r="K665" i="12860"/>
  <c r="M665" i="12860"/>
  <c r="M202" i="12860"/>
  <c r="K666" i="12861"/>
  <c r="M666" i="12861"/>
  <c r="M265" i="12767"/>
  <c r="Q333" i="12861"/>
  <c r="Q635" i="12861"/>
  <c r="Q358" i="12860"/>
  <c r="O358" i="12861"/>
  <c r="O370" i="12861"/>
  <c r="S392" i="12843"/>
  <c r="S404" i="12843"/>
  <c r="U404" i="12843"/>
  <c r="K357" i="12767"/>
  <c r="K369" i="12767"/>
  <c r="U1274" i="12860"/>
  <c r="Q289" i="12843"/>
  <c r="O254" i="12860"/>
  <c r="O266" i="12860"/>
  <c r="Q266" i="12860"/>
  <c r="K288" i="12767"/>
  <c r="K300" i="12767"/>
  <c r="M300" i="12767"/>
  <c r="K356" i="12861"/>
  <c r="K368" i="12861"/>
  <c r="K462" i="12860"/>
  <c r="K474" i="12860"/>
  <c r="U473" i="12860"/>
  <c r="O462" i="12843"/>
  <c r="O474" i="12843"/>
  <c r="K289" i="12860"/>
  <c r="K301" i="12860"/>
  <c r="M301" i="12860"/>
  <c r="M263" i="12860"/>
  <c r="U289" i="12860"/>
  <c r="U220" i="12860"/>
  <c r="Q871" i="12843"/>
  <c r="Q846" i="12843"/>
  <c r="U288" i="12860"/>
  <c r="U219" i="12860"/>
  <c r="S667" i="12767"/>
  <c r="U667" i="12767"/>
  <c r="K426" i="12860"/>
  <c r="K438" i="12860"/>
  <c r="M438" i="12860"/>
  <c r="S220" i="12861"/>
  <c r="S232" i="12861"/>
  <c r="Q426" i="12861"/>
  <c r="Q448" i="12861"/>
  <c r="O655" i="12767"/>
  <c r="O668" i="12767"/>
  <c r="Q668" i="12767"/>
  <c r="S428" i="12767"/>
  <c r="S440" i="12767"/>
  <c r="U440" i="12767"/>
  <c r="O693" i="12861"/>
  <c r="Q693" i="12861"/>
  <c r="Q713" i="12861"/>
  <c r="M322" i="12861"/>
  <c r="K322" i="12861"/>
  <c r="K334" i="12861"/>
  <c r="K795" i="12861"/>
  <c r="K814" i="12861"/>
  <c r="M814" i="12861"/>
  <c r="U429" i="12843"/>
  <c r="K463" i="12767"/>
  <c r="K475" i="12767"/>
  <c r="S195" i="12767"/>
  <c r="U195" i="12767"/>
  <c r="O866" i="12861"/>
  <c r="Q866" i="12861"/>
  <c r="O846" i="12861"/>
  <c r="Q846" i="12861"/>
  <c r="Q871" i="12861"/>
  <c r="M634" i="12860"/>
  <c r="S356" i="12767"/>
  <c r="S368" i="12767"/>
  <c r="K333" i="12843"/>
  <c r="M333" i="12843"/>
  <c r="Q391" i="12860"/>
  <c r="M232" i="12767"/>
  <c r="O287" i="12843"/>
  <c r="O299" i="12843"/>
  <c r="Q299" i="12843"/>
  <c r="Q230" i="12843"/>
  <c r="S668" i="12861"/>
  <c r="U668" i="12861"/>
  <c r="K320" i="12767"/>
  <c r="K332" i="12767"/>
  <c r="M332" i="12767"/>
  <c r="M233" i="12843"/>
  <c r="M475" i="12767"/>
  <c r="M594" i="12767"/>
  <c r="M596" i="12767"/>
  <c r="O406" i="12861"/>
  <c r="M741" i="12861"/>
  <c r="M767" i="12861"/>
  <c r="S320" i="12860"/>
  <c r="U320" i="12860"/>
  <c r="U342" i="12860"/>
  <c r="U344" i="12860"/>
  <c r="K499" i="12861"/>
  <c r="M499" i="12861"/>
  <c r="M464" i="12861"/>
  <c r="M229" i="12767"/>
  <c r="Q655" i="12843"/>
  <c r="U1277" i="12861"/>
  <c r="U1280" i="12861"/>
  <c r="Q405" i="12860"/>
  <c r="O402" i="12860"/>
  <c r="K288" i="12843"/>
  <c r="K300" i="12843"/>
  <c r="M300" i="12843"/>
  <c r="O667" i="12767"/>
  <c r="U476" i="12861"/>
  <c r="U676" i="12767"/>
  <c r="O465" i="12843"/>
  <c r="O477" i="12843"/>
  <c r="U509" i="12843"/>
  <c r="S509" i="12843"/>
  <c r="S497" i="12843"/>
  <c r="U497" i="12843"/>
  <c r="K847" i="12767"/>
  <c r="M847" i="12767"/>
  <c r="M872" i="12767"/>
  <c r="K394" i="12861"/>
  <c r="K406" i="12861"/>
  <c r="M406" i="12861"/>
  <c r="M370" i="12767"/>
  <c r="O614" i="12861"/>
  <c r="O656" i="12861"/>
  <c r="O669" i="12861"/>
  <c r="Q669" i="12861"/>
  <c r="M610" i="12861"/>
  <c r="M635" i="12861"/>
  <c r="M637" i="12861"/>
  <c r="O426" i="12861"/>
  <c r="O438" i="12861"/>
  <c r="Q438" i="12861"/>
  <c r="S464" i="12843"/>
  <c r="S476" i="12843"/>
  <c r="O403" i="12843"/>
  <c r="O391" i="12843"/>
  <c r="Q391" i="12843"/>
  <c r="M652" i="12843"/>
  <c r="K359" i="12843"/>
  <c r="K371" i="12843"/>
  <c r="K391" i="12860"/>
  <c r="M391" i="12860"/>
  <c r="M356" i="12860"/>
  <c r="Q392" i="12767"/>
  <c r="Q357" i="12767"/>
  <c r="S251" i="12860"/>
  <c r="S263" i="12860"/>
  <c r="U263" i="12860"/>
  <c r="O498" i="12843"/>
  <c r="O510" i="12843"/>
  <c r="Q510" i="12843"/>
  <c r="S289" i="12860"/>
  <c r="S301" i="12860"/>
  <c r="U301" i="12860"/>
  <c r="K497" i="12767"/>
  <c r="M497" i="12767"/>
  <c r="M462" i="12767"/>
  <c r="S323" i="12861"/>
  <c r="S335" i="12861"/>
  <c r="U335" i="12861"/>
  <c r="O405" i="12860"/>
  <c r="O393" i="12860"/>
  <c r="Q393" i="12860"/>
  <c r="O323" i="12860"/>
  <c r="O335" i="12860"/>
  <c r="Q335" i="12860"/>
  <c r="K252" i="12861"/>
  <c r="M252" i="12861"/>
  <c r="M274" i="12861"/>
  <c r="U320" i="12767"/>
  <c r="S320" i="12767"/>
  <c r="S332" i="12767"/>
  <c r="S299" i="12843"/>
  <c r="U299" i="12843"/>
  <c r="O613" i="12861"/>
  <c r="O655" i="12861"/>
  <c r="Q655" i="12861"/>
  <c r="Q675" i="12861"/>
  <c r="U392" i="12767"/>
  <c r="K498" i="12860"/>
  <c r="K510" i="12860"/>
  <c r="M510" i="12860"/>
  <c r="M475" i="12860"/>
  <c r="K427" i="12860"/>
  <c r="K439" i="12860"/>
  <c r="M439" i="12860"/>
  <c r="O300" i="12861"/>
  <c r="O741" i="12861"/>
  <c r="O795" i="12861"/>
  <c r="Q795" i="12861"/>
  <c r="Q818" i="12861"/>
  <c r="Q286" i="12860"/>
  <c r="Q308" i="12860"/>
  <c r="Q239" i="12860"/>
  <c r="Q241" i="12860"/>
  <c r="O356" i="12860"/>
  <c r="O368" i="12860"/>
  <c r="U814" i="12767"/>
  <c r="S221" i="12843"/>
  <c r="S233" i="12843"/>
  <c r="S253" i="12861"/>
  <c r="S265" i="12861"/>
  <c r="U265" i="12861"/>
  <c r="S357" i="12843"/>
  <c r="S369" i="12843"/>
  <c r="S429" i="12843"/>
  <c r="S441" i="12843"/>
  <c r="U441" i="12843"/>
  <c r="O498" i="12767"/>
  <c r="O510" i="12767"/>
  <c r="Q510" i="12767"/>
  <c r="S333" i="12767"/>
  <c r="S321" i="12767"/>
  <c r="U321" i="12767"/>
  <c r="U203" i="12843"/>
  <c r="S428" i="12861"/>
  <c r="S440" i="12861"/>
  <c r="U440" i="12861"/>
  <c r="Q464" i="12861"/>
  <c r="K218" i="12843"/>
  <c r="K230" i="12843"/>
  <c r="O264" i="12843"/>
  <c r="O252" i="12843"/>
  <c r="Q252" i="12843"/>
  <c r="S425" i="12860"/>
  <c r="U425" i="12860"/>
  <c r="U447" i="12860"/>
  <c r="M874" i="12860"/>
  <c r="S497" i="12861"/>
  <c r="S509" i="12861"/>
  <c r="U509" i="12861"/>
  <c r="Q594" i="12860"/>
  <c r="O511" i="12767"/>
  <c r="Q533" i="12843"/>
  <c r="U322" i="12861"/>
  <c r="M369" i="12843"/>
  <c r="K689" i="12860"/>
  <c r="M689" i="12860"/>
  <c r="M712" i="12860"/>
  <c r="M496" i="12860"/>
  <c r="M518" i="12860"/>
  <c r="M483" i="12860"/>
  <c r="M485" i="12860"/>
  <c r="K814" i="12843"/>
  <c r="O426" i="12860"/>
  <c r="O438" i="12860"/>
  <c r="Q438" i="12860"/>
  <c r="Q276" i="12861"/>
  <c r="S627" i="12860"/>
  <c r="U627" i="12860"/>
  <c r="Q394" i="12843"/>
  <c r="Q359" i="12843"/>
  <c r="O497" i="12860"/>
  <c r="O509" i="12860"/>
  <c r="Q509" i="12860"/>
  <c r="U634" i="12860"/>
  <c r="K690" i="12843"/>
  <c r="M690" i="12843"/>
  <c r="M713" i="12843"/>
  <c r="Q546" i="12861"/>
  <c r="O220" i="12861"/>
  <c r="O232" i="12861"/>
  <c r="O393" i="12861"/>
  <c r="O405" i="12861"/>
  <c r="Q405" i="12861"/>
  <c r="U204" i="12767"/>
  <c r="Q230" i="12767"/>
  <c r="U500" i="12843"/>
  <c r="S814" i="12767"/>
  <c r="S426" i="12843"/>
  <c r="U426" i="12843"/>
  <c r="U448" i="12843"/>
  <c r="Q233" i="12843"/>
  <c r="S866" i="12861"/>
  <c r="U866" i="12861"/>
  <c r="M474" i="12843"/>
  <c r="M690" i="12861"/>
  <c r="M713" i="12861"/>
  <c r="U287" i="12861"/>
  <c r="O390" i="12860"/>
  <c r="Q390" i="12860"/>
  <c r="Q412" i="12860"/>
  <c r="Q377" i="12860"/>
  <c r="Q379" i="12860"/>
  <c r="K690" i="12861"/>
  <c r="K691" i="12861"/>
  <c r="K705" i="12861"/>
  <c r="M705" i="12861"/>
  <c r="O333" i="12843"/>
  <c r="O509" i="12861"/>
  <c r="O497" i="12861"/>
  <c r="Q497" i="12861"/>
  <c r="U229" i="12767"/>
  <c r="K252" i="12843"/>
  <c r="M252" i="12843"/>
  <c r="M274" i="12843"/>
  <c r="U289" i="12861"/>
  <c r="O300" i="12843"/>
  <c r="O288" i="12843"/>
  <c r="Q288" i="12843"/>
  <c r="K496" i="12860"/>
  <c r="K508" i="12860"/>
  <c r="M508" i="12860"/>
  <c r="Q635" i="12843"/>
  <c r="Q637" i="12843"/>
  <c r="K180" i="12861"/>
  <c r="K289" i="12861"/>
  <c r="M289" i="12861"/>
  <c r="M220" i="12861"/>
  <c r="Q610" i="12861"/>
  <c r="Q634" i="12767"/>
  <c r="Q610" i="12843"/>
  <c r="O289" i="12843"/>
  <c r="O301" i="12843"/>
  <c r="Q301" i="12843"/>
  <c r="Q232" i="12843"/>
  <c r="O464" i="12767"/>
  <c r="O476" i="12767"/>
  <c r="U668" i="12843"/>
  <c r="K287" i="12861"/>
  <c r="K299" i="12861"/>
  <c r="M299" i="12861"/>
  <c r="O497" i="12767"/>
  <c r="Q497" i="12767"/>
  <c r="Q462" i="12767"/>
  <c r="S496" i="12860"/>
  <c r="S508" i="12860"/>
  <c r="U508" i="12860"/>
  <c r="O532" i="12861"/>
  <c r="Q532" i="12861"/>
  <c r="Q554" i="12861"/>
  <c r="S498" i="12861"/>
  <c r="U498" i="12861"/>
  <c r="U463" i="12861"/>
  <c r="S499" i="12843"/>
  <c r="S511" i="12843"/>
  <c r="U511" i="12843"/>
  <c r="S286" i="12767"/>
  <c r="S298" i="12767"/>
  <c r="U298" i="12767"/>
  <c r="S534" i="12861"/>
  <c r="S546" i="12861"/>
  <c r="U546" i="12861"/>
  <c r="Q232" i="12861"/>
  <c r="S667" i="12860"/>
  <c r="K847" i="12860"/>
  <c r="M847" i="12860"/>
  <c r="M872" i="12860"/>
  <c r="U232" i="12861"/>
  <c r="U610" i="12861"/>
  <c r="U635" i="12861"/>
  <c r="S591" i="12860"/>
  <c r="U591" i="12860"/>
  <c r="O546" i="12861"/>
  <c r="O534" i="12861"/>
  <c r="Q534" i="12861"/>
  <c r="O655" i="12843"/>
  <c r="O668" i="12843"/>
  <c r="Q668" i="12843"/>
  <c r="O394" i="12861"/>
  <c r="Q394" i="12861"/>
  <c r="Q359" i="12861"/>
  <c r="S404" i="12860"/>
  <c r="U404" i="12860"/>
  <c r="S288" i="12860"/>
  <c r="S300" i="12860"/>
  <c r="U300" i="12860"/>
  <c r="K255" i="12843"/>
  <c r="K267" i="12843"/>
  <c r="M267" i="12843"/>
  <c r="K288" i="12861"/>
  <c r="K300" i="12861"/>
  <c r="M300" i="12861"/>
  <c r="Q344" i="12767"/>
  <c r="K403" i="12861"/>
  <c r="M569" i="12843"/>
  <c r="M595" i="12843"/>
  <c r="O628" i="12860"/>
  <c r="Q628" i="12860"/>
  <c r="U596" i="12860"/>
  <c r="K286" i="12767"/>
  <c r="K298" i="12767"/>
  <c r="M298" i="12767"/>
  <c r="S794" i="12860"/>
  <c r="U794" i="12860"/>
  <c r="U819" i="12860"/>
  <c r="S218" i="12767"/>
  <c r="S230" i="12767"/>
  <c r="U692" i="12860"/>
  <c r="K610" i="12861"/>
  <c r="K652" i="12861"/>
  <c r="M652" i="12861"/>
  <c r="M675" i="12861"/>
  <c r="S500" i="12843"/>
  <c r="S512" i="12843"/>
  <c r="U512" i="12843"/>
  <c r="Q405" i="12767"/>
  <c r="U369" i="12767"/>
  <c r="S846" i="12861"/>
  <c r="U846" i="12861"/>
  <c r="U871" i="12861"/>
  <c r="U741" i="12861"/>
  <c r="U767" i="12861"/>
  <c r="K568" i="12767"/>
  <c r="M568" i="12767"/>
  <c r="M569" i="12861"/>
  <c r="M595" i="12861"/>
  <c r="S497" i="12860"/>
  <c r="U497" i="12860"/>
  <c r="U462" i="12860"/>
  <c r="Q556" i="12843"/>
  <c r="S392" i="12860"/>
  <c r="U392" i="12860"/>
  <c r="U357" i="12860"/>
  <c r="S287" i="12843"/>
  <c r="U287" i="12843"/>
  <c r="U309" i="12843"/>
  <c r="U240" i="12843"/>
  <c r="U242" i="12843"/>
  <c r="Q290" i="12861"/>
  <c r="Q221" i="12861"/>
  <c r="O254" i="12861"/>
  <c r="O266" i="12861"/>
  <c r="Q266" i="12861"/>
  <c r="K532" i="12767"/>
  <c r="K544" i="12767"/>
  <c r="M544" i="12767"/>
  <c r="K533" i="12860"/>
  <c r="K545" i="12860"/>
  <c r="M545" i="12860"/>
  <c r="U610" i="12843"/>
  <c r="U635" i="12843"/>
  <c r="U637" i="12843"/>
  <c r="U178" i="12843"/>
  <c r="U202" i="12767"/>
  <c r="K741" i="12861"/>
  <c r="K846" i="12861"/>
  <c r="M846" i="12861"/>
  <c r="M871" i="12861"/>
  <c r="K626" i="12860"/>
  <c r="O287" i="12861"/>
  <c r="O299" i="12861"/>
  <c r="Q299" i="12861"/>
  <c r="Q392" i="12861"/>
  <c r="S654" i="12860"/>
  <c r="U654" i="12860"/>
  <c r="U674" i="12860"/>
  <c r="S499" i="12767"/>
  <c r="S511" i="12767"/>
  <c r="U511" i="12767"/>
  <c r="U476" i="12767"/>
  <c r="Q393" i="12767"/>
  <c r="O393" i="12767"/>
  <c r="O405" i="12767"/>
  <c r="O179" i="12843"/>
  <c r="O533" i="12843"/>
  <c r="O545" i="12843"/>
  <c r="Q545" i="12843"/>
  <c r="K428" i="12767"/>
  <c r="K440" i="12767"/>
  <c r="M440" i="12767"/>
  <c r="O499" i="12767"/>
  <c r="Q499" i="12767"/>
  <c r="Q464" i="12767"/>
  <c r="S706" i="12843"/>
  <c r="O251" i="12860"/>
  <c r="Q251" i="12860"/>
  <c r="Q273" i="12860"/>
  <c r="Q847" i="12860"/>
  <c r="Q872" i="12860"/>
  <c r="S427" i="12861"/>
  <c r="S439" i="12861"/>
  <c r="U439" i="12861"/>
  <c r="Q544" i="12843"/>
  <c r="O531" i="12767"/>
  <c r="Q531" i="12767"/>
  <c r="Q553" i="12767"/>
  <c r="Q205" i="12843"/>
  <c r="S392" i="12767"/>
  <c r="S404" i="12767"/>
  <c r="U404" i="12767"/>
  <c r="O287" i="12767"/>
  <c r="O299" i="12767"/>
  <c r="Q299" i="12767"/>
  <c r="U818" i="12861"/>
  <c r="U820" i="12861"/>
  <c r="K499" i="12860"/>
  <c r="M499" i="12860"/>
  <c r="M464" i="12860"/>
  <c r="S437" i="12767"/>
  <c r="O544" i="12843"/>
  <c r="M392" i="12767"/>
  <c r="K497" i="12843"/>
  <c r="K509" i="12843"/>
  <c r="M509" i="12843"/>
  <c r="S180" i="12843"/>
  <c r="S289" i="12843"/>
  <c r="U289" i="12843"/>
  <c r="U220" i="12843"/>
  <c r="O496" i="12860"/>
  <c r="O508" i="12860"/>
  <c r="Q508" i="12860"/>
  <c r="U594" i="12860"/>
  <c r="Q178" i="12861"/>
  <c r="Q203" i="12861"/>
  <c r="Q205" i="12861"/>
  <c r="S393" i="12861"/>
  <c r="U393" i="12861"/>
  <c r="U358" i="12861"/>
  <c r="K653" i="12843"/>
  <c r="K667" i="12843"/>
  <c r="M667" i="12843"/>
  <c r="Q229" i="12860"/>
  <c r="Q499" i="12861"/>
  <c r="O391" i="12861"/>
  <c r="O403" i="12861"/>
  <c r="Q403" i="12861"/>
  <c r="O426" i="12767"/>
  <c r="O438" i="12767"/>
  <c r="Q438" i="12767"/>
  <c r="U821" i="12767"/>
  <c r="O846" i="12843"/>
  <c r="O866" i="12843"/>
  <c r="Q866" i="12843"/>
  <c r="O218" i="12843"/>
  <c r="O230" i="12843"/>
  <c r="Q343" i="12861"/>
  <c r="M510" i="12843"/>
  <c r="O324" i="12843"/>
  <c r="O336" i="12843"/>
  <c r="Q336" i="12843"/>
  <c r="U677" i="12843"/>
  <c r="Q202" i="12767"/>
  <c r="Q204" i="12767"/>
  <c r="Q1271" i="12767"/>
  <c r="Q1274" i="12767"/>
  <c r="O500" i="12843"/>
  <c r="O512" i="12843"/>
  <c r="Q512" i="12843"/>
  <c r="O333" i="12861"/>
  <c r="O321" i="12861"/>
  <c r="Q321" i="12861"/>
  <c r="S425" i="12767"/>
  <c r="U425" i="12767"/>
  <c r="U447" i="12767"/>
  <c r="U449" i="12767"/>
  <c r="O532" i="12843"/>
  <c r="Q532" i="12843"/>
  <c r="Q554" i="12843"/>
  <c r="K427" i="12861"/>
  <c r="K439" i="12861"/>
  <c r="M439" i="12861"/>
  <c r="S287" i="12861"/>
  <c r="S299" i="12861"/>
  <c r="U299" i="12861"/>
  <c r="U230" i="12861"/>
  <c r="K359" i="12861"/>
  <c r="K371" i="12861"/>
  <c r="S740" i="12860"/>
  <c r="S761" i="12860"/>
  <c r="U761" i="12860"/>
  <c r="U740" i="12860"/>
  <c r="O613" i="12843"/>
  <c r="O693" i="12843"/>
  <c r="Q693" i="12843"/>
  <c r="Q713" i="12843"/>
  <c r="Q715" i="12843"/>
  <c r="M320" i="12860"/>
  <c r="M342" i="12860"/>
  <c r="K426" i="12843"/>
  <c r="M426" i="12843"/>
  <c r="M448" i="12843"/>
  <c r="M450" i="12843"/>
  <c r="K393" i="12843"/>
  <c r="K405" i="12843"/>
  <c r="M405" i="12843"/>
  <c r="O300" i="12860"/>
  <c r="O288" i="12860"/>
  <c r="Q288" i="12860"/>
  <c r="S531" i="12767"/>
  <c r="U531" i="12767"/>
  <c r="U553" i="12767"/>
  <c r="U555" i="12767"/>
  <c r="K531" i="12767"/>
  <c r="K543" i="12767"/>
  <c r="M543" i="12767"/>
  <c r="O286" i="12767"/>
  <c r="O298" i="12767"/>
  <c r="Q298" i="12767"/>
  <c r="Q229" i="12767"/>
  <c r="Q769" i="12861"/>
  <c r="S394" i="12843"/>
  <c r="S406" i="12843"/>
  <c r="U406" i="12843"/>
  <c r="U371" i="12843"/>
  <c r="O180" i="12843"/>
  <c r="O358" i="12843"/>
  <c r="O370" i="12843"/>
  <c r="M498" i="12843"/>
  <c r="K498" i="12843"/>
  <c r="K510" i="12843"/>
  <c r="O531" i="12860"/>
  <c r="Q531" i="12860"/>
  <c r="Q553" i="12860"/>
  <c r="M477" i="12843"/>
  <c r="M253" i="12767"/>
  <c r="K253" i="12767"/>
  <c r="K265" i="12767"/>
  <c r="O301" i="12860"/>
  <c r="Q301" i="12860"/>
  <c r="O289" i="12860"/>
  <c r="Q289" i="12860"/>
  <c r="Q220" i="12860"/>
  <c r="S571" i="12860"/>
  <c r="S584" i="12860"/>
  <c r="U584" i="12860"/>
  <c r="K263" i="12860"/>
  <c r="S692" i="12767"/>
  <c r="U692" i="12767"/>
  <c r="U712" i="12767"/>
  <c r="K290" i="12843"/>
  <c r="K302" i="12843"/>
  <c r="M302" i="12843"/>
  <c r="S181" i="12843"/>
  <c r="S535" i="12843"/>
  <c r="S547" i="12843"/>
  <c r="U547" i="12843"/>
  <c r="S693" i="12843"/>
  <c r="U693" i="12843"/>
  <c r="U713" i="12843"/>
  <c r="U393" i="12860"/>
  <c r="U358" i="12860"/>
  <c r="O464" i="12861"/>
  <c r="O476" i="12861"/>
  <c r="K320" i="12860"/>
  <c r="K332" i="12860"/>
  <c r="M332" i="12860"/>
  <c r="K499" i="12843"/>
  <c r="K511" i="12843"/>
  <c r="M511" i="12843"/>
  <c r="M476" i="12843"/>
  <c r="Q612" i="12860"/>
  <c r="O612" i="12860"/>
  <c r="O570" i="12860"/>
  <c r="Q570" i="12860"/>
  <c r="Q369" i="12860"/>
  <c r="S570" i="12767"/>
  <c r="U570" i="12767"/>
  <c r="U571" i="12861"/>
  <c r="U595" i="12861"/>
  <c r="S178" i="12861"/>
  <c r="S391" i="12861"/>
  <c r="S403" i="12861"/>
  <c r="U403" i="12861"/>
  <c r="U368" i="12861"/>
  <c r="O814" i="12843"/>
  <c r="Q814" i="12843"/>
  <c r="Q178" i="12860"/>
  <c r="O178" i="12860"/>
  <c r="O391" i="12860"/>
  <c r="O403" i="12860"/>
  <c r="Q403" i="12860"/>
  <c r="K289" i="12767"/>
  <c r="K301" i="12767"/>
  <c r="M301" i="12767"/>
  <c r="U179" i="12860"/>
  <c r="S179" i="12860"/>
  <c r="S498" i="12860"/>
  <c r="U498" i="12860"/>
  <c r="U463" i="12860"/>
  <c r="S289" i="12767"/>
  <c r="S301" i="12767"/>
  <c r="U301" i="12767"/>
  <c r="U232" i="12767"/>
  <c r="Q204" i="12860"/>
  <c r="S499" i="12861"/>
  <c r="S511" i="12861"/>
  <c r="U511" i="12861"/>
  <c r="S532" i="12767"/>
  <c r="S544" i="12767"/>
  <c r="U544" i="12767"/>
  <c r="S393" i="12767"/>
  <c r="U393" i="12767"/>
  <c r="U358" i="12767"/>
  <c r="K533" i="12843"/>
  <c r="K545" i="12843"/>
  <c r="M545" i="12843"/>
  <c r="S668" i="12843"/>
  <c r="K181" i="12861"/>
  <c r="K290" i="12861"/>
  <c r="K302" i="12861"/>
  <c r="M302" i="12861"/>
  <c r="M233" i="12861"/>
  <c r="M289" i="12843"/>
  <c r="K193" i="12860"/>
  <c r="M193" i="12860"/>
  <c r="O392" i="12861"/>
  <c r="O404" i="12861"/>
  <c r="Q404" i="12861"/>
  <c r="O394" i="12843"/>
  <c r="O406" i="12843"/>
  <c r="Q406" i="12843"/>
  <c r="M820" i="12843"/>
  <c r="S847" i="12767"/>
  <c r="U847" i="12767"/>
  <c r="U872" i="12767"/>
  <c r="U874" i="12767"/>
  <c r="O847" i="12860"/>
  <c r="O867" i="12860"/>
  <c r="Q867" i="12860"/>
  <c r="M498" i="12861"/>
  <c r="M463" i="12861"/>
  <c r="K178" i="12843"/>
  <c r="K321" i="12843"/>
  <c r="M321" i="12843"/>
  <c r="M343" i="12843"/>
  <c r="S532" i="12860"/>
  <c r="S544" i="12860"/>
  <c r="U544" i="12860"/>
  <c r="O571" i="12860"/>
  <c r="O584" i="12860"/>
  <c r="Q584" i="12860"/>
  <c r="S814" i="12861"/>
  <c r="S741" i="12861"/>
  <c r="S795" i="12861"/>
  <c r="U795" i="12861"/>
  <c r="K534" i="12860"/>
  <c r="K546" i="12860"/>
  <c r="M546" i="12860"/>
  <c r="K393" i="12767"/>
  <c r="K405" i="12767"/>
  <c r="M405" i="12767"/>
  <c r="M610" i="12843"/>
  <c r="M635" i="12843"/>
  <c r="M637" i="12843"/>
  <c r="S741" i="12843"/>
  <c r="S846" i="12843"/>
  <c r="U846" i="12843"/>
  <c r="U871" i="12843"/>
  <c r="U873" i="12843"/>
  <c r="S613" i="12861"/>
  <c r="S655" i="12861"/>
  <c r="U655" i="12861"/>
  <c r="U675" i="12861"/>
  <c r="U677" i="12861"/>
  <c r="Q613" i="12767"/>
  <c r="O613" i="12767"/>
  <c r="O571" i="12767"/>
  <c r="O591" i="12767"/>
  <c r="Q591" i="12767"/>
  <c r="K393" i="12860"/>
  <c r="K405" i="12860"/>
  <c r="M405" i="12860"/>
  <c r="M205" i="12861"/>
  <c r="M1277" i="12861"/>
  <c r="M1280" i="12861"/>
  <c r="K532" i="12861"/>
  <c r="M532" i="12861"/>
  <c r="M554" i="12861"/>
  <c r="K610" i="12843"/>
  <c r="K652" i="12843"/>
  <c r="K666" i="12843"/>
  <c r="M666" i="12843"/>
  <c r="Q290" i="12843"/>
  <c r="Q221" i="12843"/>
  <c r="U179" i="12767"/>
  <c r="S179" i="12767"/>
  <c r="S180" i="12861"/>
  <c r="S289" i="12861"/>
  <c r="S301" i="12861"/>
  <c r="U301" i="12861"/>
  <c r="K498" i="12767"/>
  <c r="K510" i="12767"/>
  <c r="M510" i="12767"/>
  <c r="S393" i="12860"/>
  <c r="S405" i="12860"/>
  <c r="U405" i="12860"/>
  <c r="U370" i="12860"/>
  <c r="S251" i="12767"/>
  <c r="U251" i="12767"/>
  <c r="U273" i="12767"/>
  <c r="O288" i="12767"/>
  <c r="O300" i="12767"/>
  <c r="Q300" i="12767"/>
  <c r="K392" i="12767"/>
  <c r="K404" i="12767"/>
  <c r="M404" i="12767"/>
  <c r="M369" i="12767"/>
  <c r="U613" i="12860"/>
  <c r="S613" i="12860"/>
  <c r="S692" i="12860"/>
  <c r="S705" i="12860"/>
  <c r="U705" i="12860"/>
  <c r="K392" i="12843"/>
  <c r="K404" i="12843"/>
  <c r="M404" i="12843"/>
  <c r="O321" i="12843"/>
  <c r="Q321" i="12843"/>
  <c r="Q343" i="12843"/>
  <c r="Q345" i="12843"/>
  <c r="K761" i="12860"/>
  <c r="M761" i="12860"/>
  <c r="M740" i="12860"/>
  <c r="K740" i="12860"/>
  <c r="K794" i="12860"/>
  <c r="M794" i="12860"/>
  <c r="M819" i="12860"/>
  <c r="M821" i="12860"/>
  <c r="M180" i="12860"/>
  <c r="K180" i="12860"/>
  <c r="O392" i="12767"/>
  <c r="O404" i="12767"/>
  <c r="Q404" i="12767"/>
  <c r="O181" i="12843"/>
  <c r="O290" i="12843"/>
  <c r="O302" i="12843"/>
  <c r="Q302" i="12843"/>
  <c r="K179" i="12843"/>
  <c r="K427" i="12843"/>
  <c r="K439" i="12843"/>
  <c r="M439" i="12843"/>
  <c r="O181" i="12861"/>
  <c r="O290" i="12861"/>
  <c r="O302" i="12861"/>
  <c r="Q302" i="12861"/>
  <c r="M178" i="12861"/>
  <c r="M203" i="12861"/>
  <c r="O320" i="12767"/>
  <c r="Q320" i="12767"/>
  <c r="Q342" i="12767"/>
  <c r="O496" i="12767"/>
  <c r="O508" i="12767"/>
  <c r="Q508" i="12767"/>
  <c r="S179" i="12843"/>
  <c r="S288" i="12843"/>
  <c r="S300" i="12843"/>
  <c r="U300" i="12843"/>
  <c r="U180" i="12860"/>
  <c r="S180" i="12860"/>
  <c r="S499" i="12860"/>
  <c r="S511" i="12860"/>
  <c r="U511" i="12860"/>
  <c r="U476" i="12860"/>
  <c r="K178" i="12861"/>
  <c r="K391" i="12861"/>
  <c r="M391" i="12861"/>
  <c r="M413" i="12861"/>
  <c r="M378" i="12861"/>
  <c r="M380" i="12861"/>
  <c r="Q476" i="12861"/>
  <c r="O289" i="12861"/>
  <c r="O301" i="12861"/>
  <c r="Q301" i="12861"/>
  <c r="Q180" i="12767"/>
  <c r="O180" i="12767"/>
  <c r="O323" i="12767"/>
  <c r="O335" i="12767"/>
  <c r="Q335" i="12767"/>
  <c r="S252" i="12860"/>
  <c r="S264" i="12860"/>
  <c r="U264" i="12860"/>
  <c r="K498" i="12861"/>
  <c r="K510" i="12861"/>
  <c r="M510" i="12861"/>
  <c r="M475" i="12861"/>
  <c r="K625" i="12860"/>
  <c r="M625" i="12860"/>
  <c r="S394" i="12861"/>
  <c r="U394" i="12861"/>
  <c r="U359" i="12861"/>
  <c r="S178" i="12843"/>
  <c r="S321" i="12843"/>
  <c r="U321" i="12843"/>
  <c r="U343" i="12843"/>
  <c r="Q202" i="12860"/>
  <c r="S322" i="12861"/>
  <c r="S334" i="12861"/>
  <c r="U334" i="12861"/>
  <c r="O464" i="12860"/>
  <c r="O476" i="12860"/>
  <c r="K761" i="12767"/>
  <c r="M761" i="12767"/>
  <c r="M740" i="12767"/>
  <c r="K740" i="12767"/>
  <c r="K741" i="12843"/>
  <c r="K795" i="12843"/>
  <c r="M795" i="12843"/>
  <c r="M818" i="12843"/>
  <c r="S464" i="12767"/>
  <c r="S476" i="12767"/>
  <c r="O392" i="12860"/>
  <c r="O404" i="12860"/>
  <c r="Q404" i="12860"/>
  <c r="K251" i="12860"/>
  <c r="M251" i="12860"/>
  <c r="M273" i="12860"/>
  <c r="Q180" i="12860"/>
  <c r="O180" i="12860"/>
  <c r="Q740" i="12860"/>
  <c r="O740" i="12860"/>
  <c r="O761" i="12860"/>
  <c r="Q761" i="12860"/>
  <c r="O178" i="12843"/>
  <c r="O497" i="12843"/>
  <c r="Q497" i="12843"/>
  <c r="Q519" i="12843"/>
  <c r="Q484" i="12843"/>
  <c r="Q486" i="12843"/>
  <c r="M179" i="12860"/>
  <c r="K179" i="12860"/>
  <c r="O178" i="12861"/>
  <c r="O252" i="12861"/>
  <c r="Q252" i="12861"/>
  <c r="Q274" i="12861"/>
  <c r="S654" i="12767"/>
  <c r="U654" i="12767"/>
  <c r="U674" i="12767"/>
  <c r="U180" i="12767"/>
  <c r="S180" i="12767"/>
  <c r="S181" i="12861"/>
  <c r="S500" i="12861"/>
  <c r="S512" i="12861"/>
  <c r="U512" i="12861"/>
  <c r="U477" i="12861"/>
  <c r="K497" i="12860"/>
  <c r="K509" i="12860"/>
  <c r="M509" i="12860"/>
  <c r="U178" i="12767"/>
  <c r="S178" i="12767"/>
  <c r="S179" i="12861"/>
  <c r="S533" i="12861"/>
  <c r="S545" i="12861"/>
  <c r="U545" i="12861"/>
  <c r="Q741" i="12861"/>
  <c r="Q767" i="12861"/>
  <c r="Q609" i="12860"/>
  <c r="Q613" i="12860"/>
  <c r="O613" i="12860"/>
  <c r="Q178" i="12843"/>
  <c r="Q203" i="12843"/>
  <c r="Q178" i="12767"/>
  <c r="O178" i="12767"/>
  <c r="O179" i="12861"/>
  <c r="O288" i="12861"/>
  <c r="Q288" i="12861"/>
  <c r="Q219" i="12861"/>
  <c r="O761" i="12767"/>
  <c r="Q761" i="12767"/>
  <c r="Q740" i="12767"/>
  <c r="O740" i="12767"/>
  <c r="O741" i="12843"/>
  <c r="O795" i="12843"/>
  <c r="Q795" i="12843"/>
  <c r="Q818" i="12843"/>
  <c r="S570" i="12860"/>
  <c r="U570" i="12860"/>
  <c r="U609" i="12860"/>
  <c r="U612" i="12860"/>
  <c r="S612" i="12860"/>
  <c r="M180" i="12767"/>
  <c r="K180" i="12767"/>
  <c r="K181" i="12843"/>
  <c r="K500" i="12843"/>
  <c r="K512" i="12843"/>
  <c r="M512" i="12843"/>
  <c r="O286" i="12860"/>
  <c r="O298" i="12860"/>
  <c r="Q298" i="12860"/>
  <c r="O390" i="12767"/>
  <c r="O402" i="12767"/>
  <c r="Q402" i="12767"/>
  <c r="O251" i="12767"/>
  <c r="Q251" i="12767"/>
  <c r="Q273" i="12767"/>
  <c r="M178" i="12843"/>
  <c r="M203" i="12843"/>
  <c r="M205" i="12843"/>
  <c r="M1275" i="12843"/>
  <c r="U178" i="12860"/>
  <c r="S178" i="12860"/>
  <c r="K609" i="12860"/>
  <c r="K610" i="12860"/>
  <c r="M610" i="12860"/>
  <c r="M609" i="12860"/>
  <c r="S177" i="12767"/>
  <c r="S192" i="12767"/>
  <c r="U192" i="12767"/>
  <c r="U177" i="12767"/>
  <c r="U178" i="12861"/>
  <c r="U203" i="12861"/>
  <c r="U205" i="12861"/>
  <c r="Q177" i="12860"/>
  <c r="O177" i="12860"/>
  <c r="O192" i="12860"/>
  <c r="Q192" i="12860"/>
  <c r="Q179" i="12860"/>
  <c r="O179" i="12860"/>
  <c r="M179" i="12767"/>
  <c r="K179" i="12767"/>
  <c r="K180" i="12843"/>
  <c r="K289" i="12843"/>
  <c r="K301" i="12843"/>
  <c r="M301" i="12843"/>
  <c r="M232" i="12843"/>
  <c r="M177" i="12860"/>
  <c r="K177" i="12860"/>
  <c r="K192" i="12860"/>
  <c r="M192" i="12860"/>
  <c r="M178" i="12860"/>
  <c r="K178" i="12860"/>
  <c r="U609" i="12767"/>
  <c r="U612" i="12767"/>
  <c r="S612" i="12767"/>
  <c r="S613" i="12843"/>
  <c r="S655" i="12843"/>
  <c r="U655" i="12843"/>
  <c r="U675" i="12843"/>
  <c r="M202" i="12767"/>
  <c r="M204" i="12767"/>
  <c r="K609" i="12767"/>
  <c r="K610" i="12767"/>
  <c r="M610" i="12767"/>
  <c r="M609" i="12767"/>
  <c r="Q609" i="12767"/>
  <c r="Q612" i="12767"/>
  <c r="O612" i="12767"/>
  <c r="O654" i="12767"/>
  <c r="Q654" i="12767"/>
  <c r="Q674" i="12767"/>
  <c r="Q177" i="12767"/>
  <c r="O177" i="12767"/>
  <c r="O192" i="12767"/>
  <c r="Q192" i="12767"/>
  <c r="Q179" i="12767"/>
  <c r="O179" i="12767"/>
  <c r="O180" i="12861"/>
  <c r="O499" i="12861"/>
  <c r="O511" i="12861"/>
  <c r="Q511" i="12861"/>
  <c r="M177" i="12767"/>
  <c r="K177" i="12767"/>
  <c r="K192" i="12767"/>
  <c r="M192" i="12767"/>
  <c r="M178" i="12767"/>
  <c r="K178" i="12767"/>
  <c r="K179" i="12861"/>
  <c r="K392" i="12861"/>
  <c r="K404" i="12861"/>
  <c r="M404" i="12861"/>
  <c r="S177" i="12860"/>
  <c r="S192" i="12860"/>
  <c r="U192" i="12860"/>
  <c r="U177" i="12860"/>
  <c r="U202" i="12860"/>
  <c r="U204" i="12860"/>
  <c r="U1271" i="12860"/>
  <c r="S761" i="12767"/>
  <c r="U761" i="12767"/>
  <c r="U740" i="12767"/>
  <c r="S740" i="12767"/>
  <c r="S794" i="12767"/>
  <c r="U794" i="12767"/>
  <c r="U819" i="12767"/>
</calcChain>
</file>

<file path=xl/sharedStrings.xml><?xml version="1.0" encoding="utf-8"?>
<sst xmlns="http://schemas.openxmlformats.org/spreadsheetml/2006/main" count="19798" uniqueCount="1049">
  <si>
    <t>Table 1</t>
  </si>
  <si>
    <t>Revenue</t>
  </si>
  <si>
    <t>Semi-Annual Report</t>
  </si>
  <si>
    <t>A</t>
  </si>
  <si>
    <t>B</t>
  </si>
  <si>
    <t>C</t>
  </si>
  <si>
    <t>D</t>
  </si>
  <si>
    <t>E</t>
  </si>
  <si>
    <t>I</t>
  </si>
  <si>
    <t>Total</t>
  </si>
  <si>
    <t xml:space="preserve">Total </t>
  </si>
  <si>
    <t>Normalizing</t>
  </si>
  <si>
    <t>Temperature</t>
  </si>
  <si>
    <t>Price</t>
  </si>
  <si>
    <t>Adjusted</t>
  </si>
  <si>
    <t>Adjustments</t>
  </si>
  <si>
    <t>Normalization</t>
  </si>
  <si>
    <t>Residential</t>
  </si>
  <si>
    <t>Commercial</t>
  </si>
  <si>
    <t>Public St &amp; Hwy</t>
  </si>
  <si>
    <t>Customer</t>
  </si>
  <si>
    <t>Source / Formula</t>
  </si>
  <si>
    <t>Info. Services</t>
  </si>
  <si>
    <t>MWh</t>
  </si>
  <si>
    <t>Month</t>
  </si>
  <si>
    <t>kWh</t>
  </si>
  <si>
    <t>Impact</t>
  </si>
  <si>
    <t>Total Residential</t>
  </si>
  <si>
    <t>Total Commercial</t>
  </si>
  <si>
    <t>Table 3</t>
  </si>
  <si>
    <t>Industrial</t>
  </si>
  <si>
    <t xml:space="preserve"> </t>
  </si>
  <si>
    <t>Rate</t>
  </si>
  <si>
    <t>Booked Revenues</t>
  </si>
  <si>
    <t>AGA</t>
  </si>
  <si>
    <t>Subtotal</t>
  </si>
  <si>
    <t>Public Street &amp; Highway Lighting</t>
  </si>
  <si>
    <t>Revenues</t>
  </si>
  <si>
    <t>Price*</t>
  </si>
  <si>
    <t>Average</t>
  </si>
  <si>
    <t>Customers</t>
  </si>
  <si>
    <t>Booked</t>
  </si>
  <si>
    <t>A + D</t>
  </si>
  <si>
    <t>B + C</t>
  </si>
  <si>
    <t>Adjustment</t>
  </si>
  <si>
    <t>Annualized</t>
  </si>
  <si>
    <t>Temperature Normalization</t>
  </si>
  <si>
    <t>State of Washington</t>
  </si>
  <si>
    <t>02RESD00016</t>
  </si>
  <si>
    <t>02RESD00018</t>
  </si>
  <si>
    <t>02OALTO15R</t>
  </si>
  <si>
    <t>02GNSV0024</t>
  </si>
  <si>
    <t>02GNSV024F</t>
  </si>
  <si>
    <t>02LGSV0036</t>
  </si>
  <si>
    <t>02LGSV048T</t>
  </si>
  <si>
    <t>02OALT015N</t>
  </si>
  <si>
    <t>02RCFL0054</t>
  </si>
  <si>
    <t>02GNSV24FP</t>
  </si>
  <si>
    <t>02APSV0040</t>
  </si>
  <si>
    <t>02APSV040X</t>
  </si>
  <si>
    <t>02LGSV048M</t>
  </si>
  <si>
    <t>02COSL0052</t>
  </si>
  <si>
    <t>02CUSL053F</t>
  </si>
  <si>
    <t>02CUSL053M</t>
  </si>
  <si>
    <t>02HPSV0051</t>
  </si>
  <si>
    <t>02MVSL0057</t>
  </si>
  <si>
    <t>Schedule 16</t>
  </si>
  <si>
    <t>Schedule 24</t>
  </si>
  <si>
    <t>Schedule 36</t>
  </si>
  <si>
    <t>Sub Total</t>
  </si>
  <si>
    <t>$</t>
  </si>
  <si>
    <t>48T</t>
  </si>
  <si>
    <t>Pacific Power &amp; Light Company</t>
  </si>
  <si>
    <t>Sch. 191</t>
  </si>
  <si>
    <t xml:space="preserve">  </t>
  </si>
  <si>
    <t xml:space="preserve">Adjustments </t>
  </si>
  <si>
    <t>Washington</t>
  </si>
  <si>
    <t>Total Washington</t>
  </si>
  <si>
    <t>Unbilled Rev</t>
  </si>
  <si>
    <t>Unbilled Rev.</t>
  </si>
  <si>
    <t>Unbilled Sales</t>
  </si>
  <si>
    <t>kWhs</t>
  </si>
  <si>
    <t>BPA Balance Acct.</t>
  </si>
  <si>
    <r>
      <t>Normalization</t>
    </r>
    <r>
      <rPr>
        <vertAlign val="superscript"/>
        <sz val="12"/>
        <rFont val="Times New Roman"/>
        <family val="1"/>
      </rPr>
      <t>1</t>
    </r>
  </si>
  <si>
    <t>Rev.</t>
  </si>
  <si>
    <t>Total Adj.</t>
  </si>
  <si>
    <t>Total Adj.Rev.</t>
  </si>
  <si>
    <t>Adj.</t>
  </si>
  <si>
    <t xml:space="preserve">Table 1 </t>
  </si>
  <si>
    <t>Other Non-Tariff Cont./Firm</t>
  </si>
  <si>
    <t>Other Non-Tariff Cont./Non-Firm</t>
  </si>
  <si>
    <t>Total with Contracts</t>
  </si>
  <si>
    <t>Non-Washington Contracts</t>
  </si>
  <si>
    <t>02RESD00017</t>
  </si>
  <si>
    <t>BPA Balancing Account</t>
  </si>
  <si>
    <t>BPA Balance Acct</t>
  </si>
  <si>
    <t>BPA Balancing Acct</t>
  </si>
  <si>
    <t>BPA</t>
  </si>
  <si>
    <t>Table 2</t>
  </si>
  <si>
    <t>Revenue Class Description</t>
  </si>
  <si>
    <t>Rate Description</t>
  </si>
  <si>
    <t>Rate Group Description</t>
  </si>
  <si>
    <t>Kwh</t>
  </si>
  <si>
    <t>Billing Count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</si>
  <si>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</si>
  <si>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</si>
  <si>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</si>
  <si>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</si>
  <si>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</si>
  <si>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</si>
  <si>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</si>
  <si>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</si>
  <si>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</si>
  <si>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</si>
  <si>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</si>
  <si>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</si>
  <si>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</si>
  <si>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</si>
  <si>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</si>
  <si>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</si>
  <si>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BPA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</si>
  <si>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</si>
  <si>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</si>
  <si>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</si>
  <si>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</si>
  <si>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</si>
  <si>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</si>
  <si>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</si>
  <si>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</si>
  <si>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</si>
  <si>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</si>
  <si>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</si>
  <si>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</si>
  <si>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</si>
  <si>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</si>
  <si>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</si>
  <si>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</si>
  <si>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</si>
  <si>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</si>
  <si>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</si>
  <si>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02RESD0017-BILL ASSISTANCE</t>
  </si>
  <si>
    <t>02RESD0018-WA 3 PHASE RES</t>
  </si>
  <si>
    <t>02RESD018X-WA 3 PHASE RES</t>
  </si>
  <si>
    <t>24f</t>
  </si>
  <si>
    <t>aga</t>
  </si>
  <si>
    <t>15n</t>
  </si>
  <si>
    <t>bpa</t>
  </si>
  <si>
    <t>unbilled</t>
  </si>
  <si>
    <t>48m</t>
  </si>
  <si>
    <t>48t</t>
  </si>
  <si>
    <t>24fp</t>
  </si>
  <si>
    <t>40x</t>
  </si>
  <si>
    <t>53f</t>
  </si>
  <si>
    <t>53m</t>
  </si>
  <si>
    <t>15r</t>
  </si>
  <si>
    <t>18x</t>
  </si>
  <si>
    <t>02RESD0018X</t>
  </si>
  <si>
    <t>Centralia Refund</t>
  </si>
  <si>
    <t>BPA Adjustment Fee</t>
  </si>
  <si>
    <t>02PRSV47TM</t>
  </si>
  <si>
    <t>Washington Total</t>
  </si>
  <si>
    <t>Non BPA</t>
  </si>
  <si>
    <t>Check</t>
  </si>
  <si>
    <t>KWhs</t>
  </si>
  <si>
    <t>305 Report</t>
  </si>
  <si>
    <t>Change</t>
  </si>
  <si>
    <t>kWh &amp; Rev</t>
  </si>
  <si>
    <t>Revenue Detail</t>
  </si>
  <si>
    <t>MONTHLY KWH</t>
  </si>
  <si>
    <t>Regular only</t>
  </si>
  <si>
    <r>
      <t>Adjustments</t>
    </r>
    <r>
      <rPr>
        <vertAlign val="superscript"/>
        <sz val="12"/>
        <rFont val="Times New Roman"/>
        <family val="1"/>
      </rPr>
      <t>1</t>
    </r>
  </si>
  <si>
    <t>Merger Credit</t>
  </si>
  <si>
    <t>No BPA</t>
  </si>
  <si>
    <t>b24fp</t>
  </si>
  <si>
    <t>b40</t>
  </si>
  <si>
    <t>b16</t>
  </si>
  <si>
    <t>b17</t>
  </si>
  <si>
    <t>b18</t>
  </si>
  <si>
    <t>b18x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</si>
  <si>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</si>
  <si>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</si>
  <si>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</si>
  <si>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</si>
  <si>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</si>
  <si>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</si>
  <si>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</si>
  <si>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</si>
  <si>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</si>
  <si>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</si>
  <si>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</si>
  <si>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</si>
  <si>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</si>
  <si>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</si>
  <si>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</si>
  <si>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</si>
  <si>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</si>
  <si>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</si>
  <si>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</si>
  <si>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</si>
  <si>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Ratio</t>
  </si>
  <si>
    <t>First Block</t>
  </si>
  <si>
    <t>Second Block</t>
  </si>
  <si>
    <t>Ratio from</t>
  </si>
  <si>
    <t>First Block kWh</t>
  </si>
  <si>
    <t>Second Block kWh</t>
  </si>
  <si>
    <t>Third Block</t>
  </si>
  <si>
    <t>Third Block kWh</t>
  </si>
  <si>
    <t>*Energy base rate effective during the month indicated.</t>
  </si>
  <si>
    <t>Total Irrigation</t>
  </si>
  <si>
    <t>02NMT24135, Net metering, WA</t>
  </si>
  <si>
    <t>02LGSB048T - WA GEN SRVC, NO BPA</t>
  </si>
  <si>
    <t>301119 - UNBILLED REV - UNCOLLECTIBLE</t>
  </si>
  <si>
    <t>02NMT24135</t>
  </si>
  <si>
    <t>02GNSB024F-GEN SRVC DOM/F W/BPA</t>
  </si>
  <si>
    <t>02GNSB0024-WA GEN SRVC DO</t>
  </si>
  <si>
    <t>02GNSB24FP-WA GEN SVC SEASONAL</t>
  </si>
  <si>
    <t>ACQUISITION COMMITMENT-A and G CREDIT</t>
  </si>
  <si>
    <t>02LGSB0036-LRG GENSVC IRG W/BPA</t>
  </si>
  <si>
    <t>02OALTB15N-WA OUTD AR LGT NR W/BPA</t>
  </si>
  <si>
    <t>ACQUISITION COMMITMENT-WEST VALLEY LEASE</t>
  </si>
  <si>
    <t>02GNSB0024-WA GEN SRVC DO W/BPA</t>
  </si>
  <si>
    <t>02GNSB24FP-WA GEN SVC SEASONAL W/BPA</t>
  </si>
  <si>
    <t>02OALTB15N-WA OUTD AR LGT NR</t>
  </si>
  <si>
    <t>02GNSB024F-GEN SRVC DOM/F</t>
  </si>
  <si>
    <t>02LGSB0036-LRG GEN SVC IRG</t>
  </si>
  <si>
    <t>02OALTB15R-WA OUTD AR LGT RES</t>
  </si>
  <si>
    <t>02OALTB15R-WA OUTD AR LGT RES W/BPA</t>
  </si>
  <si>
    <t>kwh</t>
  </si>
  <si>
    <t>rev</t>
  </si>
  <si>
    <t>b24f</t>
  </si>
  <si>
    <t>b36</t>
  </si>
  <si>
    <t>b15n</t>
  </si>
  <si>
    <t>Acquisition  Commitment</t>
  </si>
  <si>
    <t>Acquisition Commitment</t>
  </si>
  <si>
    <t>b24</t>
  </si>
  <si>
    <t>b15r</t>
  </si>
  <si>
    <t>Schedule 18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</si>
  <si>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</si>
  <si>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</si>
  <si>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</si>
  <si>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</si>
  <si>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</si>
  <si>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</si>
  <si>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02NETMT135 - WA RES NET METERING</t>
  </si>
  <si>
    <t>02NETMT135</t>
  </si>
  <si>
    <t>Error Check</t>
  </si>
  <si>
    <t>Increase</t>
  </si>
  <si>
    <t>Pro Forma</t>
  </si>
  <si>
    <t>Rate Schedule Tolerance Sheet</t>
  </si>
  <si>
    <t xml:space="preserve">Needed </t>
  </si>
  <si>
    <t>% Diff</t>
  </si>
  <si>
    <t>for</t>
  </si>
  <si>
    <t>Schedule</t>
  </si>
  <si>
    <t>Out of Period</t>
  </si>
  <si>
    <t>Adjusted 305A</t>
  </si>
  <si>
    <t>Cognos Run</t>
  </si>
  <si>
    <t>N - G</t>
  </si>
  <si>
    <t>Difference</t>
  </si>
  <si>
    <t>Tolerance</t>
  </si>
  <si>
    <t>RESIDENTIAL</t>
  </si>
  <si>
    <t>02RESD0016</t>
  </si>
  <si>
    <t>02RESD0017</t>
  </si>
  <si>
    <t>02RESD0018</t>
  </si>
  <si>
    <t>02RESD018X</t>
  </si>
  <si>
    <t>02OALTB15R</t>
  </si>
  <si>
    <t>TOT RES</t>
  </si>
  <si>
    <t>COMMERCIAL</t>
  </si>
  <si>
    <t>02PRSV033M</t>
  </si>
  <si>
    <t>TOT COM</t>
  </si>
  <si>
    <t>INDUSTRIAL</t>
  </si>
  <si>
    <t>TOT IND</t>
  </si>
  <si>
    <t>IRRIGATION</t>
  </si>
  <si>
    <t>TOT IRG</t>
  </si>
  <si>
    <t>PS&amp;H LIGHTING</t>
  </si>
  <si>
    <t>TOT LIGHT</t>
  </si>
  <si>
    <t>GRAND TOTAL</t>
  </si>
  <si>
    <t>SUMMARIES BY SCHEDULE</t>
  </si>
  <si>
    <t>Schedule 15 Total</t>
  </si>
  <si>
    <t>Schedule 16 Total</t>
  </si>
  <si>
    <t>Schedule 18 Total</t>
  </si>
  <si>
    <t>Schedule 24 Total</t>
  </si>
  <si>
    <t>Schedule 36 Total</t>
  </si>
  <si>
    <t>Schedule 40 Total</t>
  </si>
  <si>
    <t>Schedule 48 Total</t>
  </si>
  <si>
    <t>Schedule 53 Total</t>
  </si>
  <si>
    <t>and Error kWh</t>
  </si>
  <si>
    <t>Blocking b/4 Adj.</t>
  </si>
  <si>
    <t>T - I</t>
  </si>
  <si>
    <t>T -P</t>
  </si>
  <si>
    <t>02GNSB24FP</t>
  </si>
  <si>
    <t>TABLE A. PRESENT AND PROPOSED RATES</t>
  </si>
  <si>
    <t>ESTIMATED EFFECT OF PROPOSED PRICES</t>
  </si>
  <si>
    <t>ON REVENUES FROM ELECTRIC SALES TO ULTIMATE CONSUMERS</t>
  </si>
  <si>
    <t>IN WASHINGTON</t>
  </si>
  <si>
    <t>12 MONTHS ENDED JUNE 2008 PRO FORMA</t>
  </si>
  <si>
    <t>Actual</t>
  </si>
  <si>
    <t>Proposed</t>
  </si>
  <si>
    <t>Surcharge</t>
  </si>
  <si>
    <t xml:space="preserve">Proposed </t>
  </si>
  <si>
    <t>Curr.</t>
  </si>
  <si>
    <t>Avg.</t>
  </si>
  <si>
    <t>Sch.</t>
  </si>
  <si>
    <t>Cust.</t>
  </si>
  <si>
    <t>MWH</t>
  </si>
  <si>
    <t>Cents/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</si>
  <si>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</si>
  <si>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</si>
  <si>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</si>
  <si>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</si>
  <si>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</si>
  <si>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</si>
  <si>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</si>
  <si>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</si>
  <si>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</si>
  <si>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</si>
  <si>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</si>
  <si>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</si>
  <si>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(5)+(7)</t>
  </si>
  <si>
    <t>(7)/(5)</t>
  </si>
  <si>
    <t>(7/4)</t>
  </si>
  <si>
    <t>Residential Service</t>
  </si>
  <si>
    <t>16/18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</si>
  <si>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</si>
  <si>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</si>
  <si>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</si>
  <si>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</si>
  <si>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</si>
  <si>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</si>
  <si>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</si>
  <si>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</si>
  <si>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</si>
  <si>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</si>
  <si>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</si>
  <si>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</si>
  <si>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</si>
  <si>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</si>
  <si>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</si>
  <si>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</si>
  <si>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</si>
  <si>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</si>
  <si>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</si>
  <si>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</si>
  <si>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</si>
  <si>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</si>
  <si>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</si>
  <si>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</si>
  <si>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</si>
  <si>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</si>
  <si>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</si>
  <si>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</si>
  <si>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</si>
  <si>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</si>
  <si>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</si>
  <si>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</si>
  <si>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</si>
  <si>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</si>
  <si>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</si>
  <si>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</si>
  <si>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</si>
  <si>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</si>
  <si>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</si>
  <si>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</si>
  <si>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</si>
  <si>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</si>
  <si>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</si>
  <si>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</si>
  <si>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</si>
  <si>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</si>
  <si>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</si>
  <si>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</si>
  <si>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</si>
  <si>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</si>
  <si>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</si>
  <si>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</si>
  <si>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</si>
  <si>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</si>
  <si>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</si>
  <si>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</si>
  <si>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</si>
  <si>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</si>
  <si>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</si>
  <si>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</si>
  <si>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</si>
  <si>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</si>
  <si>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</si>
  <si>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</si>
  <si>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</si>
  <si>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</si>
  <si>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</si>
  <si>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</si>
  <si>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</si>
  <si>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</si>
  <si>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</si>
  <si>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</si>
  <si>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</si>
  <si>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</si>
  <si>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</si>
  <si>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</si>
  <si>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</si>
  <si>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</si>
  <si>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</si>
  <si>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</si>
  <si>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</si>
  <si>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</si>
  <si>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</si>
  <si>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</si>
  <si>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</si>
  <si>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</si>
  <si>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</si>
  <si>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</si>
  <si>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</si>
  <si>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</si>
  <si>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</si>
  <si>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</si>
  <si>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</si>
  <si>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</si>
  <si>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</si>
  <si>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</si>
  <si>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</si>
  <si>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</si>
  <si>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</si>
  <si>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</si>
  <si>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</si>
  <si>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</si>
  <si>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</si>
  <si>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</si>
  <si>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</si>
  <si>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</si>
  <si>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</si>
  <si>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</si>
  <si>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</si>
  <si>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</si>
  <si>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</si>
  <si>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</si>
  <si>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</si>
  <si>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</si>
  <si>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</si>
  <si>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</si>
  <si>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</si>
  <si>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</si>
  <si>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</si>
  <si>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</si>
  <si>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</si>
  <si>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</si>
  <si>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</si>
  <si>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</si>
  <si>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</si>
  <si>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</si>
  <si>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</si>
  <si>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</si>
  <si>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</si>
  <si>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</si>
  <si>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</si>
  <si>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</si>
  <si>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</si>
  <si>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</si>
  <si>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</si>
  <si>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</si>
  <si>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</si>
  <si>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</si>
  <si>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</si>
  <si>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</si>
  <si>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</si>
  <si>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</si>
  <si>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</si>
  <si>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</si>
  <si>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</si>
  <si>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</si>
  <si>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</si>
  <si>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</si>
  <si>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</si>
  <si>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</si>
  <si>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</si>
  <si>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</si>
  <si>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</si>
  <si>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</si>
  <si>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</si>
  <si>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</si>
  <si>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</si>
  <si>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</si>
  <si>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</si>
  <si>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</si>
  <si>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</si>
  <si>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</si>
  <si>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</si>
  <si>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</si>
  <si>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</si>
  <si>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</si>
  <si>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</si>
  <si>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</si>
  <si>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</si>
  <si>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</si>
  <si>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</si>
  <si>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</si>
  <si>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</si>
  <si>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</si>
  <si>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</si>
  <si>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</si>
  <si>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</si>
  <si>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</si>
  <si>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</si>
  <si>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</si>
  <si>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</si>
  <si>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</si>
  <si>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</si>
  <si>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</si>
  <si>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</si>
  <si>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</si>
  <si>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</si>
  <si>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</si>
  <si>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</si>
  <si>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</si>
  <si>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>Percent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</si>
  <si>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</si>
  <si>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</si>
  <si>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</si>
  <si>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</si>
  <si>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</si>
  <si>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</si>
  <si>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</si>
  <si>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</si>
  <si>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</si>
  <si>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</si>
  <si>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</si>
  <si>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</si>
  <si>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</si>
  <si>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</si>
  <si>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</si>
  <si>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</si>
  <si>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</si>
  <si>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</si>
  <si>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</si>
  <si>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</si>
  <si>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</si>
  <si>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</si>
  <si>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</si>
  <si>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</si>
  <si>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</si>
  <si>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</si>
  <si>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</si>
  <si>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</si>
  <si>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</si>
  <si>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</si>
  <si>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</si>
  <si>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</si>
  <si>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</si>
  <si>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</si>
  <si>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</si>
  <si>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</si>
  <si>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</si>
  <si>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</si>
  <si>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</si>
  <si>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</si>
  <si>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</si>
  <si>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</si>
  <si>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</si>
  <si>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</si>
  <si>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</si>
  <si>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</si>
  <si>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MONTHLY Revenues</t>
  </si>
  <si>
    <t>Normalized</t>
  </si>
  <si>
    <t>NO ADJUSTMENTS</t>
  </si>
  <si>
    <t>Monthly kWh</t>
  </si>
  <si>
    <t>LIGHTING</t>
  </si>
  <si>
    <t>Difference due to rounding.</t>
  </si>
  <si>
    <t>WITH TEMP AND UNBILLED ADJ.</t>
  </si>
  <si>
    <t>Blocking</t>
  </si>
  <si>
    <t>PACIFIC POWER</t>
  </si>
  <si>
    <t>SCHEDULE 48B</t>
  </si>
  <si>
    <t>02LGSV048B - Boise</t>
  </si>
  <si>
    <t>48b</t>
  </si>
  <si>
    <t>02LGSV048B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</si>
  <si>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</si>
  <si>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</si>
  <si>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</si>
  <si>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</si>
  <si>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</si>
  <si>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</si>
  <si>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</si>
  <si>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</si>
  <si>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</si>
  <si>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</si>
  <si>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</si>
  <si>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</si>
  <si>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</si>
  <si>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</si>
  <si>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</si>
  <si>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</si>
  <si>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</si>
  <si>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</si>
  <si>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</si>
  <si>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</si>
  <si>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</si>
  <si>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</si>
  <si>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</si>
  <si>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</si>
  <si>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</si>
  <si>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</si>
  <si>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</si>
  <si>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</si>
  <si>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</si>
  <si>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</si>
  <si>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</si>
  <si>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</si>
  <si>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</si>
  <si>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Schedule 40 **</t>
  </si>
  <si>
    <t>Monthly **</t>
  </si>
  <si>
    <t>TABLE A. PRESENT AND TARGETED RATES</t>
  </si>
  <si>
    <t>Washington Low Income</t>
  </si>
  <si>
    <t>Schedule 91 Surcharge Rates Proposal</t>
  </si>
  <si>
    <t>Program with</t>
  </si>
  <si>
    <t>Increase Over</t>
  </si>
  <si>
    <t xml:space="preserve">Current </t>
  </si>
  <si>
    <t>Est. Annual</t>
  </si>
  <si>
    <t>Estimated</t>
  </si>
  <si>
    <t>Current*</t>
  </si>
  <si>
    <t>Annual Revenues Collections</t>
  </si>
  <si>
    <t>Monthly</t>
  </si>
  <si>
    <t>Collections</t>
  </si>
  <si>
    <t xml:space="preserve">Prior </t>
  </si>
  <si>
    <t xml:space="preserve">   Increase</t>
  </si>
  <si>
    <t>Aug 05</t>
  </si>
  <si>
    <t>Schedule 91 Charges</t>
  </si>
  <si>
    <t>47T</t>
  </si>
  <si>
    <t>Number of Qualifying Customers</t>
  </si>
  <si>
    <t>% Increase</t>
  </si>
  <si>
    <t>Cost per Qualifying Customer</t>
  </si>
  <si>
    <t>/Customer</t>
  </si>
  <si>
    <t>Average Credit per Customer - (Credit/Customers)</t>
  </si>
  <si>
    <t>Agency Charge per Qualifying Customer</t>
  </si>
  <si>
    <t>Average Cost per Qualifying Customer</t>
  </si>
  <si>
    <t xml:space="preserve">Annual Revenues - (Average Cost x Customers) </t>
  </si>
  <si>
    <t>Proposed Credit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</si>
  <si>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</si>
  <si>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</si>
  <si>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</si>
  <si>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</si>
  <si>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</si>
  <si>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</si>
  <si>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</si>
  <si>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</si>
  <si>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</si>
  <si>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</si>
  <si>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Temp Adjustment in MWHs</t>
  </si>
  <si>
    <t>Year</t>
  </si>
  <si>
    <t>Annual Credits to Customers</t>
  </si>
  <si>
    <t>Grand Total</t>
  </si>
  <si>
    <t>Total kWh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</si>
  <si>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</si>
  <si>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</si>
  <si>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</si>
  <si>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</si>
  <si>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</si>
  <si>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</si>
  <si>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>Chehalis Deferral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</si>
  <si>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</si>
  <si>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</si>
  <si>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</si>
  <si>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</si>
  <si>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</si>
  <si>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</si>
  <si>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</si>
  <si>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02NMT36135-WA NET METER LRG SVC &lt; 1000KW</t>
  </si>
  <si>
    <t>SMUD REVENUE IMPUTATIONS</t>
  </si>
  <si>
    <t>WASHINGTON - CHEHALIS DEFERRAL</t>
  </si>
  <si>
    <t>02NETMT135 - WA RES NET METERING-BPA</t>
  </si>
  <si>
    <t>smud</t>
  </si>
  <si>
    <t>b135</t>
  </si>
  <si>
    <t>SMUD</t>
  </si>
  <si>
    <t>02NMT36135</t>
  </si>
  <si>
    <t>Calc Rev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</si>
  <si>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</si>
  <si>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</si>
  <si>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</si>
  <si>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</si>
  <si>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</si>
  <si>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</si>
  <si>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</si>
  <si>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</si>
  <si>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</si>
  <si>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Monthly Revenues</t>
  </si>
  <si>
    <t>in MWHs</t>
  </si>
  <si>
    <t>Res</t>
  </si>
  <si>
    <t>Com</t>
  </si>
  <si>
    <t>Sch 16</t>
  </si>
  <si>
    <t>Sch 18</t>
  </si>
  <si>
    <t>Sch 24</t>
  </si>
  <si>
    <t>Sch 36</t>
  </si>
  <si>
    <t>*</t>
  </si>
  <si>
    <t>* Average Washington Customer</t>
  </si>
  <si>
    <t>101-150%</t>
  </si>
  <si>
    <t>REVENUE_ACCOUNTING ADJUSTMENTS</t>
  </si>
  <si>
    <t>301461-IRRIGATION DEMAND CHARGE ACCRUAL</t>
  </si>
  <si>
    <t>U</t>
  </si>
  <si>
    <t>R</t>
  </si>
  <si>
    <t>bpaadj</t>
  </si>
  <si>
    <t>Price Change</t>
  </si>
  <si>
    <t>Restating</t>
  </si>
  <si>
    <t>Total Restating</t>
  </si>
  <si>
    <t>Includes 47T</t>
  </si>
  <si>
    <t>Lighting</t>
  </si>
  <si>
    <t>Sum of Sum of Amount</t>
  </si>
  <si>
    <t>Sum of Sum of Billing Quantity</t>
  </si>
  <si>
    <t>Sum of Participants</t>
  </si>
  <si>
    <t>Bills during season for participants</t>
  </si>
  <si>
    <t>Administrative Costs ($/cust)</t>
  </si>
  <si>
    <t>Number of customers served</t>
  </si>
  <si>
    <t>Increase in average dollar subsidy/ client</t>
  </si>
  <si>
    <t>current</t>
  </si>
  <si>
    <t>proposed</t>
  </si>
  <si>
    <t>Prior Year</t>
  </si>
  <si>
    <t>Available for subsidy</t>
  </si>
  <si>
    <t>16/18(#2)</t>
  </si>
  <si>
    <t>(#1)</t>
  </si>
  <si>
    <t>Rev excess/(short)</t>
  </si>
  <si>
    <t>(#1) Annual Amount</t>
  </si>
  <si>
    <t>total participants</t>
  </si>
  <si>
    <t>Total benefits</t>
  </si>
  <si>
    <t>Admin Expense</t>
  </si>
  <si>
    <t>Total Program cost</t>
  </si>
  <si>
    <t>Admin Costs</t>
  </si>
  <si>
    <t>PacifiCorp</t>
  </si>
  <si>
    <t>J</t>
  </si>
  <si>
    <t>M</t>
  </si>
  <si>
    <t>G + J</t>
  </si>
  <si>
    <t>A + B</t>
  </si>
  <si>
    <r>
      <t>Adjustments</t>
    </r>
    <r>
      <rPr>
        <vertAlign val="superscript"/>
        <sz val="12"/>
        <rFont val="Times New Roman"/>
        <family val="1"/>
      </rPr>
      <t>2</t>
    </r>
  </si>
  <si>
    <t>02RGNSB024</t>
  </si>
  <si>
    <t>Rev Adjustment</t>
  </si>
  <si>
    <t>Irrigation Demand Charge</t>
  </si>
  <si>
    <t>02CFR0012</t>
  </si>
  <si>
    <t xml:space="preserve">   </t>
  </si>
  <si>
    <r>
      <t>1</t>
    </r>
    <r>
      <rPr>
        <sz val="12"/>
        <rFont val="Times New Roman"/>
        <family val="1"/>
      </rPr>
      <t xml:space="preserve"> Temperature normalization.</t>
    </r>
  </si>
  <si>
    <t>Total Annualized</t>
  </si>
  <si>
    <t>Restating and Annualized Adj.</t>
  </si>
  <si>
    <t>DSM</t>
  </si>
  <si>
    <t>Blue Sky</t>
  </si>
  <si>
    <t xml:space="preserve">DSM </t>
  </si>
  <si>
    <t>Revenue Accounting Adj</t>
  </si>
  <si>
    <t>Irrigation Demand Charge Accrual</t>
  </si>
  <si>
    <t>305 from Cognos (305 Reports)</t>
  </si>
  <si>
    <t>REVENUE ADJUSTMENT - DEFERRED NPC</t>
  </si>
  <si>
    <t>def</t>
  </si>
  <si>
    <t>dsm</t>
  </si>
  <si>
    <t>301270-DSM REVENUE-COMMERCIAL</t>
  </si>
  <si>
    <t>blue</t>
  </si>
  <si>
    <t>301280-BLUE SKY REVENUE-COMMERCIAL</t>
  </si>
  <si>
    <t>02NMT24135, Net metering, WA-BPA</t>
  </si>
  <si>
    <t>301370-DSM REVENUE-INDUSTRIAL</t>
  </si>
  <si>
    <t>irr</t>
  </si>
  <si>
    <t>301470-DSM REVENUE-IRRIGATION</t>
  </si>
  <si>
    <t>301480-BLUE SKY REVENUE-IRRIGATION</t>
  </si>
  <si>
    <t>bbpaadj</t>
  </si>
  <si>
    <t>301670-DSM REVENUE-PSHL</t>
  </si>
  <si>
    <t>301170-DSM REVENUE-RESIDENTIAL</t>
  </si>
  <si>
    <t>301180-BLUE SKY REVENUE-RESIDENTIAL</t>
  </si>
  <si>
    <t>02RGNSB024-WA SMALL GENERAL SVC-RES</t>
  </si>
  <si>
    <t>02RGNSB024-WA SMALL GENERAL SVC-RES-BPA</t>
  </si>
  <si>
    <t>Schedule 17</t>
  </si>
  <si>
    <t>Small General Service-Residential</t>
  </si>
  <si>
    <t xml:space="preserve">Normalization </t>
  </si>
  <si>
    <t>Irr</t>
  </si>
  <si>
    <t>Ind</t>
  </si>
  <si>
    <t>Sch 17</t>
  </si>
  <si>
    <t>Sch 48</t>
  </si>
  <si>
    <t>Sch 40</t>
  </si>
  <si>
    <t>Schedule 40</t>
  </si>
  <si>
    <t>Tolerance Adj</t>
  </si>
  <si>
    <r>
      <t>Rate Change</t>
    </r>
    <r>
      <rPr>
        <vertAlign val="superscript"/>
        <sz val="12"/>
        <rFont val="Times New Roman"/>
        <family val="1"/>
      </rPr>
      <t>2</t>
    </r>
  </si>
  <si>
    <t>Unit Price New</t>
  </si>
  <si>
    <t xml:space="preserve">      ** Does not include November Load Size Charge.</t>
  </si>
  <si>
    <t>Cost Of Service By Rate Schedule</t>
  </si>
  <si>
    <t>Demand Factors</t>
  </si>
  <si>
    <t>F</t>
  </si>
  <si>
    <t>G</t>
  </si>
  <si>
    <t>H</t>
  </si>
  <si>
    <t>Small General</t>
  </si>
  <si>
    <t>Large General</t>
  </si>
  <si>
    <t>Agricultural</t>
  </si>
  <si>
    <t>Street &amp; Area</t>
  </si>
  <si>
    <t>Service</t>
  </si>
  <si>
    <t>Service &lt;1,000 kW</t>
  </si>
  <si>
    <t>Service &gt;1,000 kW</t>
  </si>
  <si>
    <t>Dedicated Facilities</t>
  </si>
  <si>
    <t>Pumping</t>
  </si>
  <si>
    <t>Schedule 48T</t>
  </si>
  <si>
    <t>Sch. 15,51-54,57</t>
  </si>
  <si>
    <t>Secondary</t>
  </si>
  <si>
    <t>Primary</t>
  </si>
  <si>
    <t>Sub-Transmission</t>
  </si>
  <si>
    <t>Transmission</t>
  </si>
  <si>
    <t>Total KW @ Input</t>
  </si>
  <si>
    <t>Total MWH @ Input</t>
  </si>
  <si>
    <t>MWH %</t>
  </si>
  <si>
    <t>NPC Spread</t>
  </si>
  <si>
    <t>Sch 15</t>
  </si>
  <si>
    <t>Sch 51</t>
  </si>
  <si>
    <t>Sch 52</t>
  </si>
  <si>
    <t>Sch 53</t>
  </si>
  <si>
    <t>Sch 54</t>
  </si>
  <si>
    <t>Sch 57</t>
  </si>
  <si>
    <t>(11)</t>
  </si>
  <si>
    <t>(12)</t>
  </si>
  <si>
    <t>16/17/18</t>
  </si>
  <si>
    <t>(#2) Reduced number of customers by change in new Schedule 17 customers</t>
  </si>
  <si>
    <t>Monthly Basic Charge</t>
  </si>
  <si>
    <t>Large General Service 30,000 kW and over-Primary Dedicated Facilities</t>
  </si>
  <si>
    <r>
      <t xml:space="preserve">Monthly Energy Charge </t>
    </r>
    <r>
      <rPr>
        <vertAlign val="superscript"/>
        <sz val="11"/>
        <rFont val="Times New Roman"/>
        <family val="1"/>
      </rPr>
      <t>1</t>
    </r>
  </si>
  <si>
    <t>02NMT48135-WA LG SVC NET METER=&gt;1000 KW</t>
  </si>
  <si>
    <t>02NMT40135-WA NET METERING-IRG</t>
  </si>
  <si>
    <t>02NMT40135-WA NET METERING BPA-IRG</t>
  </si>
  <si>
    <t>Pacific Power &amp; Light</t>
  </si>
  <si>
    <t xml:space="preserve">Pacific Power &amp; Light </t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</si>
  <si>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</si>
  <si>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</si>
  <si>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</si>
  <si>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</si>
  <si>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</si>
  <si>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</si>
  <si>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</si>
  <si>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</si>
  <si>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</si>
  <si>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</si>
  <si>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</si>
  <si>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</si>
  <si>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</si>
  <si>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</si>
  <si>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</si>
  <si>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</si>
  <si>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</si>
  <si>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</si>
  <si>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</si>
  <si>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</si>
  <si>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</si>
  <si>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</si>
  <si>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</si>
  <si>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</si>
  <si>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</si>
  <si>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</si>
  <si>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</si>
  <si>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</si>
  <si>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</si>
  <si>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PacifiCorp - State of Washington</t>
  </si>
  <si>
    <t>System Benefits Charge - All Schedules</t>
  </si>
  <si>
    <t>Schedule 191 Revenues</t>
  </si>
  <si>
    <t>KWH</t>
  </si>
  <si>
    <t>per KWH</t>
  </si>
  <si>
    <t>48T-Dedicated Facilities</t>
  </si>
  <si>
    <t>Totals</t>
  </si>
  <si>
    <t>Variance</t>
  </si>
  <si>
    <t>December 13 Blocking</t>
  </si>
  <si>
    <t xml:space="preserve"> I</t>
  </si>
  <si>
    <r>
      <t>2</t>
    </r>
    <r>
      <rPr>
        <sz val="12"/>
        <rFont val="Times New Roman"/>
        <family val="1"/>
      </rPr>
      <t xml:space="preserve"> Removes Schedule 98 (BPA), Schedule 191 (System Benefits Charge), SMUD, Revenue Accounting Adjustments, Chehalis Deferral, DSM, Blue Sky, Out-of-Period and Tolerance Adjustment.</t>
    </r>
  </si>
  <si>
    <t>Schedule 48</t>
  </si>
  <si>
    <t>Commercial (Sec)</t>
  </si>
  <si>
    <t>Commercial (Pri)</t>
  </si>
  <si>
    <t>PCAM-Base - NPC per kWh</t>
  </si>
  <si>
    <t>NPC</t>
  </si>
  <si>
    <t>PCAM-Base - 1st 600 kWh</t>
  </si>
  <si>
    <t>PCAM-Base - All Addt'l kWh</t>
  </si>
  <si>
    <t>Total Rate - 1st 600 kWh</t>
  </si>
  <si>
    <t>Total Rate - All Addt'l kWh</t>
  </si>
  <si>
    <t>PCAM-Base - 1st 1,000 kWh</t>
  </si>
  <si>
    <t>PCAM-Base -Next 8,000 kWh</t>
  </si>
  <si>
    <t>PCAM-Base - All Additional kWh</t>
  </si>
  <si>
    <t>Total Rate - 1st 1,000 kWh</t>
  </si>
  <si>
    <t>Total Rate - Next 8,000 kWh</t>
  </si>
  <si>
    <t>Total Rate - All Additional kWh</t>
  </si>
  <si>
    <t>PCAM-Base - 1st 40,000 kWh</t>
  </si>
  <si>
    <t>PCAM-Base - All additional kWh</t>
  </si>
  <si>
    <t>Total Rate - 1st 40,000 kWh</t>
  </si>
  <si>
    <t>Total Rate - All additional kWh</t>
  </si>
  <si>
    <t>PCAM-Base - All kWh</t>
  </si>
  <si>
    <t>Total Rate - All kWh</t>
  </si>
  <si>
    <t>Total Energy Rate per kWh</t>
  </si>
  <si>
    <t>Total Energy Rate</t>
  </si>
  <si>
    <t xml:space="preserve">Distribution </t>
  </si>
  <si>
    <t>Distribution</t>
  </si>
  <si>
    <t>Generation</t>
  </si>
  <si>
    <t>Values</t>
  </si>
  <si>
    <t>12 Months Ending December 2013</t>
  </si>
  <si>
    <t>WCA Method - (100 Summer, 100 Winter Hours) - 43%D / 57%E</t>
  </si>
  <si>
    <t>NPC-Base - 1st 40,000 kWh</t>
  </si>
  <si>
    <t>NPC-Base - All additional kWh</t>
  </si>
  <si>
    <t>NPC-Base - NPC per kWh</t>
  </si>
  <si>
    <t>NPC-Base - per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</si>
  <si>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</si>
  <si>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</si>
  <si>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</si>
  <si>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</si>
  <si>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</si>
  <si>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</si>
  <si>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FACTOR 10 - 43% D / 57% E</t>
  </si>
  <si>
    <t>class increase</t>
  </si>
  <si>
    <t>class average</t>
  </si>
  <si>
    <t>ESTIMATED EFFECT OF PROPOSED BASE RATE INCREASE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</si>
  <si>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Deferral Surcharge and BPA Credit.</t>
    </r>
  </si>
  <si>
    <t xml:space="preserve">       * Includes SBC Charge, Deferral Surcharge and Low Income Charge.</t>
  </si>
  <si>
    <t xml:space="preserve">       * Includes SBC Charge BPA Credit, Deferral Surcharge and Low Income charge.</t>
  </si>
  <si>
    <t>(6)/(4)</t>
  </si>
  <si>
    <t>Large Partial Requirements Service - Secondary</t>
  </si>
  <si>
    <t>NPC-Base - NPC per kWh *</t>
  </si>
  <si>
    <t>*Included in Generation Price</t>
  </si>
  <si>
    <t>NPC-Base - All kWh *</t>
  </si>
  <si>
    <t xml:space="preserve">LED </t>
  </si>
  <si>
    <t xml:space="preserve">    4,000 Lumens</t>
  </si>
  <si>
    <t xml:space="preserve">    6,200 Lumens</t>
  </si>
  <si>
    <t xml:space="preserve">    13,000 Lumens</t>
  </si>
  <si>
    <t xml:space="preserve">    16,800 Lumens</t>
  </si>
  <si>
    <t>501NPC</t>
  </si>
  <si>
    <t>503NPC</t>
  </si>
  <si>
    <t>547NPC</t>
  </si>
  <si>
    <t>565NPC</t>
  </si>
  <si>
    <t>T</t>
  </si>
  <si>
    <t>Source: Exhibit No.__(JRS-xx) Tab 5</t>
  </si>
  <si>
    <t>(6/4)</t>
  </si>
  <si>
    <t>Residential Overall:</t>
  </si>
  <si>
    <t>Schedule 48 Overall:</t>
  </si>
  <si>
    <t>Total Change</t>
  </si>
  <si>
    <t xml:space="preserve">UNBILLED REVENUE                        </t>
  </si>
  <si>
    <t xml:space="preserve">BPA BALANCING ACCOUNT                   </t>
  </si>
  <si>
    <t xml:space="preserve">02GNSV0024-WA GEN SRVC                  </t>
  </si>
  <si>
    <t xml:space="preserve">02GNSV024F-WA GEN SRVC-FL               </t>
  </si>
  <si>
    <t xml:space="preserve">02LGSV0036-WA LRG GEN SRV               </t>
  </si>
  <si>
    <t xml:space="preserve">02LGSV048T-LRG GEN SRVC 1               </t>
  </si>
  <si>
    <t xml:space="preserve">02LNX00102-LINE EXT 80% G               </t>
  </si>
  <si>
    <t xml:space="preserve">02LNX00103-LINE EXT 80% G               </t>
  </si>
  <si>
    <t xml:space="preserve">02LNX00105-CNTRCT $ MIN G               </t>
  </si>
  <si>
    <t xml:space="preserve">02LNX00109-REF/NREF ADV +               </t>
  </si>
  <si>
    <t xml:space="preserve">02LNX00110-REF/NREF ADV +               </t>
  </si>
  <si>
    <t xml:space="preserve">02LNX00112-YR INCURRED CH               </t>
  </si>
  <si>
    <t xml:space="preserve">02OALT015N-WA OUTD AR LGT               </t>
  </si>
  <si>
    <t xml:space="preserve">02RCFL0054-WA REC FIELD L               </t>
  </si>
  <si>
    <t xml:space="preserve">CUSTOMER COUNT - REGULAR                </t>
  </si>
  <si>
    <t xml:space="preserve">CUSTOMER COUNT - BPA                    </t>
  </si>
  <si>
    <t xml:space="preserve">02RESD0016-WA RES SRVC                  </t>
  </si>
  <si>
    <t>02RESD0016-WA RES SRVC-BPA</t>
  </si>
  <si>
    <t xml:space="preserve">02RESD0018-WA 3 PHASE RES               </t>
  </si>
  <si>
    <t>02RESD0018-WA 3 PHASE RES-BPA</t>
  </si>
  <si>
    <t xml:space="preserve">02RESD018X-WA 3 PHASE RES               </t>
  </si>
  <si>
    <t>02RESD018X-WA 3 PHASE RES-BPA</t>
  </si>
  <si>
    <t xml:space="preserve">02UPPL000R-BASE SCH FALL                </t>
  </si>
  <si>
    <t xml:space="preserve">02BLSKY01R-BLUESKY ENERGY               </t>
  </si>
  <si>
    <t xml:space="preserve">02RESD0017-BILL ASSISTANC               </t>
  </si>
  <si>
    <t xml:space="preserve">02CFR00012-STR LGTS (CONV               </t>
  </si>
  <si>
    <t xml:space="preserve">02COSL0052-WA STR LGT SRV               </t>
  </si>
  <si>
    <t xml:space="preserve">02CUSL053F-WA STR LGT SRV               </t>
  </si>
  <si>
    <t xml:space="preserve">02CUSL053M-WA STR LGT SRV               </t>
  </si>
  <si>
    <t>02SLCO0051-WA COMPANY STREET LIGHTING</t>
  </si>
  <si>
    <t xml:space="preserve">02MVSL0057-WA MERC VAPSTR               </t>
  </si>
  <si>
    <t xml:space="preserve">IRRIGATION UNBILLED                     </t>
  </si>
  <si>
    <t xml:space="preserve">IRRIGATION BPA BAL ACCT                 </t>
  </si>
  <si>
    <t xml:space="preserve">02APSV0040-WA AG PMP SRVC               </t>
  </si>
  <si>
    <t xml:space="preserve">02APSV040X-WA AG PMP SRVC               </t>
  </si>
  <si>
    <t xml:space="preserve">02BPADEBIT-BPA ADJUST FEE               </t>
  </si>
  <si>
    <t xml:space="preserve">CUSTOMER CNT - IRRIGATION               </t>
  </si>
  <si>
    <t xml:space="preserve">CUSTOMER CNT - IRRIG BPA                </t>
  </si>
  <si>
    <t xml:space="preserve">02PRSV47TM-LRG PART REQMT               </t>
  </si>
  <si>
    <t>Washington- June 2015</t>
  </si>
  <si>
    <t>Washington- 12 Months Ended June 2015</t>
  </si>
  <si>
    <t>02SLCO0051</t>
  </si>
  <si>
    <t>12 Months Ended June 2015</t>
  </si>
  <si>
    <t>Washington Depreciation Adjustment (part of Sch 92)- All Schedules</t>
  </si>
  <si>
    <t>Sch. 92-D</t>
  </si>
  <si>
    <t>Pre-3/31/15</t>
  </si>
  <si>
    <t>Post 3/31/15</t>
  </si>
  <si>
    <t>Washington Merwin Adjustment (part of Sch 92) - All Schedules</t>
  </si>
  <si>
    <t>Sch 92-M</t>
  </si>
  <si>
    <t>Merwin</t>
  </si>
  <si>
    <t>Sch 92</t>
  </si>
  <si>
    <t>Depreciation</t>
  </si>
  <si>
    <t>Sch 92 Depreciation</t>
  </si>
  <si>
    <t>Sch 92 Merwin</t>
  </si>
  <si>
    <t>O -M</t>
  </si>
  <si>
    <t>(T-M)/M</t>
  </si>
  <si>
    <t>T-O</t>
  </si>
  <si>
    <t>12 mo ending</t>
  </si>
  <si>
    <t>June 15 Blocking</t>
  </si>
  <si>
    <t>Calc Pres Rev</t>
  </si>
  <si>
    <t>12 MONTHS ENDED JUNE 2015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</si>
  <si>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-$10,285,807, Sch 92 Depreciation $159,574, Sch 92 Merwin -$96,097, SMUD -$197,969, Chehalis Deferral $3,000,000, Revenue Accounting Adjustments $9,838,650,</t>
    </r>
  </si>
  <si>
    <t>12 Months Ended December 2013</t>
  </si>
  <si>
    <t xml:space="preserve"> Irrigation Demand Charge -$64,000, DSM -$11,532,983, Blue Sky -$144,079 Out of Period $758,723 and Tolerance Adjustment -$7,849.</t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</si>
  <si>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Adjustments back out Schedule 191 (System Benefits Charge) -$10,285,807, Sch 92 Depreciation $159,574, Sch 92 Merwin -$96,097, SMUD -$197,969, BPA $7,265,780, Chehalis Deferral $3,000,000, Revenue Accounting Adjustments $9,838,650, Irrigation Demand Charge -$64,000, DSM -$11,532,983, Blue Sky -$144,079,  Out of Period $758,723 and tolerance adjustment -$7,849.</t>
    </r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</si>
  <si>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</si>
  <si>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</si>
  <si>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</si>
  <si>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</si>
  <si>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</si>
  <si>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</si>
  <si>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</si>
  <si>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</si>
  <si>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</si>
  <si>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</si>
  <si>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</si>
  <si>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</si>
  <si>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</si>
  <si>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</si>
  <si>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</si>
  <si>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</si>
  <si>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</si>
  <si>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r>
      <t>2</t>
    </r>
    <r>
      <rPr>
        <sz val="12"/>
        <rFont val="Times New Roman"/>
        <family val="1"/>
      </rPr>
      <t xml:space="preserve"> Impact of $9.6 million price increase effective March 31, 2015.</t>
    </r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</si>
  <si>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</si>
  <si>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</si>
  <si>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</si>
  <si>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</si>
  <si>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</si>
  <si>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</si>
  <si>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</si>
  <si>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</si>
  <si>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r>
      <t>1</t>
    </r>
    <r>
      <rPr>
        <sz val="12"/>
        <rFont val="Times New Roman"/>
        <family val="1"/>
      </rPr>
      <t xml:space="preserve"> Temperature normalization -23,137,645 kWh, and Out of Period 10,209,168 </t>
    </r>
  </si>
  <si>
    <t>and tolerance adjustment 6,993.</t>
  </si>
  <si>
    <t>(6)+(10)</t>
  </si>
  <si>
    <t>(13)</t>
  </si>
  <si>
    <t>(9)/(4)</t>
  </si>
  <si>
    <t>-3.06500E+0 Total</t>
  </si>
  <si>
    <t>-4.90400E+0 Total</t>
  </si>
  <si>
    <t>-7.29000E+0 Total</t>
  </si>
  <si>
    <t>@5428 participants</t>
  </si>
  <si>
    <t>Estimated kWh for 5,664 participants</t>
  </si>
  <si>
    <t>Level 1 - 7.290</t>
  </si>
  <si>
    <t>Level 2 - 4.904</t>
  </si>
  <si>
    <t>Level 3 - 3.065</t>
  </si>
  <si>
    <t>Avg kWh</t>
  </si>
  <si>
    <t>Avg Cust</t>
  </si>
  <si>
    <t>Avg credit</t>
  </si>
  <si>
    <t>Price Schedule 40 *</t>
  </si>
  <si>
    <t xml:space="preserve">Program </t>
  </si>
  <si>
    <t>@5664 participants</t>
  </si>
  <si>
    <t>Year 2</t>
  </si>
  <si>
    <t>Effective September 15, 2016</t>
  </si>
  <si>
    <t>Effective September 15, 2017</t>
  </si>
  <si>
    <t>September 15, 2016</t>
  </si>
  <si>
    <t>September 15, 2017</t>
  </si>
  <si>
    <t>Proposed Effective 09/15/17</t>
  </si>
  <si>
    <t>9/15/17</t>
  </si>
  <si>
    <t xml:space="preserve">Current Credit per Participant plus 3.36% </t>
  </si>
  <si>
    <t xml:space="preserve">Current Credit per Participant plus 4.64% </t>
  </si>
  <si>
    <t>Proposed Effective 10/04/16</t>
  </si>
  <si>
    <t>Renewable</t>
  </si>
  <si>
    <t>Renewal</t>
  </si>
  <si>
    <t>Renewables</t>
  </si>
  <si>
    <t>Currernt</t>
  </si>
  <si>
    <t xml:space="preserve">    4,600 Lumens</t>
  </si>
  <si>
    <t xml:space="preserve">    5,600 Lumens</t>
  </si>
  <si>
    <t xml:space="preserve">    8,400 Lumens</t>
  </si>
  <si>
    <t xml:space="preserve">    9,800 Lumens</t>
  </si>
  <si>
    <t xml:space="preserve">    17,100 Lumens</t>
  </si>
  <si>
    <t xml:space="preserve">    22,100 Lumens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</si>
</sst>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&quot;$&quot;#,##0"/>
    <numFmt numFmtId="166" formatCode="0.0000%"/>
    <numFmt numFmtId="167" formatCode="_(&quot;$&quot;* #,##0_);_(&quot;$&quot;* \(#,##0\);_(&quot;$&quot;* &quot;-&quot;??_);_(@_)"/>
    <numFmt numFmtId="168" formatCode="_(* #,##0_);_(* \(#,##0\);_(* &quot;-&quot;??_);_(@_)"/>
    <numFmt numFmtId="169" formatCode="General_)"/>
    <numFmt numFmtId="170" formatCode="0.000000"/>
    <numFmt numFmtId="171" formatCode="0.0%"/>
    <numFmt numFmtId="172" formatCode="&quot;$&quot;#,##0.00"/>
    <numFmt numFmtId="173" formatCode="&quot;$&quot;#,##0.00000_);\(&quot;$&quot;#,##0.00000\)"/>
    <numFmt numFmtId="174" formatCode="#,##0.0000"/>
    <numFmt numFmtId="175" formatCode="#,##0.00000"/>
    <numFmt numFmtId="176" formatCode="_(&quot;$&quot;* #,##0.00000_);_(&quot;$&quot;* \(#,##0.00000\);_(&quot;$&quot;* &quot;-&quot;?????_);_(@_)"/>
    <numFmt numFmtId="177" formatCode="0.0"/>
    <numFmt numFmtId="178" formatCode="_(* #,##0.0000_);_(* \(#,##0.0000\);_(* &quot;-&quot;??_);_(@_)"/>
    <numFmt numFmtId="179" formatCode="_(* #,##0.00000_);_(* \(#,##0.00000\);_(* &quot;-&quot;??_);_(@_)"/>
    <numFmt numFmtId="180" formatCode="0.000"/>
    <numFmt numFmtId="181" formatCode="########\-###\-###"/>
    <numFmt numFmtId="182" formatCode="#,##0.000_);\(#,##0.000\)"/>
    <numFmt numFmtId="183" formatCode="_(* #,##0.000_);_(* \(#,##0.000\);_(* &quot;-&quot;??_);_(@_)"/>
    <numFmt numFmtId="184" formatCode="0.000_)"/>
    <numFmt numFmtId="185" formatCode="0.000000_)"/>
    <numFmt numFmtId="186" formatCode="0.00000000_)"/>
    <numFmt numFmtId="187" formatCode="&quot;$&quot;#,##0.000_);\(&quot;$&quot;#,##0.000\)"/>
    <numFmt numFmtId="188" formatCode="0.0000_)"/>
    <numFmt numFmtId="189" formatCode="0.00_)"/>
    <numFmt numFmtId="190" formatCode="0.000000000_)"/>
    <numFmt numFmtId="191" formatCode="#,##0.0_);\(#,##0.0\)"/>
    <numFmt numFmtId="192" formatCode="#,##0.000"/>
    <numFmt numFmtId="193" formatCode="#,##0;\-#,##0;#,##0"/>
    <numFmt numFmtId="194" formatCode="&quot;$&quot;#,##0.00_);\-&quot;$&quot;#,##0.00_);&quot;$&quot;#,##0.00_)"/>
    <numFmt numFmtId="195" formatCode="&quot;$&quot;#,##0.000000_);\(&quot;$&quot;#,##0.000000\)"/>
    <numFmt numFmtId="196" formatCode="_(&quot;$&quot;* #,##0.00000_);_(&quot;$&quot;* \(#,##0.00000\);_(&quot;$&quot;* &quot;-&quot;??_);_(@_)"/>
    <numFmt numFmtId="197" formatCode="0.000%"/>
    <numFmt numFmtId="198" formatCode="0.00000%"/>
    <numFmt numFmtId="199" formatCode="0.000000%"/>
    <numFmt numFmtId="200" formatCode="#,##0.0000000"/>
    <numFmt numFmtId="201" formatCode="_(* #,##0.00000000_);_(* \(#,##0.00000000\);_(* &quot;-&quot;??_);_(@_)"/>
    <numFmt numFmtId="202" formatCode="0.0000000%"/>
    <numFmt numFmtId="203" formatCode="0.00000000000000%"/>
    <numFmt numFmtId="204" formatCode="_(&quot;$&quot;* #,##0.000000_);_(&quot;$&quot;* \(#,##0.000000\);_(&quot;$&quot;* &quot;-&quot;??_);_(@_)"/>
    <numFmt numFmtId="205" formatCode="0.00000E+0;\-0.00000E+0"/>
    <numFmt numFmtId="206" formatCode="#,##0_)"/>
    <numFmt numFmtId="207" formatCode="#,##0.00;\-#,##0.00"/>
    <numFmt numFmtId="208" formatCode="0_);\(0\)"/>
    <numFmt numFmtId="209" formatCode="_(* #,##0.000000_);_(* \(#,##0.000000\);_(* &quot;-&quot;??_);_(@_)"/>
    <numFmt numFmtId="210" formatCode="&quot;$&quot;#,##0.0_);\(&quot;$&quot;#,##0.0\)"/>
    <numFmt numFmtId="211" formatCode="&quot;$&quot;#,##0_)"/>
    <numFmt numFmtId="212" formatCode="_(&quot;$&quot;* #,##0.0_);_(&quot;$&quot;* \(#,##0.0\);_(&quot;$&quot;* &quot;-&quot;??_);_(@_)"/>
    <numFmt numFmtId="213" formatCode="_(&quot;$&quot;* #,##0.000_);_(&quot;$&quot;* \(#,##0.000\);_(&quot;$&quot;* &quot;-&quot;_);_(@_)"/>
    <numFmt numFmtId="214" formatCode="&quot;$&quot;#,##0.0000_);\(&quot;$&quot;#,##0.0000\)"/>
  </numFmts>
  <fonts count="9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u val="singleAccounting"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u val="double"/>
      <sz val="12"/>
      <name val="Times New Roman"/>
      <family val="1"/>
    </font>
    <font>
      <vertAlign val="superscript"/>
      <sz val="12"/>
      <name val="Times New Roman"/>
      <family val="1"/>
    </font>
    <font>
      <sz val="10"/>
      <name val="Times New Roman"/>
      <family val="1"/>
    </font>
    <font>
      <b/>
      <sz val="18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i/>
      <sz val="12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17"/>
      <name val="Times New Roman"/>
      <family val="1"/>
    </font>
    <font>
      <sz val="12"/>
      <color indexed="56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i/>
      <sz val="12"/>
      <color indexed="57"/>
      <name val="Times New Roman"/>
      <family val="1"/>
    </font>
    <font>
      <b/>
      <i/>
      <sz val="12"/>
      <color indexed="57"/>
      <name val="Times New Roman"/>
      <family val="1"/>
    </font>
    <font>
      <b/>
      <sz val="12"/>
      <name val="Times New Roman"/>
      <family val="1"/>
    </font>
    <font>
      <sz val="12"/>
      <color indexed="55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16"/>
      <name val="Times New Roman"/>
      <family val="1"/>
    </font>
    <font>
      <sz val="18"/>
      <name val="Times New Roman"/>
      <family val="1"/>
    </font>
    <font>
      <sz val="12"/>
      <name val="Arial"/>
      <family val="2"/>
      <charset val="1"/>
    </font>
    <font>
      <sz val="7"/>
      <name val="Arial"/>
      <family val="2"/>
      <charset val="1"/>
    </font>
    <font>
      <sz val="10"/>
      <name val="Arial"/>
      <family val="2"/>
    </font>
    <font>
      <b/>
      <u/>
      <sz val="12"/>
      <color indexed="8"/>
      <name val="Times New Roman"/>
      <family val="1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b/>
      <sz val="14"/>
      <name val="Arial MT"/>
    </font>
    <font>
      <sz val="14"/>
      <name val="Arial MT"/>
    </font>
    <font>
      <u/>
      <sz val="14"/>
      <name val="Arial MT"/>
    </font>
    <font>
      <b/>
      <sz val="14"/>
      <color rgb="FF0070C0"/>
      <name val="Arial MT"/>
    </font>
    <font>
      <sz val="14"/>
      <color rgb="FF0070C0"/>
      <name val="Arial MT"/>
    </font>
    <font>
      <b/>
      <u/>
      <sz val="14"/>
      <color rgb="FF0070C0"/>
      <name val="Arial MT"/>
    </font>
    <font>
      <b/>
      <u/>
      <sz val="14"/>
      <name val="Arial MT"/>
    </font>
    <font>
      <u/>
      <sz val="11"/>
      <color theme="1"/>
      <name val="Calibri"/>
      <family val="2"/>
      <scheme val="minor"/>
    </font>
    <font>
      <sz val="14"/>
      <color rgb="FF3399FF"/>
      <name val="Arial MT"/>
    </font>
    <font>
      <u/>
      <sz val="12"/>
      <name val="Arial MT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8">
    <border>
      <left/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thin">
        <color indexed="8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 style="double">
        <color indexed="64"/>
      </bottom>
      <diagonal/>
    </border>
    <border>
      <left/>
      <right style="thin">
        <color indexed="8"/>
      </right>
      <top style="double">
        <color indexed="8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12"/>
      </top>
      <bottom/>
      <diagonal/>
    </border>
  </borders>
  <cellStyleXfs count="48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0" fillId="0" borderId="0" applyFont="0" applyFill="0" applyBorder="0" applyAlignment="0" applyProtection="0">
      <alignment horizontal="left"/>
    </xf>
    <xf numFmtId="181" fontId="5" fillId="0" borderId="0"/>
    <xf numFmtId="168" fontId="9" fillId="0" borderId="0" applyFont="0" applyAlignment="0" applyProtection="0"/>
    <xf numFmtId="0" fontId="5" fillId="0" borderId="0"/>
    <xf numFmtId="0" fontId="5" fillId="0" borderId="0"/>
    <xf numFmtId="0" fontId="5" fillId="0" borderId="0"/>
    <xf numFmtId="0" fontId="13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9" fontId="5" fillId="0" borderId="0" applyFont="0" applyFill="0" applyBorder="0" applyAlignment="0" applyProtection="0"/>
    <xf numFmtId="169" fontId="21" fillId="0" borderId="0">
      <alignment horizontal="left"/>
    </xf>
    <xf numFmtId="0" fontId="5" fillId="0" borderId="0">
      <alignment wrapText="1"/>
    </xf>
    <xf numFmtId="0" fontId="64" fillId="0" borderId="0"/>
    <xf numFmtId="43" fontId="64" fillId="0" borderId="0" applyFont="0" applyFill="0" applyBorder="0" applyAlignment="0" applyProtection="0"/>
    <xf numFmtId="0" fontId="65" fillId="0" borderId="0"/>
    <xf numFmtId="0" fontId="66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2" fillId="0" borderId="0"/>
    <xf numFmtId="0" fontId="12" fillId="0" borderId="0"/>
    <xf numFmtId="0" fontId="5" fillId="0" borderId="0"/>
    <xf numFmtId="43" fontId="5" fillId="0" borderId="0" applyFont="0" applyFill="0" applyBorder="0" applyAlignment="0" applyProtection="0"/>
    <xf numFmtId="0" fontId="12" fillId="0" borderId="0"/>
    <xf numFmtId="0" fontId="5" fillId="0" borderId="0">
      <alignment wrapText="1"/>
    </xf>
    <xf numFmtId="0" fontId="71" fillId="0" borderId="0">
      <alignment wrapText="1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1" fontId="7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75" fillId="0" borderId="0">
      <alignment wrapText="1"/>
    </xf>
    <xf numFmtId="44" fontId="46" fillId="0" borderId="0" applyFont="0" applyFill="0" applyBorder="0" applyAlignment="0" applyProtection="0"/>
    <xf numFmtId="0" fontId="46" fillId="0" borderId="0"/>
    <xf numFmtId="0" fontId="5" fillId="0" borderId="0"/>
    <xf numFmtId="0" fontId="76" fillId="0" borderId="0"/>
    <xf numFmtId="0" fontId="5" fillId="0" borderId="0"/>
    <xf numFmtId="0" fontId="76" fillId="0" borderId="0"/>
    <xf numFmtId="9" fontId="5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</cellStyleXfs>
  <cellXfs count="1496">
    <xf numFmtId="0" fontId="0" fillId="0" borderId="0" xfId="0"/>
    <xf numFmtId="0" fontId="6" fillId="0" borderId="0" xfId="0" applyFont="1" applyFill="1" applyProtection="1"/>
    <xf numFmtId="5" fontId="6" fillId="0" borderId="0" xfId="0" applyNumberFormat="1" applyFont="1" applyFill="1" applyProtection="1"/>
    <xf numFmtId="0" fontId="0" fillId="0" borderId="0" xfId="0" applyFill="1"/>
    <xf numFmtId="0" fontId="12" fillId="0" borderId="0" xfId="0" applyFont="1" applyFill="1"/>
    <xf numFmtId="0" fontId="14" fillId="0" borderId="0" xfId="0" applyFont="1" applyFill="1"/>
    <xf numFmtId="0" fontId="12" fillId="0" borderId="4" xfId="0" applyFont="1" applyFill="1" applyBorder="1"/>
    <xf numFmtId="0" fontId="12" fillId="0" borderId="0" xfId="0" applyFont="1" applyFill="1" applyBorder="1"/>
    <xf numFmtId="168" fontId="12" fillId="0" borderId="0" xfId="0" applyNumberFormat="1" applyFont="1" applyFill="1"/>
    <xf numFmtId="168" fontId="12" fillId="0" borderId="0" xfId="0" applyNumberFormat="1" applyFont="1" applyFill="1" applyBorder="1"/>
    <xf numFmtId="168" fontId="12" fillId="0" borderId="5" xfId="0" applyNumberFormat="1" applyFont="1" applyFill="1" applyBorder="1"/>
    <xf numFmtId="0" fontId="10" fillId="0" borderId="0" xfId="0" applyFont="1" applyFill="1"/>
    <xf numFmtId="168" fontId="10" fillId="0" borderId="0" xfId="0" applyNumberFormat="1" applyFont="1" applyFill="1"/>
    <xf numFmtId="0" fontId="15" fillId="0" borderId="0" xfId="0" applyFont="1" applyFill="1"/>
    <xf numFmtId="171" fontId="13" fillId="0" borderId="0" xfId="14" applyNumberFormat="1" applyFont="1" applyFill="1"/>
    <xf numFmtId="168" fontId="0" fillId="0" borderId="0" xfId="0" applyNumberFormat="1" applyFill="1"/>
    <xf numFmtId="171" fontId="10" fillId="0" borderId="0" xfId="14" applyNumberFormat="1" applyFont="1" applyFill="1"/>
    <xf numFmtId="168" fontId="15" fillId="0" borderId="0" xfId="0" applyNumberFormat="1" applyFont="1" applyFill="1"/>
    <xf numFmtId="171" fontId="15" fillId="0" borderId="0" xfId="14" applyNumberFormat="1" applyFon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6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167" fontId="6" fillId="0" borderId="0" xfId="2" applyNumberFormat="1" applyFont="1" applyFill="1" applyProtection="1"/>
    <xf numFmtId="37" fontId="6" fillId="0" borderId="0" xfId="0" applyNumberFormat="1" applyFont="1" applyFill="1" applyBorder="1" applyProtection="1"/>
    <xf numFmtId="0" fontId="12" fillId="0" borderId="12" xfId="0" applyFont="1" applyFill="1" applyBorder="1" applyAlignment="1">
      <alignment horizontal="center"/>
    </xf>
    <xf numFmtId="0" fontId="12" fillId="0" borderId="13" xfId="0" applyFont="1" applyFill="1" applyBorder="1" applyAlignment="1">
      <alignment horizontal="center"/>
    </xf>
    <xf numFmtId="165" fontId="12" fillId="0" borderId="0" xfId="0" applyNumberFormat="1" applyFont="1" applyFill="1" applyBorder="1"/>
    <xf numFmtId="165" fontId="12" fillId="0" borderId="4" xfId="0" applyNumberFormat="1" applyFont="1" applyFill="1" applyBorder="1"/>
    <xf numFmtId="165" fontId="10" fillId="0" borderId="0" xfId="0" applyNumberFormat="1" applyFont="1" applyFill="1" applyBorder="1"/>
    <xf numFmtId="3" fontId="12" fillId="0" borderId="0" xfId="0" applyNumberFormat="1" applyFont="1" applyFill="1" applyBorder="1"/>
    <xf numFmtId="0" fontId="12" fillId="0" borderId="14" xfId="0" applyFont="1" applyFill="1" applyBorder="1"/>
    <xf numFmtId="0" fontId="12" fillId="0" borderId="15" xfId="0" applyFont="1" applyFill="1" applyBorder="1"/>
    <xf numFmtId="0" fontId="14" fillId="0" borderId="16" xfId="0" applyFont="1" applyFill="1" applyBorder="1"/>
    <xf numFmtId="168" fontId="12" fillId="0" borderId="16" xfId="0" applyNumberFormat="1" applyFont="1" applyFill="1" applyBorder="1"/>
    <xf numFmtId="165" fontId="12" fillId="0" borderId="15" xfId="0" applyNumberFormat="1" applyFont="1" applyFill="1" applyBorder="1"/>
    <xf numFmtId="0" fontId="15" fillId="0" borderId="17" xfId="0" applyFont="1" applyFill="1" applyBorder="1"/>
    <xf numFmtId="165" fontId="12" fillId="0" borderId="16" xfId="0" applyNumberFormat="1" applyFont="1" applyFill="1" applyBorder="1"/>
    <xf numFmtId="0" fontId="12" fillId="0" borderId="0" xfId="0" applyFont="1" applyFill="1" applyBorder="1" applyAlignment="1">
      <alignment horizontal="center"/>
    </xf>
    <xf numFmtId="3" fontId="12" fillId="0" borderId="18" xfId="0" applyNumberFormat="1" applyFont="1" applyFill="1" applyBorder="1"/>
    <xf numFmtId="0" fontId="0" fillId="0" borderId="5" xfId="0" applyFill="1" applyBorder="1"/>
    <xf numFmtId="0" fontId="19" fillId="0" borderId="0" xfId="0" quotePrefix="1" applyFont="1" applyFill="1" applyAlignment="1">
      <alignment horizontal="center"/>
    </xf>
    <xf numFmtId="0" fontId="16" fillId="0" borderId="0" xfId="0" applyFont="1" applyFill="1" applyAlignment="1"/>
    <xf numFmtId="0" fontId="12" fillId="0" borderId="0" xfId="0" applyFont="1" applyFill="1" applyBorder="1" applyAlignment="1"/>
    <xf numFmtId="3" fontId="12" fillId="0" borderId="4" xfId="0" applyNumberFormat="1" applyFont="1" applyFill="1" applyBorder="1" applyAlignment="1"/>
    <xf numFmtId="0" fontId="12" fillId="0" borderId="0" xfId="0" applyFont="1" applyFill="1" applyAlignment="1"/>
    <xf numFmtId="168" fontId="12" fillId="0" borderId="4" xfId="0" applyNumberFormat="1" applyFont="1" applyFill="1" applyBorder="1"/>
    <xf numFmtId="0" fontId="12" fillId="0" borderId="29" xfId="0" applyFont="1" applyFill="1" applyBorder="1"/>
    <xf numFmtId="0" fontId="18" fillId="0" borderId="0" xfId="0" applyFont="1" applyFill="1" applyAlignment="1">
      <alignment horizontal="centerContinuous"/>
    </xf>
    <xf numFmtId="5" fontId="6" fillId="0" borderId="0" xfId="0" applyNumberFormat="1" applyFont="1" applyFill="1" applyBorder="1" applyProtection="1"/>
    <xf numFmtId="0" fontId="27" fillId="0" borderId="0" xfId="10" applyFont="1" applyFill="1"/>
    <xf numFmtId="0" fontId="0" fillId="0" borderId="0" xfId="0" applyFill="1" applyAlignment="1">
      <alignment horizontal="right"/>
    </xf>
    <xf numFmtId="0" fontId="0" fillId="0" borderId="11" xfId="0" applyFill="1" applyBorder="1"/>
    <xf numFmtId="171" fontId="12" fillId="0" borderId="0" xfId="14" applyNumberFormat="1" applyFont="1" applyFill="1"/>
    <xf numFmtId="165" fontId="12" fillId="0" borderId="12" xfId="0" applyNumberFormat="1" applyFont="1" applyFill="1" applyBorder="1" applyAlignment="1">
      <alignment horizontal="center"/>
    </xf>
    <xf numFmtId="0" fontId="22" fillId="0" borderId="36" xfId="0" applyFont="1" applyFill="1" applyBorder="1" applyAlignment="1">
      <alignment horizontal="left"/>
    </xf>
    <xf numFmtId="0" fontId="0" fillId="0" borderId="28" xfId="0" applyFill="1" applyBorder="1"/>
    <xf numFmtId="3" fontId="14" fillId="0" borderId="0" xfId="0" applyNumberFormat="1" applyFont="1" applyFill="1"/>
    <xf numFmtId="49" fontId="8" fillId="0" borderId="0" xfId="9" applyNumberFormat="1" applyFont="1" applyFill="1"/>
    <xf numFmtId="49" fontId="8" fillId="0" borderId="0" xfId="9" applyNumberFormat="1" applyFont="1" applyFill="1" applyBorder="1"/>
    <xf numFmtId="165" fontId="12" fillId="0" borderId="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37" fontId="12" fillId="0" borderId="0" xfId="0" applyNumberFormat="1" applyFont="1" applyFill="1" applyProtection="1"/>
    <xf numFmtId="167" fontId="6" fillId="0" borderId="0" xfId="0" applyNumberFormat="1" applyFont="1" applyFill="1" applyProtection="1"/>
    <xf numFmtId="0" fontId="0" fillId="0" borderId="38" xfId="0" applyFill="1" applyBorder="1"/>
    <xf numFmtId="168" fontId="0" fillId="0" borderId="39" xfId="0" applyNumberFormat="1" applyFill="1" applyBorder="1"/>
    <xf numFmtId="168" fontId="0" fillId="0" borderId="40" xfId="0" applyNumberFormat="1" applyFill="1" applyBorder="1"/>
    <xf numFmtId="3" fontId="0" fillId="0" borderId="0" xfId="0" applyNumberFormat="1" applyFill="1"/>
    <xf numFmtId="168" fontId="0" fillId="0" borderId="11" xfId="0" applyNumberFormat="1" applyFill="1" applyBorder="1"/>
    <xf numFmtId="168" fontId="0" fillId="0" borderId="41" xfId="0" applyNumberFormat="1" applyFill="1" applyBorder="1"/>
    <xf numFmtId="168" fontId="0" fillId="0" borderId="5" xfId="0" applyNumberFormat="1" applyFill="1" applyBorder="1"/>
    <xf numFmtId="176" fontId="24" fillId="0" borderId="0" xfId="0" applyNumberFormat="1" applyFont="1" applyFill="1"/>
    <xf numFmtId="3" fontId="0" fillId="0" borderId="0" xfId="0" applyNumberFormat="1" applyFill="1" applyBorder="1"/>
    <xf numFmtId="0" fontId="12" fillId="0" borderId="1" xfId="0" applyFont="1" applyFill="1" applyBorder="1" applyAlignment="1" applyProtection="1">
      <alignment horizontal="center"/>
    </xf>
    <xf numFmtId="5" fontId="12" fillId="0" borderId="1" xfId="0" applyNumberFormat="1" applyFont="1" applyFill="1" applyBorder="1" applyAlignment="1" applyProtection="1">
      <alignment horizontal="center"/>
    </xf>
    <xf numFmtId="0" fontId="12" fillId="0" borderId="10" xfId="0" applyFont="1" applyFill="1" applyBorder="1" applyAlignment="1" applyProtection="1">
      <alignment horizontal="center"/>
    </xf>
    <xf numFmtId="165" fontId="10" fillId="0" borderId="4" xfId="0" applyNumberFormat="1" applyFont="1" applyFill="1" applyBorder="1"/>
    <xf numFmtId="165" fontId="12" fillId="0" borderId="42" xfId="0" applyNumberFormat="1" applyFont="1" applyFill="1" applyBorder="1"/>
    <xf numFmtId="165" fontId="12" fillId="0" borderId="14" xfId="0" applyNumberFormat="1" applyFont="1" applyFill="1" applyBorder="1"/>
    <xf numFmtId="0" fontId="0" fillId="0" borderId="4" xfId="0" applyFill="1" applyBorder="1"/>
    <xf numFmtId="0" fontId="25" fillId="0" borderId="0" xfId="0" applyFont="1" applyFill="1"/>
    <xf numFmtId="0" fontId="17" fillId="0" borderId="28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39" xfId="0" applyFill="1" applyBorder="1"/>
    <xf numFmtId="0" fontId="27" fillId="0" borderId="0" xfId="10" applyFont="1" applyFill="1" applyAlignment="1">
      <alignment horizontal="center"/>
    </xf>
    <xf numFmtId="0" fontId="28" fillId="0" borderId="0" xfId="10" applyFont="1" applyFill="1"/>
    <xf numFmtId="3" fontId="12" fillId="0" borderId="0" xfId="0" applyNumberFormat="1" applyFont="1" applyFill="1"/>
    <xf numFmtId="14" fontId="17" fillId="0" borderId="12" xfId="0" applyNumberFormat="1" applyFont="1" applyFill="1" applyBorder="1" applyAlignment="1">
      <alignment horizontal="center"/>
    </xf>
    <xf numFmtId="165" fontId="11" fillId="0" borderId="0" xfId="0" applyNumberFormat="1" applyFont="1" applyFill="1" applyBorder="1"/>
    <xf numFmtId="165" fontId="12" fillId="0" borderId="45" xfId="0" applyNumberFormat="1" applyFont="1" applyFill="1" applyBorder="1"/>
    <xf numFmtId="3" fontId="12" fillId="0" borderId="4" xfId="0" applyNumberFormat="1" applyFont="1" applyFill="1" applyBorder="1"/>
    <xf numFmtId="3" fontId="10" fillId="0" borderId="0" xfId="0" applyNumberFormat="1" applyFont="1" applyFill="1" applyBorder="1"/>
    <xf numFmtId="3" fontId="10" fillId="0" borderId="4" xfId="0" applyNumberFormat="1" applyFont="1" applyFill="1" applyBorder="1"/>
    <xf numFmtId="168" fontId="11" fillId="0" borderId="0" xfId="0" applyNumberFormat="1" applyFont="1" applyFill="1" applyBorder="1"/>
    <xf numFmtId="168" fontId="11" fillId="0" borderId="4" xfId="0" applyNumberFormat="1" applyFont="1" applyFill="1" applyBorder="1"/>
    <xf numFmtId="3" fontId="12" fillId="0" borderId="15" xfId="0" applyNumberFormat="1" applyFont="1" applyFill="1" applyBorder="1"/>
    <xf numFmtId="168" fontId="12" fillId="0" borderId="12" xfId="0" applyNumberFormat="1" applyFont="1" applyFill="1" applyBorder="1"/>
    <xf numFmtId="168" fontId="12" fillId="0" borderId="13" xfId="0" applyNumberFormat="1" applyFont="1" applyFill="1" applyBorder="1"/>
    <xf numFmtId="3" fontId="12" fillId="0" borderId="28" xfId="0" applyNumberFormat="1" applyFont="1" applyFill="1" applyBorder="1"/>
    <xf numFmtId="3" fontId="12" fillId="0" borderId="16" xfId="0" applyNumberFormat="1" applyFont="1" applyFill="1" applyBorder="1"/>
    <xf numFmtId="3" fontId="12" fillId="0" borderId="45" xfId="0" applyNumberFormat="1" applyFont="1" applyFill="1" applyBorder="1"/>
    <xf numFmtId="0" fontId="12" fillId="0" borderId="28" xfId="0" applyFont="1" applyFill="1" applyBorder="1"/>
    <xf numFmtId="0" fontId="12" fillId="0" borderId="38" xfId="0" applyFont="1" applyFill="1" applyBorder="1"/>
    <xf numFmtId="168" fontId="13" fillId="0" borderId="0" xfId="1" applyNumberFormat="1" applyFont="1" applyFill="1"/>
    <xf numFmtId="167" fontId="13" fillId="0" borderId="0" xfId="2" applyNumberFormat="1" applyFont="1" applyFill="1"/>
    <xf numFmtId="3" fontId="14" fillId="0" borderId="0" xfId="0" applyNumberFormat="1" applyFont="1" applyFill="1" applyBorder="1"/>
    <xf numFmtId="8" fontId="14" fillId="0" borderId="0" xfId="0" applyNumberFormat="1" applyFont="1" applyFill="1" applyBorder="1"/>
    <xf numFmtId="3" fontId="25" fillId="0" borderId="0" xfId="0" applyNumberFormat="1" applyFont="1" applyFill="1" applyBorder="1"/>
    <xf numFmtId="8" fontId="12" fillId="0" borderId="0" xfId="0" applyNumberFormat="1" applyFont="1" applyFill="1" applyBorder="1"/>
    <xf numFmtId="0" fontId="14" fillId="0" borderId="0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12" fillId="0" borderId="12" xfId="0" applyFont="1" applyFill="1" applyBorder="1"/>
    <xf numFmtId="3" fontId="12" fillId="0" borderId="12" xfId="0" applyNumberFormat="1" applyFont="1" applyFill="1" applyBorder="1"/>
    <xf numFmtId="165" fontId="12" fillId="0" borderId="0" xfId="0" applyNumberFormat="1" applyFont="1" applyFill="1" applyBorder="1" applyAlignment="1"/>
    <xf numFmtId="0" fontId="16" fillId="0" borderId="0" xfId="0" applyFont="1" applyFill="1" applyAlignment="1">
      <alignment horizontal="center"/>
    </xf>
    <xf numFmtId="0" fontId="35" fillId="0" borderId="0" xfId="6" applyFont="1"/>
    <xf numFmtId="0" fontId="36" fillId="0" borderId="0" xfId="6" applyFont="1"/>
    <xf numFmtId="43" fontId="36" fillId="0" borderId="0" xfId="1" applyFont="1"/>
    <xf numFmtId="168" fontId="5" fillId="0" borderId="0" xfId="1" applyNumberFormat="1"/>
    <xf numFmtId="0" fontId="5" fillId="0" borderId="0" xfId="6"/>
    <xf numFmtId="43" fontId="5" fillId="0" borderId="0" xfId="1"/>
    <xf numFmtId="0" fontId="5" fillId="0" borderId="0" xfId="6" applyAlignment="1">
      <alignment horizontal="center"/>
    </xf>
    <xf numFmtId="0" fontId="5" fillId="0" borderId="0" xfId="1" applyNumberFormat="1" applyAlignment="1">
      <alignment horizontal="left"/>
    </xf>
    <xf numFmtId="43" fontId="5" fillId="0" borderId="0" xfId="1" applyFont="1"/>
    <xf numFmtId="168" fontId="5" fillId="0" borderId="0" xfId="1" applyNumberFormat="1" applyFont="1"/>
    <xf numFmtId="43" fontId="5" fillId="0" borderId="0" xfId="1" applyFill="1"/>
    <xf numFmtId="43" fontId="5" fillId="0" borderId="0" xfId="1" applyFont="1" applyFill="1"/>
    <xf numFmtId="168" fontId="5" fillId="0" borderId="0" xfId="1" applyNumberFormat="1" applyFont="1" applyFill="1"/>
    <xf numFmtId="0" fontId="5" fillId="0" borderId="0" xfId="6" applyFill="1"/>
    <xf numFmtId="0" fontId="5" fillId="0" borderId="0" xfId="6" applyFill="1" applyAlignment="1">
      <alignment horizontal="center"/>
    </xf>
    <xf numFmtId="168" fontId="5" fillId="0" borderId="0" xfId="1" applyNumberFormat="1" applyFill="1"/>
    <xf numFmtId="168" fontId="37" fillId="0" borderId="0" xfId="1" applyNumberFormat="1" applyFont="1" applyFill="1"/>
    <xf numFmtId="168" fontId="5" fillId="0" borderId="0" xfId="6" applyNumberFormat="1" applyFill="1"/>
    <xf numFmtId="43" fontId="5" fillId="0" borderId="0" xfId="6" applyNumberFormat="1" applyFill="1"/>
    <xf numFmtId="168" fontId="36" fillId="0" borderId="0" xfId="1" applyNumberFormat="1" applyFont="1" applyFill="1"/>
    <xf numFmtId="168" fontId="37" fillId="0" borderId="0" xfId="1" applyNumberFormat="1" applyFont="1"/>
    <xf numFmtId="43" fontId="5" fillId="0" borderId="0" xfId="1" applyNumberFormat="1" applyFont="1" applyFill="1"/>
    <xf numFmtId="172" fontId="5" fillId="0" borderId="0" xfId="1" applyNumberFormat="1" applyFill="1"/>
    <xf numFmtId="172" fontId="5" fillId="0" borderId="0" xfId="1" applyNumberFormat="1"/>
    <xf numFmtId="0" fontId="5" fillId="0" borderId="0" xfId="6" applyFont="1"/>
    <xf numFmtId="172" fontId="5" fillId="0" borderId="0" xfId="1" applyNumberFormat="1" applyFont="1" applyFill="1"/>
    <xf numFmtId="43" fontId="5" fillId="0" borderId="0" xfId="1" applyNumberFormat="1" applyFill="1"/>
    <xf numFmtId="168" fontId="5" fillId="0" borderId="0" xfId="6" applyNumberFormat="1" applyAlignment="1">
      <alignment horizontal="center"/>
    </xf>
    <xf numFmtId="168" fontId="5" fillId="0" borderId="0" xfId="6" applyNumberFormat="1"/>
    <xf numFmtId="0" fontId="5" fillId="0" borderId="0" xfId="6" applyFont="1" applyAlignment="1">
      <alignment horizontal="center"/>
    </xf>
    <xf numFmtId="172" fontId="5" fillId="0" borderId="0" xfId="6" applyNumberFormat="1" applyFill="1"/>
    <xf numFmtId="0" fontId="12" fillId="0" borderId="0" xfId="13" applyFont="1" applyFill="1" applyBorder="1"/>
    <xf numFmtId="0" fontId="13" fillId="0" borderId="12" xfId="12" applyFont="1" applyFill="1" applyBorder="1" applyAlignment="1">
      <alignment horizontal="center"/>
    </xf>
    <xf numFmtId="0" fontId="6" fillId="0" borderId="0" xfId="12" applyFont="1" applyFill="1" applyAlignment="1">
      <alignment horizontal="center"/>
    </xf>
    <xf numFmtId="0" fontId="13" fillId="0" borderId="0" xfId="12" applyFill="1"/>
    <xf numFmtId="0" fontId="6" fillId="0" borderId="0" xfId="12" applyFont="1" applyFill="1"/>
    <xf numFmtId="0" fontId="13" fillId="0" borderId="0" xfId="12" applyFont="1" applyFill="1"/>
    <xf numFmtId="0" fontId="39" fillId="0" borderId="0" xfId="12" quotePrefix="1" applyFont="1" applyFill="1" applyAlignment="1">
      <alignment horizontal="centerContinuous"/>
    </xf>
    <xf numFmtId="0" fontId="39" fillId="0" borderId="0" xfId="12" applyFont="1" applyFill="1" applyAlignment="1">
      <alignment horizontal="centerContinuous"/>
    </xf>
    <xf numFmtId="0" fontId="39" fillId="0" borderId="0" xfId="12" applyFont="1" applyFill="1" applyAlignment="1"/>
    <xf numFmtId="0" fontId="39" fillId="0" borderId="0" xfId="12" quotePrefix="1" applyFont="1" applyFill="1" applyAlignment="1"/>
    <xf numFmtId="0" fontId="13" fillId="0" borderId="0" xfId="12" applyFill="1" applyBorder="1"/>
    <xf numFmtId="0" fontId="39" fillId="0" borderId="0" xfId="12" applyFont="1" applyFill="1" applyBorder="1" applyAlignment="1">
      <alignment horizontal="center"/>
    </xf>
    <xf numFmtId="0" fontId="40" fillId="0" borderId="0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0" fontId="13" fillId="0" borderId="0" xfId="12" applyFont="1" applyFill="1" applyAlignment="1">
      <alignment horizontal="center"/>
    </xf>
    <xf numFmtId="0" fontId="13" fillId="0" borderId="0" xfId="12" applyFont="1" applyFill="1" applyBorder="1" applyAlignment="1">
      <alignment horizontal="left"/>
    </xf>
    <xf numFmtId="0" fontId="13" fillId="0" borderId="0" xfId="12" applyFont="1" applyFill="1" applyBorder="1" applyAlignment="1"/>
    <xf numFmtId="0" fontId="13" fillId="0" borderId="0" xfId="12" quotePrefix="1" applyFont="1" applyFill="1" applyBorder="1" applyAlignment="1">
      <alignment horizontal="center"/>
    </xf>
    <xf numFmtId="0" fontId="13" fillId="0" borderId="28" xfId="12" applyFont="1" applyFill="1" applyBorder="1" applyAlignment="1">
      <alignment horizontal="center"/>
    </xf>
    <xf numFmtId="0" fontId="13" fillId="0" borderId="0" xfId="12" applyFill="1" applyAlignment="1">
      <alignment horizontal="center"/>
    </xf>
    <xf numFmtId="0" fontId="13" fillId="0" borderId="0" xfId="12" quotePrefix="1" applyFont="1" applyFill="1" applyAlignment="1">
      <alignment horizontal="center"/>
    </xf>
    <xf numFmtId="0" fontId="13" fillId="0" borderId="0" xfId="12" applyFill="1" applyBorder="1" applyAlignment="1">
      <alignment horizontal="center"/>
    </xf>
    <xf numFmtId="0" fontId="13" fillId="0" borderId="34" xfId="12" applyFill="1" applyBorder="1" applyAlignment="1">
      <alignment horizontal="center"/>
    </xf>
    <xf numFmtId="0" fontId="6" fillId="0" borderId="34" xfId="12" applyFont="1" applyFill="1" applyBorder="1" applyAlignment="1">
      <alignment horizontal="center"/>
    </xf>
    <xf numFmtId="0" fontId="6" fillId="0" borderId="0" xfId="12" applyFont="1" applyFill="1" applyBorder="1" applyAlignment="1">
      <alignment horizontal="center"/>
    </xf>
    <xf numFmtId="0" fontId="13" fillId="0" borderId="34" xfId="12" applyFont="1" applyFill="1" applyBorder="1" applyAlignment="1">
      <alignment horizontal="center"/>
    </xf>
    <xf numFmtId="6" fontId="13" fillId="0" borderId="34" xfId="12" quotePrefix="1" applyNumberFormat="1" applyFont="1" applyFill="1" applyBorder="1" applyAlignment="1">
      <alignment horizontal="center"/>
    </xf>
    <xf numFmtId="6" fontId="13" fillId="0" borderId="0" xfId="12" quotePrefix="1" applyNumberFormat="1" applyFont="1" applyFill="1" applyBorder="1" applyAlignment="1">
      <alignment horizontal="center"/>
    </xf>
    <xf numFmtId="0" fontId="13" fillId="0" borderId="12" xfId="12" quotePrefix="1" applyFont="1" applyFill="1" applyBorder="1" applyAlignment="1">
      <alignment horizontal="center"/>
    </xf>
    <xf numFmtId="0" fontId="13" fillId="0" borderId="0" xfId="12" quotePrefix="1" applyFont="1" applyFill="1"/>
    <xf numFmtId="0" fontId="41" fillId="0" borderId="0" xfId="12" applyFont="1" applyFill="1"/>
    <xf numFmtId="0" fontId="6" fillId="0" borderId="0" xfId="12" quotePrefix="1" applyFont="1" applyFill="1" applyAlignment="1">
      <alignment horizontal="center"/>
    </xf>
    <xf numFmtId="37" fontId="13" fillId="0" borderId="0" xfId="12" applyNumberFormat="1" applyFont="1" applyFill="1" applyProtection="1"/>
    <xf numFmtId="5" fontId="6" fillId="0" borderId="0" xfId="12" applyNumberFormat="1" applyFont="1" applyFill="1" applyProtection="1">
      <protection locked="0"/>
    </xf>
    <xf numFmtId="10" fontId="6" fillId="0" borderId="0" xfId="14" applyNumberFormat="1" applyFont="1" applyFill="1" applyProtection="1">
      <protection locked="0"/>
    </xf>
    <xf numFmtId="5" fontId="6" fillId="0" borderId="0" xfId="14" applyNumberFormat="1" applyFont="1" applyFill="1" applyProtection="1">
      <protection locked="0"/>
    </xf>
    <xf numFmtId="171" fontId="6" fillId="0" borderId="0" xfId="14" applyNumberFormat="1" applyFont="1" applyFill="1" applyProtection="1">
      <protection locked="0"/>
    </xf>
    <xf numFmtId="182" fontId="13" fillId="0" borderId="0" xfId="12" applyNumberFormat="1" applyFont="1" applyFill="1" applyProtection="1"/>
    <xf numFmtId="184" fontId="0" fillId="0" borderId="0" xfId="0" applyNumberFormat="1" applyFill="1" applyBorder="1" applyProtection="1"/>
    <xf numFmtId="0" fontId="13" fillId="0" borderId="0" xfId="12" applyFont="1" applyFill="1" applyBorder="1"/>
    <xf numFmtId="10" fontId="6" fillId="0" borderId="0" xfId="14" applyNumberFormat="1" applyFont="1" applyFill="1" applyBorder="1" applyProtection="1">
      <protection locked="0"/>
    </xf>
    <xf numFmtId="2" fontId="13" fillId="0" borderId="0" xfId="12" applyNumberFormat="1" applyFont="1" applyFill="1"/>
    <xf numFmtId="0" fontId="13" fillId="0" borderId="34" xfId="12" applyFill="1" applyBorder="1"/>
    <xf numFmtId="0" fontId="13" fillId="0" borderId="12" xfId="12" applyFill="1" applyBorder="1"/>
    <xf numFmtId="184" fontId="13" fillId="0" borderId="12" xfId="12" applyNumberFormat="1" applyFill="1" applyBorder="1"/>
    <xf numFmtId="171" fontId="13" fillId="0" borderId="0" xfId="12" applyNumberFormat="1" applyFill="1"/>
    <xf numFmtId="184" fontId="13" fillId="0" borderId="0" xfId="12" applyNumberFormat="1" applyFill="1"/>
    <xf numFmtId="37" fontId="13" fillId="0" borderId="0" xfId="12" applyNumberFormat="1" applyFill="1" applyProtection="1"/>
    <xf numFmtId="5" fontId="13" fillId="0" borderId="0" xfId="12" applyNumberFormat="1" applyFill="1" applyProtection="1"/>
    <xf numFmtId="37" fontId="13" fillId="0" borderId="0" xfId="12" applyNumberFormat="1" applyFill="1"/>
    <xf numFmtId="5" fontId="13" fillId="0" borderId="0" xfId="12" applyNumberFormat="1" applyFill="1"/>
    <xf numFmtId="37" fontId="13" fillId="0" borderId="34" xfId="12" applyNumberFormat="1" applyFill="1" applyBorder="1" applyProtection="1"/>
    <xf numFmtId="5" fontId="13" fillId="0" borderId="34" xfId="12" applyNumberFormat="1" applyFill="1" applyBorder="1" applyProtection="1"/>
    <xf numFmtId="5" fontId="13" fillId="0" borderId="0" xfId="12" applyNumberFormat="1" applyFill="1" applyBorder="1" applyProtection="1"/>
    <xf numFmtId="182" fontId="13" fillId="0" borderId="12" xfId="12" applyNumberFormat="1" applyFont="1" applyFill="1" applyBorder="1" applyProtection="1"/>
    <xf numFmtId="184" fontId="0" fillId="0" borderId="12" xfId="0" applyNumberFormat="1" applyFill="1" applyBorder="1" applyProtection="1"/>
    <xf numFmtId="184" fontId="12" fillId="0" borderId="0" xfId="0" applyNumberFormat="1" applyFont="1" applyFill="1" applyBorder="1" applyProtection="1"/>
    <xf numFmtId="37" fontId="13" fillId="0" borderId="0" xfId="12" applyNumberFormat="1" applyFill="1" applyBorder="1" applyProtection="1"/>
    <xf numFmtId="10" fontId="13" fillId="0" borderId="0" xfId="12" applyNumberFormat="1" applyFill="1" applyBorder="1" applyProtection="1"/>
    <xf numFmtId="184" fontId="13" fillId="0" borderId="0" xfId="12" applyNumberFormat="1" applyFill="1" applyBorder="1" applyProtection="1"/>
    <xf numFmtId="0" fontId="7" fillId="0" borderId="0" xfId="12" applyFont="1" applyFill="1"/>
    <xf numFmtId="37" fontId="13" fillId="0" borderId="37" xfId="12" applyNumberFormat="1" applyFill="1" applyBorder="1"/>
    <xf numFmtId="5" fontId="13" fillId="0" borderId="37" xfId="12" applyNumberFormat="1" applyFill="1" applyBorder="1"/>
    <xf numFmtId="5" fontId="13" fillId="0" borderId="0" xfId="12" applyNumberFormat="1" applyFill="1" applyBorder="1"/>
    <xf numFmtId="184" fontId="0" fillId="0" borderId="37" xfId="0" applyNumberFormat="1" applyFill="1" applyBorder="1" applyProtection="1"/>
    <xf numFmtId="37" fontId="13" fillId="0" borderId="0" xfId="12" applyNumberFormat="1" applyFill="1" applyBorder="1"/>
    <xf numFmtId="0" fontId="8" fillId="0" borderId="0" xfId="12" applyFont="1" applyFill="1"/>
    <xf numFmtId="10" fontId="6" fillId="0" borderId="0" xfId="14" quotePrefix="1" applyNumberFormat="1" applyFont="1" applyFill="1" applyBorder="1" applyProtection="1">
      <protection locked="0"/>
    </xf>
    <xf numFmtId="37" fontId="13" fillId="0" borderId="37" xfId="12" applyNumberFormat="1" applyFont="1" applyFill="1" applyBorder="1" applyProtection="1"/>
    <xf numFmtId="5" fontId="6" fillId="0" borderId="37" xfId="14" applyNumberFormat="1" applyFont="1" applyFill="1" applyBorder="1" applyProtection="1">
      <protection locked="0"/>
    </xf>
    <xf numFmtId="5" fontId="13" fillId="0" borderId="0" xfId="12" applyNumberFormat="1" applyFont="1" applyFill="1"/>
    <xf numFmtId="0" fontId="13" fillId="0" borderId="0" xfId="12" applyFont="1" applyFill="1" applyAlignment="1">
      <alignment horizontal="right"/>
    </xf>
    <xf numFmtId="43" fontId="13" fillId="0" borderId="0" xfId="1" applyFont="1" applyFill="1"/>
    <xf numFmtId="10" fontId="13" fillId="0" borderId="0" xfId="14" applyNumberFormat="1" applyFont="1" applyFill="1"/>
    <xf numFmtId="167" fontId="33" fillId="0" borderId="0" xfId="2" applyNumberFormat="1" applyFont="1" applyFill="1"/>
    <xf numFmtId="171" fontId="33" fillId="0" borderId="0" xfId="14" applyNumberFormat="1" applyFont="1" applyFill="1" applyBorder="1" applyProtection="1">
      <protection locked="0"/>
    </xf>
    <xf numFmtId="1" fontId="13" fillId="0" borderId="0" xfId="12" applyNumberFormat="1" applyFill="1"/>
    <xf numFmtId="171" fontId="13" fillId="0" borderId="0" xfId="14" applyNumberFormat="1" applyFont="1" applyFill="1" applyBorder="1"/>
    <xf numFmtId="1" fontId="33" fillId="0" borderId="0" xfId="12" applyNumberFormat="1" applyFont="1" applyFill="1"/>
    <xf numFmtId="171" fontId="33" fillId="0" borderId="0" xfId="14" applyNumberFormat="1" applyFont="1" applyFill="1"/>
    <xf numFmtId="203" fontId="13" fillId="0" borderId="0" xfId="12" applyNumberFormat="1" applyFill="1"/>
    <xf numFmtId="171" fontId="31" fillId="0" borderId="0" xfId="14" applyNumberFormat="1" applyFont="1" applyFill="1"/>
    <xf numFmtId="0" fontId="42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43" fillId="0" borderId="0" xfId="0" quotePrefix="1" applyNumberFormat="1" applyFont="1" applyFill="1" applyAlignment="1">
      <alignment horizontal="centerContinuous"/>
    </xf>
    <xf numFmtId="0" fontId="43" fillId="0" borderId="0" xfId="0" applyFont="1" applyFill="1" applyAlignment="1" applyProtection="1">
      <alignment horizontal="centerContinuous"/>
    </xf>
    <xf numFmtId="37" fontId="43" fillId="0" borderId="0" xfId="0" applyNumberFormat="1" applyFont="1" applyFill="1" applyAlignment="1" applyProtection="1">
      <alignment horizontal="centerContinuous"/>
    </xf>
    <xf numFmtId="0" fontId="28" fillId="0" borderId="0" xfId="0" quotePrefix="1" applyFont="1" applyFill="1" applyAlignment="1" applyProtection="1">
      <alignment horizontal="centerContinuous"/>
    </xf>
    <xf numFmtId="0" fontId="43" fillId="0" borderId="0" xfId="0" applyFont="1" applyFill="1" applyProtection="1"/>
    <xf numFmtId="37" fontId="28" fillId="0" borderId="0" xfId="0" applyNumberFormat="1" applyFont="1" applyFill="1" applyAlignment="1" applyProtection="1">
      <alignment horizontal="center"/>
    </xf>
    <xf numFmtId="0" fontId="28" fillId="0" borderId="0" xfId="0" applyFont="1" applyFill="1" applyProtection="1"/>
    <xf numFmtId="0" fontId="28" fillId="0" borderId="0" xfId="0" applyFont="1" applyFill="1" applyAlignment="1" applyProtection="1">
      <alignment horizontal="center"/>
    </xf>
    <xf numFmtId="0" fontId="44" fillId="0" borderId="0" xfId="0" applyFont="1" applyFill="1" applyAlignment="1" applyProtection="1">
      <alignment horizontal="center"/>
    </xf>
    <xf numFmtId="0" fontId="28" fillId="0" borderId="0" xfId="0" applyFont="1" applyFill="1" applyBorder="1" applyAlignment="1" applyProtection="1">
      <alignment horizontal="center"/>
    </xf>
    <xf numFmtId="37" fontId="28" fillId="0" borderId="34" xfId="0" applyNumberFormat="1" applyFont="1" applyFill="1" applyBorder="1" applyAlignment="1" applyProtection="1">
      <alignment horizontal="center"/>
    </xf>
    <xf numFmtId="0" fontId="28" fillId="0" borderId="34" xfId="0" applyFont="1" applyFill="1" applyBorder="1" applyAlignment="1" applyProtection="1">
      <alignment horizontal="center"/>
    </xf>
    <xf numFmtId="0" fontId="28" fillId="0" borderId="34" xfId="0" applyFont="1" applyFill="1" applyBorder="1" applyProtection="1"/>
    <xf numFmtId="0" fontId="45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9" fillId="0" borderId="0" xfId="2" applyNumberFormat="1" applyFont="1" applyFill="1"/>
    <xf numFmtId="43" fontId="0" fillId="0" borderId="0" xfId="0" applyNumberFormat="1" applyFill="1"/>
    <xf numFmtId="7" fontId="31" fillId="0" borderId="0" xfId="0" applyNumberFormat="1" applyFont="1" applyFill="1"/>
    <xf numFmtId="0" fontId="31" fillId="0" borderId="0" xfId="0" applyFont="1" applyFill="1"/>
    <xf numFmtId="7" fontId="9" fillId="0" borderId="0" xfId="2" applyNumberFormat="1" applyFont="1" applyFill="1" applyBorder="1"/>
    <xf numFmtId="37" fontId="0" fillId="0" borderId="0" xfId="0" applyNumberFormat="1" applyFill="1" applyBorder="1"/>
    <xf numFmtId="179" fontId="13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46" xfId="0" applyNumberFormat="1" applyFont="1" applyFill="1" applyBorder="1" applyProtection="1"/>
    <xf numFmtId="5" fontId="6" fillId="0" borderId="46" xfId="0" applyNumberFormat="1" applyFont="1" applyFill="1" applyBorder="1" applyProtection="1"/>
    <xf numFmtId="37" fontId="0" fillId="0" borderId="0" xfId="0" applyNumberFormat="1" applyFill="1" applyProtection="1"/>
    <xf numFmtId="199" fontId="13" fillId="0" borderId="0" xfId="14" applyNumberFormat="1" applyFont="1" applyFill="1"/>
    <xf numFmtId="0" fontId="46" fillId="0" borderId="0" xfId="7" applyFont="1" applyFill="1"/>
    <xf numFmtId="0" fontId="46" fillId="0" borderId="0" xfId="7" applyFont="1" applyFill="1" applyBorder="1"/>
    <xf numFmtId="195" fontId="46" fillId="0" borderId="0" xfId="7" applyNumberFormat="1" applyFont="1" applyFill="1" applyBorder="1"/>
    <xf numFmtId="0" fontId="46" fillId="0" borderId="0" xfId="7" applyFont="1" applyFill="1" applyBorder="1" applyAlignment="1">
      <alignment horizontal="right"/>
    </xf>
    <xf numFmtId="168" fontId="46" fillId="0" borderId="0" xfId="1" applyNumberFormat="1" applyFont="1" applyFill="1" applyBorder="1"/>
    <xf numFmtId="0" fontId="46" fillId="0" borderId="0" xfId="7" applyFont="1" applyFill="1" applyBorder="1" applyAlignment="1">
      <alignment horizontal="left"/>
    </xf>
    <xf numFmtId="7" fontId="46" fillId="0" borderId="0" xfId="7" applyNumberFormat="1" applyFont="1" applyFill="1" applyBorder="1" applyAlignment="1">
      <alignment horizontal="right"/>
    </xf>
    <xf numFmtId="179" fontId="46" fillId="0" borderId="0" xfId="1" applyNumberFormat="1" applyFont="1" applyFill="1" applyBorder="1"/>
    <xf numFmtId="168" fontId="47" fillId="0" borderId="0" xfId="1" applyNumberFormat="1" applyFont="1" applyFill="1" applyBorder="1"/>
    <xf numFmtId="168" fontId="46" fillId="0" borderId="0" xfId="1" applyNumberFormat="1" applyFont="1" applyFill="1"/>
    <xf numFmtId="7" fontId="46" fillId="0" borderId="0" xfId="7" applyNumberFormat="1" applyFont="1" applyFill="1" applyBorder="1"/>
    <xf numFmtId="0" fontId="46" fillId="0" borderId="0" xfId="7" applyFont="1" applyFill="1" applyBorder="1" applyAlignment="1">
      <alignment horizontal="center"/>
    </xf>
    <xf numFmtId="10" fontId="48" fillId="0" borderId="0" xfId="7" applyNumberFormat="1" applyFont="1" applyFill="1"/>
    <xf numFmtId="7" fontId="46" fillId="0" borderId="0" xfId="7" applyNumberFormat="1" applyFont="1" applyFill="1"/>
    <xf numFmtId="5" fontId="46" fillId="0" borderId="0" xfId="7" applyNumberFormat="1" applyFont="1" applyFill="1"/>
    <xf numFmtId="10" fontId="46" fillId="0" borderId="0" xfId="14" applyNumberFormat="1" applyFont="1" applyFill="1"/>
    <xf numFmtId="0" fontId="45" fillId="0" borderId="0" xfId="0" applyFont="1" applyFill="1" applyProtection="1"/>
    <xf numFmtId="197" fontId="13" fillId="0" borderId="0" xfId="14" applyNumberFormat="1" applyFont="1" applyFill="1"/>
    <xf numFmtId="173" fontId="0" fillId="0" borderId="0" xfId="0" applyNumberForma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0" fontId="6" fillId="0" borderId="0" xfId="0" applyFont="1" applyFill="1" applyProtection="1">
      <protection locked="0"/>
    </xf>
    <xf numFmtId="7" fontId="31" fillId="0" borderId="0" xfId="0" applyNumberFormat="1" applyFont="1" applyFill="1" applyProtection="1">
      <protection locked="0"/>
    </xf>
    <xf numFmtId="184" fontId="31" fillId="0" borderId="0" xfId="0" applyNumberFormat="1" applyFont="1" applyFill="1" applyProtection="1">
      <protection locked="0"/>
    </xf>
    <xf numFmtId="180" fontId="0" fillId="0" borderId="0" xfId="0" applyNumberFormat="1" applyFill="1"/>
    <xf numFmtId="7" fontId="9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6" fillId="0" borderId="0" xfId="0" applyFont="1" applyFill="1"/>
    <xf numFmtId="7" fontId="6" fillId="0" borderId="0" xfId="0" applyNumberFormat="1" applyFont="1" applyFill="1" applyProtection="1">
      <protection locked="0"/>
    </xf>
    <xf numFmtId="168" fontId="6" fillId="0" borderId="0" xfId="0" applyNumberFormat="1" applyFont="1" applyFill="1" applyProtection="1"/>
    <xf numFmtId="184" fontId="8" fillId="0" borderId="0" xfId="0" applyNumberFormat="1" applyFont="1" applyFill="1" applyProtection="1">
      <protection locked="0"/>
    </xf>
    <xf numFmtId="168" fontId="6" fillId="0" borderId="0" xfId="1" applyNumberFormat="1" applyFont="1" applyFill="1" applyProtection="1"/>
    <xf numFmtId="37" fontId="6" fillId="0" borderId="12" xfId="0" applyNumberFormat="1" applyFont="1" applyFill="1" applyBorder="1" applyProtection="1"/>
    <xf numFmtId="0" fontId="0" fillId="0" borderId="0" xfId="0" applyFill="1" applyProtection="1"/>
    <xf numFmtId="5" fontId="6" fillId="0" borderId="34" xfId="0" applyNumberFormat="1" applyFont="1" applyFill="1" applyBorder="1" applyProtection="1"/>
    <xf numFmtId="37" fontId="0" fillId="0" borderId="47" xfId="0" applyNumberFormat="1" applyFont="1" applyFill="1" applyBorder="1" applyProtection="1"/>
    <xf numFmtId="5" fontId="6" fillId="0" borderId="47" xfId="0" applyNumberFormat="1" applyFont="1" applyFill="1" applyBorder="1" applyProtection="1"/>
    <xf numFmtId="185" fontId="6" fillId="0" borderId="0" xfId="0" applyNumberFormat="1" applyFont="1" applyFill="1" applyProtection="1"/>
    <xf numFmtId="166" fontId="13" fillId="0" borderId="0" xfId="14" applyNumberFormat="1" applyFont="1" applyFill="1"/>
    <xf numFmtId="200" fontId="0" fillId="0" borderId="0" xfId="0" applyNumberFormat="1" applyFill="1"/>
    <xf numFmtId="187" fontId="0" fillId="0" borderId="0" xfId="0" applyNumberFormat="1" applyFill="1"/>
    <xf numFmtId="37" fontId="6" fillId="0" borderId="34" xfId="0" applyNumberFormat="1" applyFont="1" applyFill="1" applyBorder="1" applyProtection="1"/>
    <xf numFmtId="167" fontId="13" fillId="0" borderId="47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31" fillId="0" borderId="0" xfId="0" applyNumberFormat="1" applyFont="1" applyFill="1" applyProtection="1">
      <protection locked="0"/>
    </xf>
    <xf numFmtId="0" fontId="31" fillId="0" borderId="0" xfId="0" applyFont="1" applyFill="1" applyProtection="1">
      <protection locked="0"/>
    </xf>
    <xf numFmtId="7" fontId="9" fillId="0" borderId="0" xfId="0" applyNumberFormat="1" applyFont="1" applyFill="1" applyProtection="1"/>
    <xf numFmtId="183" fontId="31" fillId="0" borderId="0" xfId="1" applyNumberFormat="1" applyFont="1" applyFill="1" applyProtection="1">
      <protection locked="0"/>
    </xf>
    <xf numFmtId="183" fontId="31" fillId="0" borderId="0" xfId="0" applyNumberFormat="1" applyFont="1" applyFill="1" applyProtection="1">
      <protection locked="0"/>
    </xf>
    <xf numFmtId="7" fontId="0" fillId="0" borderId="0" xfId="0" applyNumberFormat="1" applyFill="1"/>
    <xf numFmtId="189" fontId="31" fillId="0" borderId="0" xfId="0" applyNumberFormat="1" applyFont="1" applyFill="1" applyProtection="1">
      <protection locked="0"/>
    </xf>
    <xf numFmtId="0" fontId="7" fillId="0" borderId="0" xfId="0" applyFont="1" applyFill="1" applyProtection="1"/>
    <xf numFmtId="171" fontId="31" fillId="0" borderId="0" xfId="0" applyNumberFormat="1" applyFont="1" applyFill="1" applyProtection="1"/>
    <xf numFmtId="183" fontId="13" fillId="0" borderId="0" xfId="1" applyNumberFormat="1" applyFont="1" applyFill="1"/>
    <xf numFmtId="7" fontId="0" fillId="0" borderId="0" xfId="0" applyNumberFormat="1" applyFont="1" applyFill="1" applyProtection="1"/>
    <xf numFmtId="182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31" fillId="0" borderId="0" xfId="0" applyNumberFormat="1" applyFont="1" applyFill="1" applyProtection="1"/>
    <xf numFmtId="192" fontId="0" fillId="0" borderId="0" xfId="0" applyNumberFormat="1" applyFill="1"/>
    <xf numFmtId="39" fontId="31" fillId="0" borderId="0" xfId="0" applyNumberFormat="1" applyFont="1" applyFill="1" applyProtection="1">
      <protection locked="0"/>
    </xf>
    <xf numFmtId="37" fontId="0" fillId="0" borderId="12" xfId="0" applyNumberFormat="1" applyFont="1" applyFill="1" applyBorder="1" applyProtection="1"/>
    <xf numFmtId="5" fontId="0" fillId="0" borderId="34" xfId="0" applyNumberFormat="1" applyFont="1" applyFill="1" applyBorder="1" applyProtection="1"/>
    <xf numFmtId="171" fontId="0" fillId="0" borderId="47" xfId="0" applyNumberFormat="1" applyFont="1" applyFill="1" applyBorder="1" applyProtection="1"/>
    <xf numFmtId="10" fontId="45" fillId="0" borderId="47" xfId="0" applyNumberFormat="1" applyFont="1" applyFill="1" applyBorder="1" applyProtection="1"/>
    <xf numFmtId="5" fontId="0" fillId="0" borderId="47" xfId="0" applyNumberFormat="1" applyFont="1" applyFill="1" applyBorder="1" applyProtection="1"/>
    <xf numFmtId="0" fontId="6" fillId="0" borderId="47" xfId="0" applyFont="1" applyFill="1" applyBorder="1" applyProtection="1"/>
    <xf numFmtId="202" fontId="13" fillId="0" borderId="0" xfId="14" applyNumberFormat="1" applyFont="1" applyFill="1"/>
    <xf numFmtId="10" fontId="6" fillId="0" borderId="0" xfId="14" applyNumberFormat="1" applyFont="1" applyFill="1" applyProtection="1"/>
    <xf numFmtId="0" fontId="49" fillId="0" borderId="0" xfId="0" applyFont="1" applyFill="1" applyProtection="1"/>
    <xf numFmtId="37" fontId="0" fillId="0" borderId="34" xfId="0" applyNumberFormat="1" applyFont="1" applyFill="1" applyBorder="1" applyProtection="1"/>
    <xf numFmtId="37" fontId="0" fillId="0" borderId="0" xfId="0" applyNumberFormat="1" applyFont="1" applyFill="1" applyBorder="1" applyProtection="1"/>
    <xf numFmtId="171" fontId="0" fillId="0" borderId="0" xfId="0" applyNumberFormat="1" applyFont="1" applyFill="1" applyBorder="1" applyProtection="1"/>
    <xf numFmtId="10" fontId="45" fillId="0" borderId="0" xfId="0" applyNumberFormat="1" applyFont="1" applyFill="1" applyBorder="1" applyProtection="1"/>
    <xf numFmtId="7" fontId="12" fillId="0" borderId="0" xfId="0" applyNumberFormat="1" applyFont="1" applyFill="1" applyProtection="1"/>
    <xf numFmtId="37" fontId="31" fillId="0" borderId="0" xfId="0" applyNumberFormat="1" applyFont="1" applyFill="1" applyProtection="1"/>
    <xf numFmtId="7" fontId="8" fillId="0" borderId="0" xfId="0" applyNumberFormat="1" applyFont="1" applyFill="1" applyProtection="1">
      <protection locked="0"/>
    </xf>
    <xf numFmtId="7" fontId="45" fillId="0" borderId="0" xfId="0" applyNumberFormat="1" applyFont="1" applyFill="1" applyProtection="1"/>
    <xf numFmtId="183" fontId="8" fillId="0" borderId="0" xfId="1" applyNumberFormat="1" applyFont="1" applyFill="1" applyProtection="1">
      <protection locked="0"/>
    </xf>
    <xf numFmtId="177" fontId="0" fillId="0" borderId="0" xfId="0" applyNumberFormat="1" applyFont="1" applyFill="1" applyProtection="1"/>
    <xf numFmtId="173" fontId="9" fillId="0" borderId="0" xfId="0" applyNumberFormat="1" applyFont="1" applyFill="1" applyProtection="1"/>
    <xf numFmtId="0" fontId="14" fillId="0" borderId="0" xfId="0" applyFont="1" applyFill="1" applyProtection="1"/>
    <xf numFmtId="5" fontId="31" fillId="0" borderId="0" xfId="0" applyNumberFormat="1" applyFont="1" applyFill="1" applyProtection="1"/>
    <xf numFmtId="191" fontId="0" fillId="0" borderId="0" xfId="0" applyNumberFormat="1" applyFont="1" applyFill="1" applyProtection="1"/>
    <xf numFmtId="7" fontId="13" fillId="0" borderId="0" xfId="0" applyNumberFormat="1" applyFont="1" applyFill="1" applyProtection="1"/>
    <xf numFmtId="5" fontId="45" fillId="0" borderId="0" xfId="0" applyNumberFormat="1" applyFont="1" applyFill="1" applyProtection="1"/>
    <xf numFmtId="177" fontId="0" fillId="0" borderId="0" xfId="0" applyNumberFormat="1" applyFont="1" applyFill="1"/>
    <xf numFmtId="37" fontId="6" fillId="0" borderId="47" xfId="0" applyNumberFormat="1" applyFont="1" applyFill="1" applyBorder="1" applyProtection="1"/>
    <xf numFmtId="190" fontId="0" fillId="0" borderId="0" xfId="0" applyNumberFormat="1" applyFont="1" applyFill="1" applyProtection="1"/>
    <xf numFmtId="44" fontId="13" fillId="0" borderId="0" xfId="2" applyFont="1" applyFill="1"/>
    <xf numFmtId="7" fontId="13" fillId="0" borderId="0" xfId="0" applyNumberFormat="1" applyFont="1" applyFill="1" applyProtection="1">
      <protection locked="0"/>
    </xf>
    <xf numFmtId="182" fontId="31" fillId="0" borderId="0" xfId="0" applyNumberFormat="1" applyFont="1" applyFill="1" applyProtection="1">
      <protection locked="0"/>
    </xf>
    <xf numFmtId="175" fontId="0" fillId="0" borderId="0" xfId="0" applyNumberFormat="1" applyFill="1"/>
    <xf numFmtId="5" fontId="45" fillId="0" borderId="0" xfId="0" applyNumberFormat="1" applyFont="1" applyFill="1" applyProtection="1">
      <protection locked="0"/>
    </xf>
    <xf numFmtId="0" fontId="45" fillId="0" borderId="0" xfId="0" applyFont="1" applyFill="1" applyProtection="1">
      <protection locked="0"/>
    </xf>
    <xf numFmtId="184" fontId="6" fillId="0" borderId="0" xfId="0" applyNumberFormat="1" applyFont="1" applyFill="1" applyProtection="1">
      <protection locked="0"/>
    </xf>
    <xf numFmtId="189" fontId="6" fillId="0" borderId="0" xfId="0" applyNumberFormat="1" applyFont="1" applyFill="1" applyProtection="1">
      <protection locked="0"/>
    </xf>
    <xf numFmtId="4" fontId="0" fillId="0" borderId="0" xfId="0" applyNumberFormat="1" applyFill="1"/>
    <xf numFmtId="201" fontId="13" fillId="0" borderId="0" xfId="1" applyNumberFormat="1" applyFont="1" applyFill="1"/>
    <xf numFmtId="186" fontId="6" fillId="0" borderId="0" xfId="0" applyNumberFormat="1" applyFont="1" applyFill="1" applyProtection="1"/>
    <xf numFmtId="5" fontId="6" fillId="0" borderId="0" xfId="0" applyNumberFormat="1" applyFont="1" applyFill="1"/>
    <xf numFmtId="7" fontId="6" fillId="0" borderId="0" xfId="0" applyNumberFormat="1" applyFont="1" applyFill="1" applyProtection="1"/>
    <xf numFmtId="187" fontId="6" fillId="0" borderId="0" xfId="0" applyNumberFormat="1" applyFont="1" applyFill="1" applyProtection="1"/>
    <xf numFmtId="180" fontId="31" fillId="0" borderId="0" xfId="0" applyNumberFormat="1" applyFont="1" applyFill="1" applyProtection="1"/>
    <xf numFmtId="183" fontId="31" fillId="0" borderId="0" xfId="1" applyNumberFormat="1" applyFont="1" applyFill="1" applyProtection="1"/>
    <xf numFmtId="7" fontId="8" fillId="0" borderId="0" xfId="0" applyNumberFormat="1" applyFont="1" applyFill="1" applyProtection="1"/>
    <xf numFmtId="180" fontId="8" fillId="0" borderId="0" xfId="0" applyNumberFormat="1" applyFont="1" applyFill="1" applyProtection="1"/>
    <xf numFmtId="171" fontId="0" fillId="0" borderId="0" xfId="0" applyNumberFormat="1" applyFill="1" applyBorder="1" applyProtection="1"/>
    <xf numFmtId="184" fontId="8" fillId="0" borderId="0" xfId="0" applyNumberFormat="1" applyFont="1" applyFill="1" applyProtection="1"/>
    <xf numFmtId="173" fontId="8" fillId="0" borderId="0" xfId="0" applyNumberFormat="1" applyFont="1" applyFill="1" applyProtection="1"/>
    <xf numFmtId="171" fontId="8" fillId="0" borderId="0" xfId="0" applyNumberFormat="1" applyFont="1" applyFill="1" applyProtection="1"/>
    <xf numFmtId="182" fontId="8" fillId="0" borderId="0" xfId="0" applyNumberFormat="1" applyFont="1" applyFill="1" applyProtection="1"/>
    <xf numFmtId="187" fontId="0" fillId="0" borderId="0" xfId="0" applyNumberFormat="1" applyFont="1" applyFill="1" applyProtection="1"/>
    <xf numFmtId="180" fontId="0" fillId="0" borderId="0" xfId="0" applyNumberFormat="1" applyFont="1" applyFill="1"/>
    <xf numFmtId="37" fontId="6" fillId="0" borderId="46" xfId="0" applyNumberFormat="1" applyFont="1" applyFill="1" applyBorder="1" applyProtection="1"/>
    <xf numFmtId="171" fontId="0" fillId="0" borderId="0" xfId="0" applyNumberFormat="1" applyFill="1"/>
    <xf numFmtId="184" fontId="31" fillId="0" borderId="0" xfId="0" applyNumberFormat="1" applyFont="1" applyFill="1" applyProtection="1"/>
    <xf numFmtId="3" fontId="45" fillId="0" borderId="0" xfId="0" applyNumberFormat="1" applyFont="1" applyFill="1"/>
    <xf numFmtId="195" fontId="46" fillId="0" borderId="0" xfId="7" applyNumberFormat="1" applyFont="1" applyFill="1"/>
    <xf numFmtId="168" fontId="46" fillId="0" borderId="36" xfId="1" applyNumberFormat="1" applyFont="1" applyFill="1" applyBorder="1"/>
    <xf numFmtId="3" fontId="0" fillId="0" borderId="28" xfId="0" applyNumberFormat="1" applyFill="1" applyBorder="1"/>
    <xf numFmtId="44" fontId="46" fillId="0" borderId="28" xfId="7" applyNumberFormat="1" applyFont="1" applyFill="1" applyBorder="1"/>
    <xf numFmtId="7" fontId="46" fillId="0" borderId="38" xfId="7" applyNumberFormat="1" applyFont="1" applyFill="1" applyBorder="1" applyAlignment="1">
      <alignment horizontal="right"/>
    </xf>
    <xf numFmtId="168" fontId="46" fillId="0" borderId="5" xfId="1" applyNumberFormat="1" applyFont="1" applyFill="1" applyBorder="1"/>
    <xf numFmtId="44" fontId="46" fillId="0" borderId="0" xfId="7" applyNumberFormat="1" applyFont="1" applyFill="1" applyBorder="1"/>
    <xf numFmtId="7" fontId="46" fillId="0" borderId="4" xfId="7" applyNumberFormat="1" applyFont="1" applyFill="1" applyBorder="1" applyAlignment="1">
      <alignment horizontal="right"/>
    </xf>
    <xf numFmtId="5" fontId="13" fillId="0" borderId="0" xfId="2" applyNumberFormat="1" applyFont="1" applyFill="1" applyBorder="1"/>
    <xf numFmtId="7" fontId="46" fillId="0" borderId="4" xfId="7" applyNumberFormat="1" applyFont="1" applyFill="1" applyBorder="1"/>
    <xf numFmtId="7" fontId="46" fillId="0" borderId="19" xfId="7" applyNumberFormat="1" applyFont="1" applyFill="1" applyBorder="1"/>
    <xf numFmtId="44" fontId="46" fillId="0" borderId="12" xfId="7" applyNumberFormat="1" applyFont="1" applyFill="1" applyBorder="1"/>
    <xf numFmtId="0" fontId="0" fillId="0" borderId="13" xfId="0" applyFill="1" applyBorder="1"/>
    <xf numFmtId="5" fontId="46" fillId="0" borderId="0" xfId="7" applyNumberFormat="1" applyFont="1" applyFill="1" applyBorder="1" applyAlignment="1">
      <alignment horizontal="right"/>
    </xf>
    <xf numFmtId="5" fontId="46" fillId="0" borderId="0" xfId="7" applyNumberFormat="1" applyFont="1" applyFill="1" applyBorder="1"/>
    <xf numFmtId="5" fontId="8" fillId="0" borderId="0" xfId="0" applyNumberFormat="1" applyFont="1" applyFill="1" applyProtection="1"/>
    <xf numFmtId="0" fontId="31" fillId="0" borderId="0" xfId="0" applyFont="1" applyFill="1" applyProtection="1"/>
    <xf numFmtId="5" fontId="6" fillId="0" borderId="0" xfId="0" applyNumberFormat="1" applyFont="1" applyFill="1" applyAlignment="1" applyProtection="1">
      <alignment horizontal="right"/>
    </xf>
    <xf numFmtId="188" fontId="6" fillId="0" borderId="0" xfId="0" applyNumberFormat="1" applyFont="1" applyFill="1" applyProtection="1"/>
    <xf numFmtId="5" fontId="0" fillId="0" borderId="0" xfId="0" applyNumberFormat="1" applyFill="1" applyBorder="1"/>
    <xf numFmtId="184" fontId="6" fillId="0" borderId="46" xfId="0" applyNumberFormat="1" applyFont="1" applyFill="1" applyBorder="1" applyProtection="1"/>
    <xf numFmtId="0" fontId="6" fillId="0" borderId="46" xfId="0" applyFont="1" applyFill="1" applyBorder="1" applyProtection="1"/>
    <xf numFmtId="184" fontId="6" fillId="0" borderId="0" xfId="0" applyNumberFormat="1" applyFont="1" applyFill="1" applyProtection="1"/>
    <xf numFmtId="198" fontId="13" fillId="0" borderId="0" xfId="14" applyNumberFormat="1" applyFont="1" applyFill="1" applyBorder="1"/>
    <xf numFmtId="0" fontId="12" fillId="0" borderId="0" xfId="0" applyFont="1" applyFill="1" applyProtection="1"/>
    <xf numFmtId="184" fontId="6" fillId="0" borderId="0" xfId="0" applyNumberFormat="1" applyFont="1" applyFill="1" applyBorder="1" applyProtection="1"/>
    <xf numFmtId="202" fontId="13" fillId="0" borderId="0" xfId="14" applyNumberFormat="1" applyFont="1" applyFill="1" applyBorder="1"/>
    <xf numFmtId="180" fontId="12" fillId="0" borderId="0" xfId="0" applyNumberFormat="1" applyFont="1" applyFill="1" applyProtection="1"/>
    <xf numFmtId="9" fontId="13" fillId="0" borderId="0" xfId="14" applyFont="1" applyFill="1" applyBorder="1"/>
    <xf numFmtId="0" fontId="9" fillId="0" borderId="0" xfId="0" applyFont="1" applyFill="1" applyProtection="1"/>
    <xf numFmtId="0" fontId="0" fillId="0" borderId="34" xfId="0" applyFill="1" applyBorder="1" applyProtection="1"/>
    <xf numFmtId="5" fontId="6" fillId="0" borderId="34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7" fillId="0" borderId="0" xfId="0" applyFont="1" applyFill="1"/>
    <xf numFmtId="43" fontId="46" fillId="0" borderId="0" xfId="1" applyNumberFormat="1" applyFont="1" applyFill="1" applyBorder="1"/>
    <xf numFmtId="0" fontId="33" fillId="0" borderId="0" xfId="0" applyFont="1" applyFill="1" applyBorder="1"/>
    <xf numFmtId="0" fontId="9" fillId="0" borderId="0" xfId="0" applyFont="1" applyFill="1"/>
    <xf numFmtId="3" fontId="0" fillId="0" borderId="5" xfId="0" applyNumberFormat="1" applyFill="1" applyBorder="1"/>
    <xf numFmtId="43" fontId="0" fillId="0" borderId="0" xfId="0" applyNumberFormat="1" applyFill="1" applyBorder="1"/>
    <xf numFmtId="7" fontId="31" fillId="0" borderId="4" xfId="0" applyNumberFormat="1" applyFont="1" applyFill="1" applyBorder="1"/>
    <xf numFmtId="10" fontId="13" fillId="0" borderId="0" xfId="14" applyNumberFormat="1" applyFont="1" applyFill="1" applyBorder="1"/>
    <xf numFmtId="5" fontId="31" fillId="0" borderId="4" xfId="0" applyNumberFormat="1" applyFont="1" applyFill="1" applyBorder="1"/>
    <xf numFmtId="7" fontId="13" fillId="0" borderId="0" xfId="2" applyNumberFormat="1" applyFont="1" applyFill="1"/>
    <xf numFmtId="44" fontId="13" fillId="0" borderId="0" xfId="2" applyFont="1" applyFill="1" applyBorder="1"/>
    <xf numFmtId="168" fontId="46" fillId="0" borderId="19" xfId="1" applyNumberFormat="1" applyFont="1" applyFill="1" applyBorder="1"/>
    <xf numFmtId="204" fontId="13" fillId="0" borderId="12" xfId="2" applyNumberFormat="1" applyFont="1" applyFill="1" applyBorder="1"/>
    <xf numFmtId="7" fontId="46" fillId="0" borderId="13" xfId="7" applyNumberFormat="1" applyFont="1" applyFill="1" applyBorder="1"/>
    <xf numFmtId="10" fontId="48" fillId="0" borderId="0" xfId="7" applyNumberFormat="1" applyFont="1" applyFill="1" applyBorder="1"/>
    <xf numFmtId="37" fontId="13" fillId="0" borderId="0" xfId="0" applyNumberFormat="1" applyFont="1" applyFill="1" applyProtection="1"/>
    <xf numFmtId="7" fontId="49" fillId="0" borderId="0" xfId="0" applyNumberFormat="1" applyFont="1" applyFill="1" applyProtection="1"/>
    <xf numFmtId="0" fontId="8" fillId="0" borderId="0" xfId="0" applyFont="1" applyFill="1" applyBorder="1" applyProtection="1"/>
    <xf numFmtId="185" fontId="8" fillId="0" borderId="0" xfId="0" applyNumberFormat="1" applyFont="1" applyFill="1" applyProtection="1"/>
    <xf numFmtId="37" fontId="8" fillId="0" borderId="48" xfId="0" applyNumberFormat="1" applyFont="1" applyFill="1" applyBorder="1" applyProtection="1"/>
    <xf numFmtId="5" fontId="9" fillId="0" borderId="48" xfId="0" applyNumberFormat="1" applyFont="1" applyFill="1" applyBorder="1" applyProtection="1"/>
    <xf numFmtId="5" fontId="8" fillId="0" borderId="48" xfId="0" applyNumberFormat="1" applyFont="1" applyFill="1" applyBorder="1" applyProtection="1"/>
    <xf numFmtId="168" fontId="12" fillId="0" borderId="0" xfId="1" applyNumberFormat="1" applyFont="1" applyFill="1" applyBorder="1"/>
    <xf numFmtId="37" fontId="6" fillId="0" borderId="28" xfId="0" applyNumberFormat="1" applyFont="1" applyFill="1" applyBorder="1" applyProtection="1"/>
    <xf numFmtId="7" fontId="31" fillId="0" borderId="28" xfId="0" applyNumberFormat="1" applyFont="1" applyFill="1" applyBorder="1" applyProtection="1"/>
    <xf numFmtId="5" fontId="6" fillId="0" borderId="28" xfId="0" applyNumberFormat="1" applyFont="1" applyFill="1" applyBorder="1" applyProtection="1"/>
    <xf numFmtId="7" fontId="12" fillId="0" borderId="28" xfId="0" applyNumberFormat="1" applyFont="1" applyFill="1" applyBorder="1" applyProtection="1"/>
    <xf numFmtId="0" fontId="6" fillId="0" borderId="28" xfId="0" applyFont="1" applyFill="1" applyBorder="1" applyProtection="1"/>
    <xf numFmtId="5" fontId="12" fillId="0" borderId="0" xfId="0" applyNumberFormat="1" applyFont="1" applyFill="1" applyBorder="1"/>
    <xf numFmtId="0" fontId="7" fillId="0" borderId="0" xfId="0" applyFont="1" applyFill="1" applyBorder="1" applyProtection="1"/>
    <xf numFmtId="185" fontId="7" fillId="0" borderId="0" xfId="0" applyNumberFormat="1" applyFont="1" applyFill="1" applyProtection="1"/>
    <xf numFmtId="37" fontId="7" fillId="0" borderId="48" xfId="0" applyNumberFormat="1" applyFont="1" applyFill="1" applyBorder="1" applyProtection="1"/>
    <xf numFmtId="168" fontId="50" fillId="0" borderId="48" xfId="1" applyNumberFormat="1" applyFont="1" applyFill="1" applyBorder="1" applyProtection="1"/>
    <xf numFmtId="5" fontId="7" fillId="0" borderId="48" xfId="0" applyNumberFormat="1" applyFont="1" applyFill="1" applyBorder="1" applyProtection="1"/>
    <xf numFmtId="167" fontId="7" fillId="0" borderId="48" xfId="2" applyNumberFormat="1" applyFont="1" applyFill="1" applyBorder="1" applyProtection="1"/>
    <xf numFmtId="7" fontId="50" fillId="0" borderId="48" xfId="0" applyNumberFormat="1" applyFont="1" applyFill="1" applyBorder="1" applyProtection="1"/>
    <xf numFmtId="167" fontId="31" fillId="0" borderId="0" xfId="0" applyNumberFormat="1" applyFont="1" applyFill="1" applyProtection="1"/>
    <xf numFmtId="37" fontId="8" fillId="0" borderId="0" xfId="0" applyNumberFormat="1" applyFont="1" applyFill="1" applyBorder="1" applyProtection="1"/>
    <xf numFmtId="196" fontId="13" fillId="0" borderId="0" xfId="2" applyNumberFormat="1" applyFont="1" applyFill="1"/>
    <xf numFmtId="0" fontId="51" fillId="0" borderId="0" xfId="0" applyFont="1" applyFill="1" applyProtection="1"/>
    <xf numFmtId="10" fontId="46" fillId="0" borderId="0" xfId="14" applyNumberFormat="1" applyFont="1" applyFill="1" applyBorder="1"/>
    <xf numFmtId="0" fontId="0" fillId="0" borderId="0" xfId="0" applyFill="1" applyBorder="1" applyAlignment="1">
      <alignment horizontal="right"/>
    </xf>
    <xf numFmtId="168" fontId="13" fillId="0" borderId="47" xfId="1" applyNumberFormat="1" applyFont="1" applyFill="1" applyBorder="1" applyProtection="1"/>
    <xf numFmtId="168" fontId="13" fillId="0" borderId="0" xfId="1" applyNumberFormat="1" applyFont="1" applyFill="1" applyBorder="1"/>
    <xf numFmtId="173" fontId="12" fillId="0" borderId="0" xfId="0" applyNumberFormat="1" applyFont="1" applyFill="1" applyProtection="1"/>
    <xf numFmtId="43" fontId="31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8" fontId="6" fillId="0" borderId="0" xfId="1" applyNumberFormat="1" applyFont="1" applyFill="1" applyBorder="1" applyProtection="1"/>
    <xf numFmtId="43" fontId="31" fillId="0" borderId="0" xfId="1" applyNumberFormat="1" applyFont="1" applyFill="1" applyProtection="1"/>
    <xf numFmtId="5" fontId="7" fillId="0" borderId="28" xfId="0" applyNumberFormat="1" applyFont="1" applyFill="1" applyBorder="1" applyProtection="1"/>
    <xf numFmtId="0" fontId="52" fillId="0" borderId="0" xfId="11" applyFont="1" applyFill="1"/>
    <xf numFmtId="0" fontId="28" fillId="0" borderId="0" xfId="11" applyFont="1" applyFill="1"/>
    <xf numFmtId="0" fontId="28" fillId="0" borderId="0" xfId="11" applyFont="1" applyFill="1" applyAlignment="1">
      <alignment horizontal="centerContinuous"/>
    </xf>
    <xf numFmtId="0" fontId="53" fillId="0" borderId="0" xfId="11" applyFont="1" applyFill="1" applyBorder="1" applyAlignment="1">
      <alignment horizontal="centerContinuous"/>
    </xf>
    <xf numFmtId="0" fontId="53" fillId="0" borderId="0" xfId="11" applyFont="1" applyFill="1" applyAlignment="1">
      <alignment horizontal="centerContinuous"/>
    </xf>
    <xf numFmtId="0" fontId="52" fillId="0" borderId="0" xfId="11" applyFont="1" applyFill="1" applyAlignment="1">
      <alignment horizontal="centerContinuous"/>
    </xf>
    <xf numFmtId="0" fontId="52" fillId="0" borderId="12" xfId="11" applyFont="1" applyFill="1" applyBorder="1" applyAlignment="1">
      <alignment horizontal="centerContinuous"/>
    </xf>
    <xf numFmtId="0" fontId="27" fillId="0" borderId="0" xfId="11" applyFill="1"/>
    <xf numFmtId="0" fontId="52" fillId="0" borderId="0" xfId="11" applyFont="1" applyFill="1" applyBorder="1" applyAlignment="1">
      <alignment horizontal="center"/>
    </xf>
    <xf numFmtId="0" fontId="52" fillId="0" borderId="0" xfId="11" applyFont="1" applyFill="1" applyBorder="1" applyAlignment="1">
      <alignment horizontal="centerContinuous"/>
    </xf>
    <xf numFmtId="0" fontId="52" fillId="0" borderId="34" xfId="11" applyFont="1" applyFill="1" applyBorder="1" applyAlignment="1">
      <alignment horizontal="centerContinuous"/>
    </xf>
    <xf numFmtId="0" fontId="29" fillId="0" borderId="0" xfId="11" applyFont="1" applyFill="1"/>
    <xf numFmtId="0" fontId="52" fillId="0" borderId="12" xfId="11" applyFont="1" applyFill="1" applyBorder="1"/>
    <xf numFmtId="0" fontId="54" fillId="0" borderId="51" xfId="11" applyFont="1" applyFill="1" applyBorder="1"/>
    <xf numFmtId="7" fontId="55" fillId="0" borderId="52" xfId="11" applyNumberFormat="1" applyFont="1" applyFill="1" applyBorder="1"/>
    <xf numFmtId="0" fontId="56" fillId="0" borderId="0" xfId="11" applyFont="1" applyFill="1"/>
    <xf numFmtId="180" fontId="55" fillId="0" borderId="52" xfId="11" applyNumberFormat="1" applyFont="1" applyFill="1" applyBorder="1"/>
    <xf numFmtId="183" fontId="55" fillId="0" borderId="52" xfId="1" applyNumberFormat="1" applyFont="1" applyFill="1" applyBorder="1" applyAlignment="1">
      <alignment horizontal="right"/>
    </xf>
    <xf numFmtId="43" fontId="52" fillId="0" borderId="0" xfId="11" applyNumberFormat="1" applyFont="1" applyFill="1"/>
    <xf numFmtId="37" fontId="52" fillId="0" borderId="0" xfId="11" applyNumberFormat="1" applyFont="1" applyFill="1" applyProtection="1"/>
    <xf numFmtId="7" fontId="27" fillId="0" borderId="0" xfId="11" applyNumberFormat="1" applyFill="1"/>
    <xf numFmtId="7" fontId="52" fillId="0" borderId="0" xfId="11" applyNumberFormat="1" applyFont="1" applyFill="1"/>
    <xf numFmtId="10" fontId="52" fillId="0" borderId="0" xfId="11" applyNumberFormat="1" applyFont="1" applyFill="1" applyProtection="1"/>
    <xf numFmtId="0" fontId="54" fillId="0" borderId="53" xfId="11" applyFont="1" applyFill="1" applyBorder="1"/>
    <xf numFmtId="180" fontId="55" fillId="0" borderId="54" xfId="11" applyNumberFormat="1" applyFont="1" applyFill="1" applyBorder="1"/>
    <xf numFmtId="0" fontId="54" fillId="0" borderId="0" xfId="11" applyFont="1" applyFill="1"/>
    <xf numFmtId="180" fontId="54" fillId="0" borderId="0" xfId="11" applyNumberFormat="1" applyFont="1" applyFill="1"/>
    <xf numFmtId="0" fontId="52" fillId="0" borderId="0" xfId="11" applyFont="1" applyFill="1" applyBorder="1"/>
    <xf numFmtId="7" fontId="52" fillId="0" borderId="0" xfId="11" applyNumberFormat="1" applyFont="1" applyFill="1" applyProtection="1"/>
    <xf numFmtId="171" fontId="54" fillId="0" borderId="0" xfId="11" applyNumberFormat="1" applyFont="1" applyFill="1"/>
    <xf numFmtId="189" fontId="52" fillId="0" borderId="0" xfId="11" applyNumberFormat="1" applyFont="1" applyFill="1" applyProtection="1"/>
    <xf numFmtId="37" fontId="52" fillId="0" borderId="12" xfId="11" applyNumberFormat="1" applyFont="1" applyFill="1" applyBorder="1" applyProtection="1"/>
    <xf numFmtId="7" fontId="52" fillId="0" borderId="12" xfId="11" applyNumberFormat="1" applyFont="1" applyFill="1" applyBorder="1" applyProtection="1"/>
    <xf numFmtId="189" fontId="52" fillId="0" borderId="12" xfId="11" applyNumberFormat="1" applyFont="1" applyFill="1" applyBorder="1" applyProtection="1"/>
    <xf numFmtId="0" fontId="17" fillId="0" borderId="0" xfId="11" applyFont="1" applyFill="1"/>
    <xf numFmtId="0" fontId="17" fillId="0" borderId="0" xfId="11" quotePrefix="1" applyFont="1" applyFill="1" applyBorder="1" applyAlignment="1">
      <alignment horizontal="left"/>
    </xf>
    <xf numFmtId="5" fontId="52" fillId="0" borderId="0" xfId="11" applyNumberFormat="1" applyFont="1" applyFill="1"/>
    <xf numFmtId="0" fontId="52" fillId="0" borderId="0" xfId="11" applyFont="1" applyFill="1" applyAlignment="1" applyProtection="1">
      <alignment horizontal="left"/>
    </xf>
    <xf numFmtId="44" fontId="52" fillId="0" borderId="0" xfId="2" applyFont="1" applyFill="1"/>
    <xf numFmtId="0" fontId="52" fillId="0" borderId="0" xfId="11" applyFont="1" applyFill="1" applyProtection="1"/>
    <xf numFmtId="0" fontId="28" fillId="0" borderId="0" xfId="11" applyFont="1" applyFill="1" applyAlignment="1" applyProtection="1">
      <alignment horizontal="centerContinuous"/>
    </xf>
    <xf numFmtId="0" fontId="53" fillId="0" borderId="0" xfId="11" applyFont="1" applyFill="1" applyBorder="1" applyAlignment="1" applyProtection="1">
      <alignment horizontal="center"/>
    </xf>
    <xf numFmtId="0" fontId="19" fillId="0" borderId="0" xfId="11" applyFont="1" applyFill="1" applyAlignment="1" applyProtection="1">
      <alignment horizontal="centerContinuous"/>
    </xf>
    <xf numFmtId="0" fontId="19" fillId="0" borderId="0" xfId="11" applyFont="1" applyFill="1" applyAlignment="1">
      <alignment horizontal="centerContinuous"/>
    </xf>
    <xf numFmtId="0" fontId="57" fillId="0" borderId="0" xfId="11" applyFont="1" applyFill="1" applyAlignment="1" applyProtection="1">
      <alignment horizontal="centerContinuous"/>
    </xf>
    <xf numFmtId="0" fontId="52" fillId="0" borderId="0" xfId="11" applyFont="1" applyFill="1" applyAlignment="1" applyProtection="1">
      <alignment horizontal="centerContinuous"/>
    </xf>
    <xf numFmtId="0" fontId="52" fillId="0" borderId="0" xfId="11" applyFont="1" applyFill="1" applyAlignment="1" applyProtection="1"/>
    <xf numFmtId="0" fontId="12" fillId="0" borderId="0" xfId="11" applyFont="1" applyFill="1" applyAlignment="1" applyProtection="1">
      <alignment horizontal="center"/>
    </xf>
    <xf numFmtId="0" fontId="12" fillId="0" borderId="0" xfId="11" applyFont="1" applyFill="1" applyProtection="1"/>
    <xf numFmtId="0" fontId="12" fillId="0" borderId="34" xfId="11" applyFont="1" applyFill="1" applyBorder="1" applyAlignment="1" applyProtection="1">
      <alignment horizontal="centerContinuous"/>
    </xf>
    <xf numFmtId="0" fontId="12" fillId="0" borderId="0" xfId="11" applyFont="1" applyFill="1" applyAlignment="1" applyProtection="1">
      <alignment horizontal="centerContinuous"/>
    </xf>
    <xf numFmtId="0" fontId="12" fillId="0" borderId="0" xfId="11" applyFont="1" applyFill="1"/>
    <xf numFmtId="0" fontId="12" fillId="0" borderId="0" xfId="11" applyFont="1" applyFill="1" applyBorder="1" applyAlignment="1" applyProtection="1">
      <alignment horizontal="center"/>
    </xf>
    <xf numFmtId="0" fontId="12" fillId="0" borderId="12" xfId="11" applyFont="1" applyFill="1" applyBorder="1" applyAlignment="1" applyProtection="1">
      <alignment horizontal="centerContinuous"/>
    </xf>
    <xf numFmtId="0" fontId="12" fillId="0" borderId="0" xfId="11" applyFont="1" applyFill="1" applyAlignment="1" applyProtection="1"/>
    <xf numFmtId="0" fontId="12" fillId="0" borderId="12" xfId="11" applyFont="1" applyFill="1" applyBorder="1" applyAlignment="1" applyProtection="1">
      <alignment horizontal="center"/>
    </xf>
    <xf numFmtId="0" fontId="10" fillId="0" borderId="0" xfId="11" applyFont="1" applyFill="1" applyProtection="1"/>
    <xf numFmtId="0" fontId="10" fillId="0" borderId="0" xfId="11" applyFont="1" applyFill="1" applyAlignment="1" applyProtection="1">
      <alignment horizontal="center"/>
    </xf>
    <xf numFmtId="0" fontId="12" fillId="0" borderId="34" xfId="11" applyFont="1" applyFill="1" applyBorder="1" applyAlignment="1" applyProtection="1">
      <alignment horizontal="center"/>
    </xf>
    <xf numFmtId="0" fontId="12" fillId="0" borderId="0" xfId="11" applyFont="1" applyFill="1" applyBorder="1" applyProtection="1"/>
    <xf numFmtId="0" fontId="52" fillId="0" borderId="49" xfId="11" applyFont="1" applyFill="1" applyBorder="1"/>
    <xf numFmtId="0" fontId="52" fillId="0" borderId="55" xfId="11" applyFont="1" applyFill="1" applyBorder="1"/>
    <xf numFmtId="0" fontId="52" fillId="0" borderId="50" xfId="11" applyFont="1" applyFill="1" applyBorder="1"/>
    <xf numFmtId="0" fontId="52" fillId="0" borderId="51" xfId="11" applyFont="1" applyFill="1" applyBorder="1"/>
    <xf numFmtId="0" fontId="52" fillId="0" borderId="52" xfId="11" applyFont="1" applyFill="1" applyBorder="1"/>
    <xf numFmtId="37" fontId="12" fillId="0" borderId="0" xfId="11" applyNumberFormat="1" applyFont="1" applyFill="1" applyProtection="1"/>
    <xf numFmtId="171" fontId="12" fillId="0" borderId="0" xfId="14" applyNumberFormat="1" applyFont="1" applyFill="1" applyProtection="1"/>
    <xf numFmtId="5" fontId="12" fillId="0" borderId="0" xfId="11" applyNumberFormat="1" applyFont="1" applyFill="1" applyProtection="1"/>
    <xf numFmtId="10" fontId="12" fillId="0" borderId="0" xfId="11" applyNumberFormat="1" applyFont="1" applyFill="1" applyProtection="1"/>
    <xf numFmtId="7" fontId="55" fillId="0" borderId="0" xfId="11" applyNumberFormat="1" applyFont="1" applyFill="1" applyBorder="1"/>
    <xf numFmtId="0" fontId="55" fillId="0" borderId="0" xfId="11" applyFont="1" applyFill="1" applyBorder="1"/>
    <xf numFmtId="7" fontId="52" fillId="0" borderId="0" xfId="2" applyNumberFormat="1" applyFont="1" applyFill="1"/>
    <xf numFmtId="7" fontId="54" fillId="0" borderId="0" xfId="11" applyNumberFormat="1" applyFont="1" applyFill="1" applyBorder="1"/>
    <xf numFmtId="0" fontId="52" fillId="0" borderId="51" xfId="11" applyFont="1" applyFill="1" applyBorder="1" applyAlignment="1">
      <alignment horizontal="right"/>
    </xf>
    <xf numFmtId="168" fontId="54" fillId="0" borderId="0" xfId="1" applyNumberFormat="1" applyFont="1" applyFill="1" applyBorder="1" applyAlignment="1">
      <alignment horizontal="right"/>
    </xf>
    <xf numFmtId="0" fontId="55" fillId="0" borderId="52" xfId="11" applyFont="1" applyFill="1" applyBorder="1"/>
    <xf numFmtId="0" fontId="52" fillId="0" borderId="0" xfId="11" applyFont="1" applyFill="1" applyBorder="1" applyAlignment="1">
      <alignment horizontal="right"/>
    </xf>
    <xf numFmtId="5" fontId="12" fillId="0" borderId="0" xfId="11" applyNumberFormat="1" applyFont="1" applyFill="1"/>
    <xf numFmtId="183" fontId="55" fillId="0" borderId="0" xfId="1" applyNumberFormat="1" applyFont="1" applyFill="1" applyBorder="1"/>
    <xf numFmtId="183" fontId="55" fillId="0" borderId="52" xfId="1" applyNumberFormat="1" applyFont="1" applyFill="1" applyBorder="1"/>
    <xf numFmtId="0" fontId="54" fillId="0" borderId="56" xfId="11" applyFont="1" applyFill="1" applyBorder="1"/>
    <xf numFmtId="0" fontId="54" fillId="0" borderId="54" xfId="11" applyFont="1" applyFill="1" applyBorder="1"/>
    <xf numFmtId="180" fontId="52" fillId="0" borderId="0" xfId="11" applyNumberFormat="1" applyFont="1" applyFill="1"/>
    <xf numFmtId="178" fontId="12" fillId="0" borderId="0" xfId="1" applyNumberFormat="1" applyFont="1" applyFill="1" applyProtection="1"/>
    <xf numFmtId="183" fontId="12" fillId="0" borderId="0" xfId="1" applyNumberFormat="1" applyFont="1" applyFill="1" applyProtection="1"/>
    <xf numFmtId="0" fontId="12" fillId="0" borderId="0" xfId="11" applyFont="1" applyFill="1" applyBorder="1"/>
    <xf numFmtId="171" fontId="12" fillId="0" borderId="0" xfId="14" applyNumberFormat="1" applyFont="1" applyFill="1" applyBorder="1" applyProtection="1"/>
    <xf numFmtId="0" fontId="17" fillId="0" borderId="0" xfId="11" quotePrefix="1" applyFont="1" applyFill="1"/>
    <xf numFmtId="0" fontId="53" fillId="0" borderId="0" xfId="11" applyFont="1" applyFill="1" applyBorder="1" applyAlignment="1" applyProtection="1">
      <alignment horizontal="centerContinuous"/>
    </xf>
    <xf numFmtId="0" fontId="12" fillId="0" borderId="0" xfId="11" applyFont="1" applyFill="1" applyAlignment="1">
      <alignment horizontal="center"/>
    </xf>
    <xf numFmtId="0" fontId="52" fillId="0" borderId="56" xfId="11" applyFont="1" applyFill="1" applyBorder="1"/>
    <xf numFmtId="0" fontId="12" fillId="0" borderId="0" xfId="11" applyFont="1" applyFill="1" applyAlignment="1" applyProtection="1">
      <alignment horizontal="left"/>
    </xf>
    <xf numFmtId="0" fontId="52" fillId="0" borderId="52" xfId="11" applyFont="1" applyFill="1" applyBorder="1" applyAlignment="1">
      <alignment horizontal="center"/>
    </xf>
    <xf numFmtId="5" fontId="55" fillId="0" borderId="0" xfId="11" applyNumberFormat="1" applyFont="1" applyFill="1" applyBorder="1"/>
    <xf numFmtId="180" fontId="55" fillId="0" borderId="0" xfId="11" applyNumberFormat="1" applyFont="1" applyFill="1" applyBorder="1"/>
    <xf numFmtId="180" fontId="52" fillId="0" borderId="52" xfId="11" applyNumberFormat="1" applyFont="1" applyFill="1" applyBorder="1"/>
    <xf numFmtId="0" fontId="52" fillId="0" borderId="53" xfId="11" applyFont="1" applyFill="1" applyBorder="1"/>
    <xf numFmtId="183" fontId="54" fillId="0" borderId="56" xfId="1" applyNumberFormat="1" applyFont="1" applyFill="1" applyBorder="1"/>
    <xf numFmtId="0" fontId="52" fillId="0" borderId="54" xfId="11" applyFont="1" applyFill="1" applyBorder="1"/>
    <xf numFmtId="0" fontId="12" fillId="0" borderId="12" xfId="11" applyFont="1" applyFill="1" applyBorder="1" applyProtection="1"/>
    <xf numFmtId="0" fontId="12" fillId="0" borderId="12" xfId="11" applyFont="1" applyFill="1" applyBorder="1"/>
    <xf numFmtId="0" fontId="57" fillId="0" borderId="0" xfId="11" applyFont="1" applyFill="1" applyBorder="1" applyAlignment="1">
      <alignment horizontal="centerContinuous"/>
    </xf>
    <xf numFmtId="0" fontId="52" fillId="0" borderId="0" xfId="11" applyFont="1" applyFill="1" applyAlignment="1" applyProtection="1">
      <alignment horizontal="center"/>
    </xf>
    <xf numFmtId="0" fontId="52" fillId="0" borderId="0" xfId="11" applyFont="1" applyFill="1" applyAlignment="1">
      <alignment horizontal="center"/>
    </xf>
    <xf numFmtId="0" fontId="52" fillId="0" borderId="0" xfId="11" applyFont="1" applyFill="1" applyBorder="1" applyAlignment="1" applyProtection="1">
      <alignment horizontal="center"/>
    </xf>
    <xf numFmtId="0" fontId="52" fillId="0" borderId="12" xfId="11" applyFont="1" applyFill="1" applyBorder="1" applyAlignment="1" applyProtection="1">
      <alignment horizontal="center"/>
    </xf>
    <xf numFmtId="0" fontId="56" fillId="0" borderId="0" xfId="11" applyFont="1" applyFill="1" applyAlignment="1">
      <alignment horizontal="center"/>
    </xf>
    <xf numFmtId="0" fontId="54" fillId="0" borderId="52" xfId="11" applyFont="1" applyFill="1" applyBorder="1"/>
    <xf numFmtId="0" fontId="54" fillId="0" borderId="0" xfId="11" applyFont="1" applyFill="1" applyBorder="1"/>
    <xf numFmtId="0" fontId="52" fillId="0" borderId="36" xfId="11" applyFont="1" applyFill="1" applyBorder="1"/>
    <xf numFmtId="0" fontId="52" fillId="0" borderId="28" xfId="11" applyFont="1" applyFill="1" applyBorder="1"/>
    <xf numFmtId="0" fontId="52" fillId="0" borderId="38" xfId="11" applyFont="1" applyFill="1" applyBorder="1"/>
    <xf numFmtId="0" fontId="56" fillId="0" borderId="0" xfId="11" applyFont="1" applyFill="1" applyBorder="1"/>
    <xf numFmtId="0" fontId="52" fillId="0" borderId="5" xfId="11" applyFont="1" applyFill="1" applyBorder="1"/>
    <xf numFmtId="7" fontId="55" fillId="0" borderId="4" xfId="11" applyNumberFormat="1" applyFont="1" applyFill="1" applyBorder="1"/>
    <xf numFmtId="5" fontId="52" fillId="0" borderId="0" xfId="11" applyNumberFormat="1" applyFont="1" applyFill="1" applyProtection="1"/>
    <xf numFmtId="5" fontId="55" fillId="0" borderId="4" xfId="11" applyNumberFormat="1" applyFont="1" applyFill="1" applyBorder="1"/>
    <xf numFmtId="0" fontId="52" fillId="0" borderId="19" xfId="11" applyFont="1" applyFill="1" applyBorder="1"/>
    <xf numFmtId="5" fontId="55" fillId="0" borderId="12" xfId="11" applyNumberFormat="1" applyFont="1" applyFill="1" applyBorder="1"/>
    <xf numFmtId="0" fontId="55" fillId="0" borderId="12" xfId="11" applyFont="1" applyFill="1" applyBorder="1"/>
    <xf numFmtId="5" fontId="55" fillId="0" borderId="13" xfId="11" applyNumberFormat="1" applyFont="1" applyFill="1" applyBorder="1"/>
    <xf numFmtId="0" fontId="17" fillId="0" borderId="0" xfId="11" quotePrefix="1" applyFont="1" applyFill="1" applyBorder="1"/>
    <xf numFmtId="10" fontId="52" fillId="0" borderId="0" xfId="14" applyNumberFormat="1" applyFont="1" applyFill="1"/>
    <xf numFmtId="0" fontId="57" fillId="0" borderId="0" xfId="11" applyFont="1" applyFill="1" applyAlignment="1">
      <alignment horizontal="centerContinuous"/>
    </xf>
    <xf numFmtId="43" fontId="31" fillId="0" borderId="0" xfId="1" applyFont="1" applyFill="1" applyProtection="1">
      <protection locked="0"/>
    </xf>
    <xf numFmtId="183" fontId="0" fillId="0" borderId="0" xfId="1" applyNumberFormat="1" applyFont="1" applyFill="1"/>
    <xf numFmtId="43" fontId="31" fillId="0" borderId="0" xfId="1" applyFont="1" applyFill="1" applyProtection="1"/>
    <xf numFmtId="0" fontId="0" fillId="0" borderId="0" xfId="0" applyAlignment="1">
      <alignment horizontal="right"/>
    </xf>
    <xf numFmtId="0" fontId="23" fillId="0" borderId="0" xfId="0" applyFont="1"/>
    <xf numFmtId="0" fontId="0" fillId="0" borderId="0" xfId="0" applyBorder="1"/>
    <xf numFmtId="0" fontId="0" fillId="0" borderId="0" xfId="0" applyFill="1" applyBorder="1" applyAlignment="1">
      <alignment horizontal="center"/>
    </xf>
    <xf numFmtId="0" fontId="58" fillId="0" borderId="0" xfId="0" applyFont="1"/>
    <xf numFmtId="6" fontId="31" fillId="0" borderId="0" xfId="1" applyNumberFormat="1" applyFont="1" applyBorder="1"/>
    <xf numFmtId="6" fontId="13" fillId="0" borderId="0" xfId="1" applyNumberFormat="1" applyFont="1" applyBorder="1"/>
    <xf numFmtId="168" fontId="31" fillId="0" borderId="0" xfId="1" applyNumberFormat="1" applyFont="1" applyBorder="1"/>
    <xf numFmtId="3" fontId="58" fillId="0" borderId="0" xfId="0" applyNumberFormat="1" applyFont="1" applyFill="1" applyBorder="1"/>
    <xf numFmtId="3" fontId="0" fillId="0" borderId="0" xfId="0" applyNumberFormat="1"/>
    <xf numFmtId="168" fontId="14" fillId="0" borderId="0" xfId="1" applyNumberFormat="1" applyFont="1" applyFill="1" applyBorder="1"/>
    <xf numFmtId="3" fontId="59" fillId="0" borderId="0" xfId="0" applyNumberFormat="1" applyFont="1" applyFill="1" applyBorder="1"/>
    <xf numFmtId="49" fontId="8" fillId="0" borderId="0" xfId="9" applyNumberFormat="1" applyFont="1"/>
    <xf numFmtId="49" fontId="8" fillId="0" borderId="0" xfId="9" applyNumberFormat="1" applyFont="1" applyBorder="1"/>
    <xf numFmtId="6" fontId="31" fillId="0" borderId="0" xfId="1" applyNumberFormat="1" applyFont="1" applyFill="1" applyBorder="1"/>
    <xf numFmtId="168" fontId="60" fillId="0" borderId="0" xfId="1" applyNumberFormat="1" applyFont="1" applyFill="1" applyBorder="1"/>
    <xf numFmtId="168" fontId="14" fillId="0" borderId="0" xfId="1" applyNumberFormat="1" applyFont="1" applyFill="1"/>
    <xf numFmtId="6" fontId="0" fillId="0" borderId="0" xfId="0" applyNumberFormat="1" applyBorder="1"/>
    <xf numFmtId="168" fontId="0" fillId="0" borderId="0" xfId="0" applyNumberFormat="1" applyBorder="1"/>
    <xf numFmtId="168" fontId="14" fillId="0" borderId="0" xfId="0" applyNumberFormat="1" applyFont="1" applyFill="1" applyBorder="1"/>
    <xf numFmtId="3" fontId="14" fillId="0" borderId="12" xfId="0" applyNumberFormat="1" applyFont="1" applyFill="1" applyBorder="1"/>
    <xf numFmtId="3" fontId="59" fillId="0" borderId="12" xfId="0" applyNumberFormat="1" applyFont="1" applyFill="1" applyBorder="1"/>
    <xf numFmtId="6" fontId="0" fillId="0" borderId="0" xfId="0" applyNumberFormat="1" applyFill="1" applyBorder="1"/>
    <xf numFmtId="0" fontId="0" fillId="0" borderId="15" xfId="0" applyBorder="1"/>
    <xf numFmtId="49" fontId="8" fillId="0" borderId="15" xfId="9" applyNumberFormat="1" applyFont="1" applyBorder="1"/>
    <xf numFmtId="6" fontId="0" fillId="0" borderId="15" xfId="0" applyNumberFormat="1" applyBorder="1"/>
    <xf numFmtId="168" fontId="25" fillId="0" borderId="0" xfId="1" applyNumberFormat="1" applyFont="1"/>
    <xf numFmtId="168" fontId="13" fillId="0" borderId="0" xfId="1" applyNumberFormat="1" applyFont="1"/>
    <xf numFmtId="3" fontId="32" fillId="0" borderId="0" xfId="0" applyNumberFormat="1" applyFont="1"/>
    <xf numFmtId="6" fontId="61" fillId="0" borderId="0" xfId="0" applyNumberFormat="1" applyFont="1" applyBorder="1"/>
    <xf numFmtId="6" fontId="14" fillId="0" borderId="0" xfId="0" applyNumberFormat="1" applyFont="1" applyBorder="1"/>
    <xf numFmtId="6" fontId="0" fillId="0" borderId="0" xfId="0" applyNumberFormat="1"/>
    <xf numFmtId="168" fontId="31" fillId="0" borderId="0" xfId="1" applyNumberFormat="1" applyFont="1" applyFill="1" applyBorder="1"/>
    <xf numFmtId="168" fontId="0" fillId="0" borderId="0" xfId="0" applyNumberFormat="1" applyFill="1" applyBorder="1"/>
    <xf numFmtId="38" fontId="0" fillId="0" borderId="0" xfId="0" applyNumberFormat="1" applyBorder="1"/>
    <xf numFmtId="3" fontId="0" fillId="0" borderId="0" xfId="0" applyNumberFormat="1" applyBorder="1"/>
    <xf numFmtId="38" fontId="61" fillId="0" borderId="0" xfId="0" applyNumberFormat="1" applyFont="1" applyBorder="1"/>
    <xf numFmtId="3" fontId="61" fillId="0" borderId="0" xfId="0" applyNumberFormat="1" applyFont="1" applyBorder="1"/>
    <xf numFmtId="3" fontId="14" fillId="0" borderId="0" xfId="0" applyNumberFormat="1" applyFont="1" applyBorder="1"/>
    <xf numFmtId="168" fontId="5" fillId="0" borderId="0" xfId="6" applyNumberFormat="1" applyFont="1" applyFill="1"/>
    <xf numFmtId="168" fontId="10" fillId="0" borderId="5" xfId="0" applyNumberFormat="1" applyFont="1" applyFill="1" applyBorder="1"/>
    <xf numFmtId="5" fontId="0" fillId="0" borderId="0" xfId="0" applyNumberFormat="1"/>
    <xf numFmtId="7" fontId="0" fillId="0" borderId="0" xfId="0" applyNumberFormat="1"/>
    <xf numFmtId="37" fontId="12" fillId="0" borderId="0" xfId="0" applyNumberFormat="1" applyFont="1" applyFill="1"/>
    <xf numFmtId="0" fontId="58" fillId="0" borderId="0" xfId="0" applyFont="1" applyFill="1"/>
    <xf numFmtId="6" fontId="13" fillId="0" borderId="0" xfId="1" applyNumberFormat="1" applyFont="1" applyFill="1" applyBorder="1"/>
    <xf numFmtId="165" fontId="10" fillId="0" borderId="0" xfId="0" applyNumberFormat="1" applyFont="1" applyFill="1"/>
    <xf numFmtId="165" fontId="12" fillId="0" borderId="0" xfId="0" applyNumberFormat="1" applyFont="1" applyFill="1"/>
    <xf numFmtId="175" fontId="0" fillId="0" borderId="0" xfId="0" applyNumberFormat="1" applyFill="1" applyBorder="1"/>
    <xf numFmtId="0" fontId="12" fillId="0" borderId="0" xfId="0" applyFont="1" applyFill="1" applyAlignment="1">
      <alignment horizontal="left"/>
    </xf>
    <xf numFmtId="10" fontId="0" fillId="0" borderId="0" xfId="14" applyNumberFormat="1" applyFont="1" applyFill="1"/>
    <xf numFmtId="0" fontId="5" fillId="0" borderId="0" xfId="8"/>
    <xf numFmtId="0" fontId="35" fillId="0" borderId="12" xfId="8" applyFont="1" applyBorder="1" applyAlignment="1">
      <alignment horizontal="center"/>
    </xf>
    <xf numFmtId="0" fontId="36" fillId="0" borderId="5" xfId="8" applyFont="1" applyBorder="1" applyAlignment="1">
      <alignment horizontal="center"/>
    </xf>
    <xf numFmtId="0" fontId="5" fillId="0" borderId="5" xfId="8" applyBorder="1" applyAlignment="1">
      <alignment horizontal="center"/>
    </xf>
    <xf numFmtId="0" fontId="5" fillId="0" borderId="4" xfId="8" applyBorder="1" applyAlignment="1">
      <alignment horizontal="center"/>
    </xf>
    <xf numFmtId="0" fontId="5" fillId="0" borderId="0" xfId="8" applyBorder="1"/>
    <xf numFmtId="0" fontId="5" fillId="0" borderId="36" xfId="8" applyBorder="1"/>
    <xf numFmtId="0" fontId="5" fillId="0" borderId="28" xfId="8" applyBorder="1"/>
    <xf numFmtId="0" fontId="5" fillId="0" borderId="38" xfId="8" applyBorder="1"/>
    <xf numFmtId="10" fontId="36" fillId="0" borderId="0" xfId="14" applyNumberFormat="1" applyFont="1"/>
    <xf numFmtId="0" fontId="5" fillId="0" borderId="5" xfId="8" applyBorder="1" applyAlignment="1">
      <alignment horizontal="right"/>
    </xf>
    <xf numFmtId="0" fontId="5" fillId="0" borderId="12" xfId="8" applyBorder="1"/>
    <xf numFmtId="0" fontId="5" fillId="0" borderId="0" xfId="8" applyAlignment="1">
      <alignment horizontal="center"/>
    </xf>
    <xf numFmtId="0" fontId="5" fillId="0" borderId="5" xfId="8" applyBorder="1"/>
    <xf numFmtId="0" fontId="5" fillId="0" borderId="4" xfId="8" applyBorder="1"/>
    <xf numFmtId="171" fontId="5" fillId="0" borderId="4" xfId="8" applyNumberFormat="1" applyBorder="1" applyAlignment="1">
      <alignment horizontal="right"/>
    </xf>
    <xf numFmtId="0" fontId="5" fillId="0" borderId="0" xfId="8" applyAlignment="1">
      <alignment horizontal="right"/>
    </xf>
    <xf numFmtId="5" fontId="5" fillId="0" borderId="5" xfId="8" applyNumberFormat="1" applyBorder="1" applyAlignment="1">
      <alignment horizontal="right"/>
    </xf>
    <xf numFmtId="0" fontId="36" fillId="0" borderId="0" xfId="8" applyFont="1" applyBorder="1"/>
    <xf numFmtId="5" fontId="5" fillId="0" borderId="0" xfId="8" applyNumberFormat="1"/>
    <xf numFmtId="5" fontId="5" fillId="0" borderId="5" xfId="8" applyNumberFormat="1" applyBorder="1"/>
    <xf numFmtId="5" fontId="5" fillId="0" borderId="4" xfId="8" applyNumberFormat="1" applyBorder="1"/>
    <xf numFmtId="0" fontId="5" fillId="0" borderId="12" xfId="8" applyBorder="1" applyAlignment="1">
      <alignment horizontal="right"/>
    </xf>
    <xf numFmtId="16" fontId="5" fillId="0" borderId="0" xfId="8" quotePrefix="1" applyNumberFormat="1" applyBorder="1" applyAlignment="1">
      <alignment horizontal="center"/>
    </xf>
    <xf numFmtId="16" fontId="5" fillId="0" borderId="4" xfId="8" applyNumberFormat="1" applyBorder="1" applyAlignment="1">
      <alignment horizontal="center"/>
    </xf>
    <xf numFmtId="5" fontId="62" fillId="0" borderId="0" xfId="8" applyNumberFormat="1" applyFont="1" applyBorder="1"/>
    <xf numFmtId="5" fontId="5" fillId="0" borderId="36" xfId="8" applyNumberFormat="1" applyBorder="1" applyAlignment="1">
      <alignment horizontal="right"/>
    </xf>
    <xf numFmtId="5" fontId="5" fillId="0" borderId="28" xfId="8" applyNumberFormat="1" applyBorder="1" applyAlignment="1">
      <alignment horizontal="right"/>
    </xf>
    <xf numFmtId="0" fontId="62" fillId="0" borderId="0" xfId="8" applyFont="1" applyBorder="1" applyAlignment="1"/>
    <xf numFmtId="0" fontId="62" fillId="0" borderId="0" xfId="8" applyFont="1" applyBorder="1" applyAlignment="1">
      <alignment horizontal="center"/>
    </xf>
    <xf numFmtId="0" fontId="62" fillId="0" borderId="4" xfId="8" applyFont="1" applyBorder="1" applyAlignment="1">
      <alignment horizontal="center"/>
    </xf>
    <xf numFmtId="0" fontId="5" fillId="0" borderId="0" xfId="8" applyBorder="1" applyAlignment="1">
      <alignment horizontal="right"/>
    </xf>
    <xf numFmtId="0" fontId="5" fillId="0" borderId="0" xfId="8" applyAlignment="1">
      <alignment horizontal="left"/>
    </xf>
    <xf numFmtId="7" fontId="5" fillId="0" borderId="5" xfId="2" applyNumberFormat="1" applyBorder="1" applyAlignment="1">
      <alignment horizontal="right"/>
    </xf>
    <xf numFmtId="7" fontId="5" fillId="0" borderId="0" xfId="2" applyNumberFormat="1" applyBorder="1" applyAlignment="1">
      <alignment horizontal="right"/>
    </xf>
    <xf numFmtId="7" fontId="5" fillId="0" borderId="0" xfId="8" applyNumberFormat="1" applyBorder="1"/>
    <xf numFmtId="37" fontId="5" fillId="0" borderId="0" xfId="8" applyNumberFormat="1" applyBorder="1"/>
    <xf numFmtId="9" fontId="5" fillId="0" borderId="0" xfId="14" applyNumberFormat="1"/>
    <xf numFmtId="37" fontId="5" fillId="0" borderId="5" xfId="8" applyNumberFormat="1" applyBorder="1"/>
    <xf numFmtId="0" fontId="5" fillId="0" borderId="0" xfId="8" quotePrefix="1" applyBorder="1"/>
    <xf numFmtId="44" fontId="5" fillId="0" borderId="0" xfId="2" applyBorder="1" applyAlignment="1">
      <alignment horizontal="right"/>
    </xf>
    <xf numFmtId="37" fontId="62" fillId="0" borderId="0" xfId="8" applyNumberFormat="1" applyFont="1" applyBorder="1"/>
    <xf numFmtId="5" fontId="62" fillId="0" borderId="4" xfId="8" applyNumberFormat="1" applyFont="1" applyBorder="1"/>
    <xf numFmtId="7" fontId="62" fillId="0" borderId="0" xfId="8" applyNumberFormat="1" applyFont="1" applyBorder="1"/>
    <xf numFmtId="168" fontId="5" fillId="0" borderId="19" xfId="1" applyNumberFormat="1" applyBorder="1" applyAlignment="1">
      <alignment horizontal="right"/>
    </xf>
    <xf numFmtId="168" fontId="5" fillId="0" borderId="12" xfId="1" applyNumberFormat="1" applyFont="1" applyBorder="1" applyAlignment="1">
      <alignment horizontal="right"/>
    </xf>
    <xf numFmtId="168" fontId="5" fillId="0" borderId="0" xfId="1" applyNumberFormat="1" applyBorder="1" applyAlignment="1">
      <alignment horizontal="right"/>
    </xf>
    <xf numFmtId="168" fontId="5" fillId="0" borderId="0" xfId="1" applyNumberFormat="1" applyFont="1" applyBorder="1" applyAlignment="1">
      <alignment horizontal="right"/>
    </xf>
    <xf numFmtId="0" fontId="5" fillId="0" borderId="0" xfId="8" quotePrefix="1" applyAlignment="1">
      <alignment horizontal="left"/>
    </xf>
    <xf numFmtId="0" fontId="36" fillId="0" borderId="0" xfId="8" applyFont="1" applyAlignment="1">
      <alignment horizontal="left"/>
    </xf>
    <xf numFmtId="7" fontId="5" fillId="0" borderId="0" xfId="8" applyNumberFormat="1" applyAlignment="1">
      <alignment horizontal="right"/>
    </xf>
    <xf numFmtId="7" fontId="5" fillId="0" borderId="0" xfId="8" applyNumberFormat="1"/>
    <xf numFmtId="7" fontId="62" fillId="0" borderId="0" xfId="8" applyNumberFormat="1" applyFont="1" applyAlignment="1">
      <alignment horizontal="right"/>
    </xf>
    <xf numFmtId="5" fontId="5" fillId="0" borderId="0" xfId="8" applyNumberFormat="1" applyAlignment="1">
      <alignment horizontal="right"/>
    </xf>
    <xf numFmtId="0" fontId="62" fillId="0" borderId="0" xfId="8" applyFont="1" applyAlignment="1">
      <alignment horizontal="left"/>
    </xf>
    <xf numFmtId="0" fontId="62" fillId="0" borderId="0" xfId="8" applyFont="1" applyAlignment="1">
      <alignment horizontal="center"/>
    </xf>
    <xf numFmtId="0" fontId="63" fillId="0" borderId="0" xfId="8" quotePrefix="1" applyFont="1" applyFill="1" applyAlignment="1" applyProtection="1">
      <alignment horizontal="center"/>
    </xf>
    <xf numFmtId="37" fontId="5" fillId="0" borderId="0" xfId="8" applyNumberFormat="1" applyFill="1" applyBorder="1"/>
    <xf numFmtId="182" fontId="36" fillId="0" borderId="0" xfId="8" applyNumberFormat="1" applyFont="1"/>
    <xf numFmtId="0" fontId="9" fillId="0" borderId="0" xfId="2" applyNumberFormat="1" applyFont="1" applyFill="1"/>
    <xf numFmtId="171" fontId="0" fillId="0" borderId="0" xfId="14" applyNumberFormat="1" applyFont="1" applyFill="1"/>
    <xf numFmtId="7" fontId="31" fillId="0" borderId="0" xfId="0" applyNumberFormat="1" applyFont="1" applyFill="1" applyBorder="1"/>
    <xf numFmtId="5" fontId="31" fillId="0" borderId="0" xfId="0" applyNumberFormat="1" applyFont="1" applyFill="1" applyBorder="1"/>
    <xf numFmtId="204" fontId="13" fillId="0" borderId="0" xfId="2" applyNumberFormat="1" applyFont="1" applyFill="1" applyBorder="1"/>
    <xf numFmtId="0" fontId="5" fillId="0" borderId="0" xfId="8" applyFont="1" applyAlignment="1">
      <alignment horizontal="left"/>
    </xf>
    <xf numFmtId="0" fontId="5" fillId="0" borderId="0" xfId="8" applyFont="1"/>
    <xf numFmtId="0" fontId="0" fillId="0" borderId="0" xfId="0" applyAlignment="1">
      <alignment horizontal="center"/>
    </xf>
    <xf numFmtId="9" fontId="13" fillId="0" borderId="0" xfId="14" applyFont="1" applyFill="1"/>
    <xf numFmtId="9" fontId="0" fillId="0" borderId="0" xfId="14" applyFont="1" applyFill="1"/>
    <xf numFmtId="9" fontId="0" fillId="0" borderId="0" xfId="0" applyNumberFormat="1" applyFill="1"/>
    <xf numFmtId="9" fontId="13" fillId="0" borderId="0" xfId="14" applyNumberFormat="1" applyFont="1" applyFill="1"/>
    <xf numFmtId="167" fontId="0" fillId="0" borderId="0" xfId="0" applyNumberFormat="1" applyFill="1" applyBorder="1"/>
    <xf numFmtId="7" fontId="0" fillId="0" borderId="0" xfId="0" applyNumberFormat="1" applyFill="1" applyProtection="1"/>
    <xf numFmtId="0" fontId="52" fillId="0" borderId="0" xfId="11" applyFont="1" applyFill="1" applyAlignment="1">
      <alignment horizontal="right"/>
    </xf>
    <xf numFmtId="0" fontId="5" fillId="0" borderId="0" xfId="8" quotePrefix="1" applyFont="1" applyAlignment="1">
      <alignment horizontal="left"/>
    </xf>
    <xf numFmtId="5" fontId="5" fillId="0" borderId="0" xfId="8" applyNumberFormat="1" applyFont="1"/>
    <xf numFmtId="10" fontId="0" fillId="0" borderId="0" xfId="0" applyNumberFormat="1" applyFill="1" applyBorder="1"/>
    <xf numFmtId="0" fontId="36" fillId="0" borderId="28" xfId="8" applyFont="1" applyBorder="1" applyAlignment="1">
      <alignment horizontal="center"/>
    </xf>
    <xf numFmtId="0" fontId="5" fillId="0" borderId="4" xfId="8" applyFont="1" applyBorder="1" applyAlignment="1">
      <alignment horizontal="center"/>
    </xf>
    <xf numFmtId="5" fontId="5" fillId="0" borderId="12" xfId="8" applyNumberFormat="1" applyBorder="1" applyAlignment="1">
      <alignment horizontal="right"/>
    </xf>
    <xf numFmtId="5" fontId="5" fillId="0" borderId="0" xfId="8" applyNumberFormat="1" applyBorder="1"/>
    <xf numFmtId="0" fontId="12" fillId="0" borderId="0" xfId="0" applyFont="1" applyFill="1" applyAlignment="1">
      <alignment horizontal="right"/>
    </xf>
    <xf numFmtId="0" fontId="5" fillId="2" borderId="0" xfId="6" applyFill="1"/>
    <xf numFmtId="168" fontId="5" fillId="2" borderId="0" xfId="1" applyNumberFormat="1" applyFill="1"/>
    <xf numFmtId="168" fontId="37" fillId="2" borderId="0" xfId="1" applyNumberFormat="1" applyFont="1" applyFill="1" applyAlignment="1">
      <alignment horizontal="left"/>
    </xf>
    <xf numFmtId="43" fontId="5" fillId="2" borderId="0" xfId="1" applyFill="1"/>
    <xf numFmtId="168" fontId="37" fillId="2" borderId="0" xfId="1" applyNumberFormat="1" applyFont="1" applyFill="1"/>
    <xf numFmtId="168" fontId="5" fillId="2" borderId="0" xfId="6" applyNumberFormat="1" applyFill="1"/>
    <xf numFmtId="43" fontId="5" fillId="2" borderId="0" xfId="6" applyNumberFormat="1" applyFill="1"/>
    <xf numFmtId="43" fontId="36" fillId="0" borderId="0" xfId="1" applyNumberFormat="1" applyFont="1" applyFill="1"/>
    <xf numFmtId="172" fontId="5" fillId="2" borderId="0" xfId="1" applyNumberFormat="1" applyFill="1"/>
    <xf numFmtId="172" fontId="37" fillId="2" borderId="0" xfId="1" applyNumberFormat="1" applyFont="1" applyFill="1"/>
    <xf numFmtId="172" fontId="5" fillId="2" borderId="0" xfId="6" applyNumberFormat="1" applyFill="1"/>
    <xf numFmtId="0" fontId="7" fillId="0" borderId="0" xfId="0" applyFont="1" applyFill="1" applyAlignment="1" applyProtection="1">
      <alignment horizontal="center"/>
    </xf>
    <xf numFmtId="37" fontId="0" fillId="0" borderId="37" xfId="0" applyNumberFormat="1" applyFont="1" applyFill="1" applyBorder="1" applyProtection="1"/>
    <xf numFmtId="5" fontId="6" fillId="0" borderId="12" xfId="0" applyNumberFormat="1" applyFont="1" applyFill="1" applyBorder="1" applyProtection="1"/>
    <xf numFmtId="5" fontId="6" fillId="0" borderId="58" xfId="0" applyNumberFormat="1" applyFont="1" applyFill="1" applyBorder="1" applyProtection="1"/>
    <xf numFmtId="5" fontId="6" fillId="0" borderId="37" xfId="0" applyNumberFormat="1" applyFont="1" applyFill="1" applyBorder="1" applyProtection="1"/>
    <xf numFmtId="37" fontId="0" fillId="0" borderId="58" xfId="0" applyNumberFormat="1" applyFont="1" applyFill="1" applyBorder="1" applyProtection="1"/>
    <xf numFmtId="0" fontId="0" fillId="0" borderId="0" xfId="0" applyFont="1" applyFill="1"/>
    <xf numFmtId="37" fontId="6" fillId="0" borderId="43" xfId="0" applyNumberFormat="1" applyFont="1" applyFill="1" applyBorder="1" applyProtection="1"/>
    <xf numFmtId="183" fontId="5" fillId="2" borderId="0" xfId="6" applyNumberFormat="1" applyFill="1"/>
    <xf numFmtId="183" fontId="5" fillId="0" borderId="0" xfId="6" applyNumberFormat="1" applyFill="1"/>
    <xf numFmtId="0" fontId="12" fillId="0" borderId="0" xfId="0" applyFont="1"/>
    <xf numFmtId="5" fontId="6" fillId="0" borderId="15" xfId="0" applyNumberFormat="1" applyFont="1" applyFill="1" applyBorder="1" applyProtection="1"/>
    <xf numFmtId="6" fontId="12" fillId="0" borderId="0" xfId="1" applyNumberFormat="1" applyFont="1" applyFill="1" applyBorder="1"/>
    <xf numFmtId="5" fontId="12" fillId="0" borderId="0" xfId="1" applyNumberFormat="1" applyFont="1" applyFill="1" applyBorder="1"/>
    <xf numFmtId="5" fontId="12" fillId="0" borderId="0" xfId="12" applyNumberFormat="1" applyFont="1" applyFill="1"/>
    <xf numFmtId="10" fontId="0" fillId="0" borderId="0" xfId="14" applyNumberFormat="1" applyFont="1" applyFill="1" applyBorder="1"/>
    <xf numFmtId="0" fontId="13" fillId="0" borderId="0" xfId="14" applyNumberFormat="1" applyFont="1" applyFill="1"/>
    <xf numFmtId="0" fontId="27" fillId="0" borderId="0" xfId="11" applyFont="1" applyFill="1"/>
    <xf numFmtId="0" fontId="65" fillId="0" borderId="0" xfId="19"/>
    <xf numFmtId="37" fontId="65" fillId="0" borderId="0" xfId="19" applyNumberFormat="1"/>
    <xf numFmtId="5" fontId="27" fillId="0" borderId="0" xfId="11" applyNumberFormat="1" applyFont="1" applyFill="1" applyProtection="1"/>
    <xf numFmtId="0" fontId="0" fillId="0" borderId="36" xfId="0" applyFill="1" applyBorder="1"/>
    <xf numFmtId="3" fontId="0" fillId="0" borderId="13" xfId="0" applyNumberFormat="1" applyFill="1" applyBorder="1"/>
    <xf numFmtId="5" fontId="0" fillId="0" borderId="13" xfId="0" applyNumberFormat="1" applyFill="1" applyBorder="1"/>
    <xf numFmtId="10" fontId="0" fillId="0" borderId="19" xfId="14" applyNumberFormat="1" applyFont="1" applyFill="1" applyBorder="1"/>
    <xf numFmtId="0" fontId="46" fillId="0" borderId="36" xfId="7" applyFont="1" applyFill="1" applyBorder="1"/>
    <xf numFmtId="0" fontId="46" fillId="0" borderId="19" xfId="7" applyFont="1" applyFill="1" applyBorder="1"/>
    <xf numFmtId="0" fontId="12" fillId="0" borderId="36" xfId="0" applyFont="1" applyFill="1" applyBorder="1"/>
    <xf numFmtId="5" fontId="12" fillId="0" borderId="38" xfId="0" applyNumberFormat="1" applyFont="1" applyFill="1" applyBorder="1"/>
    <xf numFmtId="3" fontId="12" fillId="0" borderId="0" xfId="0" applyNumberFormat="1" applyFont="1" applyFill="1" applyAlignment="1">
      <alignment horizontal="center"/>
    </xf>
    <xf numFmtId="3" fontId="12" fillId="0" borderId="0" xfId="0" applyNumberFormat="1" applyFont="1" applyFill="1" applyBorder="1" applyAlignment="1">
      <alignment horizontal="center"/>
    </xf>
    <xf numFmtId="0" fontId="5" fillId="0" borderId="0" xfId="19" applyFont="1"/>
    <xf numFmtId="6" fontId="5" fillId="2" borderId="0" xfId="6" applyNumberFormat="1" applyFill="1"/>
    <xf numFmtId="6" fontId="5" fillId="0" borderId="0" xfId="6" applyNumberFormat="1"/>
    <xf numFmtId="10" fontId="12" fillId="0" borderId="0" xfId="14" applyNumberFormat="1" applyFont="1" applyFill="1"/>
    <xf numFmtId="184" fontId="9" fillId="0" borderId="0" xfId="0" applyNumberFormat="1" applyFont="1" applyFill="1" applyProtection="1">
      <protection locked="0"/>
    </xf>
    <xf numFmtId="189" fontId="9" fillId="0" borderId="0" xfId="0" applyNumberFormat="1" applyFont="1" applyFill="1" applyProtection="1">
      <protection locked="0"/>
    </xf>
    <xf numFmtId="201" fontId="12" fillId="0" borderId="0" xfId="1" applyNumberFormat="1" applyFont="1" applyFill="1"/>
    <xf numFmtId="7" fontId="12" fillId="0" borderId="0" xfId="0" applyNumberFormat="1" applyFont="1" applyFill="1" applyProtection="1">
      <protection locked="0"/>
    </xf>
    <xf numFmtId="183" fontId="9" fillId="0" borderId="0" xfId="1" applyNumberFormat="1" applyFont="1" applyFill="1" applyProtection="1">
      <protection locked="0"/>
    </xf>
    <xf numFmtId="171" fontId="9" fillId="0" borderId="0" xfId="0" applyNumberFormat="1" applyFont="1" applyFill="1" applyProtection="1"/>
    <xf numFmtId="184" fontId="9" fillId="0" borderId="0" xfId="0" applyNumberFormat="1" applyFont="1" applyFill="1" applyProtection="1"/>
    <xf numFmtId="5" fontId="0" fillId="0" borderId="28" xfId="0" applyNumberFormat="1" applyFill="1" applyBorder="1"/>
    <xf numFmtId="171" fontId="13" fillId="0" borderId="13" xfId="14" applyNumberFormat="1" applyFont="1" applyFill="1" applyBorder="1"/>
    <xf numFmtId="5" fontId="0" fillId="0" borderId="12" xfId="0" applyNumberFormat="1" applyFill="1" applyBorder="1"/>
    <xf numFmtId="5" fontId="46" fillId="0" borderId="12" xfId="7" applyNumberFormat="1" applyFont="1" applyFill="1" applyBorder="1"/>
    <xf numFmtId="166" fontId="13" fillId="0" borderId="13" xfId="14" applyNumberFormat="1" applyFont="1" applyFill="1" applyBorder="1"/>
    <xf numFmtId="199" fontId="13" fillId="0" borderId="13" xfId="14" applyNumberFormat="1" applyFont="1" applyFill="1" applyBorder="1"/>
    <xf numFmtId="168" fontId="12" fillId="0" borderId="0" xfId="1" applyNumberFormat="1" applyFont="1" applyFill="1"/>
    <xf numFmtId="171" fontId="12" fillId="0" borderId="13" xfId="14" applyNumberFormat="1" applyFont="1" applyFill="1" applyBorder="1"/>
    <xf numFmtId="5" fontId="46" fillId="0" borderId="28" xfId="7" applyNumberFormat="1" applyFont="1" applyFill="1" applyBorder="1" applyAlignment="1">
      <alignment horizontal="right"/>
    </xf>
    <xf numFmtId="171" fontId="0" fillId="0" borderId="38" xfId="14" applyNumberFormat="1" applyFont="1" applyFill="1" applyBorder="1"/>
    <xf numFmtId="0" fontId="5" fillId="0" borderId="0" xfId="23"/>
    <xf numFmtId="37" fontId="5" fillId="0" borderId="0" xfId="23" applyNumberFormat="1"/>
    <xf numFmtId="171" fontId="5" fillId="0" borderId="0" xfId="14" applyNumberFormat="1"/>
    <xf numFmtId="5" fontId="5" fillId="0" borderId="0" xfId="23" quotePrefix="1" applyNumberFormat="1"/>
    <xf numFmtId="166" fontId="13" fillId="0" borderId="0" xfId="14" applyNumberFormat="1" applyFont="1" applyFill="1" applyBorder="1"/>
    <xf numFmtId="10" fontId="12" fillId="0" borderId="0" xfId="14" applyNumberFormat="1" applyFont="1" applyFill="1" applyBorder="1"/>
    <xf numFmtId="199" fontId="13" fillId="0" borderId="0" xfId="14" applyNumberFormat="1" applyFont="1" applyFill="1" applyBorder="1"/>
    <xf numFmtId="171" fontId="12" fillId="0" borderId="0" xfId="14" applyNumberFormat="1" applyFont="1" applyFill="1" applyBorder="1"/>
    <xf numFmtId="171" fontId="0" fillId="0" borderId="0" xfId="14" applyNumberFormat="1" applyFont="1" applyFill="1" applyBorder="1"/>
    <xf numFmtId="171" fontId="12" fillId="0" borderId="38" xfId="14" applyNumberFormat="1" applyFont="1" applyFill="1" applyBorder="1"/>
    <xf numFmtId="0" fontId="27" fillId="0" borderId="34" xfId="11" applyFont="1" applyFill="1" applyBorder="1" applyAlignment="1">
      <alignment horizontal="centerContinuous"/>
    </xf>
    <xf numFmtId="180" fontId="9" fillId="0" borderId="0" xfId="0" applyNumberFormat="1" applyFont="1" applyFill="1" applyProtection="1"/>
    <xf numFmtId="44" fontId="5" fillId="0" borderId="0" xfId="2"/>
    <xf numFmtId="168" fontId="5" fillId="0" borderId="0" xfId="1" applyNumberFormat="1" applyFont="1" applyAlignment="1">
      <alignment horizontal="right"/>
    </xf>
    <xf numFmtId="168" fontId="5" fillId="0" borderId="0" xfId="1" applyNumberFormat="1" applyFont="1" applyAlignment="1">
      <alignment horizontal="center"/>
    </xf>
    <xf numFmtId="5" fontId="5" fillId="0" borderId="0" xfId="8" applyNumberFormat="1" applyFont="1" applyBorder="1" applyAlignment="1">
      <alignment horizontal="right"/>
    </xf>
    <xf numFmtId="5" fontId="5" fillId="0" borderId="4" xfId="8" applyNumberFormat="1" applyFont="1" applyBorder="1"/>
    <xf numFmtId="5" fontId="5" fillId="0" borderId="13" xfId="8" applyNumberFormat="1" applyBorder="1"/>
    <xf numFmtId="9" fontId="5" fillId="0" borderId="0" xfId="14" applyBorder="1" applyAlignment="1">
      <alignment horizontal="right"/>
    </xf>
    <xf numFmtId="0" fontId="5" fillId="0" borderId="5" xfId="1" applyNumberFormat="1" applyFont="1" applyBorder="1" applyAlignment="1">
      <alignment horizontal="right"/>
    </xf>
    <xf numFmtId="168" fontId="5" fillId="0" borderId="12" xfId="8" applyNumberFormat="1" applyFont="1" applyBorder="1"/>
    <xf numFmtId="43" fontId="5" fillId="0" borderId="0" xfId="1" applyNumberFormat="1" applyBorder="1" applyAlignment="1">
      <alignment horizontal="right"/>
    </xf>
    <xf numFmtId="10" fontId="5" fillId="0" borderId="0" xfId="14" applyNumberFormat="1"/>
    <xf numFmtId="0" fontId="5" fillId="0" borderId="0" xfId="8" applyFill="1" applyAlignment="1">
      <alignment horizontal="left"/>
    </xf>
    <xf numFmtId="5" fontId="5" fillId="0" borderId="0" xfId="0" applyNumberFormat="1" applyFont="1"/>
    <xf numFmtId="0" fontId="36" fillId="0" borderId="14" xfId="8" applyFont="1" applyBorder="1"/>
    <xf numFmtId="0" fontId="14" fillId="0" borderId="15" xfId="0" applyFont="1" applyBorder="1"/>
    <xf numFmtId="5" fontId="36" fillId="0" borderId="42" xfId="0" applyNumberFormat="1" applyFont="1" applyBorder="1"/>
    <xf numFmtId="0" fontId="12" fillId="0" borderId="0" xfId="0" applyFont="1" applyFill="1" applyAlignment="1" applyProtection="1">
      <alignment horizontal="left"/>
    </xf>
    <xf numFmtId="0" fontId="53" fillId="0" borderId="0" xfId="0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Continuous"/>
    </xf>
    <xf numFmtId="0" fontId="14" fillId="0" borderId="0" xfId="0" applyFont="1" applyFill="1" applyAlignment="1" applyProtection="1">
      <alignment horizontal="centerContinuous"/>
    </xf>
    <xf numFmtId="0" fontId="12" fillId="0" borderId="0" xfId="0" applyFont="1" applyFill="1" applyAlignment="1" applyProtection="1">
      <alignment horizontal="center"/>
    </xf>
    <xf numFmtId="0" fontId="12" fillId="0" borderId="6" xfId="0" applyFont="1" applyFill="1" applyBorder="1" applyAlignment="1" applyProtection="1">
      <alignment horizontal="centerContinuous"/>
    </xf>
    <xf numFmtId="0" fontId="12" fillId="0" borderId="3" xfId="0" applyFont="1" applyFill="1" applyBorder="1" applyAlignment="1" applyProtection="1">
      <alignment horizontal="centerContinuous"/>
    </xf>
    <xf numFmtId="0" fontId="12" fillId="0" borderId="60" xfId="0" applyFont="1" applyFill="1" applyBorder="1" applyAlignment="1" applyProtection="1">
      <alignment horizontal="center"/>
    </xf>
    <xf numFmtId="0" fontId="12" fillId="0" borderId="60" xfId="0" applyFont="1" applyFill="1" applyBorder="1" applyAlignment="1" applyProtection="1">
      <alignment horizontal="centerContinuous"/>
    </xf>
    <xf numFmtId="0" fontId="12" fillId="0" borderId="6" xfId="0" applyFont="1" applyFill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centerContinuous"/>
    </xf>
    <xf numFmtId="0" fontId="12" fillId="0" borderId="1" xfId="0" applyFont="1" applyFill="1" applyBorder="1" applyAlignment="1" applyProtection="1">
      <alignment horizontal="centerContinuous"/>
    </xf>
    <xf numFmtId="0" fontId="12" fillId="0" borderId="0" xfId="0" quotePrefix="1" applyFont="1" applyFill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/>
    </xf>
    <xf numFmtId="0" fontId="12" fillId="0" borderId="35" xfId="0" applyFont="1" applyFill="1" applyBorder="1" applyAlignment="1" applyProtection="1">
      <alignment horizontal="center"/>
    </xf>
    <xf numFmtId="0" fontId="12" fillId="0" borderId="2" xfId="0" applyFont="1" applyFill="1" applyBorder="1" applyAlignment="1" applyProtection="1">
      <alignment horizontal="center"/>
    </xf>
    <xf numFmtId="0" fontId="12" fillId="0" borderId="27" xfId="0" applyFont="1" applyFill="1" applyBorder="1" applyAlignment="1" applyProtection="1">
      <alignment horizontal="center"/>
    </xf>
    <xf numFmtId="0" fontId="12" fillId="0" borderId="7" xfId="0" applyFont="1" applyFill="1" applyBorder="1" applyAlignment="1" applyProtection="1">
      <alignment horizontal="left"/>
    </xf>
    <xf numFmtId="0" fontId="12" fillId="0" borderId="8" xfId="0" applyFont="1" applyFill="1" applyBorder="1" applyProtection="1"/>
    <xf numFmtId="5" fontId="12" fillId="0" borderId="8" xfId="0" applyNumberFormat="1" applyFont="1" applyFill="1" applyBorder="1" applyProtection="1"/>
    <xf numFmtId="0" fontId="12" fillId="0" borderId="9" xfId="0" applyFont="1" applyFill="1" applyBorder="1" applyAlignment="1" applyProtection="1">
      <alignment horizontal="left"/>
    </xf>
    <xf numFmtId="0" fontId="12" fillId="0" borderId="10" xfId="0" applyFont="1" applyFill="1" applyBorder="1" applyProtection="1"/>
    <xf numFmtId="0" fontId="12" fillId="0" borderId="11" xfId="0" applyFont="1" applyFill="1" applyBorder="1" applyAlignment="1" applyProtection="1">
      <alignment horizontal="left"/>
    </xf>
    <xf numFmtId="0" fontId="12" fillId="0" borderId="1" xfId="0" applyFont="1" applyFill="1" applyBorder="1" applyProtection="1"/>
    <xf numFmtId="5" fontId="12" fillId="0" borderId="3" xfId="0" applyNumberFormat="1" applyFont="1" applyFill="1" applyBorder="1" applyProtection="1"/>
    <xf numFmtId="0" fontId="12" fillId="0" borderId="32" xfId="0" applyFont="1" applyFill="1" applyBorder="1" applyAlignment="1" applyProtection="1">
      <alignment horizontal="left"/>
    </xf>
    <xf numFmtId="0" fontId="12" fillId="0" borderId="33" xfId="0" applyFont="1" applyFill="1" applyBorder="1" applyProtection="1"/>
    <xf numFmtId="5" fontId="12" fillId="0" borderId="33" xfId="0" applyNumberFormat="1" applyFont="1" applyFill="1" applyBorder="1" applyProtection="1"/>
    <xf numFmtId="0" fontId="12" fillId="0" borderId="30" xfId="0" applyFont="1" applyFill="1" applyBorder="1" applyAlignment="1" applyProtection="1">
      <alignment horizontal="left"/>
    </xf>
    <xf numFmtId="0" fontId="12" fillId="0" borderId="31" xfId="0" applyFont="1" applyFill="1" applyBorder="1" applyProtection="1"/>
    <xf numFmtId="5" fontId="12" fillId="0" borderId="21" xfId="0" applyNumberFormat="1" applyFont="1" applyFill="1" applyBorder="1" applyProtection="1"/>
    <xf numFmtId="0" fontId="12" fillId="0" borderId="22" xfId="0" applyFont="1" applyFill="1" applyBorder="1" applyAlignment="1" applyProtection="1">
      <alignment horizontal="left"/>
    </xf>
    <xf numFmtId="0" fontId="12" fillId="0" borderId="23" xfId="0" applyFont="1" applyFill="1" applyBorder="1" applyProtection="1"/>
    <xf numFmtId="5" fontId="12" fillId="0" borderId="23" xfId="0" applyNumberFormat="1" applyFont="1" applyFill="1" applyBorder="1" applyProtection="1"/>
    <xf numFmtId="5" fontId="12" fillId="0" borderId="0" xfId="0" applyNumberFormat="1" applyFont="1" applyFill="1" applyProtection="1"/>
    <xf numFmtId="0" fontId="12" fillId="0" borderId="1" xfId="0" quotePrefix="1" applyFont="1" applyFill="1" applyBorder="1" applyAlignment="1" applyProtection="1">
      <alignment horizontal="center"/>
    </xf>
    <xf numFmtId="10" fontId="12" fillId="0" borderId="0" xfId="14" applyNumberFormat="1" applyFont="1" applyFill="1" applyProtection="1"/>
    <xf numFmtId="0" fontId="67" fillId="0" borderId="0" xfId="0" applyFont="1" applyFill="1" applyAlignment="1"/>
    <xf numFmtId="164" fontId="12" fillId="0" borderId="0" xfId="0" applyNumberFormat="1" applyFont="1" applyFill="1" applyProtection="1"/>
    <xf numFmtId="167" fontId="12" fillId="0" borderId="0" xfId="0" applyNumberFormat="1" applyFont="1" applyFill="1"/>
    <xf numFmtId="5" fontId="12" fillId="0" borderId="0" xfId="0" applyNumberFormat="1" applyFont="1" applyFill="1"/>
    <xf numFmtId="0" fontId="18" fillId="0" borderId="0" xfId="0" applyFont="1" applyFill="1" applyAlignment="1" applyProtection="1">
      <alignment horizontal="centerContinuous"/>
    </xf>
    <xf numFmtId="0" fontId="68" fillId="0" borderId="0" xfId="0" applyFont="1" applyFill="1" applyAlignment="1" applyProtection="1">
      <alignment horizontal="centerContinuous"/>
    </xf>
    <xf numFmtId="0" fontId="12" fillId="0" borderId="0" xfId="0" applyFont="1" applyFill="1" applyAlignment="1">
      <alignment horizontal="centerContinuous"/>
    </xf>
    <xf numFmtId="0" fontId="12" fillId="0" borderId="3" xfId="0" applyFont="1" applyFill="1" applyBorder="1" applyAlignment="1" applyProtection="1">
      <alignment horizontal="center"/>
    </xf>
    <xf numFmtId="0" fontId="12" fillId="0" borderId="21" xfId="0" applyFont="1" applyFill="1" applyBorder="1" applyAlignment="1" applyProtection="1">
      <alignment horizontal="center"/>
    </xf>
    <xf numFmtId="37" fontId="12" fillId="0" borderId="8" xfId="0" applyNumberFormat="1" applyFont="1" applyFill="1" applyBorder="1" applyProtection="1"/>
    <xf numFmtId="37" fontId="12" fillId="0" borderId="20" xfId="0" applyNumberFormat="1" applyFont="1" applyFill="1" applyBorder="1" applyProtection="1"/>
    <xf numFmtId="37" fontId="12" fillId="0" borderId="10" xfId="0" applyNumberFormat="1" applyFont="1" applyFill="1" applyBorder="1" applyProtection="1"/>
    <xf numFmtId="0" fontId="12" fillId="0" borderId="61" xfId="0" applyFont="1" applyFill="1" applyBorder="1" applyAlignment="1" applyProtection="1">
      <alignment horizontal="left"/>
    </xf>
    <xf numFmtId="0" fontId="12" fillId="0" borderId="62" xfId="0" applyFont="1" applyFill="1" applyBorder="1" applyProtection="1"/>
    <xf numFmtId="37" fontId="12" fillId="0" borderId="62" xfId="0" applyNumberFormat="1" applyFont="1" applyFill="1" applyBorder="1" applyProtection="1"/>
    <xf numFmtId="37" fontId="12" fillId="0" borderId="63" xfId="0" applyNumberFormat="1" applyFont="1" applyFill="1" applyBorder="1" applyProtection="1"/>
    <xf numFmtId="37" fontId="12" fillId="0" borderId="23" xfId="0" applyNumberFormat="1" applyFont="1" applyFill="1" applyBorder="1" applyProtection="1"/>
    <xf numFmtId="37" fontId="12" fillId="0" borderId="27" xfId="0" applyNumberFormat="1" applyFont="1" applyFill="1" applyBorder="1" applyProtection="1"/>
    <xf numFmtId="0" fontId="12" fillId="0" borderId="24" xfId="0" applyFont="1" applyFill="1" applyBorder="1" applyAlignment="1" applyProtection="1">
      <alignment horizontal="left"/>
    </xf>
    <xf numFmtId="0" fontId="12" fillId="0" borderId="25" xfId="0" applyFont="1" applyFill="1" applyBorder="1" applyProtection="1"/>
    <xf numFmtId="37" fontId="12" fillId="0" borderId="25" xfId="0" applyNumberFormat="1" applyFont="1" applyFill="1" applyBorder="1" applyProtection="1"/>
    <xf numFmtId="37" fontId="12" fillId="0" borderId="26" xfId="0" applyNumberFormat="1" applyFont="1" applyFill="1" applyBorder="1" applyProtection="1"/>
    <xf numFmtId="0" fontId="12" fillId="0" borderId="0" xfId="0" applyFont="1" applyFill="1" applyAlignment="1">
      <alignment horizontal="left" indent="1"/>
    </xf>
    <xf numFmtId="0" fontId="16" fillId="0" borderId="0" xfId="0" applyFont="1" applyFill="1" applyAlignment="1" applyProtection="1">
      <alignment horizontal="left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 applyProtection="1">
      <alignment horizontal="left"/>
    </xf>
    <xf numFmtId="0" fontId="53" fillId="0" borderId="0" xfId="0" applyFont="1" applyFill="1" applyAlignment="1" applyProtection="1">
      <alignment horizontal="center"/>
    </xf>
    <xf numFmtId="0" fontId="12" fillId="0" borderId="4" xfId="0" applyFont="1" applyFill="1" applyBorder="1" applyAlignment="1" applyProtection="1">
      <alignment horizontal="center"/>
    </xf>
    <xf numFmtId="3" fontId="12" fillId="0" borderId="0" xfId="5" applyNumberFormat="1" applyFont="1" applyFill="1" applyBorder="1"/>
    <xf numFmtId="49" fontId="12" fillId="0" borderId="0" xfId="25" applyNumberFormat="1" applyFont="1" applyFill="1"/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 applyProtection="1">
      <alignment horizontal="centerContinuous"/>
    </xf>
    <xf numFmtId="0" fontId="12" fillId="0" borderId="19" xfId="0" applyFont="1" applyFill="1" applyBorder="1" applyAlignment="1" applyProtection="1">
      <alignment horizontal="centerContinuous"/>
    </xf>
    <xf numFmtId="0" fontId="12" fillId="0" borderId="12" xfId="0" applyFont="1" applyFill="1" applyBorder="1" applyAlignment="1" applyProtection="1">
      <alignment horizontal="centerContinuous"/>
    </xf>
    <xf numFmtId="0" fontId="12" fillId="0" borderId="13" xfId="0" applyFont="1" applyFill="1" applyBorder="1" applyAlignment="1" applyProtection="1">
      <alignment horizontal="centerContinuous"/>
    </xf>
    <xf numFmtId="0" fontId="12" fillId="0" borderId="19" xfId="0" applyFont="1" applyFill="1" applyBorder="1" applyAlignment="1" applyProtection="1">
      <alignment horizontal="center"/>
    </xf>
    <xf numFmtId="0" fontId="12" fillId="0" borderId="12" xfId="0" applyFont="1" applyFill="1" applyBorder="1" applyAlignment="1" applyProtection="1">
      <alignment horizontal="center"/>
    </xf>
    <xf numFmtId="165" fontId="12" fillId="0" borderId="12" xfId="0" applyNumberFormat="1" applyFont="1" applyFill="1" applyBorder="1" applyAlignment="1" applyProtection="1">
      <alignment horizontal="center"/>
    </xf>
    <xf numFmtId="0" fontId="12" fillId="0" borderId="28" xfId="0" applyFont="1" applyFill="1" applyBorder="1" applyAlignment="1">
      <alignment horizontal="center"/>
    </xf>
    <xf numFmtId="0" fontId="12" fillId="0" borderId="28" xfId="0" applyFont="1" applyFill="1" applyBorder="1" applyAlignment="1" applyProtection="1">
      <alignment horizontal="center"/>
    </xf>
    <xf numFmtId="165" fontId="12" fillId="0" borderId="5" xfId="0" applyNumberFormat="1" applyFont="1" applyFill="1" applyBorder="1" applyAlignment="1">
      <alignment horizontal="center"/>
    </xf>
    <xf numFmtId="15" fontId="12" fillId="0" borderId="0" xfId="0" applyNumberFormat="1" applyFont="1" applyFill="1" applyBorder="1" applyAlignment="1" applyProtection="1">
      <alignment horizontal="center"/>
    </xf>
    <xf numFmtId="0" fontId="12" fillId="0" borderId="5" xfId="0" applyFont="1" applyFill="1" applyBorder="1" applyAlignment="1" applyProtection="1">
      <alignment horizontal="center"/>
    </xf>
    <xf numFmtId="0" fontId="12" fillId="0" borderId="19" xfId="0" applyFont="1" applyFill="1" applyBorder="1" applyAlignment="1">
      <alignment horizontal="center"/>
    </xf>
    <xf numFmtId="0" fontId="12" fillId="0" borderId="13" xfId="0" applyFont="1" applyFill="1" applyBorder="1" applyAlignment="1" applyProtection="1">
      <alignment horizontal="center"/>
    </xf>
    <xf numFmtId="165" fontId="12" fillId="0" borderId="4" xfId="0" applyNumberFormat="1" applyFont="1" applyFill="1" applyBorder="1" applyAlignment="1"/>
    <xf numFmtId="0" fontId="12" fillId="0" borderId="5" xfId="0" applyFont="1" applyFill="1" applyBorder="1" applyAlignment="1"/>
    <xf numFmtId="14" fontId="17" fillId="0" borderId="0" xfId="0" applyNumberFormat="1" applyFont="1" applyFill="1"/>
    <xf numFmtId="14" fontId="12" fillId="0" borderId="0" xfId="0" applyNumberFormat="1" applyFont="1" applyFill="1"/>
    <xf numFmtId="10" fontId="12" fillId="0" borderId="0" xfId="0" applyNumberFormat="1" applyFont="1" applyFill="1" applyBorder="1"/>
    <xf numFmtId="10" fontId="10" fillId="0" borderId="0" xfId="0" applyNumberFormat="1" applyFont="1" applyFill="1" applyBorder="1"/>
    <xf numFmtId="16" fontId="12" fillId="0" borderId="0" xfId="0" applyNumberFormat="1" applyFont="1" applyFill="1"/>
    <xf numFmtId="10" fontId="10" fillId="0" borderId="0" xfId="14" applyNumberFormat="1" applyFont="1" applyFill="1" applyBorder="1"/>
    <xf numFmtId="0" fontId="12" fillId="0" borderId="5" xfId="0" applyFont="1" applyFill="1" applyBorder="1"/>
    <xf numFmtId="0" fontId="10" fillId="0" borderId="4" xfId="0" applyFont="1" applyFill="1" applyBorder="1"/>
    <xf numFmtId="166" fontId="12" fillId="0" borderId="0" xfId="14" applyNumberFormat="1" applyFont="1" applyFill="1" applyBorder="1"/>
    <xf numFmtId="10" fontId="12" fillId="0" borderId="5" xfId="0" applyNumberFormat="1" applyFont="1" applyFill="1" applyBorder="1" applyProtection="1">
      <protection hidden="1"/>
    </xf>
    <xf numFmtId="10" fontId="11" fillId="0" borderId="0" xfId="0" applyNumberFormat="1" applyFont="1" applyFill="1" applyBorder="1"/>
    <xf numFmtId="0" fontId="10" fillId="0" borderId="5" xfId="0" applyFont="1" applyFill="1" applyBorder="1"/>
    <xf numFmtId="168" fontId="12" fillId="0" borderId="0" xfId="0" quotePrefix="1" applyNumberFormat="1" applyFont="1" applyFill="1"/>
    <xf numFmtId="165" fontId="12" fillId="0" borderId="37" xfId="0" applyNumberFormat="1" applyFont="1" applyFill="1" applyBorder="1"/>
    <xf numFmtId="168" fontId="12" fillId="0" borderId="64" xfId="0" applyNumberFormat="1" applyFont="1" applyFill="1" applyBorder="1"/>
    <xf numFmtId="165" fontId="12" fillId="0" borderId="18" xfId="0" applyNumberFormat="1" applyFont="1" applyFill="1" applyBorder="1"/>
    <xf numFmtId="0" fontId="12" fillId="0" borderId="0" xfId="0" applyFont="1" applyFill="1" applyAlignment="1">
      <alignment horizontal="left" wrapText="1"/>
    </xf>
    <xf numFmtId="168" fontId="12" fillId="0" borderId="0" xfId="14" applyNumberFormat="1" applyFont="1" applyFill="1" applyAlignment="1"/>
    <xf numFmtId="166" fontId="12" fillId="0" borderId="0" xfId="0" applyNumberFormat="1" applyFont="1" applyFill="1"/>
    <xf numFmtId="0" fontId="25" fillId="0" borderId="36" xfId="0" applyFont="1" applyFill="1" applyBorder="1" applyAlignment="1">
      <alignment horizontal="left"/>
    </xf>
    <xf numFmtId="1" fontId="12" fillId="0" borderId="0" xfId="0" applyNumberFormat="1" applyFont="1" applyFill="1" applyBorder="1" applyAlignment="1">
      <alignment horizontal="right"/>
    </xf>
    <xf numFmtId="0" fontId="69" fillId="0" borderId="0" xfId="0" applyFont="1" applyFill="1" applyBorder="1" applyAlignment="1" applyProtection="1">
      <alignment horizontal="left" vertical="top"/>
      <protection locked="0"/>
    </xf>
    <xf numFmtId="193" fontId="69" fillId="0" borderId="0" xfId="0" applyNumberFormat="1" applyFont="1" applyFill="1" applyBorder="1" applyAlignment="1" applyProtection="1">
      <alignment horizontal="right" vertical="top"/>
      <protection locked="0"/>
    </xf>
    <xf numFmtId="207" fontId="69" fillId="0" borderId="0" xfId="0" applyNumberFormat="1" applyFont="1" applyFill="1" applyBorder="1" applyAlignment="1" applyProtection="1">
      <alignment horizontal="right" vertical="top"/>
      <protection locked="0"/>
    </xf>
    <xf numFmtId="1" fontId="12" fillId="0" borderId="0" xfId="1" applyNumberFormat="1" applyFont="1" applyFill="1" applyBorder="1" applyAlignment="1">
      <alignment horizontal="right"/>
    </xf>
    <xf numFmtId="193" fontId="14" fillId="0" borderId="0" xfId="0" applyNumberFormat="1" applyFont="1" applyFill="1"/>
    <xf numFmtId="207" fontId="14" fillId="0" borderId="0" xfId="0" applyNumberFormat="1" applyFont="1" applyFill="1"/>
    <xf numFmtId="0" fontId="12" fillId="0" borderId="0" xfId="0" applyFont="1" applyFill="1" applyBorder="1" applyAlignment="1">
      <alignment horizontal="right"/>
    </xf>
    <xf numFmtId="207" fontId="12" fillId="0" borderId="0" xfId="0" applyNumberFormat="1" applyFont="1" applyFill="1" applyBorder="1"/>
    <xf numFmtId="6" fontId="14" fillId="0" borderId="0" xfId="0" applyNumberFormat="1" applyFont="1" applyFill="1" applyBorder="1"/>
    <xf numFmtId="8" fontId="46" fillId="0" borderId="0" xfId="0" applyNumberFormat="1" applyFont="1" applyFill="1" applyBorder="1"/>
    <xf numFmtId="0" fontId="46" fillId="0" borderId="0" xfId="0" applyFont="1" applyFill="1" applyBorder="1"/>
    <xf numFmtId="193" fontId="46" fillId="0" borderId="0" xfId="0" applyNumberFormat="1" applyFont="1" applyFill="1" applyBorder="1" applyAlignment="1" applyProtection="1">
      <alignment horizontal="right" vertical="top"/>
      <protection locked="0"/>
    </xf>
    <xf numFmtId="8" fontId="12" fillId="0" borderId="0" xfId="0" applyNumberFormat="1" applyFont="1" applyFill="1"/>
    <xf numFmtId="193" fontId="14" fillId="0" borderId="0" xfId="0" applyNumberFormat="1" applyFont="1" applyFill="1" applyBorder="1"/>
    <xf numFmtId="0" fontId="12" fillId="0" borderId="19" xfId="0" applyFont="1" applyFill="1" applyBorder="1"/>
    <xf numFmtId="6" fontId="12" fillId="0" borderId="12" xfId="0" applyNumberFormat="1" applyFont="1" applyFill="1" applyBorder="1"/>
    <xf numFmtId="165" fontId="12" fillId="0" borderId="12" xfId="0" applyNumberFormat="1" applyFont="1" applyFill="1" applyBorder="1"/>
    <xf numFmtId="165" fontId="14" fillId="0" borderId="0" xfId="0" applyNumberFormat="1" applyFont="1" applyFill="1"/>
    <xf numFmtId="6" fontId="12" fillId="0" borderId="0" xfId="0" applyNumberFormat="1" applyFont="1" applyFill="1"/>
    <xf numFmtId="167" fontId="69" fillId="0" borderId="0" xfId="2" applyNumberFormat="1" applyFont="1" applyFill="1" applyBorder="1" applyAlignment="1" applyProtection="1">
      <alignment horizontal="right" vertical="top"/>
      <protection locked="0"/>
    </xf>
    <xf numFmtId="207" fontId="70" fillId="0" borderId="0" xfId="0" applyNumberFormat="1" applyFont="1" applyFill="1" applyBorder="1" applyAlignment="1" applyProtection="1">
      <alignment horizontal="right" vertical="top"/>
      <protection locked="0"/>
    </xf>
    <xf numFmtId="172" fontId="12" fillId="0" borderId="0" xfId="0" applyNumberFormat="1" applyFont="1" applyFill="1"/>
    <xf numFmtId="167" fontId="12" fillId="0" borderId="0" xfId="2" applyNumberFormat="1" applyFont="1" applyFill="1" applyBorder="1" applyProtection="1"/>
    <xf numFmtId="167" fontId="12" fillId="0" borderId="0" xfId="2" applyNumberFormat="1" applyFont="1" applyFill="1" applyProtection="1"/>
    <xf numFmtId="0" fontId="10" fillId="0" borderId="0" xfId="0" applyFont="1" applyFill="1" applyBorder="1"/>
    <xf numFmtId="0" fontId="12" fillId="0" borderId="28" xfId="0" applyFont="1" applyFill="1" applyBorder="1" applyAlignment="1"/>
    <xf numFmtId="0" fontId="14" fillId="0" borderId="0" xfId="13" applyFont="1" applyFill="1" applyBorder="1"/>
    <xf numFmtId="168" fontId="37" fillId="0" borderId="0" xfId="1" applyNumberFormat="1" applyFont="1" applyFill="1" applyAlignment="1">
      <alignment horizontal="left"/>
    </xf>
    <xf numFmtId="0" fontId="5" fillId="0" borderId="0" xfId="6" applyFont="1" applyFill="1"/>
    <xf numFmtId="168" fontId="5" fillId="2" borderId="0" xfId="1" applyNumberFormat="1" applyFont="1" applyFill="1"/>
    <xf numFmtId="172" fontId="5" fillId="2" borderId="0" xfId="6" applyNumberFormat="1" applyFont="1" applyFill="1"/>
    <xf numFmtId="44" fontId="5" fillId="2" borderId="0" xfId="2" applyFill="1"/>
    <xf numFmtId="5" fontId="8" fillId="0" borderId="0" xfId="0" applyNumberFormat="1" applyFont="1" applyFill="1" applyProtection="1">
      <protection locked="0"/>
    </xf>
    <xf numFmtId="168" fontId="0" fillId="0" borderId="47" xfId="0" applyNumberFormat="1" applyFont="1" applyFill="1" applyBorder="1" applyProtection="1"/>
    <xf numFmtId="184" fontId="0" fillId="0" borderId="0" xfId="0" applyNumberFormat="1" applyFont="1" applyFill="1" applyProtection="1"/>
    <xf numFmtId="43" fontId="31" fillId="0" borderId="0" xfId="0" applyNumberFormat="1" applyFont="1" applyFill="1" applyProtection="1">
      <protection locked="0"/>
    </xf>
    <xf numFmtId="184" fontId="31" fillId="0" borderId="0" xfId="1" applyNumberFormat="1" applyFont="1" applyFill="1" applyProtection="1"/>
    <xf numFmtId="0" fontId="5" fillId="2" borderId="0" xfId="6" applyFont="1" applyFill="1"/>
    <xf numFmtId="172" fontId="38" fillId="2" borderId="0" xfId="1" applyNumberFormat="1" applyFont="1" applyFill="1"/>
    <xf numFmtId="165" fontId="12" fillId="0" borderId="5" xfId="0" applyNumberFormat="1" applyFont="1" applyFill="1" applyBorder="1"/>
    <xf numFmtId="165" fontId="12" fillId="0" borderId="64" xfId="0" applyNumberFormat="1" applyFont="1" applyFill="1" applyBorder="1"/>
    <xf numFmtId="184" fontId="6" fillId="0" borderId="47" xfId="0" applyNumberFormat="1" applyFont="1" applyFill="1" applyBorder="1" applyProtection="1"/>
    <xf numFmtId="0" fontId="0" fillId="0" borderId="0" xfId="0" applyFill="1" applyBorder="1" applyProtection="1"/>
    <xf numFmtId="0" fontId="6" fillId="0" borderId="0" xfId="0" applyFont="1" applyFill="1" applyAlignment="1" applyProtection="1">
      <alignment horizontal="center"/>
    </xf>
    <xf numFmtId="0" fontId="53" fillId="0" borderId="0" xfId="28" applyFont="1" applyFill="1" applyAlignment="1" applyProtection="1">
      <alignment horizontal="left"/>
    </xf>
    <xf numFmtId="0" fontId="12" fillId="0" borderId="0" xfId="28" applyFont="1" applyFill="1" applyAlignment="1" applyProtection="1">
      <alignment horizontal="left"/>
    </xf>
    <xf numFmtId="0" fontId="12" fillId="0" borderId="0" xfId="28" applyFont="1" applyFill="1" applyAlignment="1">
      <alignment horizontal="left"/>
    </xf>
    <xf numFmtId="0" fontId="12" fillId="0" borderId="0" xfId="28" applyFont="1" applyFill="1"/>
    <xf numFmtId="0" fontId="12" fillId="0" borderId="0" xfId="28" applyFont="1" applyFill="1" applyAlignment="1" applyProtection="1">
      <alignment horizontal="center"/>
    </xf>
    <xf numFmtId="0" fontId="12" fillId="0" borderId="11" xfId="28" applyFont="1" applyFill="1" applyBorder="1" applyAlignment="1" applyProtection="1">
      <alignment horizontal="center"/>
    </xf>
    <xf numFmtId="0" fontId="12" fillId="0" borderId="0" xfId="28" applyFont="1" applyFill="1" applyAlignment="1" applyProtection="1">
      <alignment horizontal="centerContinuous"/>
    </xf>
    <xf numFmtId="0" fontId="12" fillId="0" borderId="0" xfId="28" applyFont="1" applyFill="1" applyProtection="1"/>
    <xf numFmtId="0" fontId="12" fillId="0" borderId="0" xfId="28" applyFont="1" applyFill="1" applyBorder="1" applyAlignment="1" applyProtection="1">
      <alignment horizontal="centerContinuous"/>
    </xf>
    <xf numFmtId="0" fontId="12" fillId="0" borderId="0" xfId="28" applyFont="1" applyFill="1" applyBorder="1" applyProtection="1"/>
    <xf numFmtId="0" fontId="12" fillId="0" borderId="0" xfId="28" applyFont="1" applyFill="1" applyBorder="1" applyAlignment="1" applyProtection="1">
      <alignment horizontal="center"/>
    </xf>
    <xf numFmtId="0" fontId="12" fillId="0" borderId="34" xfId="28" applyFont="1" applyFill="1" applyBorder="1" applyAlignment="1" applyProtection="1">
      <alignment horizontal="center"/>
    </xf>
    <xf numFmtId="0" fontId="12" fillId="0" borderId="9" xfId="28" applyFont="1" applyFill="1" applyBorder="1" applyAlignment="1" applyProtection="1">
      <alignment horizontal="center"/>
    </xf>
    <xf numFmtId="6" fontId="12" fillId="0" borderId="9" xfId="28" quotePrefix="1" applyNumberFormat="1" applyFont="1" applyFill="1" applyBorder="1" applyAlignment="1" applyProtection="1">
      <alignment horizontal="center"/>
    </xf>
    <xf numFmtId="0" fontId="12" fillId="0" borderId="12" xfId="28" applyFont="1" applyFill="1" applyBorder="1" applyAlignment="1" applyProtection="1">
      <alignment horizontal="centerContinuous"/>
    </xf>
    <xf numFmtId="17" fontId="12" fillId="0" borderId="0" xfId="28" applyNumberFormat="1" applyFont="1" applyFill="1" applyAlignment="1" applyProtection="1">
      <alignment horizontal="left"/>
    </xf>
    <xf numFmtId="37" fontId="12" fillId="0" borderId="0" xfId="28" applyNumberFormat="1" applyFont="1" applyFill="1" applyBorder="1" applyProtection="1"/>
    <xf numFmtId="37" fontId="12" fillId="0" borderId="11" xfId="28" applyNumberFormat="1" applyFont="1" applyFill="1" applyBorder="1" applyProtection="1"/>
    <xf numFmtId="42" fontId="12" fillId="0" borderId="11" xfId="28" applyNumberFormat="1" applyFont="1" applyFill="1" applyBorder="1" applyProtection="1"/>
    <xf numFmtId="17" fontId="12" fillId="0" borderId="0" xfId="28" applyNumberFormat="1" applyFont="1" applyFill="1"/>
    <xf numFmtId="17" fontId="12" fillId="0" borderId="0" xfId="28" applyNumberFormat="1" applyFont="1" applyFill="1" applyBorder="1" applyAlignment="1" applyProtection="1">
      <alignment horizontal="right"/>
    </xf>
    <xf numFmtId="37" fontId="12" fillId="0" borderId="28" xfId="28" applyNumberFormat="1" applyFont="1" applyFill="1" applyBorder="1" applyProtection="1"/>
    <xf numFmtId="37" fontId="12" fillId="0" borderId="0" xfId="28" applyNumberFormat="1" applyFont="1" applyFill="1" applyProtection="1"/>
    <xf numFmtId="17" fontId="12" fillId="0" borderId="12" xfId="28" applyNumberFormat="1" applyFont="1" applyFill="1" applyBorder="1" applyAlignment="1" applyProtection="1">
      <alignment horizontal="right"/>
    </xf>
    <xf numFmtId="37" fontId="12" fillId="0" borderId="12" xfId="28" applyNumberFormat="1" applyFont="1" applyFill="1" applyBorder="1" applyProtection="1"/>
    <xf numFmtId="17" fontId="12" fillId="0" borderId="0" xfId="28" applyNumberFormat="1" applyFont="1" applyFill="1" applyBorder="1" applyAlignment="1" applyProtection="1">
      <alignment horizontal="left"/>
    </xf>
    <xf numFmtId="17" fontId="12" fillId="0" borderId="0" xfId="28" applyNumberFormat="1" applyFont="1" applyFill="1" applyBorder="1"/>
    <xf numFmtId="42" fontId="12" fillId="0" borderId="5" xfId="28" applyNumberFormat="1" applyFont="1" applyFill="1" applyBorder="1" applyProtection="1"/>
    <xf numFmtId="37" fontId="12" fillId="0" borderId="34" xfId="28" applyNumberFormat="1" applyFont="1" applyFill="1" applyBorder="1" applyProtection="1"/>
    <xf numFmtId="37" fontId="12" fillId="0" borderId="9" xfId="28" applyNumberFormat="1" applyFont="1" applyFill="1" applyBorder="1" applyProtection="1"/>
    <xf numFmtId="42" fontId="12" fillId="0" borderId="30" xfId="28" applyNumberFormat="1" applyFont="1" applyFill="1" applyBorder="1" applyProtection="1"/>
    <xf numFmtId="0" fontId="12" fillId="0" borderId="11" xfId="28" applyFont="1" applyFill="1" applyBorder="1"/>
    <xf numFmtId="42" fontId="12" fillId="0" borderId="11" xfId="28" applyNumberFormat="1" applyFont="1" applyFill="1" applyBorder="1"/>
    <xf numFmtId="42" fontId="12" fillId="0" borderId="0" xfId="28" applyNumberFormat="1" applyFont="1" applyFill="1" applyBorder="1" applyProtection="1"/>
    <xf numFmtId="5" fontId="12" fillId="0" borderId="0" xfId="28" applyNumberFormat="1" applyFont="1" applyFill="1" applyBorder="1" applyProtection="1"/>
    <xf numFmtId="5" fontId="12" fillId="0" borderId="0" xfId="28" applyNumberFormat="1" applyFont="1" applyFill="1" applyProtection="1"/>
    <xf numFmtId="42" fontId="12" fillId="0" borderId="0" xfId="28" applyNumberFormat="1" applyFont="1" applyFill="1"/>
    <xf numFmtId="37" fontId="12" fillId="0" borderId="10" xfId="28" applyNumberFormat="1" applyFont="1" applyFill="1" applyBorder="1" applyProtection="1"/>
    <xf numFmtId="42" fontId="12" fillId="0" borderId="9" xfId="28" applyNumberFormat="1" applyFont="1" applyFill="1" applyBorder="1" applyProtection="1"/>
    <xf numFmtId="0" fontId="12" fillId="0" borderId="5" xfId="28" applyFont="1" applyFill="1" applyBorder="1" applyAlignment="1" applyProtection="1">
      <alignment horizontal="center"/>
    </xf>
    <xf numFmtId="0" fontId="12" fillId="0" borderId="12" xfId="28" applyFont="1" applyFill="1" applyBorder="1" applyAlignment="1" applyProtection="1">
      <alignment horizontal="center"/>
    </xf>
    <xf numFmtId="0" fontId="12" fillId="0" borderId="19" xfId="28" applyFont="1" applyFill="1" applyBorder="1" applyAlignment="1" applyProtection="1">
      <alignment horizontal="center"/>
    </xf>
    <xf numFmtId="37" fontId="12" fillId="0" borderId="5" xfId="28" applyNumberFormat="1" applyFont="1" applyFill="1" applyBorder="1" applyProtection="1"/>
    <xf numFmtId="0" fontId="12" fillId="0" borderId="12" xfId="28" applyFont="1" applyFill="1" applyBorder="1" applyAlignment="1">
      <alignment horizontal="right"/>
    </xf>
    <xf numFmtId="37" fontId="12" fillId="0" borderId="13" xfId="28" applyNumberFormat="1" applyFont="1" applyFill="1" applyBorder="1" applyProtection="1"/>
    <xf numFmtId="37" fontId="12" fillId="0" borderId="19" xfId="28" applyNumberFormat="1" applyFont="1" applyFill="1" applyBorder="1" applyProtection="1"/>
    <xf numFmtId="37" fontId="12" fillId="0" borderId="31" xfId="28" applyNumberFormat="1" applyFont="1" applyFill="1" applyBorder="1" applyProtection="1"/>
    <xf numFmtId="42" fontId="12" fillId="0" borderId="19" xfId="28" applyNumberFormat="1" applyFont="1" applyFill="1" applyBorder="1" applyProtection="1"/>
    <xf numFmtId="174" fontId="12" fillId="0" borderId="5" xfId="28" applyNumberFormat="1" applyFont="1" applyFill="1" applyBorder="1" applyProtection="1"/>
    <xf numFmtId="174" fontId="12" fillId="0" borderId="0" xfId="28" applyNumberFormat="1" applyFont="1" applyFill="1" applyProtection="1"/>
    <xf numFmtId="42" fontId="12" fillId="0" borderId="5" xfId="28" applyNumberFormat="1" applyFont="1" applyFill="1" applyBorder="1"/>
    <xf numFmtId="37" fontId="12" fillId="0" borderId="0" xfId="28" applyNumberFormat="1" applyFont="1" applyFill="1"/>
    <xf numFmtId="14" fontId="12" fillId="0" borderId="0" xfId="28" applyNumberFormat="1" applyFont="1" applyFill="1"/>
    <xf numFmtId="1" fontId="12" fillId="0" borderId="0" xfId="28" applyNumberFormat="1" applyFont="1" applyFill="1"/>
    <xf numFmtId="170" fontId="12" fillId="0" borderId="0" xfId="28" applyNumberFormat="1" applyFont="1" applyFill="1" applyBorder="1" applyProtection="1"/>
    <xf numFmtId="0" fontId="12" fillId="0" borderId="0" xfId="28" applyFont="1" applyFill="1" applyBorder="1"/>
    <xf numFmtId="167" fontId="12" fillId="0" borderId="0" xfId="28" applyNumberFormat="1" applyFont="1" applyFill="1" applyProtection="1"/>
    <xf numFmtId="42" fontId="0" fillId="0" borderId="0" xfId="0" applyNumberFormat="1" applyBorder="1"/>
    <xf numFmtId="182" fontId="12" fillId="0" borderId="0" xfId="28" applyNumberFormat="1" applyFont="1" applyFill="1" applyProtection="1"/>
    <xf numFmtId="37" fontId="14" fillId="0" borderId="0" xfId="0" applyNumberFormat="1" applyFont="1" applyFill="1"/>
    <xf numFmtId="0" fontId="35" fillId="0" borderId="0" xfId="8" applyFont="1" applyAlignment="1">
      <alignment horizontal="center"/>
    </xf>
    <xf numFmtId="0" fontId="5" fillId="0" borderId="0" xfId="8" applyBorder="1" applyAlignment="1">
      <alignment horizontal="center"/>
    </xf>
    <xf numFmtId="0" fontId="5" fillId="0" borderId="0" xfId="26"/>
    <xf numFmtId="37" fontId="5" fillId="0" borderId="0" xfId="19" applyNumberFormat="1" applyFont="1"/>
    <xf numFmtId="0" fontId="27" fillId="0" borderId="0" xfId="11" applyFont="1" applyFill="1" applyAlignment="1">
      <alignment horizontal="centerContinuous"/>
    </xf>
    <xf numFmtId="168" fontId="6" fillId="0" borderId="0" xfId="31" applyNumberFormat="1" applyFont="1" applyProtection="1"/>
    <xf numFmtId="3" fontId="7" fillId="0" borderId="0" xfId="32" applyNumberFormat="1" applyFont="1" applyAlignment="1" applyProtection="1">
      <alignment horizontal="centerContinuous"/>
    </xf>
    <xf numFmtId="168" fontId="6" fillId="0" borderId="0" xfId="31" applyNumberFormat="1" applyFont="1" applyAlignment="1">
      <alignment horizontal="centerContinuous"/>
    </xf>
    <xf numFmtId="3" fontId="6" fillId="0" borderId="0" xfId="32" applyNumberFormat="1" applyFont="1" applyAlignment="1">
      <alignment horizontal="centerContinuous"/>
    </xf>
    <xf numFmtId="3" fontId="6" fillId="0" borderId="0" xfId="32" applyNumberFormat="1" applyFont="1" applyFill="1" applyAlignment="1">
      <alignment horizontal="centerContinuous"/>
    </xf>
    <xf numFmtId="3" fontId="6" fillId="0" borderId="0" xfId="32" applyNumberFormat="1" applyFont="1"/>
    <xf numFmtId="0" fontId="4" fillId="0" borderId="0" xfId="32"/>
    <xf numFmtId="168" fontId="6" fillId="0" borderId="0" xfId="31" applyNumberFormat="1" applyFont="1"/>
    <xf numFmtId="168" fontId="7" fillId="0" borderId="0" xfId="32" applyNumberFormat="1" applyFont="1" applyFill="1" applyAlignment="1" applyProtection="1">
      <alignment horizontal="centerContinuous"/>
    </xf>
    <xf numFmtId="3" fontId="7" fillId="0" borderId="0" xfId="32" applyNumberFormat="1" applyFont="1"/>
    <xf numFmtId="168" fontId="7" fillId="0" borderId="0" xfId="31" applyNumberFormat="1" applyFont="1"/>
    <xf numFmtId="3" fontId="6" fillId="0" borderId="0" xfId="32" applyNumberFormat="1" applyFont="1" applyFill="1"/>
    <xf numFmtId="168" fontId="6" fillId="0" borderId="0" xfId="31" applyNumberFormat="1" applyFont="1" applyAlignment="1" applyProtection="1">
      <alignment horizontal="centerContinuous"/>
    </xf>
    <xf numFmtId="2" fontId="72" fillId="0" borderId="0" xfId="32" applyNumberFormat="1" applyFont="1" applyFill="1" applyBorder="1" applyAlignment="1">
      <alignment horizontal="center"/>
    </xf>
    <xf numFmtId="3" fontId="7" fillId="0" borderId="0" xfId="32" applyNumberFormat="1" applyFont="1" applyFill="1"/>
    <xf numFmtId="3" fontId="7" fillId="0" borderId="0" xfId="32" applyNumberFormat="1" applyFont="1" applyBorder="1"/>
    <xf numFmtId="0" fontId="7" fillId="0" borderId="0" xfId="32" applyFont="1" applyBorder="1" applyAlignment="1">
      <alignment horizontal="center"/>
    </xf>
    <xf numFmtId="0" fontId="7" fillId="0" borderId="0" xfId="32" applyFont="1" applyFill="1" applyBorder="1" applyAlignment="1">
      <alignment horizontal="center"/>
    </xf>
    <xf numFmtId="3" fontId="7" fillId="0" borderId="34" xfId="32" applyNumberFormat="1" applyFont="1" applyBorder="1" applyAlignment="1">
      <alignment horizontal="center"/>
    </xf>
    <xf numFmtId="168" fontId="7" fillId="0" borderId="34" xfId="31" applyNumberFormat="1" applyFont="1" applyBorder="1"/>
    <xf numFmtId="0" fontId="7" fillId="0" borderId="12" xfId="32" applyFont="1" applyBorder="1" applyAlignment="1">
      <alignment horizontal="center"/>
    </xf>
    <xf numFmtId="0" fontId="7" fillId="0" borderId="12" xfId="32" applyFont="1" applyFill="1" applyBorder="1" applyAlignment="1">
      <alignment horizontal="center"/>
    </xf>
    <xf numFmtId="3" fontId="6" fillId="0" borderId="0" xfId="32" applyNumberFormat="1" applyFont="1" applyFill="1" applyProtection="1"/>
    <xf numFmtId="168" fontId="6" fillId="0" borderId="0" xfId="31" applyNumberFormat="1" applyFont="1" applyFill="1"/>
    <xf numFmtId="168" fontId="6" fillId="0" borderId="0" xfId="31" applyNumberFormat="1" applyFont="1" applyBorder="1"/>
    <xf numFmtId="3" fontId="6" fillId="0" borderId="0" xfId="32" applyNumberFormat="1" applyFont="1" applyFill="1" applyBorder="1"/>
    <xf numFmtId="168" fontId="6" fillId="0" borderId="0" xfId="31" applyNumberFormat="1" applyFont="1" applyFill="1" applyBorder="1"/>
    <xf numFmtId="3" fontId="6" fillId="0" borderId="34" xfId="32" applyNumberFormat="1" applyFont="1" applyFill="1" applyBorder="1" applyProtection="1"/>
    <xf numFmtId="3" fontId="6" fillId="0" borderId="0" xfId="32" applyNumberFormat="1" applyFont="1" applyBorder="1"/>
    <xf numFmtId="166" fontId="6" fillId="0" borderId="0" xfId="32" applyNumberFormat="1" applyFont="1" applyFill="1" applyBorder="1" applyProtection="1"/>
    <xf numFmtId="166" fontId="6" fillId="0" borderId="12" xfId="32" applyNumberFormat="1" applyFont="1" applyFill="1" applyBorder="1" applyProtection="1"/>
    <xf numFmtId="166" fontId="6" fillId="0" borderId="0" xfId="32" applyNumberFormat="1" applyFont="1"/>
    <xf numFmtId="168" fontId="6" fillId="2" borderId="0" xfId="31" applyNumberFormat="1" applyFont="1" applyFill="1"/>
    <xf numFmtId="0" fontId="6" fillId="2" borderId="0" xfId="32" applyFont="1" applyFill="1" applyAlignment="1">
      <alignment horizontal="left"/>
    </xf>
    <xf numFmtId="168" fontId="6" fillId="0" borderId="0" xfId="31" applyNumberFormat="1" applyFont="1" applyBorder="1" applyAlignment="1">
      <alignment horizontal="center"/>
    </xf>
    <xf numFmtId="166" fontId="6" fillId="0" borderId="0" xfId="33" applyNumberFormat="1" applyFont="1" applyFill="1"/>
    <xf numFmtId="166" fontId="6" fillId="0" borderId="0" xfId="33" applyNumberFormat="1" applyFont="1"/>
    <xf numFmtId="5" fontId="6" fillId="0" borderId="0" xfId="32" applyNumberFormat="1" applyFont="1" applyFill="1" applyProtection="1"/>
    <xf numFmtId="5" fontId="4" fillId="0" borderId="0" xfId="32" applyNumberFormat="1"/>
    <xf numFmtId="37" fontId="4" fillId="0" borderId="0" xfId="32" applyNumberFormat="1"/>
    <xf numFmtId="0" fontId="12" fillId="0" borderId="0" xfId="12" applyFont="1" applyFill="1"/>
    <xf numFmtId="3" fontId="6" fillId="0" borderId="0" xfId="0" applyNumberFormat="1" applyFont="1" applyFill="1" applyProtection="1"/>
    <xf numFmtId="3" fontId="6" fillId="0" borderId="0" xfId="0" applyNumberFormat="1" applyFont="1" applyFill="1"/>
    <xf numFmtId="3" fontId="6" fillId="0" borderId="0" xfId="0" applyNumberFormat="1" applyFont="1"/>
    <xf numFmtId="168" fontId="6" fillId="0" borderId="34" xfId="0" applyNumberFormat="1" applyFont="1" applyFill="1" applyBorder="1" applyProtection="1"/>
    <xf numFmtId="3" fontId="6" fillId="0" borderId="0" xfId="0" applyNumberFormat="1" applyFont="1" applyProtection="1">
      <protection locked="0"/>
    </xf>
    <xf numFmtId="3" fontId="6" fillId="0" borderId="0" xfId="0" applyNumberFormat="1" applyFont="1" applyFill="1" applyProtection="1">
      <protection locked="0"/>
    </xf>
    <xf numFmtId="166" fontId="6" fillId="0" borderId="0" xfId="0" applyNumberFormat="1" applyFont="1" applyFill="1" applyBorder="1" applyProtection="1"/>
    <xf numFmtId="166" fontId="6" fillId="0" borderId="12" xfId="0" applyNumberFormat="1" applyFont="1" applyFill="1" applyBorder="1" applyProtection="1"/>
    <xf numFmtId="166" fontId="6" fillId="0" borderId="0" xfId="0" applyNumberFormat="1" applyFont="1" applyFill="1" applyProtection="1">
      <protection locked="0"/>
    </xf>
    <xf numFmtId="166" fontId="6" fillId="0" borderId="0" xfId="0" applyNumberFormat="1" applyFont="1" applyProtection="1">
      <protection locked="0"/>
    </xf>
    <xf numFmtId="0" fontId="12" fillId="0" borderId="0" xfId="12" applyFont="1" applyFill="1" applyBorder="1" applyAlignment="1">
      <alignment horizontal="center"/>
    </xf>
    <xf numFmtId="37" fontId="0" fillId="0" borderId="28" xfId="0" applyNumberFormat="1" applyFill="1" applyBorder="1"/>
    <xf numFmtId="5" fontId="12" fillId="0" borderId="0" xfId="24" applyNumberFormat="1" applyBorder="1" applyAlignment="1">
      <alignment horizontal="center"/>
    </xf>
    <xf numFmtId="5" fontId="12" fillId="0" borderId="12" xfId="24" quotePrefix="1" applyNumberFormat="1" applyBorder="1" applyAlignment="1">
      <alignment horizontal="center"/>
    </xf>
    <xf numFmtId="0" fontId="12" fillId="0" borderId="0" xfId="12" quotePrefix="1" applyFont="1" applyFill="1" applyAlignment="1">
      <alignment horizontal="center"/>
    </xf>
    <xf numFmtId="171" fontId="13" fillId="0" borderId="38" xfId="14" applyNumberFormat="1" applyFont="1" applyFill="1" applyBorder="1"/>
    <xf numFmtId="171" fontId="0" fillId="0" borderId="13" xfId="14" applyNumberFormat="1" applyFont="1" applyFill="1" applyBorder="1"/>
    <xf numFmtId="171" fontId="52" fillId="0" borderId="0" xfId="14" applyNumberFormat="1" applyFont="1" applyFill="1"/>
    <xf numFmtId="0" fontId="13" fillId="0" borderId="0" xfId="12" applyFont="1" applyFill="1" applyBorder="1" applyAlignment="1">
      <alignment horizontal="center"/>
    </xf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5" fontId="3" fillId="0" borderId="0" xfId="32" applyNumberFormat="1" applyFont="1"/>
    <xf numFmtId="0" fontId="27" fillId="0" borderId="0" xfId="11" applyFont="1" applyFill="1" applyBorder="1" applyAlignment="1">
      <alignment horizontal="center"/>
    </xf>
    <xf numFmtId="0" fontId="27" fillId="0" borderId="0" xfId="11" applyFont="1" applyFill="1" applyBorder="1" applyAlignment="1">
      <alignment horizontal="centerContinuous"/>
    </xf>
    <xf numFmtId="0" fontId="5" fillId="0" borderId="0" xfId="8" quotePrefix="1" applyFill="1" applyBorder="1" applyAlignment="1">
      <alignment horizontal="left"/>
    </xf>
    <xf numFmtId="10" fontId="13" fillId="0" borderId="0" xfId="12" applyNumberFormat="1" applyFill="1"/>
    <xf numFmtId="0" fontId="53" fillId="0" borderId="0" xfId="12" applyFont="1" applyFill="1"/>
    <xf numFmtId="0" fontId="74" fillId="0" borderId="0" xfId="12" applyFont="1" applyFill="1"/>
    <xf numFmtId="194" fontId="69" fillId="0" borderId="0" xfId="0" applyNumberFormat="1" applyFont="1" applyFill="1" applyBorder="1" applyAlignment="1" applyProtection="1">
      <alignment horizontal="right" vertical="top"/>
      <protection locked="0"/>
    </xf>
    <xf numFmtId="193" fontId="12" fillId="0" borderId="0" xfId="0" applyNumberFormat="1" applyFont="1" applyFill="1"/>
    <xf numFmtId="194" fontId="12" fillId="0" borderId="0" xfId="0" applyNumberFormat="1" applyFont="1" applyFill="1"/>
    <xf numFmtId="193" fontId="12" fillId="0" borderId="0" xfId="0" applyNumberFormat="1" applyFont="1" applyFill="1" applyBorder="1"/>
    <xf numFmtId="194" fontId="12" fillId="0" borderId="0" xfId="0" applyNumberFormat="1" applyFont="1" applyFill="1" applyBorder="1"/>
    <xf numFmtId="5" fontId="5" fillId="2" borderId="0" xfId="6" applyNumberFormat="1" applyFill="1"/>
    <xf numFmtId="0" fontId="5" fillId="3" borderId="0" xfId="6" applyFill="1"/>
    <xf numFmtId="168" fontId="5" fillId="3" borderId="0" xfId="1" applyNumberFormat="1" applyFill="1"/>
    <xf numFmtId="168" fontId="37" fillId="3" borderId="0" xfId="1" applyNumberFormat="1" applyFont="1" applyFill="1" applyAlignment="1">
      <alignment horizontal="left"/>
    </xf>
    <xf numFmtId="43" fontId="5" fillId="3" borderId="0" xfId="1" applyFill="1"/>
    <xf numFmtId="168" fontId="37" fillId="3" borderId="0" xfId="1" applyNumberFormat="1" applyFont="1" applyFill="1"/>
    <xf numFmtId="168" fontId="5" fillId="3" borderId="0" xfId="6" applyNumberFormat="1" applyFill="1"/>
    <xf numFmtId="43" fontId="5" fillId="2" borderId="0" xfId="1" applyFont="1" applyFill="1"/>
    <xf numFmtId="189" fontId="0" fillId="0" borderId="0" xfId="0" applyNumberFormat="1" applyFont="1" applyFill="1" applyProtection="1"/>
    <xf numFmtId="43" fontId="12" fillId="0" borderId="0" xfId="0" applyNumberFormat="1" applyFont="1" applyFill="1" applyProtection="1"/>
    <xf numFmtId="7" fontId="50" fillId="0" borderId="48" xfId="1" applyNumberFormat="1" applyFont="1" applyFill="1" applyBorder="1" applyProtection="1"/>
    <xf numFmtId="6" fontId="5" fillId="2" borderId="0" xfId="6" quotePrefix="1" applyNumberFormat="1" applyFill="1"/>
    <xf numFmtId="165" fontId="15" fillId="0" borderId="0" xfId="0" applyNumberFormat="1" applyFont="1" applyFill="1"/>
    <xf numFmtId="0" fontId="12" fillId="0" borderId="0" xfId="28" applyFill="1"/>
    <xf numFmtId="0" fontId="12" fillId="0" borderId="0" xfId="28" applyFill="1" applyBorder="1"/>
    <xf numFmtId="3" fontId="12" fillId="0" borderId="0" xfId="28" applyNumberFormat="1" applyFill="1" applyBorder="1"/>
    <xf numFmtId="3" fontId="12" fillId="0" borderId="0" xfId="28" applyNumberFormat="1" applyFill="1"/>
    <xf numFmtId="37" fontId="12" fillId="0" borderId="0" xfId="28" applyNumberFormat="1" applyFill="1"/>
    <xf numFmtId="5" fontId="6" fillId="0" borderId="0" xfId="28" applyNumberFormat="1" applyFont="1" applyFill="1" applyProtection="1"/>
    <xf numFmtId="5" fontId="12" fillId="0" borderId="0" xfId="28" applyNumberFormat="1" applyFill="1"/>
    <xf numFmtId="43" fontId="12" fillId="0" borderId="0" xfId="28" applyNumberFormat="1" applyFill="1"/>
    <xf numFmtId="0" fontId="6" fillId="0" borderId="0" xfId="28" applyFont="1" applyFill="1" applyProtection="1"/>
    <xf numFmtId="37" fontId="6" fillId="0" borderId="0" xfId="28" applyNumberFormat="1" applyFont="1" applyFill="1" applyProtection="1"/>
    <xf numFmtId="184" fontId="9" fillId="0" borderId="0" xfId="28" applyNumberFormat="1" applyFont="1" applyFill="1" applyProtection="1">
      <protection locked="0"/>
    </xf>
    <xf numFmtId="199" fontId="12" fillId="0" borderId="0" xfId="14" applyNumberFormat="1" applyFont="1" applyFill="1" applyBorder="1"/>
    <xf numFmtId="5" fontId="12" fillId="0" borderId="0" xfId="28" applyNumberFormat="1" applyFill="1" applyBorder="1"/>
    <xf numFmtId="43" fontId="9" fillId="0" borderId="0" xfId="1" applyFont="1" applyFill="1" applyProtection="1">
      <protection locked="0"/>
    </xf>
    <xf numFmtId="183" fontId="9" fillId="0" borderId="0" xfId="1" applyNumberFormat="1" applyFont="1" applyFill="1" applyProtection="1"/>
    <xf numFmtId="43" fontId="9" fillId="0" borderId="0" xfId="1" applyFont="1" applyFill="1" applyProtection="1"/>
    <xf numFmtId="43" fontId="9" fillId="0" borderId="0" xfId="1" applyNumberFormat="1" applyFont="1" applyFill="1" applyProtection="1"/>
    <xf numFmtId="180" fontId="9" fillId="0" borderId="0" xfId="28" applyNumberFormat="1" applyFont="1" applyFill="1" applyProtection="1"/>
    <xf numFmtId="184" fontId="6" fillId="0" borderId="0" xfId="28" applyNumberFormat="1" applyFont="1" applyFill="1" applyProtection="1"/>
    <xf numFmtId="3" fontId="12" fillId="0" borderId="0" xfId="28" applyNumberFormat="1" applyFont="1" applyFill="1" applyBorder="1"/>
    <xf numFmtId="0" fontId="14" fillId="0" borderId="0" xfId="10" applyFont="1" applyFill="1" applyAlignment="1"/>
    <xf numFmtId="0" fontId="14" fillId="0" borderId="0" xfId="10" applyFont="1" applyFill="1" applyAlignment="1">
      <alignment horizontal="centerContinuous"/>
    </xf>
    <xf numFmtId="0" fontId="14" fillId="0" borderId="0" xfId="10" quotePrefix="1" applyFont="1" applyFill="1" applyAlignment="1">
      <alignment horizontal="centerContinuous"/>
    </xf>
    <xf numFmtId="0" fontId="27" fillId="0" borderId="0" xfId="10" applyFont="1" applyFill="1" applyAlignment="1">
      <alignment horizontal="centerContinuous"/>
    </xf>
    <xf numFmtId="0" fontId="27" fillId="0" borderId="35" xfId="10" applyFont="1" applyFill="1" applyBorder="1" applyAlignment="1">
      <alignment horizontal="centerContinuous"/>
    </xf>
    <xf numFmtId="0" fontId="28" fillId="0" borderId="0" xfId="10" applyFont="1" applyFill="1" applyBorder="1" applyAlignment="1">
      <alignment horizontal="center"/>
    </xf>
    <xf numFmtId="0" fontId="27" fillId="0" borderId="35" xfId="10" applyFont="1" applyFill="1" applyBorder="1"/>
    <xf numFmtId="0" fontId="28" fillId="0" borderId="0" xfId="10" applyFont="1" applyFill="1" applyBorder="1" applyAlignment="1">
      <alignment horizontal="centerContinuous"/>
    </xf>
    <xf numFmtId="0" fontId="27" fillId="0" borderId="0" xfId="10" applyFont="1" applyFill="1" applyBorder="1" applyAlignment="1">
      <alignment horizontal="center"/>
    </xf>
    <xf numFmtId="0" fontId="28" fillId="0" borderId="0" xfId="10" applyFont="1" applyFill="1" applyAlignment="1">
      <alignment horizontal="centerContinuous"/>
    </xf>
    <xf numFmtId="0" fontId="28" fillId="0" borderId="0" xfId="10" applyFont="1" applyFill="1" applyAlignment="1">
      <alignment horizontal="center"/>
    </xf>
    <xf numFmtId="0" fontId="27" fillId="0" borderId="0" xfId="10" applyFont="1" applyFill="1" applyBorder="1" applyAlignment="1">
      <alignment horizontal="centerContinuous"/>
    </xf>
    <xf numFmtId="0" fontId="28" fillId="0" borderId="35" xfId="10" applyFont="1" applyFill="1" applyBorder="1" applyAlignment="1">
      <alignment horizontal="center"/>
    </xf>
    <xf numFmtId="0" fontId="27" fillId="0" borderId="0" xfId="10" applyFont="1" applyFill="1" applyBorder="1"/>
    <xf numFmtId="0" fontId="28" fillId="0" borderId="34" xfId="10" applyFont="1" applyFill="1" applyBorder="1" applyAlignment="1">
      <alignment horizontal="center"/>
    </xf>
    <xf numFmtId="0" fontId="28" fillId="0" borderId="34" xfId="10" quotePrefix="1" applyFont="1" applyFill="1" applyBorder="1" applyAlignment="1">
      <alignment horizontal="center"/>
    </xf>
    <xf numFmtId="0" fontId="28" fillId="0" borderId="34" xfId="10" quotePrefix="1" applyFont="1" applyFill="1" applyBorder="1" applyAlignment="1">
      <alignment horizontal="centerContinuous"/>
    </xf>
    <xf numFmtId="0" fontId="28" fillId="0" borderId="12" xfId="10" applyFont="1" applyFill="1" applyBorder="1" applyAlignment="1">
      <alignment horizontal="center"/>
    </xf>
    <xf numFmtId="208" fontId="27" fillId="0" borderId="0" xfId="10" applyNumberFormat="1" applyFont="1" applyFill="1" applyAlignment="1">
      <alignment horizontal="center"/>
    </xf>
    <xf numFmtId="208" fontId="27" fillId="0" borderId="0" xfId="10" applyNumberFormat="1" applyFont="1" applyFill="1" applyAlignment="1">
      <alignment horizontal="centerContinuous"/>
    </xf>
    <xf numFmtId="0" fontId="27" fillId="0" borderId="0" xfId="10" quotePrefix="1" applyFont="1" applyFill="1" applyAlignment="1">
      <alignment horizontal="centerContinuous"/>
    </xf>
    <xf numFmtId="0" fontId="78" fillId="0" borderId="0" xfId="10" applyFont="1" applyFill="1"/>
    <xf numFmtId="0" fontId="27" fillId="0" borderId="0" xfId="10" applyFont="1" applyFill="1" applyAlignment="1">
      <alignment horizontal="left"/>
    </xf>
    <xf numFmtId="0" fontId="27" fillId="0" borderId="0" xfId="10" quotePrefix="1" applyFont="1" applyFill="1" applyAlignment="1">
      <alignment horizontal="center"/>
    </xf>
    <xf numFmtId="37" fontId="27" fillId="0" borderId="0" xfId="10" applyNumberFormat="1" applyFont="1" applyFill="1" applyAlignment="1" applyProtection="1">
      <alignment horizontal="right"/>
    </xf>
    <xf numFmtId="37" fontId="27" fillId="0" borderId="0" xfId="10" applyNumberFormat="1" applyFont="1" applyFill="1" applyProtection="1"/>
    <xf numFmtId="5" fontId="27" fillId="0" borderId="0" xfId="10" applyNumberFormat="1" applyFont="1" applyFill="1" applyProtection="1"/>
    <xf numFmtId="5" fontId="27" fillId="0" borderId="35" xfId="10" applyNumberFormat="1" applyFont="1" applyFill="1" applyBorder="1" applyProtection="1"/>
    <xf numFmtId="209" fontId="27" fillId="0" borderId="0" xfId="1" applyNumberFormat="1" applyFont="1" applyFill="1"/>
    <xf numFmtId="5" fontId="27" fillId="0" borderId="0" xfId="10" applyNumberFormat="1" applyFont="1" applyFill="1" applyBorder="1" applyProtection="1"/>
    <xf numFmtId="209" fontId="27" fillId="0" borderId="0" xfId="10" applyNumberFormat="1" applyFont="1" applyFill="1"/>
    <xf numFmtId="37" fontId="27" fillId="0" borderId="28" xfId="10" applyNumberFormat="1" applyFont="1" applyFill="1" applyBorder="1" applyProtection="1"/>
    <xf numFmtId="5" fontId="27" fillId="0" borderId="28" xfId="10" applyNumberFormat="1" applyFont="1" applyFill="1" applyBorder="1" applyProtection="1"/>
    <xf numFmtId="209" fontId="27" fillId="0" borderId="28" xfId="1" applyNumberFormat="1" applyFont="1" applyFill="1" applyBorder="1"/>
    <xf numFmtId="37" fontId="27" fillId="0" borderId="12" xfId="10" applyNumberFormat="1" applyFont="1" applyFill="1" applyBorder="1" applyAlignment="1" applyProtection="1">
      <alignment horizontal="right"/>
    </xf>
    <xf numFmtId="37" fontId="27" fillId="0" borderId="12" xfId="10" applyNumberFormat="1" applyFont="1" applyFill="1" applyBorder="1" applyProtection="1"/>
    <xf numFmtId="5" fontId="27" fillId="0" borderId="12" xfId="10" applyNumberFormat="1" applyFont="1" applyFill="1" applyBorder="1" applyProtection="1"/>
    <xf numFmtId="5" fontId="27" fillId="0" borderId="13" xfId="10" applyNumberFormat="1" applyFont="1" applyFill="1" applyBorder="1" applyProtection="1"/>
    <xf numFmtId="209" fontId="27" fillId="0" borderId="12" xfId="1" applyNumberFormat="1" applyFont="1" applyFill="1" applyBorder="1"/>
    <xf numFmtId="209" fontId="27" fillId="0" borderId="12" xfId="10" applyNumberFormat="1" applyFont="1" applyFill="1" applyBorder="1"/>
    <xf numFmtId="5" fontId="27" fillId="0" borderId="0" xfId="10" applyNumberFormat="1" applyFont="1" applyFill="1" applyAlignment="1" applyProtection="1">
      <alignment horizontal="right"/>
    </xf>
    <xf numFmtId="5" fontId="27" fillId="0" borderId="35" xfId="10" applyNumberFormat="1" applyFont="1" applyFill="1" applyBorder="1" applyAlignment="1" applyProtection="1">
      <alignment horizontal="right"/>
    </xf>
    <xf numFmtId="209" fontId="27" fillId="0" borderId="0" xfId="10" applyNumberFormat="1" applyFont="1" applyFill="1" applyBorder="1"/>
    <xf numFmtId="37" fontId="27" fillId="0" borderId="43" xfId="10" applyNumberFormat="1" applyFont="1" applyFill="1" applyBorder="1" applyProtection="1"/>
    <xf numFmtId="5" fontId="27" fillId="0" borderId="43" xfId="10" applyNumberFormat="1" applyFont="1" applyFill="1" applyBorder="1" applyProtection="1"/>
    <xf numFmtId="209" fontId="27" fillId="0" borderId="18" xfId="1" applyNumberFormat="1" applyFont="1" applyFill="1" applyBorder="1"/>
    <xf numFmtId="5" fontId="27" fillId="0" borderId="18" xfId="10" applyNumberFormat="1" applyFont="1" applyFill="1" applyBorder="1" applyProtection="1"/>
    <xf numFmtId="0" fontId="30" fillId="0" borderId="0" xfId="10" quotePrefix="1" applyFont="1" applyFill="1"/>
    <xf numFmtId="0" fontId="29" fillId="0" borderId="0" xfId="10" quotePrefix="1" applyFont="1" applyFill="1"/>
    <xf numFmtId="37" fontId="27" fillId="0" borderId="0" xfId="10" applyNumberFormat="1" applyFont="1" applyFill="1"/>
    <xf numFmtId="0" fontId="76" fillId="0" borderId="0" xfId="40" applyFill="1" applyAlignment="1">
      <alignment horizontal="center"/>
    </xf>
    <xf numFmtId="0" fontId="79" fillId="0" borderId="0" xfId="40" applyFont="1" applyFill="1" applyAlignment="1">
      <alignment horizontal="centerContinuous"/>
    </xf>
    <xf numFmtId="0" fontId="80" fillId="0" borderId="0" xfId="40" applyFont="1" applyFill="1" applyAlignment="1">
      <alignment horizontal="centerContinuous"/>
    </xf>
    <xf numFmtId="0" fontId="76" fillId="0" borderId="0" xfId="40" applyFill="1" applyAlignment="1">
      <alignment horizontal="centerContinuous"/>
    </xf>
    <xf numFmtId="0" fontId="76" fillId="0" borderId="0" xfId="40" applyFill="1"/>
    <xf numFmtId="37" fontId="79" fillId="0" borderId="0" xfId="40" applyNumberFormat="1" applyFont="1" applyFill="1" applyAlignment="1" applyProtection="1">
      <alignment horizontal="centerContinuous"/>
    </xf>
    <xf numFmtId="37" fontId="80" fillId="0" borderId="0" xfId="40" applyNumberFormat="1" applyFont="1" applyFill="1" applyAlignment="1" applyProtection="1">
      <alignment horizontal="centerContinuous"/>
    </xf>
    <xf numFmtId="0" fontId="80" fillId="0" borderId="0" xfId="40" applyFont="1" applyFill="1"/>
    <xf numFmtId="0" fontId="80" fillId="0" borderId="0" xfId="42" applyFont="1" applyFill="1" applyAlignment="1">
      <alignment horizontal="center"/>
    </xf>
    <xf numFmtId="0" fontId="80" fillId="0" borderId="0" xfId="40" applyFont="1" applyFill="1" applyAlignment="1">
      <alignment horizontal="center"/>
    </xf>
    <xf numFmtId="17" fontId="80" fillId="0" borderId="0" xfId="42" applyNumberFormat="1" applyFont="1" applyFill="1" applyAlignment="1">
      <alignment horizontal="center"/>
    </xf>
    <xf numFmtId="17" fontId="80" fillId="0" borderId="0" xfId="40" applyNumberFormat="1" applyFont="1" applyFill="1" applyAlignment="1">
      <alignment horizontal="center"/>
    </xf>
    <xf numFmtId="14" fontId="80" fillId="0" borderId="0" xfId="41" applyNumberFormat="1" applyFont="1" applyFill="1" applyAlignment="1">
      <alignment horizontal="center"/>
    </xf>
    <xf numFmtId="0" fontId="81" fillId="0" borderId="0" xfId="42" applyFont="1" applyFill="1" applyAlignment="1">
      <alignment horizontal="center"/>
    </xf>
    <xf numFmtId="0" fontId="81" fillId="0" borderId="0" xfId="40" applyFont="1" applyFill="1" applyAlignment="1">
      <alignment horizontal="center"/>
    </xf>
    <xf numFmtId="14" fontId="81" fillId="0" borderId="0" xfId="40" applyNumberFormat="1" applyFont="1" applyFill="1" applyAlignment="1">
      <alignment horizontal="center"/>
    </xf>
    <xf numFmtId="37" fontId="82" fillId="0" borderId="0" xfId="42" applyNumberFormat="1" applyFont="1" applyFill="1" applyProtection="1"/>
    <xf numFmtId="5" fontId="82" fillId="0" borderId="0" xfId="42" applyNumberFormat="1" applyFont="1" applyFill="1" applyProtection="1"/>
    <xf numFmtId="0" fontId="79" fillId="0" borderId="0" xfId="40" applyFont="1" applyFill="1"/>
    <xf numFmtId="37" fontId="79" fillId="0" borderId="0" xfId="40" applyNumberFormat="1" applyFont="1" applyFill="1"/>
    <xf numFmtId="5" fontId="79" fillId="0" borderId="0" xfId="40" applyNumberFormat="1" applyFont="1" applyFill="1" applyProtection="1"/>
    <xf numFmtId="37" fontId="83" fillId="0" borderId="0" xfId="42" applyNumberFormat="1" applyFont="1" applyFill="1" applyProtection="1"/>
    <xf numFmtId="5" fontId="83" fillId="0" borderId="0" xfId="42" applyNumberFormat="1" applyFont="1" applyFill="1" applyProtection="1"/>
    <xf numFmtId="37" fontId="80" fillId="0" borderId="0" xfId="40" applyNumberFormat="1" applyFont="1" applyFill="1" applyProtection="1"/>
    <xf numFmtId="5" fontId="80" fillId="0" borderId="0" xfId="40" applyNumberFormat="1" applyFont="1" applyFill="1" applyProtection="1"/>
    <xf numFmtId="173" fontId="80" fillId="0" borderId="0" xfId="40" applyNumberFormat="1" applyFont="1" applyFill="1" applyProtection="1"/>
    <xf numFmtId="5" fontId="80" fillId="0" borderId="0" xfId="42" applyNumberFormat="1" applyFont="1" applyFill="1" applyProtection="1"/>
    <xf numFmtId="37" fontId="81" fillId="0" borderId="0" xfId="40" applyNumberFormat="1" applyFont="1" applyFill="1" applyProtection="1"/>
    <xf numFmtId="5" fontId="81" fillId="0" borderId="0" xfId="42" applyNumberFormat="1" applyFont="1" applyFill="1" applyProtection="1"/>
    <xf numFmtId="5" fontId="81" fillId="0" borderId="0" xfId="40" applyNumberFormat="1" applyFont="1" applyFill="1" applyProtection="1"/>
    <xf numFmtId="0" fontId="80" fillId="0" borderId="0" xfId="40" applyFont="1" applyFill="1" applyAlignment="1">
      <alignment horizontal="right"/>
    </xf>
    <xf numFmtId="37" fontId="84" fillId="0" borderId="0" xfId="42" applyNumberFormat="1" applyFont="1" applyFill="1" applyProtection="1"/>
    <xf numFmtId="5" fontId="76" fillId="0" borderId="0" xfId="40" applyNumberFormat="1" applyFill="1"/>
    <xf numFmtId="37" fontId="76" fillId="0" borderId="0" xfId="40" applyNumberFormat="1" applyFill="1"/>
    <xf numFmtId="5" fontId="85" fillId="0" borderId="0" xfId="40" applyNumberFormat="1" applyFont="1" applyFill="1" applyProtection="1"/>
    <xf numFmtId="0" fontId="80" fillId="0" borderId="0" xfId="42" applyFont="1" applyFill="1" applyAlignment="1">
      <alignment horizontal="right"/>
    </xf>
    <xf numFmtId="168" fontId="80" fillId="0" borderId="0" xfId="1" applyNumberFormat="1" applyFont="1" applyFill="1" applyBorder="1" applyAlignment="1">
      <alignment horizontal="left"/>
    </xf>
    <xf numFmtId="183" fontId="80" fillId="0" borderId="0" xfId="1" applyNumberFormat="1" applyFont="1" applyFill="1" applyProtection="1"/>
    <xf numFmtId="173" fontId="81" fillId="0" borderId="0" xfId="40" applyNumberFormat="1" applyFont="1" applyFill="1" applyProtection="1"/>
    <xf numFmtId="5" fontId="12" fillId="0" borderId="26" xfId="0" applyNumberFormat="1" applyFont="1" applyFill="1" applyBorder="1" applyProtection="1"/>
    <xf numFmtId="5" fontId="12" fillId="0" borderId="66" xfId="0" applyNumberFormat="1" applyFont="1" applyFill="1" applyBorder="1" applyProtection="1"/>
    <xf numFmtId="0" fontId="5" fillId="0" borderId="0" xfId="39" applyFont="1" applyFill="1" applyBorder="1"/>
    <xf numFmtId="171" fontId="5" fillId="0" borderId="0" xfId="43" applyNumberFormat="1" applyFont="1" applyFill="1" applyBorder="1"/>
    <xf numFmtId="0" fontId="5" fillId="0" borderId="0" xfId="39" applyFill="1"/>
    <xf numFmtId="0" fontId="36" fillId="2" borderId="0" xfId="39" applyFont="1" applyFill="1" applyBorder="1"/>
    <xf numFmtId="168" fontId="36" fillId="2" borderId="0" xfId="27" applyNumberFormat="1" applyFont="1" applyFill="1" applyBorder="1"/>
    <xf numFmtId="0" fontId="36" fillId="0" borderId="0" xfId="39" applyFont="1" applyFill="1"/>
    <xf numFmtId="0" fontId="36" fillId="2" borderId="36" xfId="39" applyFont="1" applyFill="1" applyBorder="1"/>
    <xf numFmtId="0" fontId="36" fillId="2" borderId="28" xfId="39" applyFont="1" applyFill="1" applyBorder="1"/>
    <xf numFmtId="0" fontId="36" fillId="2" borderId="38" xfId="39" applyFont="1" applyFill="1" applyBorder="1"/>
    <xf numFmtId="0" fontId="36" fillId="2" borderId="59" xfId="39" applyFont="1" applyFill="1" applyBorder="1"/>
    <xf numFmtId="0" fontId="36" fillId="2" borderId="19" xfId="39" applyFont="1" applyFill="1" applyBorder="1"/>
    <xf numFmtId="0" fontId="36" fillId="2" borderId="12" xfId="39" applyFont="1" applyFill="1" applyBorder="1"/>
    <xf numFmtId="0" fontId="36" fillId="2" borderId="13" xfId="39" applyFont="1" applyFill="1" applyBorder="1"/>
    <xf numFmtId="0" fontId="36" fillId="2" borderId="44" xfId="39" applyFont="1" applyFill="1" applyBorder="1"/>
    <xf numFmtId="0" fontId="5" fillId="2" borderId="5" xfId="39" applyFont="1" applyFill="1" applyBorder="1"/>
    <xf numFmtId="0" fontId="5" fillId="2" borderId="4" xfId="39" applyFont="1" applyFill="1" applyBorder="1"/>
    <xf numFmtId="168" fontId="5" fillId="2" borderId="5" xfId="27" applyNumberFormat="1" applyFont="1" applyFill="1" applyBorder="1"/>
    <xf numFmtId="168" fontId="5" fillId="2" borderId="0" xfId="27" applyNumberFormat="1" applyFont="1" applyFill="1" applyBorder="1"/>
    <xf numFmtId="168" fontId="5" fillId="2" borderId="4" xfId="27" applyNumberFormat="1" applyFont="1" applyFill="1" applyBorder="1"/>
    <xf numFmtId="0" fontId="5" fillId="2" borderId="13" xfId="39" applyFont="1" applyFill="1" applyBorder="1"/>
    <xf numFmtId="168" fontId="5" fillId="2" borderId="19" xfId="27" applyNumberFormat="1" applyFont="1" applyFill="1" applyBorder="1"/>
    <xf numFmtId="168" fontId="5" fillId="2" borderId="12" xfId="27" applyNumberFormat="1" applyFont="1" applyFill="1" applyBorder="1"/>
    <xf numFmtId="168" fontId="5" fillId="2" borderId="13" xfId="27" applyNumberFormat="1" applyFont="1" applyFill="1" applyBorder="1"/>
    <xf numFmtId="4" fontId="5" fillId="0" borderId="0" xfId="39" applyNumberFormat="1" applyFill="1"/>
    <xf numFmtId="0" fontId="5" fillId="0" borderId="0" xfId="39" applyFont="1" applyFill="1"/>
    <xf numFmtId="0" fontId="12" fillId="0" borderId="12" xfId="28" applyFont="1" applyFill="1" applyBorder="1" applyAlignment="1" applyProtection="1">
      <alignment horizontal="left"/>
    </xf>
    <xf numFmtId="0" fontId="12" fillId="2" borderId="0" xfId="28" applyFont="1" applyFill="1"/>
    <xf numFmtId="0" fontId="12" fillId="2" borderId="0" xfId="28" applyFill="1"/>
    <xf numFmtId="37" fontId="6" fillId="2" borderId="0" xfId="28" applyNumberFormat="1" applyFont="1" applyFill="1" applyProtection="1"/>
    <xf numFmtId="0" fontId="12" fillId="2" borderId="0" xfId="28" applyFill="1" applyBorder="1"/>
    <xf numFmtId="5" fontId="6" fillId="2" borderId="0" xfId="28" applyNumberFormat="1" applyFont="1" applyFill="1" applyProtection="1"/>
    <xf numFmtId="184" fontId="9" fillId="2" borderId="0" xfId="28" applyNumberFormat="1" applyFont="1" applyFill="1" applyProtection="1">
      <protection locked="0"/>
    </xf>
    <xf numFmtId="0" fontId="6" fillId="2" borderId="0" xfId="28" applyFont="1" applyFill="1" applyProtection="1"/>
    <xf numFmtId="37" fontId="12" fillId="2" borderId="0" xfId="28" applyNumberFormat="1" applyFont="1" applyFill="1" applyProtection="1"/>
    <xf numFmtId="0" fontId="12" fillId="2" borderId="0" xfId="28" applyFont="1" applyFill="1" applyProtection="1"/>
    <xf numFmtId="5" fontId="12" fillId="2" borderId="0" xfId="28" applyNumberFormat="1" applyFont="1" applyFill="1" applyBorder="1" applyProtection="1"/>
    <xf numFmtId="183" fontId="9" fillId="2" borderId="0" xfId="1" applyNumberFormat="1" applyFont="1" applyFill="1" applyProtection="1">
      <protection locked="0"/>
    </xf>
    <xf numFmtId="5" fontId="12" fillId="2" borderId="0" xfId="28" applyNumberFormat="1" applyFont="1" applyFill="1" applyProtection="1"/>
    <xf numFmtId="183" fontId="9" fillId="2" borderId="0" xfId="1" applyNumberFormat="1" applyFont="1" applyFill="1" applyProtection="1"/>
    <xf numFmtId="184" fontId="9" fillId="2" borderId="0" xfId="28" applyNumberFormat="1" applyFont="1" applyFill="1" applyProtection="1"/>
    <xf numFmtId="37" fontId="12" fillId="2" borderId="0" xfId="28" applyNumberFormat="1" applyFill="1"/>
    <xf numFmtId="180" fontId="9" fillId="2" borderId="0" xfId="28" applyNumberFormat="1" applyFont="1" applyFill="1" applyProtection="1"/>
    <xf numFmtId="175" fontId="12" fillId="0" borderId="0" xfId="0" applyNumberFormat="1" applyFont="1" applyFill="1"/>
    <xf numFmtId="5" fontId="12" fillId="0" borderId="12" xfId="28" applyNumberFormat="1" applyFont="1" applyFill="1" applyBorder="1" applyProtection="1"/>
    <xf numFmtId="5" fontId="6" fillId="0" borderId="0" xfId="0" applyNumberFormat="1" applyFont="1" applyFill="1" applyBorder="1" applyAlignment="1" applyProtection="1">
      <alignment horizontal="right"/>
    </xf>
    <xf numFmtId="10" fontId="6" fillId="0" borderId="0" xfId="0" applyNumberFormat="1" applyFont="1" applyFill="1" applyProtection="1"/>
    <xf numFmtId="5" fontId="9" fillId="0" borderId="0" xfId="0" applyNumberFormat="1" applyFont="1" applyFill="1" applyProtection="1">
      <protection locked="0"/>
    </xf>
    <xf numFmtId="171" fontId="0" fillId="0" borderId="28" xfId="14" applyNumberFormat="1" applyFont="1" applyFill="1" applyBorder="1"/>
    <xf numFmtId="168" fontId="0" fillId="0" borderId="0" xfId="0" applyNumberFormat="1" applyFont="1" applyFill="1" applyBorder="1" applyProtection="1"/>
    <xf numFmtId="168" fontId="13" fillId="0" borderId="0" xfId="1" applyNumberFormat="1" applyFont="1" applyFill="1" applyBorder="1" applyProtection="1"/>
    <xf numFmtId="10" fontId="0" fillId="0" borderId="28" xfId="0" applyNumberFormat="1" applyFill="1" applyBorder="1"/>
    <xf numFmtId="10" fontId="46" fillId="0" borderId="0" xfId="7" applyNumberFormat="1" applyFont="1" applyFill="1" applyBorder="1"/>
    <xf numFmtId="39" fontId="9" fillId="0" borderId="0" xfId="0" applyNumberFormat="1" applyFont="1" applyFill="1" applyProtection="1">
      <protection locked="0"/>
    </xf>
    <xf numFmtId="171" fontId="0" fillId="0" borderId="0" xfId="0" applyNumberFormat="1" applyFill="1" applyBorder="1"/>
    <xf numFmtId="5" fontId="12" fillId="2" borderId="0" xfId="28" applyNumberFormat="1" applyFill="1"/>
    <xf numFmtId="168" fontId="12" fillId="2" borderId="0" xfId="1" applyNumberFormat="1" applyFont="1" applyFill="1"/>
    <xf numFmtId="171" fontId="0" fillId="2" borderId="0" xfId="14" applyNumberFormat="1" applyFont="1" applyFill="1" applyBorder="1"/>
    <xf numFmtId="43" fontId="12" fillId="2" borderId="0" xfId="28" applyNumberFormat="1" applyFill="1"/>
    <xf numFmtId="37" fontId="6" fillId="0" borderId="37" xfId="0" applyNumberFormat="1" applyFont="1" applyFill="1" applyBorder="1" applyProtection="1"/>
    <xf numFmtId="0" fontId="5" fillId="0" borderId="0" xfId="39"/>
    <xf numFmtId="168" fontId="12" fillId="0" borderId="0" xfId="1" quotePrefix="1" applyNumberFormat="1" applyFont="1" applyFill="1"/>
    <xf numFmtId="10" fontId="27" fillId="0" borderId="0" xfId="11" applyNumberFormat="1" applyFont="1" applyFill="1" applyProtection="1"/>
    <xf numFmtId="189" fontId="27" fillId="0" borderId="0" xfId="11" applyNumberFormat="1" applyFont="1" applyFill="1" applyProtection="1"/>
    <xf numFmtId="7" fontId="27" fillId="0" borderId="0" xfId="11" applyNumberFormat="1" applyFont="1" applyFill="1" applyProtection="1"/>
    <xf numFmtId="0" fontId="27" fillId="0" borderId="0" xfId="11" applyFont="1" applyFill="1" applyAlignment="1">
      <alignment horizontal="right"/>
    </xf>
    <xf numFmtId="5" fontId="27" fillId="0" borderId="0" xfId="11" applyNumberFormat="1" applyFont="1" applyFill="1"/>
    <xf numFmtId="0" fontId="27" fillId="0" borderId="15" xfId="11" applyFont="1" applyFill="1" applyBorder="1" applyAlignment="1">
      <alignment horizontal="center"/>
    </xf>
    <xf numFmtId="10" fontId="12" fillId="0" borderId="0" xfId="0" applyNumberFormat="1" applyFont="1" applyFill="1"/>
    <xf numFmtId="165" fontId="0" fillId="0" borderId="0" xfId="0" applyNumberFormat="1" applyFill="1" applyBorder="1"/>
    <xf numFmtId="5" fontId="5" fillId="0" borderId="0" xfId="8" applyNumberFormat="1" applyFill="1" applyAlignment="1">
      <alignment horizontal="right"/>
    </xf>
    <xf numFmtId="0" fontId="12" fillId="0" borderId="0" xfId="12" applyFont="1" applyFill="1" applyBorder="1" applyAlignment="1"/>
    <xf numFmtId="5" fontId="12" fillId="0" borderId="0" xfId="0" applyNumberFormat="1" applyFont="1" applyFill="1" applyBorder="1" applyProtection="1"/>
    <xf numFmtId="7" fontId="12" fillId="0" borderId="0" xfId="28" applyNumberFormat="1" applyFont="1" applyFill="1" applyBorder="1" applyProtection="1"/>
    <xf numFmtId="0" fontId="13" fillId="0" borderId="0" xfId="12" applyFont="1" applyFill="1" applyBorder="1" applyAlignment="1">
      <alignment horizontal="center"/>
    </xf>
    <xf numFmtId="171" fontId="0" fillId="0" borderId="4" xfId="14" applyNumberFormat="1" applyFont="1" applyFill="1" applyBorder="1"/>
    <xf numFmtId="0" fontId="0" fillId="0" borderId="0" xfId="0" quotePrefix="1" applyFont="1" applyFill="1"/>
    <xf numFmtId="0" fontId="46" fillId="0" borderId="5" xfId="7" applyFont="1" applyFill="1" applyBorder="1"/>
    <xf numFmtId="171" fontId="13" fillId="0" borderId="4" xfId="14" applyNumberFormat="1" applyFont="1" applyFill="1" applyBorder="1"/>
    <xf numFmtId="0" fontId="6" fillId="0" borderId="0" xfId="0" quotePrefix="1" applyFont="1" applyFill="1" applyProtection="1"/>
    <xf numFmtId="209" fontId="6" fillId="2" borderId="12" xfId="14" applyNumberFormat="1" applyFont="1" applyFill="1" applyBorder="1" applyProtection="1"/>
    <xf numFmtId="198" fontId="6" fillId="2" borderId="12" xfId="33" applyNumberFormat="1" applyFont="1" applyFill="1" applyBorder="1" applyProtection="1"/>
    <xf numFmtId="0" fontId="27" fillId="0" borderId="12" xfId="11" applyFont="1" applyFill="1" applyBorder="1" applyAlignment="1" applyProtection="1">
      <alignment horizontal="center"/>
    </xf>
    <xf numFmtId="0" fontId="27" fillId="0" borderId="51" xfId="11" applyFont="1" applyFill="1" applyBorder="1"/>
    <xf numFmtId="9" fontId="6" fillId="0" borderId="0" xfId="14" applyFont="1" applyFill="1" applyProtection="1"/>
    <xf numFmtId="210" fontId="6" fillId="0" borderId="0" xfId="14" applyNumberFormat="1" applyFont="1" applyFill="1" applyProtection="1">
      <protection locked="0"/>
    </xf>
    <xf numFmtId="0" fontId="2" fillId="0" borderId="0" xfId="32" applyFont="1"/>
    <xf numFmtId="0" fontId="0" fillId="0" borderId="0" xfId="32" applyFont="1" applyAlignment="1">
      <alignment horizontal="right"/>
    </xf>
    <xf numFmtId="0" fontId="0" fillId="0" borderId="0" xfId="32" applyFont="1"/>
    <xf numFmtId="5" fontId="63" fillId="0" borderId="0" xfId="32" applyNumberFormat="1" applyFont="1" applyFill="1" applyProtection="1"/>
    <xf numFmtId="5" fontId="86" fillId="0" borderId="0" xfId="32" applyNumberFormat="1" applyFont="1"/>
    <xf numFmtId="0" fontId="12" fillId="0" borderId="0" xfId="32" applyFont="1" applyAlignment="1">
      <alignment horizontal="right"/>
    </xf>
    <xf numFmtId="0" fontId="4" fillId="2" borderId="0" xfId="32" applyFill="1"/>
    <xf numFmtId="0" fontId="2" fillId="2" borderId="0" xfId="32" applyFont="1" applyFill="1"/>
    <xf numFmtId="5" fontId="10" fillId="0" borderId="0" xfId="0" applyNumberFormat="1" applyFont="1" applyFill="1" applyBorder="1"/>
    <xf numFmtId="5" fontId="12" fillId="0" borderId="0" xfId="12" applyNumberFormat="1" applyFont="1" applyFill="1" applyBorder="1"/>
    <xf numFmtId="171" fontId="6" fillId="0" borderId="0" xfId="14" applyNumberFormat="1" applyFont="1" applyFill="1" applyBorder="1" applyProtection="1">
      <protection locked="0"/>
    </xf>
    <xf numFmtId="171" fontId="6" fillId="0" borderId="0" xfId="14" applyNumberFormat="1" applyFont="1" applyFill="1" applyProtection="1"/>
    <xf numFmtId="0" fontId="12" fillId="0" borderId="0" xfId="0" quotePrefix="1" applyFont="1" applyFill="1"/>
    <xf numFmtId="10" fontId="0" fillId="0" borderId="28" xfId="14" applyNumberFormat="1" applyFont="1" applyFill="1" applyBorder="1"/>
    <xf numFmtId="7" fontId="12" fillId="0" borderId="0" xfId="28" applyNumberFormat="1" applyFont="1" applyFill="1"/>
    <xf numFmtId="43" fontId="12" fillId="0" borderId="0" xfId="1" applyNumberFormat="1" applyFont="1" applyFill="1"/>
    <xf numFmtId="10" fontId="52" fillId="0" borderId="0" xfId="14" applyNumberFormat="1" applyFont="1" applyFill="1" applyAlignment="1">
      <alignment horizontal="right"/>
    </xf>
    <xf numFmtId="5" fontId="27" fillId="0" borderId="0" xfId="11" applyNumberFormat="1" applyFont="1" applyFill="1" applyAlignment="1">
      <alignment horizontal="right"/>
    </xf>
    <xf numFmtId="0" fontId="27" fillId="0" borderId="34" xfId="11" applyFont="1" applyFill="1" applyBorder="1" applyAlignment="1">
      <alignment horizontal="center"/>
    </xf>
    <xf numFmtId="43" fontId="31" fillId="0" borderId="0" xfId="1" applyNumberFormat="1" applyFont="1" applyFill="1" applyBorder="1"/>
    <xf numFmtId="0" fontId="79" fillId="0" borderId="0" xfId="42" applyFont="1" applyFill="1" applyAlignment="1">
      <alignment horizontal="centerContinuous"/>
    </xf>
    <xf numFmtId="37" fontId="87" fillId="0" borderId="0" xfId="40" applyNumberFormat="1" applyFont="1" applyFill="1" applyProtection="1"/>
    <xf numFmtId="0" fontId="88" fillId="0" borderId="0" xfId="40" applyFont="1" applyFill="1"/>
    <xf numFmtId="43" fontId="36" fillId="0" borderId="0" xfId="1" applyNumberFormat="1" applyFont="1" applyFill="1" applyAlignment="1">
      <alignment horizontal="center"/>
    </xf>
    <xf numFmtId="43" fontId="5" fillId="0" borderId="0" xfId="1" applyAlignment="1">
      <alignment horizontal="center"/>
    </xf>
    <xf numFmtId="43" fontId="5" fillId="0" borderId="0" xfId="1" applyNumberFormat="1" applyFill="1" applyAlignment="1">
      <alignment horizontal="center"/>
    </xf>
    <xf numFmtId="0" fontId="5" fillId="0" borderId="0" xfId="1" applyNumberFormat="1" applyFill="1" applyAlignment="1">
      <alignment horizontal="center"/>
    </xf>
    <xf numFmtId="43" fontId="5" fillId="0" borderId="0" xfId="1" applyFont="1" applyAlignment="1">
      <alignment horizontal="center"/>
    </xf>
    <xf numFmtId="0" fontId="5" fillId="2" borderId="0" xfId="6" applyFill="1" applyAlignment="1">
      <alignment horizontal="center"/>
    </xf>
    <xf numFmtId="43" fontId="5" fillId="2" borderId="0" xfId="6" applyNumberFormat="1" applyFill="1" applyAlignment="1">
      <alignment horizontal="center"/>
    </xf>
    <xf numFmtId="166" fontId="5" fillId="2" borderId="0" xfId="14" applyNumberFormat="1" applyFont="1" applyFill="1" applyAlignment="1">
      <alignment horizontal="center"/>
    </xf>
    <xf numFmtId="43" fontId="5" fillId="0" borderId="0" xfId="6" applyNumberFormat="1" applyFill="1" applyAlignment="1">
      <alignment horizontal="center"/>
    </xf>
    <xf numFmtId="166" fontId="5" fillId="2" borderId="0" xfId="14" applyNumberFormat="1" applyFill="1" applyAlignment="1">
      <alignment horizontal="center"/>
    </xf>
    <xf numFmtId="0" fontId="35" fillId="0" borderId="0" xfId="6" applyFont="1" applyAlignment="1">
      <alignment horizontal="center"/>
    </xf>
    <xf numFmtId="0" fontId="5" fillId="2" borderId="0" xfId="6" applyFont="1" applyFill="1" applyAlignment="1">
      <alignment horizontal="center"/>
    </xf>
    <xf numFmtId="180" fontId="5" fillId="2" borderId="0" xfId="6" applyNumberFormat="1" applyFill="1" applyAlignment="1">
      <alignment horizontal="center"/>
    </xf>
    <xf numFmtId="180" fontId="5" fillId="0" borderId="0" xfId="6" applyNumberFormat="1" applyFill="1" applyAlignment="1">
      <alignment horizontal="center"/>
    </xf>
    <xf numFmtId="172" fontId="5" fillId="0" borderId="0" xfId="2" applyNumberFormat="1"/>
    <xf numFmtId="172" fontId="5" fillId="0" borderId="0" xfId="2" applyNumberFormat="1" applyAlignment="1">
      <alignment horizontal="center"/>
    </xf>
    <xf numFmtId="172" fontId="5" fillId="0" borderId="0" xfId="2" applyNumberFormat="1" applyFill="1" applyAlignment="1">
      <alignment horizontal="center"/>
    </xf>
    <xf numFmtId="172" fontId="5" fillId="2" borderId="0" xfId="2" applyNumberFormat="1" applyFill="1"/>
    <xf numFmtId="172" fontId="5" fillId="0" borderId="0" xfId="2" applyNumberFormat="1" applyFill="1"/>
    <xf numFmtId="0" fontId="35" fillId="0" borderId="0" xfId="6" applyFont="1" applyAlignment="1">
      <alignment horizontal="left"/>
    </xf>
    <xf numFmtId="5" fontId="9" fillId="0" borderId="0" xfId="1" applyNumberFormat="1" applyFont="1" applyFill="1" applyBorder="1"/>
    <xf numFmtId="206" fontId="9" fillId="0" borderId="0" xfId="1" applyNumberFormat="1" applyFont="1" applyFill="1" applyBorder="1"/>
    <xf numFmtId="37" fontId="9" fillId="0" borderId="0" xfId="1" applyNumberFormat="1" applyFont="1" applyFill="1" applyBorder="1"/>
    <xf numFmtId="168" fontId="9" fillId="0" borderId="0" xfId="1" applyNumberFormat="1" applyFont="1" applyFill="1" applyBorder="1"/>
    <xf numFmtId="211" fontId="9" fillId="0" borderId="0" xfId="1" applyNumberFormat="1" applyFont="1" applyFill="1" applyBorder="1"/>
    <xf numFmtId="170" fontId="12" fillId="0" borderId="11" xfId="28" applyNumberFormat="1" applyFont="1" applyFill="1" applyBorder="1"/>
    <xf numFmtId="170" fontId="12" fillId="0" borderId="0" xfId="28" applyNumberFormat="1" applyFont="1" applyFill="1"/>
    <xf numFmtId="170" fontId="12" fillId="0" borderId="30" xfId="28" applyNumberFormat="1" applyFont="1" applyFill="1" applyBorder="1"/>
    <xf numFmtId="170" fontId="12" fillId="0" borderId="10" xfId="28" applyNumberFormat="1" applyFont="1" applyFill="1" applyBorder="1"/>
    <xf numFmtId="42" fontId="12" fillId="0" borderId="12" xfId="28" applyNumberFormat="1" applyFont="1" applyFill="1" applyBorder="1" applyProtection="1"/>
    <xf numFmtId="170" fontId="12" fillId="0" borderId="36" xfId="28" applyNumberFormat="1" applyFont="1" applyFill="1" applyBorder="1"/>
    <xf numFmtId="170" fontId="12" fillId="0" borderId="38" xfId="28" applyNumberFormat="1" applyFont="1" applyFill="1" applyBorder="1"/>
    <xf numFmtId="170" fontId="12" fillId="0" borderId="5" xfId="28" applyNumberFormat="1" applyFont="1" applyFill="1" applyBorder="1"/>
    <xf numFmtId="170" fontId="12" fillId="0" borderId="4" xfId="28" applyNumberFormat="1" applyFont="1" applyFill="1" applyBorder="1"/>
    <xf numFmtId="170" fontId="12" fillId="0" borderId="19" xfId="28" applyNumberFormat="1" applyFont="1" applyFill="1" applyBorder="1"/>
    <xf numFmtId="170" fontId="12" fillId="0" borderId="13" xfId="28" applyNumberFormat="1" applyFont="1" applyFill="1" applyBorder="1"/>
    <xf numFmtId="170" fontId="12" fillId="0" borderId="0" xfId="28" applyNumberFormat="1" applyFont="1" applyFill="1" applyBorder="1"/>
    <xf numFmtId="170" fontId="12" fillId="0" borderId="34" xfId="28" applyNumberFormat="1" applyFont="1" applyFill="1" applyBorder="1"/>
    <xf numFmtId="170" fontId="12" fillId="0" borderId="65" xfId="28" applyNumberFormat="1" applyFont="1" applyFill="1" applyBorder="1"/>
    <xf numFmtId="170" fontId="12" fillId="0" borderId="12" xfId="28" applyNumberFormat="1" applyFont="1" applyFill="1" applyBorder="1"/>
    <xf numFmtId="170" fontId="12" fillId="0" borderId="21" xfId="28" applyNumberFormat="1" applyFont="1" applyFill="1" applyBorder="1"/>
    <xf numFmtId="170" fontId="12" fillId="0" borderId="1" xfId="28" applyNumberFormat="1" applyFont="1" applyFill="1" applyBorder="1"/>
    <xf numFmtId="170" fontId="12" fillId="0" borderId="31" xfId="28" applyNumberFormat="1" applyFont="1" applyFill="1" applyBorder="1"/>
    <xf numFmtId="170" fontId="12" fillId="0" borderId="2" xfId="28" applyNumberFormat="1" applyFont="1" applyFill="1" applyBorder="1"/>
    <xf numFmtId="212" fontId="6" fillId="0" borderId="0" xfId="2" applyNumberFormat="1" applyFont="1" applyFill="1" applyProtection="1"/>
    <xf numFmtId="213" fontId="12" fillId="0" borderId="5" xfId="28" applyNumberFormat="1" applyFont="1" applyFill="1" applyBorder="1"/>
    <xf numFmtId="5" fontId="27" fillId="0" borderId="0" xfId="10" applyNumberFormat="1" applyFont="1" applyFill="1"/>
    <xf numFmtId="187" fontId="27" fillId="0" borderId="28" xfId="10" applyNumberFormat="1" applyFont="1" applyFill="1" applyBorder="1" applyProtection="1"/>
    <xf numFmtId="0" fontId="89" fillId="0" borderId="0" xfId="0" applyFont="1" applyFill="1" applyProtection="1"/>
    <xf numFmtId="0" fontId="0" fillId="0" borderId="12" xfId="0" applyFill="1" applyBorder="1" applyProtection="1"/>
    <xf numFmtId="165" fontId="6" fillId="0" borderId="12" xfId="2" applyNumberFormat="1" applyFont="1" applyFill="1" applyBorder="1" applyProtection="1"/>
    <xf numFmtId="165" fontId="6" fillId="0" borderId="0" xfId="2" applyNumberFormat="1" applyFont="1" applyFill="1" applyBorder="1" applyProtection="1"/>
    <xf numFmtId="0" fontId="89" fillId="0" borderId="0" xfId="0" applyFont="1" applyFill="1" applyAlignment="1" applyProtection="1">
      <alignment horizontal="right"/>
    </xf>
    <xf numFmtId="0" fontId="6" fillId="0" borderId="0" xfId="0" applyFont="1" applyFill="1" applyAlignment="1" applyProtection="1">
      <alignment horizontal="right"/>
    </xf>
    <xf numFmtId="0" fontId="7" fillId="0" borderId="0" xfId="0" applyFont="1" applyFill="1" applyAlignment="1" applyProtection="1">
      <alignment horizontal="right"/>
    </xf>
    <xf numFmtId="168" fontId="6" fillId="0" borderId="0" xfId="1" applyNumberFormat="1" applyFont="1" applyFill="1" applyAlignment="1" applyProtection="1">
      <alignment horizontal="right"/>
    </xf>
    <xf numFmtId="165" fontId="5" fillId="0" borderId="0" xfId="6" applyNumberFormat="1" applyFill="1"/>
    <xf numFmtId="7" fontId="9" fillId="0" borderId="0" xfId="1" applyNumberFormat="1" applyFont="1" applyFill="1" applyBorder="1"/>
    <xf numFmtId="168" fontId="14" fillId="0" borderId="0" xfId="0" applyNumberFormat="1" applyFont="1" applyFill="1"/>
    <xf numFmtId="0" fontId="0" fillId="0" borderId="56" xfId="0" applyFill="1" applyBorder="1"/>
    <xf numFmtId="0" fontId="12" fillId="0" borderId="56" xfId="0" applyFont="1" applyFill="1" applyBorder="1" applyAlignment="1">
      <alignment horizontal="center"/>
    </xf>
    <xf numFmtId="0" fontId="6" fillId="0" borderId="0" xfId="0" quotePrefix="1" applyFont="1" applyFill="1" applyAlignment="1" applyProtection="1">
      <alignment horizontal="right"/>
    </xf>
    <xf numFmtId="168" fontId="7" fillId="0" borderId="0" xfId="1" applyNumberFormat="1" applyFont="1" applyFill="1" applyAlignment="1" applyProtection="1">
      <alignment horizontal="right"/>
    </xf>
    <xf numFmtId="3" fontId="89" fillId="0" borderId="0" xfId="0" applyNumberFormat="1" applyFont="1" applyFill="1"/>
    <xf numFmtId="0" fontId="90" fillId="0" borderId="0" xfId="0" applyFont="1" applyFill="1" applyAlignment="1" applyProtection="1">
      <alignment horizontal="right"/>
    </xf>
    <xf numFmtId="167" fontId="6" fillId="0" borderId="12" xfId="2" applyNumberFormat="1" applyFont="1" applyFill="1" applyBorder="1" applyProtection="1"/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0" fontId="13" fillId="0" borderId="0" xfId="12" applyFont="1" applyFill="1" applyBorder="1" applyAlignment="1">
      <alignment horizontal="center"/>
    </xf>
    <xf numFmtId="214" fontId="8" fillId="0" borderId="0" xfId="0" applyNumberFormat="1" applyFont="1" applyFill="1" applyProtection="1"/>
    <xf numFmtId="10" fontId="6" fillId="0" borderId="37" xfId="14" applyNumberFormat="1" applyFont="1" applyFill="1" applyBorder="1" applyProtection="1">
      <protection locked="0"/>
    </xf>
    <xf numFmtId="10" fontId="13" fillId="0" borderId="12" xfId="14" applyNumberFormat="1" applyFont="1" applyFill="1" applyBorder="1"/>
    <xf numFmtId="10" fontId="13" fillId="0" borderId="12" xfId="12" applyNumberFormat="1" applyFill="1" applyBorder="1"/>
    <xf numFmtId="10" fontId="6" fillId="0" borderId="12" xfId="14" applyNumberFormat="1" applyFont="1" applyFill="1" applyBorder="1" applyProtection="1">
      <protection locked="0"/>
    </xf>
    <xf numFmtId="0" fontId="39" fillId="0" borderId="0" xfId="12" applyFont="1" applyFill="1" applyBorder="1" applyAlignment="1"/>
    <xf numFmtId="10" fontId="13" fillId="0" borderId="0" xfId="12" applyNumberFormat="1" applyFill="1" applyBorder="1"/>
    <xf numFmtId="0" fontId="40" fillId="0" borderId="0" xfId="12" quotePrefix="1" applyFont="1" applyFill="1" applyBorder="1" applyAlignment="1">
      <alignment horizontal="center"/>
    </xf>
    <xf numFmtId="0" fontId="12" fillId="0" borderId="0" xfId="12" quotePrefix="1" applyFont="1" applyFill="1" applyBorder="1" applyAlignment="1">
      <alignment horizontal="center"/>
    </xf>
    <xf numFmtId="10" fontId="12" fillId="0" borderId="0" xfId="12" applyNumberFormat="1" applyFont="1" applyFill="1"/>
    <xf numFmtId="10" fontId="0" fillId="0" borderId="38" xfId="14" applyNumberFormat="1" applyFont="1" applyFill="1" applyBorder="1"/>
    <xf numFmtId="0" fontId="13" fillId="0" borderId="12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12" fillId="0" borderId="0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10" fontId="13" fillId="0" borderId="0" xfId="12" applyNumberFormat="1" applyFont="1" applyFill="1"/>
    <xf numFmtId="184" fontId="9" fillId="0" borderId="0" xfId="2" applyNumberFormat="1" applyFont="1" applyFill="1" applyBorder="1"/>
    <xf numFmtId="7" fontId="31" fillId="0" borderId="0" xfId="1" applyNumberFormat="1" applyFont="1" applyFill="1" applyProtection="1">
      <protection locked="0"/>
    </xf>
    <xf numFmtId="184" fontId="9" fillId="2" borderId="0" xfId="1" applyNumberFormat="1" applyFont="1" applyFill="1" applyProtection="1"/>
    <xf numFmtId="180" fontId="9" fillId="0" borderId="0" xfId="2" applyNumberFormat="1" applyFont="1" applyFill="1" applyBorder="1"/>
    <xf numFmtId="0" fontId="27" fillId="0" borderId="0" xfId="12" quotePrefix="1" applyFont="1" applyFill="1" applyBorder="1" applyAlignment="1">
      <alignment horizontal="center"/>
    </xf>
    <xf numFmtId="167" fontId="7" fillId="0" borderId="0" xfId="2" applyNumberFormat="1" applyFont="1" applyFill="1" applyBorder="1" applyProtection="1"/>
    <xf numFmtId="0" fontId="42" fillId="0" borderId="0" xfId="0" applyFont="1" applyFill="1" applyAlignment="1"/>
    <xf numFmtId="0" fontId="43" fillId="0" borderId="0" xfId="0" quotePrefix="1" applyNumberFormat="1" applyFont="1" applyFill="1" applyAlignment="1"/>
    <xf numFmtId="0" fontId="28" fillId="0" borderId="0" xfId="0" quotePrefix="1" applyFont="1" applyFill="1" applyAlignment="1" applyProtection="1"/>
    <xf numFmtId="10" fontId="5" fillId="0" borderId="0" xfId="8" applyNumberFormat="1" applyBorder="1" applyAlignment="1">
      <alignment horizontal="center"/>
    </xf>
    <xf numFmtId="37" fontId="5" fillId="0" borderId="0" xfId="39" applyNumberFormat="1"/>
    <xf numFmtId="0" fontId="5" fillId="0" borderId="0" xfId="39" applyAlignment="1">
      <alignment horizontal="center"/>
    </xf>
    <xf numFmtId="0" fontId="27" fillId="0" borderId="12" xfId="11" applyFont="1" applyFill="1" applyBorder="1" applyAlignment="1">
      <alignment horizontal="center"/>
    </xf>
    <xf numFmtId="0" fontId="52" fillId="0" borderId="12" xfId="11" applyFont="1" applyFill="1" applyBorder="1" applyAlignment="1">
      <alignment horizontal="center"/>
    </xf>
    <xf numFmtId="10" fontId="33" fillId="0" borderId="0" xfId="14" applyNumberFormat="1" applyFont="1" applyFill="1" applyBorder="1" applyProtection="1">
      <protection locked="0"/>
    </xf>
    <xf numFmtId="10" fontId="12" fillId="0" borderId="38" xfId="14" applyNumberFormat="1" applyFont="1" applyFill="1" applyBorder="1"/>
    <xf numFmtId="175" fontId="12" fillId="0" borderId="0" xfId="0" applyNumberFormat="1" applyFont="1" applyFill="1" applyBorder="1"/>
    <xf numFmtId="10" fontId="13" fillId="0" borderId="38" xfId="14" applyNumberFormat="1" applyFont="1" applyFill="1" applyBorder="1"/>
    <xf numFmtId="10" fontId="0" fillId="0" borderId="13" xfId="14" applyNumberFormat="1" applyFont="1" applyFill="1" applyBorder="1"/>
    <xf numFmtId="0" fontId="35" fillId="0" borderId="0" xfId="8" applyFont="1" applyAlignment="1">
      <alignment horizontal="center"/>
    </xf>
    <xf numFmtId="0" fontId="5" fillId="0" borderId="0" xfId="8" applyBorder="1" applyAlignment="1">
      <alignment horizontal="center"/>
    </xf>
    <xf numFmtId="0" fontId="27" fillId="0" borderId="55" xfId="11" applyFont="1" applyFill="1" applyBorder="1"/>
    <xf numFmtId="0" fontId="27" fillId="0" borderId="0" xfId="11" applyFont="1" applyFill="1" applyAlignment="1">
      <alignment horizontal="center"/>
    </xf>
    <xf numFmtId="10" fontId="5" fillId="0" borderId="0" xfId="8" applyNumberFormat="1"/>
    <xf numFmtId="182" fontId="0" fillId="0" borderId="0" xfId="0" applyNumberFormat="1"/>
    <xf numFmtId="5" fontId="6" fillId="0" borderId="67" xfId="0" applyNumberFormat="1" applyFont="1" applyFill="1" applyBorder="1" applyProtection="1"/>
    <xf numFmtId="0" fontId="12" fillId="0" borderId="0" xfId="12" applyFont="1" applyFill="1" applyBorder="1"/>
    <xf numFmtId="197" fontId="0" fillId="0" borderId="0" xfId="14" applyNumberFormat="1" applyFont="1" applyFill="1" applyBorder="1"/>
    <xf numFmtId="5" fontId="13" fillId="0" borderId="34" xfId="12" applyNumberFormat="1" applyFill="1" applyBorder="1"/>
    <xf numFmtId="5" fontId="12" fillId="0" borderId="12" xfId="7" applyNumberFormat="1" applyFont="1" applyFill="1" applyBorder="1"/>
    <xf numFmtId="5" fontId="12" fillId="0" borderId="28" xfId="7" applyNumberFormat="1" applyFont="1" applyFill="1" applyBorder="1" applyAlignment="1">
      <alignment horizontal="right"/>
    </xf>
    <xf numFmtId="0" fontId="12" fillId="0" borderId="0" xfId="12" applyFont="1" applyFill="1" applyBorder="1" applyAlignment="1">
      <alignment horizontal="center"/>
    </xf>
    <xf numFmtId="0" fontId="39" fillId="0" borderId="0" xfId="12" quotePrefix="1" applyFont="1" applyFill="1" applyAlignment="1">
      <alignment horizontal="center"/>
    </xf>
    <xf numFmtId="0" fontId="39" fillId="0" borderId="0" xfId="12" applyFont="1" applyFill="1" applyAlignment="1">
      <alignment horizontal="center"/>
    </xf>
    <xf numFmtId="0" fontId="13" fillId="0" borderId="0" xfId="12" applyFont="1" applyFill="1" applyAlignment="1">
      <alignment horizontal="left"/>
    </xf>
    <xf numFmtId="0" fontId="13" fillId="0" borderId="0" xfId="12" quotePrefix="1" applyFont="1" applyFill="1" applyAlignment="1">
      <alignment horizontal="left"/>
    </xf>
    <xf numFmtId="0" fontId="12" fillId="0" borderId="0" xfId="12" applyFont="1" applyFill="1" applyBorder="1" applyAlignment="1">
      <alignment horizontal="center"/>
    </xf>
    <xf numFmtId="0" fontId="12" fillId="2" borderId="36" xfId="12" applyFont="1" applyFill="1" applyBorder="1" applyAlignment="1">
      <alignment horizontal="center"/>
    </xf>
    <xf numFmtId="0" fontId="12" fillId="2" borderId="28" xfId="12" applyFont="1" applyFill="1" applyBorder="1" applyAlignment="1">
      <alignment horizontal="center"/>
    </xf>
    <xf numFmtId="0" fontId="12" fillId="2" borderId="38" xfId="12" applyFont="1" applyFill="1" applyBorder="1" applyAlignment="1">
      <alignment horizontal="center"/>
    </xf>
    <xf numFmtId="0" fontId="12" fillId="2" borderId="19" xfId="12" applyFont="1" applyFill="1" applyBorder="1" applyAlignment="1">
      <alignment horizontal="center"/>
    </xf>
    <xf numFmtId="0" fontId="12" fillId="2" borderId="12" xfId="12" applyFont="1" applyFill="1" applyBorder="1" applyAlignment="1">
      <alignment horizontal="center"/>
    </xf>
    <xf numFmtId="0" fontId="12" fillId="2" borderId="13" xfId="12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43" fillId="0" borderId="0" xfId="0" quotePrefix="1" applyNumberFormat="1" applyFont="1" applyFill="1" applyAlignment="1">
      <alignment horizontal="center"/>
    </xf>
    <xf numFmtId="0" fontId="28" fillId="0" borderId="0" xfId="0" quotePrefix="1" applyFont="1" applyFill="1" applyAlignment="1" applyProtection="1">
      <alignment horizontal="center"/>
    </xf>
    <xf numFmtId="0" fontId="28" fillId="2" borderId="14" xfId="0" applyFont="1" applyFill="1" applyBorder="1" applyAlignment="1" applyProtection="1">
      <alignment horizontal="center"/>
    </xf>
    <xf numFmtId="0" fontId="28" fillId="2" borderId="15" xfId="0" applyFont="1" applyFill="1" applyBorder="1" applyAlignment="1" applyProtection="1">
      <alignment horizontal="center"/>
    </xf>
    <xf numFmtId="0" fontId="28" fillId="2" borderId="42" xfId="0" applyFont="1" applyFill="1" applyBorder="1" applyAlignment="1" applyProtection="1">
      <alignment horizontal="center"/>
    </xf>
    <xf numFmtId="0" fontId="28" fillId="0" borderId="14" xfId="0" applyFont="1" applyFill="1" applyBorder="1" applyAlignment="1" applyProtection="1">
      <alignment horizontal="center"/>
    </xf>
    <xf numFmtId="0" fontId="28" fillId="0" borderId="15" xfId="0" applyFont="1" applyFill="1" applyBorder="1" applyAlignment="1" applyProtection="1">
      <alignment horizontal="center"/>
    </xf>
    <xf numFmtId="0" fontId="28" fillId="0" borderId="42" xfId="0" applyFont="1" applyFill="1" applyBorder="1" applyAlignment="1" applyProtection="1">
      <alignment horizontal="center"/>
    </xf>
    <xf numFmtId="0" fontId="54" fillId="0" borderId="49" xfId="11" applyFont="1" applyFill="1" applyBorder="1" applyAlignment="1">
      <alignment horizontal="center"/>
    </xf>
    <xf numFmtId="0" fontId="54" fillId="0" borderId="50" xfId="11" applyFont="1" applyFill="1" applyBorder="1" applyAlignment="1">
      <alignment horizontal="center"/>
    </xf>
    <xf numFmtId="0" fontId="53" fillId="0" borderId="0" xfId="11" applyFont="1" applyFill="1" applyAlignment="1">
      <alignment horizontal="center"/>
    </xf>
    <xf numFmtId="0" fontId="27" fillId="0" borderId="12" xfId="11" applyFont="1" applyFill="1" applyBorder="1" applyAlignment="1">
      <alignment horizontal="center"/>
    </xf>
    <xf numFmtId="0" fontId="27" fillId="0" borderId="57" xfId="11" applyFont="1" applyFill="1" applyBorder="1" applyAlignment="1">
      <alignment horizontal="center"/>
    </xf>
    <xf numFmtId="0" fontId="27" fillId="0" borderId="55" xfId="11" applyFont="1" applyFill="1" applyBorder="1" applyAlignment="1">
      <alignment horizontal="center"/>
    </xf>
    <xf numFmtId="0" fontId="27" fillId="0" borderId="50" xfId="11" applyFont="1" applyFill="1" applyBorder="1" applyAlignment="1">
      <alignment horizontal="center"/>
    </xf>
    <xf numFmtId="0" fontId="27" fillId="0" borderId="49" xfId="11" applyFont="1" applyFill="1" applyBorder="1" applyAlignment="1">
      <alignment horizontal="center"/>
    </xf>
    <xf numFmtId="0" fontId="52" fillId="0" borderId="12" xfId="11" applyFont="1" applyFill="1" applyBorder="1" applyAlignment="1">
      <alignment horizontal="center"/>
    </xf>
    <xf numFmtId="205" fontId="35" fillId="0" borderId="0" xfId="8" applyNumberFormat="1" applyFont="1" applyBorder="1" applyAlignment="1">
      <alignment horizontal="center"/>
    </xf>
    <xf numFmtId="0" fontId="5" fillId="0" borderId="0" xfId="8" applyBorder="1" applyAlignment="1">
      <alignment horizontal="center"/>
    </xf>
    <xf numFmtId="0" fontId="40" fillId="0" borderId="12" xfId="12" applyFont="1" applyFill="1" applyBorder="1" applyAlignment="1">
      <alignment horizontal="center"/>
    </xf>
    <xf numFmtId="0" fontId="13" fillId="0" borderId="0" xfId="12" applyFont="1" applyFill="1" applyBorder="1" applyAlignment="1">
      <alignment horizontal="center"/>
    </xf>
    <xf numFmtId="0" fontId="40" fillId="0" borderId="0" xfId="12" applyFont="1" applyFill="1" applyBorder="1" applyAlignment="1">
      <alignment horizontal="center"/>
    </xf>
    <xf numFmtId="0" fontId="42" fillId="0" borderId="0" xfId="0" quotePrefix="1" applyFont="1" applyFill="1" applyAlignment="1">
      <alignment horizontal="center"/>
    </xf>
    <xf numFmtId="0" fontId="35" fillId="0" borderId="0" xfId="8" applyFont="1" applyAlignment="1">
      <alignment horizontal="center"/>
    </xf>
    <xf numFmtId="0" fontId="5" fillId="0" borderId="12" xfId="8" applyBorder="1" applyAlignment="1">
      <alignment horizontal="center"/>
    </xf>
    <xf numFmtId="0" fontId="5" fillId="0" borderId="13" xfId="8" applyBorder="1" applyAlignment="1">
      <alignment horizontal="center"/>
    </xf>
    <xf numFmtId="0" fontId="12" fillId="0" borderId="0" xfId="0" applyFont="1" applyFill="1" applyAlignment="1">
      <alignment horizontal="left" wrapText="1"/>
    </xf>
    <xf numFmtId="0" fontId="12" fillId="0" borderId="12" xfId="0" applyFont="1" applyFill="1" applyBorder="1" applyAlignment="1" applyProtection="1">
      <alignment horizontal="center"/>
    </xf>
    <xf numFmtId="0" fontId="12" fillId="0" borderId="13" xfId="0" applyFont="1" applyFill="1" applyBorder="1" applyAlignment="1" applyProtection="1">
      <alignment horizontal="center"/>
    </xf>
  </cellXfs>
  <cellStyles count="48">
    <cellStyle name="Comma" xfId="1" builtinId="3"/>
    <cellStyle name="Comma 2" xfId="18"/>
    <cellStyle name="Comma 2 2" xfId="21"/>
    <cellStyle name="Comma 3" xfId="27"/>
    <cellStyle name="Comma 4" xfId="31"/>
    <cellStyle name="Currency" xfId="2" builtinId="4"/>
    <cellStyle name="Currency 2" xfId="35"/>
    <cellStyle name="Currency 3" xfId="37"/>
    <cellStyle name="General" xfId="3"/>
    <cellStyle name="Marathon" xfId="4"/>
    <cellStyle name="nONE" xfId="5"/>
    <cellStyle name="Normal" xfId="0" builtinId="0"/>
    <cellStyle name="Normal 10" xfId="36"/>
    <cellStyle name="Normal 11" xfId="38"/>
    <cellStyle name="Normal 12" xfId="39"/>
    <cellStyle name="Normal 13" xfId="42"/>
    <cellStyle name="Normal 14" xfId="44"/>
    <cellStyle name="Normal 15" xfId="45"/>
    <cellStyle name="Normal 16" xfId="46"/>
    <cellStyle name="Normal 17" xfId="47"/>
    <cellStyle name="Normal 2" xfId="16"/>
    <cellStyle name="Normal 2 2" xfId="34"/>
    <cellStyle name="Normal 3" xfId="17"/>
    <cellStyle name="Normal 3 2" xfId="26"/>
    <cellStyle name="Normal 4" xfId="19"/>
    <cellStyle name="Normal 4 2" xfId="29"/>
    <cellStyle name="Normal 5" xfId="20"/>
    <cellStyle name="Normal 6" xfId="23"/>
    <cellStyle name="Normal 7" xfId="28"/>
    <cellStyle name="Normal 8" xfId="30"/>
    <cellStyle name="Normal 9" xfId="32"/>
    <cellStyle name="Normal_305 versus Cognos" xfId="6"/>
    <cellStyle name="Normal_EAST Blocking 901 2" xfId="24"/>
    <cellStyle name="Normal_East for 38.6M" xfId="7"/>
    <cellStyle name="Normal_Low Income Proposal" xfId="8"/>
    <cellStyle name="Normal_OR 1999 SAS VS 305" xfId="9"/>
    <cellStyle name="Normal_OR 1999 SAS VS 305 2" xfId="25"/>
    <cellStyle name="Normal_OR Blocking 04" xfId="10"/>
    <cellStyle name="Normal_OR Blocking 98 No Forecast" xfId="11"/>
    <cellStyle name="Normal_RECOV01" xfId="40"/>
    <cellStyle name="Normal_RECOV02WA" xfId="41"/>
    <cellStyle name="Normal_WA98" xfId="12"/>
    <cellStyle name="Normal_WAMar06 Blocking" xfId="13"/>
    <cellStyle name="Percent" xfId="14" builtinId="5"/>
    <cellStyle name="Percent 2" xfId="22"/>
    <cellStyle name="Percent 3" xfId="33"/>
    <cellStyle name="Percent 3 2" xfId="43"/>
    <cellStyle name="TRANSMISSION RELIABILITY PORTION OF PROJECT" xfId="15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63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29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74" Type="http://schemas.openxmlformats.org/officeDocument/2006/relationships/externalLink" Target="externalLinks/externalLink35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30.xml"/><Relationship Id="rId77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72" Type="http://schemas.openxmlformats.org/officeDocument/2006/relationships/externalLink" Target="externalLinks/externalLink33.xml"/><Relationship Id="rId80" Type="http://schemas.openxmlformats.org/officeDocument/2006/relationships/sharedStrings" Target="sharedStrings.xml"/><Relationship Id="rId85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67" Type="http://schemas.openxmlformats.org/officeDocument/2006/relationships/externalLink" Target="externalLinks/externalLink28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externalLink" Target="externalLinks/externalLink23.xml"/><Relationship Id="rId70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36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26.xml"/><Relationship Id="rId73" Type="http://schemas.openxmlformats.org/officeDocument/2006/relationships/externalLink" Target="externalLinks/externalLink34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76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66" Type="http://schemas.openxmlformats.org/officeDocument/2006/relationships/externalLink" Target="externalLinks/externalLink27.xml"/><Relationship Id="rId61" Type="http://schemas.openxmlformats.org/officeDocument/2006/relationships/externalLink" Target="externalLinks/externalLink22.xml"/><Relationship Id="rId8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13\RECOV13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22-05%2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09-05-JAM%20upda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SES\Wyoming98\East%20West%20Rate%20Migrat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COS\Wyoming%20FY%202005\COS\COS%20Sep%202006\Wyoming%20Combined%20Sept%202006%20MSP-UCAM%20and%20AFOR-09-12-05-JAM%20upd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ASES\Wyoming98\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01\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REGULATN\PA&amp;D\DSMRecov\2015\RECOV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OSIP"/>
      <sheetName val="WA SBC"/>
      <sheetName val="CA ESA"/>
      <sheetName val="CA 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3"/>
      <sheetName val="Prorate 02-13"/>
      <sheetName val="Prorate 03-13"/>
      <sheetName val="Prorate 04-13"/>
      <sheetName val="Prorate 05-13"/>
      <sheetName val="Prorate 06-13"/>
      <sheetName val="Prorate 07-13 WA"/>
      <sheetName val="Prorate 08-13 WA"/>
      <sheetName val="WA Prorate 09-13"/>
      <sheetName val="Prorate 06-13 CA"/>
      <sheetName val="Prorate 07-13 CA"/>
      <sheetName val="Prorate 8-13 CA"/>
      <sheetName val="Prorate 9-13 CA"/>
      <sheetName val="Prorate 10-13"/>
    </sheetNames>
    <sheetDataSet>
      <sheetData sheetId="0"/>
      <sheetData sheetId="1"/>
      <sheetData sheetId="2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  <row r="338">
          <cell r="A338">
            <v>21665</v>
          </cell>
          <cell r="B338" t="str">
            <v>01STDAY048 - 01LGNSV048</v>
          </cell>
          <cell r="C338">
            <v>48</v>
          </cell>
        </row>
        <row r="339">
          <cell r="A339">
            <v>11286</v>
          </cell>
          <cell r="B339" t="str">
            <v>SOLAR FEED-IN REVENUE</v>
          </cell>
          <cell r="C339" t="str">
            <v>AGA</v>
          </cell>
        </row>
        <row r="340">
          <cell r="A340">
            <v>20848</v>
          </cell>
          <cell r="B340" t="str">
            <v>08CFR00001-MTH FACILITY S</v>
          </cell>
          <cell r="C340" t="str">
            <v>AGA</v>
          </cell>
        </row>
        <row r="341">
          <cell r="A341">
            <v>20864</v>
          </cell>
          <cell r="B341" t="str">
            <v>08CHCK000R-UT RES CHECK M</v>
          </cell>
          <cell r="C341" t="str">
            <v>AGA</v>
          </cell>
        </row>
        <row r="342">
          <cell r="A342">
            <v>20948</v>
          </cell>
          <cell r="B342" t="str">
            <v>08OALT007R-SECURITY AR LG</v>
          </cell>
          <cell r="C342">
            <v>7</v>
          </cell>
        </row>
        <row r="343">
          <cell r="A343">
            <v>20957</v>
          </cell>
          <cell r="B343" t="str">
            <v>08RESD0001-RES SRVC</v>
          </cell>
          <cell r="C343">
            <v>1</v>
          </cell>
        </row>
        <row r="344">
          <cell r="A344">
            <v>20958</v>
          </cell>
          <cell r="B344" t="str">
            <v>08RESD0002-RES SRVC-OPTIO</v>
          </cell>
          <cell r="C344">
            <v>2</v>
          </cell>
        </row>
        <row r="345">
          <cell r="A345">
            <v>20970</v>
          </cell>
          <cell r="B345" t="str">
            <v>08UPPL000R-BASE SCH FALL</v>
          </cell>
          <cell r="C345" t="str">
            <v>AGA</v>
          </cell>
        </row>
        <row r="346">
          <cell r="A346">
            <v>21218</v>
          </cell>
          <cell r="B346" t="str">
            <v>08PTLD000R-POST TOP LIGHT</v>
          </cell>
          <cell r="C346" t="str">
            <v>AGA</v>
          </cell>
        </row>
        <row r="347">
          <cell r="A347">
            <v>21354</v>
          </cell>
          <cell r="B347" t="str">
            <v>08LNX00108-ANN COST MTHLY</v>
          </cell>
          <cell r="C347" t="str">
            <v>AGA</v>
          </cell>
        </row>
        <row r="348">
          <cell r="A348">
            <v>21582</v>
          </cell>
          <cell r="B348" t="str">
            <v>08RESD0003-LIFELINE PRGRM</v>
          </cell>
          <cell r="C348">
            <v>3</v>
          </cell>
        </row>
        <row r="349">
          <cell r="A349">
            <v>21584</v>
          </cell>
          <cell r="B349" t="str">
            <v>08LNX00005-MTHLY MIN GUAR</v>
          </cell>
          <cell r="C349" t="str">
            <v>AGA</v>
          </cell>
        </row>
        <row r="350">
          <cell r="A350">
            <v>21588</v>
          </cell>
          <cell r="B350" t="str">
            <v>08LNX00013-80% MNTHLY MIN</v>
          </cell>
          <cell r="C350" t="str">
            <v>AGA</v>
          </cell>
        </row>
        <row r="351">
          <cell r="A351">
            <v>21609</v>
          </cell>
          <cell r="B351" t="str">
            <v>08LNX00001-MTHLY 80% GUAR</v>
          </cell>
          <cell r="C351" t="str">
            <v>AGA</v>
          </cell>
        </row>
        <row r="352">
          <cell r="A352">
            <v>21719</v>
          </cell>
          <cell r="B352" t="str">
            <v>08NETMT135 - Net Metering</v>
          </cell>
          <cell r="C352">
            <v>1</v>
          </cell>
        </row>
        <row r="353">
          <cell r="A353">
            <v>21734</v>
          </cell>
          <cell r="B353" t="str">
            <v>08COOLKPRR - Utah Cool Keeper Program</v>
          </cell>
          <cell r="C353" t="str">
            <v>AGA</v>
          </cell>
        </row>
        <row r="354">
          <cell r="A354">
            <v>21999</v>
          </cell>
          <cell r="B354" t="str">
            <v>08MHTP0006-MOBILE HOME &amp; TRAILER</v>
          </cell>
          <cell r="C354">
            <v>6</v>
          </cell>
        </row>
        <row r="355">
          <cell r="A355">
            <v>22000</v>
          </cell>
          <cell r="B355" t="str">
            <v>08MHTP0023-MOBILE HOME &amp; TRAILER</v>
          </cell>
          <cell r="C355">
            <v>23</v>
          </cell>
        </row>
        <row r="356">
          <cell r="A356">
            <v>22001</v>
          </cell>
          <cell r="B356" t="str">
            <v>08RGNSV006-GEN SRVC-RES</v>
          </cell>
          <cell r="C356">
            <v>6</v>
          </cell>
        </row>
        <row r="357">
          <cell r="A357">
            <v>22002</v>
          </cell>
          <cell r="B357" t="str">
            <v>08RGNSV023-GEN SRVC-RES</v>
          </cell>
          <cell r="C357">
            <v>23</v>
          </cell>
        </row>
        <row r="358">
          <cell r="A358">
            <v>22004</v>
          </cell>
          <cell r="B358" t="str">
            <v>08RNM23135 - UT NET MTR, GEN SVC-RES</v>
          </cell>
          <cell r="C358">
            <v>23</v>
          </cell>
        </row>
        <row r="359">
          <cell r="A359">
            <v>22007</v>
          </cell>
          <cell r="B359" t="str">
            <v>08RGNSV06A-UT SMALL GENERAL SVC-RES-TOU</v>
          </cell>
          <cell r="C359" t="str">
            <v>6A</v>
          </cell>
        </row>
        <row r="360">
          <cell r="A360">
            <v>88</v>
          </cell>
          <cell r="B360" t="str">
            <v>UNBILLED REVENUE</v>
          </cell>
          <cell r="C360" t="str">
            <v>AGA</v>
          </cell>
        </row>
        <row r="361">
          <cell r="A361">
            <v>20868</v>
          </cell>
          <cell r="B361" t="str">
            <v>08EFOP0021-ELEC FURNACE O</v>
          </cell>
          <cell r="C361">
            <v>21</v>
          </cell>
        </row>
        <row r="362">
          <cell r="A362">
            <v>20870</v>
          </cell>
          <cell r="B362" t="str">
            <v>08GNSV0006-GEN SRVC-DISTR</v>
          </cell>
          <cell r="C362">
            <v>6</v>
          </cell>
        </row>
        <row r="363">
          <cell r="A363">
            <v>20871</v>
          </cell>
          <cell r="B363" t="str">
            <v>08GNSV0009-GEN SRVC-HI VO</v>
          </cell>
          <cell r="C363">
            <v>9</v>
          </cell>
        </row>
        <row r="364">
          <cell r="A364">
            <v>20872</v>
          </cell>
          <cell r="B364" t="str">
            <v>08GNSV0023-GEN SRVC-DISTR</v>
          </cell>
          <cell r="C364">
            <v>23</v>
          </cell>
        </row>
        <row r="365">
          <cell r="A365">
            <v>20874</v>
          </cell>
          <cell r="B365" t="str">
            <v>08GNSV006A-GEN SRVC-ENERG</v>
          </cell>
          <cell r="C365" t="str">
            <v>6A</v>
          </cell>
        </row>
        <row r="366">
          <cell r="A366">
            <v>20875</v>
          </cell>
          <cell r="B366" t="str">
            <v>08GNSV006B-GEN SRVC-DEM&amp;</v>
          </cell>
          <cell r="C366" t="str">
            <v>6B</v>
          </cell>
        </row>
        <row r="367">
          <cell r="A367">
            <v>20876</v>
          </cell>
          <cell r="B367" t="str">
            <v>08GNSV009A-GEN SRVC HI VO</v>
          </cell>
          <cell r="C367" t="str">
            <v>9A</v>
          </cell>
        </row>
        <row r="368">
          <cell r="A368">
            <v>20881</v>
          </cell>
          <cell r="B368" t="str">
            <v>08GNSV023F-GEN SRVC FIXED</v>
          </cell>
          <cell r="C368">
            <v>23</v>
          </cell>
        </row>
        <row r="369">
          <cell r="A369">
            <v>20947</v>
          </cell>
          <cell r="B369" t="str">
            <v>08OALT007N-SECURITY AR LG</v>
          </cell>
          <cell r="C369">
            <v>7</v>
          </cell>
        </row>
        <row r="370">
          <cell r="A370">
            <v>20961</v>
          </cell>
          <cell r="B370" t="str">
            <v>08TOSS0015-TRAF &amp;amp; OTHER S</v>
          </cell>
          <cell r="C370" t="str">
            <v>15TOS</v>
          </cell>
        </row>
        <row r="371">
          <cell r="A371">
            <v>20962</v>
          </cell>
          <cell r="B371" t="str">
            <v>08MONL0015-MTR OUTDONIGHT</v>
          </cell>
          <cell r="C371" t="str">
            <v>15MON</v>
          </cell>
        </row>
        <row r="372">
          <cell r="A372">
            <v>21224</v>
          </cell>
          <cell r="B372" t="str">
            <v>08CFR00051-MTH FAC SRVCHG</v>
          </cell>
          <cell r="C372">
            <v>51</v>
          </cell>
        </row>
        <row r="373">
          <cell r="A373">
            <v>21246</v>
          </cell>
          <cell r="B373" t="str">
            <v>08GNSV009M-MANL HIGH VOLT</v>
          </cell>
          <cell r="C373">
            <v>9</v>
          </cell>
        </row>
        <row r="374">
          <cell r="A374">
            <v>21253</v>
          </cell>
          <cell r="B374" t="str">
            <v>08GNSV06AM-MNL ENERGY TOD</v>
          </cell>
          <cell r="C374" t="str">
            <v>6A</v>
          </cell>
        </row>
        <row r="375">
          <cell r="A375">
            <v>21255</v>
          </cell>
          <cell r="B375" t="str">
            <v>08SPCL0001</v>
          </cell>
          <cell r="C375" t="str">
            <v>SPCL1</v>
          </cell>
        </row>
        <row r="376">
          <cell r="A376">
            <v>21256</v>
          </cell>
          <cell r="B376" t="str">
            <v>08SPCL0002</v>
          </cell>
          <cell r="C376" t="str">
            <v>SPCL2</v>
          </cell>
        </row>
        <row r="377">
          <cell r="A377">
            <v>21257</v>
          </cell>
          <cell r="B377" t="str">
            <v>08SPCL0003</v>
          </cell>
          <cell r="C377" t="str">
            <v>SPCL3</v>
          </cell>
        </row>
        <row r="378">
          <cell r="A378">
            <v>21264</v>
          </cell>
          <cell r="B378" t="str">
            <v>08GNSV09AM-MAN TOD HIVOLT</v>
          </cell>
          <cell r="C378" t="str">
            <v>9A</v>
          </cell>
        </row>
        <row r="379">
          <cell r="A379">
            <v>21275</v>
          </cell>
          <cell r="B379" t="str">
            <v>08PRSV031M-BKUP MNT&amp;SUPPL</v>
          </cell>
          <cell r="C379">
            <v>31</v>
          </cell>
        </row>
        <row r="380">
          <cell r="A380">
            <v>21320</v>
          </cell>
          <cell r="B380" t="str">
            <v>08EFOP021M-ELEC FURNACE O</v>
          </cell>
          <cell r="C380">
            <v>21</v>
          </cell>
        </row>
        <row r="381">
          <cell r="A381">
            <v>21562</v>
          </cell>
          <cell r="B381" t="str">
            <v>08GNSV06MN-GNSV DIST VOLT</v>
          </cell>
          <cell r="C381">
            <v>6</v>
          </cell>
        </row>
        <row r="382">
          <cell r="A382">
            <v>21571</v>
          </cell>
          <cell r="B382" t="str">
            <v>08LNX00014-80% MIN MNTHLY</v>
          </cell>
          <cell r="C382" t="str">
            <v>AGA</v>
          </cell>
        </row>
        <row r="383">
          <cell r="A383">
            <v>21574</v>
          </cell>
          <cell r="B383" t="str">
            <v>08LNX00002-MTHLY 80% GUAR</v>
          </cell>
          <cell r="C383" t="str">
            <v>AGA</v>
          </cell>
        </row>
        <row r="384">
          <cell r="A384">
            <v>21731</v>
          </cell>
          <cell r="B384" t="str">
            <v>08LNX00300 - LINE EXT 80% PLUS MONTHLY</v>
          </cell>
          <cell r="C384" t="str">
            <v>AGA</v>
          </cell>
        </row>
        <row r="385">
          <cell r="A385">
            <v>21803</v>
          </cell>
          <cell r="B385" t="str">
            <v>08NMT23135 - UT NET MTR, GEN, &lt; 25 KW</v>
          </cell>
          <cell r="C385">
            <v>23</v>
          </cell>
        </row>
        <row r="386">
          <cell r="A386">
            <v>21820</v>
          </cell>
          <cell r="B386" t="str">
            <v>08GNSV0008 - UT GEN SVC TOU &gt; 1000KW</v>
          </cell>
          <cell r="C386">
            <v>8</v>
          </cell>
        </row>
        <row r="387">
          <cell r="A387">
            <v>21821</v>
          </cell>
          <cell r="B387" t="str">
            <v>08GNSV008M - UT GEN SVC TOU &gt; 1000KW</v>
          </cell>
          <cell r="C387">
            <v>8</v>
          </cell>
        </row>
        <row r="388">
          <cell r="A388">
            <v>21822</v>
          </cell>
          <cell r="B388" t="str">
            <v>08LNX00311 - LINE EXT 80% GUARANTEE</v>
          </cell>
          <cell r="C388" t="str">
            <v>AGA</v>
          </cell>
        </row>
        <row r="389">
          <cell r="A389">
            <v>21944</v>
          </cell>
          <cell r="B389" t="str">
            <v>08NMT06135-UT NET METERING GEN SVC</v>
          </cell>
          <cell r="C389">
            <v>6</v>
          </cell>
        </row>
        <row r="390">
          <cell r="A390">
            <v>21966</v>
          </cell>
          <cell r="B390" t="str">
            <v>08NMT6A135-NET METERING GEN SVC TOU</v>
          </cell>
          <cell r="C390" t="str">
            <v>6A</v>
          </cell>
        </row>
        <row r="391">
          <cell r="A391">
            <v>11279</v>
          </cell>
          <cell r="B391" t="str">
            <v>367880-REVENUE ADJ PROPERTY INSUR-IRG</v>
          </cell>
          <cell r="C391" t="str">
            <v>AGA</v>
          </cell>
        </row>
        <row r="392">
          <cell r="A392">
            <v>20845</v>
          </cell>
          <cell r="B392" t="str">
            <v>08APSV0010-IRR &amp; SOIL DRA</v>
          </cell>
          <cell r="C392">
            <v>10</v>
          </cell>
        </row>
        <row r="393">
          <cell r="A393">
            <v>21604</v>
          </cell>
          <cell r="B393" t="str">
            <v>08LNX00017-ADV/REF&amp;80%ANN</v>
          </cell>
          <cell r="C393" t="str">
            <v>AGA</v>
          </cell>
        </row>
        <row r="394">
          <cell r="A394">
            <v>21610</v>
          </cell>
          <cell r="B394" t="str">
            <v>08LNX00004-ANNUAL 80%GUAR</v>
          </cell>
          <cell r="C394" t="str">
            <v>AGA</v>
          </cell>
        </row>
        <row r="395">
          <cell r="A395">
            <v>21611</v>
          </cell>
          <cell r="B395" t="str">
            <v>08LNX00014-80% MIN MNTHLY</v>
          </cell>
          <cell r="C395" t="str">
            <v>AGA</v>
          </cell>
        </row>
        <row r="396">
          <cell r="A396">
            <v>21696</v>
          </cell>
          <cell r="B396" t="str">
            <v>08APSV10NS- Irg Soil Drain Pump Non Seas</v>
          </cell>
          <cell r="C396">
            <v>10</v>
          </cell>
        </row>
        <row r="397">
          <cell r="A397">
            <v>21833</v>
          </cell>
          <cell r="B397" t="str">
            <v>08LNX00310 - IRR, 80% ANNUAL MIN + 80% ?</v>
          </cell>
          <cell r="C397" t="str">
            <v>AGA</v>
          </cell>
        </row>
        <row r="398">
          <cell r="A398">
            <v>21879</v>
          </cell>
          <cell r="B398" t="str">
            <v>08LNX00312 UT IRG LINE EXT</v>
          </cell>
          <cell r="C398" t="str">
            <v>AGA</v>
          </cell>
        </row>
        <row r="399">
          <cell r="A399">
            <v>21885</v>
          </cell>
          <cell r="B399" t="str">
            <v>08NMT10135-UT IRR_SOIL DRNG NET MTR SVC</v>
          </cell>
          <cell r="C399">
            <v>10</v>
          </cell>
        </row>
        <row r="400">
          <cell r="A400">
            <v>89</v>
          </cell>
          <cell r="B400" t="str">
            <v>UNBILLED REV - IRRIGATION</v>
          </cell>
          <cell r="C400" t="str">
            <v>AGA</v>
          </cell>
        </row>
        <row r="401">
          <cell r="A401">
            <v>20860</v>
          </cell>
          <cell r="B401" t="str">
            <v>08CFR00012-STR LGTS (CONV</v>
          </cell>
          <cell r="C401">
            <v>12</v>
          </cell>
        </row>
        <row r="402">
          <cell r="A402">
            <v>20960</v>
          </cell>
          <cell r="B402" t="str">
            <v>08SLCO0011-STR LGT CO-OWN</v>
          </cell>
          <cell r="C402">
            <v>11</v>
          </cell>
        </row>
        <row r="403">
          <cell r="A403">
            <v>20961</v>
          </cell>
          <cell r="B403" t="str">
            <v>08TOSS0015-TRAF &amp;amp; OTHER S</v>
          </cell>
          <cell r="C403">
            <v>15</v>
          </cell>
        </row>
        <row r="404">
          <cell r="A404">
            <v>20962</v>
          </cell>
          <cell r="B404" t="str">
            <v>08MONL0015-MTR OUTDONIGHT</v>
          </cell>
          <cell r="C404">
            <v>15</v>
          </cell>
        </row>
        <row r="405">
          <cell r="A405">
            <v>20963</v>
          </cell>
          <cell r="B405" t="str">
            <v>08SLCU012P-STR LGT CUST-O</v>
          </cell>
          <cell r="C405">
            <v>12</v>
          </cell>
        </row>
        <row r="406">
          <cell r="A406">
            <v>20964</v>
          </cell>
          <cell r="B406" t="str">
            <v>08SLCU012F-STR LGT CUST-O</v>
          </cell>
          <cell r="C406">
            <v>12</v>
          </cell>
        </row>
        <row r="407">
          <cell r="A407">
            <v>21220</v>
          </cell>
          <cell r="B407" t="str">
            <v>08TOSS015F-TRAFFIC SIG NM</v>
          </cell>
          <cell r="C407">
            <v>15</v>
          </cell>
        </row>
        <row r="408">
          <cell r="A408">
            <v>21224</v>
          </cell>
          <cell r="B408" t="str">
            <v>08CFR00051-MTH FAC SRVCHG</v>
          </cell>
          <cell r="C408">
            <v>51</v>
          </cell>
        </row>
        <row r="409">
          <cell r="A409">
            <v>21272</v>
          </cell>
          <cell r="B409" t="str">
            <v>08CFR00062-STREET LIGHTS</v>
          </cell>
          <cell r="C409" t="str">
            <v>AGA</v>
          </cell>
        </row>
        <row r="410">
          <cell r="A410">
            <v>21542</v>
          </cell>
          <cell r="B410" t="str">
            <v>08SLCU012E-DECOR CUST-OWN</v>
          </cell>
          <cell r="C410">
            <v>12</v>
          </cell>
        </row>
        <row r="411">
          <cell r="A411">
            <v>11263</v>
          </cell>
          <cell r="B411" t="str">
            <v>301770-DSM REVENUE-OPSA</v>
          </cell>
          <cell r="C411" t="str">
            <v>AGA</v>
          </cell>
        </row>
        <row r="412">
          <cell r="A412">
            <v>21246</v>
          </cell>
          <cell r="B412" t="str">
            <v>08GNSV009M-MANL HIGH VOLT</v>
          </cell>
          <cell r="C412">
            <v>9</v>
          </cell>
        </row>
        <row r="413">
          <cell r="A413">
            <v>21275</v>
          </cell>
          <cell r="B413" t="str">
            <v>08PRSV031M-BKUP MNT&amp;SUPPL</v>
          </cell>
          <cell r="C413">
            <v>31</v>
          </cell>
        </row>
        <row r="414">
          <cell r="A414">
            <v>21217</v>
          </cell>
          <cell r="B414" t="str">
            <v>08PTLD000N-POST TOP LIGHT</v>
          </cell>
          <cell r="C414" t="str">
            <v>AGA</v>
          </cell>
        </row>
        <row r="415">
          <cell r="A415">
            <v>21234</v>
          </cell>
          <cell r="B415" t="str">
            <v>08GNSV006M-MNL DIST VOLTG</v>
          </cell>
          <cell r="C415">
            <v>6</v>
          </cell>
        </row>
        <row r="416">
          <cell r="A416">
            <v>21249</v>
          </cell>
          <cell r="B416" t="str">
            <v>08POLE0075-POLES W/LIGHT</v>
          </cell>
          <cell r="C416" t="str">
            <v>AGA</v>
          </cell>
        </row>
        <row r="417">
          <cell r="A417">
            <v>21322</v>
          </cell>
          <cell r="B417" t="str">
            <v>08GNSV023M-GNSV DIST VOLT</v>
          </cell>
          <cell r="C417">
            <v>23</v>
          </cell>
        </row>
        <row r="418">
          <cell r="A418">
            <v>21391</v>
          </cell>
          <cell r="B418" t="str">
            <v>08LNX00158-ANNUALCOST MTH</v>
          </cell>
          <cell r="C418" t="str">
            <v>AGA</v>
          </cell>
        </row>
        <row r="419">
          <cell r="A419">
            <v>21583</v>
          </cell>
          <cell r="B419" t="str">
            <v>08LNX00017-ADV/REF&amp;80%ANN</v>
          </cell>
          <cell r="C419" t="str">
            <v>AGA</v>
          </cell>
        </row>
        <row r="420">
          <cell r="A420">
            <v>21587</v>
          </cell>
          <cell r="B420" t="str">
            <v>08LNX00006-FIXD MTHLY MIN</v>
          </cell>
          <cell r="C420" t="str">
            <v>AGA</v>
          </cell>
        </row>
        <row r="421">
          <cell r="A421">
            <v>21772</v>
          </cell>
          <cell r="B421" t="str">
            <v>08COOLKPRN - A/C DIRECT LOAD CONTROL</v>
          </cell>
          <cell r="C421" t="str">
            <v>AGA</v>
          </cell>
        </row>
        <row r="422">
          <cell r="A422">
            <v>21945</v>
          </cell>
          <cell r="B422" t="str">
            <v>08NMT08135 - NET METERING GEN SVC</v>
          </cell>
          <cell r="C422">
            <v>8</v>
          </cell>
        </row>
        <row r="423">
          <cell r="A423">
            <v>21989</v>
          </cell>
          <cell r="B423" t="str">
            <v>08ABL-NRES - APPLICANT BUILT LINE</v>
          </cell>
          <cell r="C423" t="str">
            <v>AGA</v>
          </cell>
        </row>
        <row r="424">
          <cell r="A424">
            <v>22024</v>
          </cell>
          <cell r="B424" t="str">
            <v>02NMT40135-WA NET METERING-IRG</v>
          </cell>
          <cell r="C424">
            <v>40</v>
          </cell>
        </row>
        <row r="425">
          <cell r="A425">
            <v>22027</v>
          </cell>
          <cell r="B425" t="str">
            <v>01CSTUSB41-USBR IRRIGATION CONTRACTS CSS</v>
          </cell>
          <cell r="C425">
            <v>41</v>
          </cell>
        </row>
        <row r="426">
          <cell r="A426">
            <v>22028</v>
          </cell>
          <cell r="B426" t="str">
            <v>01NMU41135 - OR NET MTR - PROJECT LAND</v>
          </cell>
          <cell r="C426">
            <v>41</v>
          </cell>
        </row>
        <row r="427">
          <cell r="A427">
            <v>22029</v>
          </cell>
          <cell r="B427" t="str">
            <v>01USBGV041-IRG TOU W/O BPA</v>
          </cell>
          <cell r="C427">
            <v>41</v>
          </cell>
        </row>
        <row r="428">
          <cell r="A428">
            <v>22030</v>
          </cell>
          <cell r="B428" t="str">
            <v>01USBOF041-KLAMATH BASIN IRG OFF PRJ LND</v>
          </cell>
          <cell r="C428">
            <v>41</v>
          </cell>
        </row>
        <row r="429">
          <cell r="A429">
            <v>22031</v>
          </cell>
          <cell r="B429" t="str">
            <v>01USBON041-KLAMATH BASIN IRG ON PJT LND</v>
          </cell>
          <cell r="C429">
            <v>41</v>
          </cell>
        </row>
        <row r="430">
          <cell r="A430">
            <v>22032</v>
          </cell>
          <cell r="B430" t="str">
            <v>01VRU41136-OR VOL INCENTIVE USB CONTRACT</v>
          </cell>
          <cell r="C430">
            <v>41</v>
          </cell>
        </row>
        <row r="431">
          <cell r="A431">
            <v>22038</v>
          </cell>
          <cell r="B431" t="str">
            <v>06NMT48135-CA GEN SVC NET MTR-&gt;500 KW</v>
          </cell>
          <cell r="C431" t="str">
            <v>AT48</v>
          </cell>
        </row>
        <row r="432">
          <cell r="A432">
            <v>22043</v>
          </cell>
          <cell r="B432" t="str">
            <v>02NMT48135-WA LG SVC NET METER=&gt;1000 KW</v>
          </cell>
          <cell r="C432" t="str">
            <v>48T</v>
          </cell>
        </row>
        <row r="433">
          <cell r="A433">
            <v>22040</v>
          </cell>
          <cell r="B433" t="str">
            <v>01RNETM023-NET METER RESIDENTIAL GEN SVC</v>
          </cell>
          <cell r="C433">
            <v>23</v>
          </cell>
        </row>
      </sheetData>
      <sheetData sheetId="3">
        <row r="2">
          <cell r="H2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6">
          <cell r="A6" t="str">
            <v>Sum of Total kWh</v>
          </cell>
        </row>
      </sheetData>
      <sheetData sheetId="35">
        <row r="6">
          <cell r="A6" t="str">
            <v>Sum of Total kWh</v>
          </cell>
        </row>
      </sheetData>
      <sheetData sheetId="36">
        <row r="8">
          <cell r="C8">
            <v>0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6">
          <cell r="C6" t="str">
            <v>WCA Method</v>
          </cell>
        </row>
        <row r="8">
          <cell r="D8">
            <v>0.37687849503411508</v>
          </cell>
        </row>
        <row r="9">
          <cell r="D9">
            <v>0.62312150496588492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UT Variance"/>
      <sheetName val="Sch 47 Unscheduled KWH"/>
      <sheetName val="CA CARE"/>
      <sheetName val="Property Sales"/>
      <sheetName val="Grid West Reg Asset"/>
      <sheetName val="2010 Protocol"/>
      <sheetName val="RAC Deferral"/>
      <sheetName val="OSIP"/>
      <sheetName val="Deer Creek"/>
      <sheetName val="WA SBC"/>
      <sheetName val="WA Depreciation"/>
      <sheetName val="WA Merwin"/>
      <sheetName val="CA ESA"/>
      <sheetName val="CA SI"/>
      <sheetName val="CA Pub Purp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WY New DSM Codes"/>
      <sheetName val="New WY DSM"/>
      <sheetName val="Prorations&gt;&gt;&gt;"/>
      <sheetName val="Prorate OR 01-15"/>
      <sheetName val="Prorate OR 02-15 OSIP"/>
      <sheetName val="Prorate OR 03-15 OSIP"/>
      <sheetName val="Prorate OR 04-15 OSIP"/>
      <sheetName val="Prorate OR 02-15 RAC"/>
      <sheetName val="Prorate OR 03-15 RAC"/>
      <sheetName val="Prorate 05-15 Deer Cr"/>
      <sheetName val="Prorate 06-15 Deer Cr"/>
      <sheetName val="Prorate 07-15 Deer Cr"/>
      <sheetName val="Prorate 08-15 Deer Cr"/>
      <sheetName val="Prorate 08-15 - CA SI"/>
      <sheetName val="Prorate 09-15 - CA SI"/>
      <sheetName val="Prorate WA 03-15 - Depr+Merwin"/>
      <sheetName val="Prorate WA 04-15 - Depr+Merwin"/>
      <sheetName val="Prorate WA 05-15 - Depr+Merwin"/>
      <sheetName val="Prorate WA 0615 - Depr + Merwin"/>
      <sheetName val="Prorate WA 08-15 - SBC"/>
      <sheetName val="Prorate WA 09-15 - S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B1:AE60"/>
  <sheetViews>
    <sheetView tabSelected="1"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152" hidden="1" customWidth="1"/>
    <col min="2" max="2" width="4.625" style="152" customWidth="1"/>
    <col min="3" max="3" width="2.125" style="152" customWidth="1"/>
    <col min="4" max="4" width="35.875" style="153" customWidth="1"/>
    <col min="5" max="5" width="2.125" style="153" customWidth="1"/>
    <col min="6" max="6" width="5.625" style="153" bestFit="1" customWidth="1"/>
    <col min="7" max="7" width="2.125" style="153" customWidth="1"/>
    <col min="8" max="8" width="8.875" style="152" bestFit="1" customWidth="1"/>
    <col min="9" max="9" width="2" style="152" customWidth="1"/>
    <col min="10" max="10" width="10.5" style="152" bestFit="1" customWidth="1"/>
    <col min="11" max="11" width="2.875" style="152" customWidth="1"/>
    <col min="12" max="12" width="10" style="152" hidden="1" customWidth="1"/>
    <col min="13" max="13" width="2.75" style="152" hidden="1" customWidth="1"/>
    <col min="14" max="14" width="10" style="152" bestFit="1" customWidth="1"/>
    <col min="15" max="15" width="2.625" style="152" customWidth="1"/>
    <col min="16" max="16" width="8" style="152" hidden="1" customWidth="1"/>
    <col min="17" max="17" width="8.75" style="152" hidden="1" customWidth="1"/>
    <col min="18" max="18" width="1.875" style="152" hidden="1" customWidth="1"/>
    <col min="19" max="19" width="10" style="152" bestFit="1" customWidth="1"/>
    <col min="20" max="20" width="2.625" style="152" customWidth="1"/>
    <col min="21" max="21" width="8" style="152" bestFit="1" customWidth="1"/>
    <col min="22" max="22" width="8.75" style="152" bestFit="1" customWidth="1"/>
    <col min="23" max="24" width="11.75" style="152" bestFit="1" customWidth="1"/>
    <col min="25" max="25" width="2.125" style="152" customWidth="1"/>
    <col min="26" max="26" width="3.125" style="152" customWidth="1"/>
    <col min="27" max="27" width="7.25" style="152" customWidth="1"/>
    <col min="28" max="28" width="0.125" style="152" customWidth="1"/>
    <col min="29" max="29" width="10.25" style="152" customWidth="1"/>
    <col min="30" max="30" width="13.5" style="152" bestFit="1" customWidth="1"/>
    <col min="31" max="16384" width="10.25" style="152"/>
  </cols>
  <sheetData>
    <row r="1" spans="2:31" ht="18.75">
      <c r="C1" s="1098"/>
      <c r="D1" s="1099"/>
      <c r="N1" s="154" t="s">
        <v>31</v>
      </c>
      <c r="S1" s="154" t="s">
        <v>31</v>
      </c>
    </row>
    <row r="2" spans="2:31">
      <c r="B2" s="1455" t="s">
        <v>290</v>
      </c>
      <c r="C2" s="1455"/>
      <c r="D2" s="1455"/>
      <c r="E2" s="1455"/>
      <c r="F2" s="1455"/>
      <c r="G2" s="1455"/>
      <c r="H2" s="1455"/>
      <c r="I2" s="1455"/>
      <c r="J2" s="1455"/>
      <c r="K2" s="1455"/>
      <c r="L2" s="1455"/>
      <c r="M2" s="1455"/>
      <c r="N2" s="1455"/>
      <c r="O2" s="1455"/>
      <c r="P2" s="1455"/>
      <c r="Q2" s="1455"/>
      <c r="R2" s="1455"/>
      <c r="S2" s="1455"/>
      <c r="T2" s="1455"/>
      <c r="U2" s="1455"/>
      <c r="V2" s="1455"/>
      <c r="W2" s="158"/>
      <c r="X2" s="158"/>
      <c r="Y2" s="158"/>
    </row>
    <row r="3" spans="2:31">
      <c r="B3" s="1456" t="s">
        <v>179</v>
      </c>
      <c r="C3" s="1456"/>
      <c r="D3" s="1456"/>
      <c r="E3" s="1456"/>
      <c r="F3" s="1456"/>
      <c r="G3" s="1456"/>
      <c r="H3" s="1456"/>
      <c r="I3" s="1456"/>
      <c r="J3" s="1456"/>
      <c r="K3" s="1456"/>
      <c r="L3" s="1456"/>
      <c r="M3" s="1456"/>
      <c r="N3" s="1456"/>
      <c r="O3" s="1456"/>
      <c r="P3" s="1456"/>
      <c r="Q3" s="1456"/>
      <c r="R3" s="1456"/>
      <c r="S3" s="1456"/>
      <c r="T3" s="1456"/>
      <c r="U3" s="1456"/>
      <c r="V3" s="1456"/>
      <c r="W3" s="157"/>
      <c r="X3" s="157"/>
      <c r="Y3" s="157"/>
      <c r="Z3" s="157"/>
      <c r="AA3" s="157"/>
      <c r="AB3" s="157"/>
    </row>
    <row r="4" spans="2:31">
      <c r="B4" s="1456" t="s">
        <v>895</v>
      </c>
      <c r="C4" s="1456"/>
      <c r="D4" s="1456"/>
      <c r="E4" s="1456"/>
      <c r="F4" s="1456"/>
      <c r="G4" s="1456"/>
      <c r="H4" s="1456"/>
      <c r="I4" s="1456"/>
      <c r="J4" s="1456"/>
      <c r="K4" s="1456"/>
      <c r="L4" s="1456"/>
      <c r="M4" s="1456"/>
      <c r="N4" s="1456"/>
      <c r="O4" s="1456"/>
      <c r="P4" s="1456"/>
      <c r="Q4" s="1456"/>
      <c r="R4" s="1456"/>
      <c r="S4" s="1456"/>
      <c r="T4" s="1456"/>
      <c r="U4" s="1456"/>
      <c r="V4" s="1456"/>
      <c r="W4" s="157"/>
      <c r="X4" s="157"/>
      <c r="Y4" s="157"/>
      <c r="Z4" s="157"/>
      <c r="AA4" s="157"/>
      <c r="AB4" s="157"/>
    </row>
    <row r="5" spans="2:31">
      <c r="B5" s="1456" t="s">
        <v>292</v>
      </c>
      <c r="C5" s="1456"/>
      <c r="D5" s="1456"/>
      <c r="E5" s="1456"/>
      <c r="F5" s="1456"/>
      <c r="G5" s="1456"/>
      <c r="H5" s="1456"/>
      <c r="I5" s="1456"/>
      <c r="J5" s="1456"/>
      <c r="K5" s="1456"/>
      <c r="L5" s="1456"/>
      <c r="M5" s="1456"/>
      <c r="N5" s="1456"/>
      <c r="O5" s="1456"/>
      <c r="P5" s="1456"/>
      <c r="Q5" s="1456"/>
      <c r="R5" s="1456"/>
      <c r="S5" s="1456"/>
      <c r="T5" s="1456"/>
      <c r="U5" s="1456"/>
      <c r="V5" s="1456"/>
      <c r="W5" s="157"/>
      <c r="X5" s="157"/>
      <c r="Y5" s="157"/>
      <c r="Z5" s="157"/>
      <c r="AA5" s="157"/>
      <c r="AB5" s="157"/>
    </row>
    <row r="6" spans="2:31">
      <c r="B6" s="1456" t="s">
        <v>293</v>
      </c>
      <c r="C6" s="1456"/>
      <c r="D6" s="1456"/>
      <c r="E6" s="1456"/>
      <c r="F6" s="1456"/>
      <c r="G6" s="1456"/>
      <c r="H6" s="1456"/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/>
      <c r="T6" s="1456"/>
      <c r="U6" s="1456"/>
      <c r="V6" s="1456"/>
      <c r="W6" s="157"/>
      <c r="X6" s="157"/>
      <c r="Y6" s="157"/>
      <c r="Z6" s="157"/>
      <c r="AA6" s="157"/>
      <c r="AB6" s="157"/>
    </row>
    <row r="7" spans="2:31">
      <c r="B7" s="1455" t="s">
        <v>979</v>
      </c>
      <c r="C7" s="1455"/>
      <c r="D7" s="1455"/>
      <c r="E7" s="1455"/>
      <c r="F7" s="1455"/>
      <c r="G7" s="1455"/>
      <c r="H7" s="1455"/>
      <c r="I7" s="1455"/>
      <c r="J7" s="1455"/>
      <c r="K7" s="1455"/>
      <c r="L7" s="1455"/>
      <c r="M7" s="1455"/>
      <c r="N7" s="1455"/>
      <c r="O7" s="1455"/>
      <c r="P7" s="1455"/>
      <c r="Q7" s="1455"/>
      <c r="R7" s="1455"/>
      <c r="S7" s="1455"/>
      <c r="T7" s="1455"/>
      <c r="U7" s="1455"/>
      <c r="V7" s="1455"/>
      <c r="W7" s="158"/>
      <c r="X7" s="158"/>
      <c r="Y7" s="158"/>
      <c r="Z7" s="158"/>
      <c r="AA7" s="158"/>
      <c r="AB7" s="158"/>
    </row>
    <row r="8" spans="2:31">
      <c r="B8" s="1419"/>
      <c r="C8" s="1419"/>
      <c r="D8" s="1419"/>
      <c r="E8" s="1419"/>
      <c r="F8" s="1419"/>
      <c r="G8" s="1419"/>
      <c r="H8" s="1419"/>
      <c r="I8" s="1419"/>
      <c r="J8" s="1419"/>
      <c r="K8" s="1419"/>
      <c r="L8" s="1419"/>
      <c r="M8" s="1419"/>
      <c r="N8" s="1419"/>
      <c r="O8" s="1419"/>
      <c r="P8" s="1419"/>
      <c r="Q8" s="1419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</row>
    <row r="9" spans="2:31">
      <c r="K9" s="159"/>
      <c r="L9" s="160"/>
      <c r="M9" s="161"/>
      <c r="N9" s="1459" t="s">
        <v>31</v>
      </c>
      <c r="O9" s="1459"/>
      <c r="P9" s="1459"/>
      <c r="Q9" s="1459"/>
      <c r="R9" s="161"/>
      <c r="S9" s="1460" t="s">
        <v>1031</v>
      </c>
      <c r="T9" s="1461"/>
      <c r="U9" s="1461"/>
      <c r="V9" s="1462"/>
      <c r="W9" s="1414" t="s">
        <v>31</v>
      </c>
      <c r="X9" s="1414" t="s">
        <v>1035</v>
      </c>
      <c r="Y9" s="161"/>
      <c r="Z9" s="161"/>
      <c r="AA9" s="161"/>
      <c r="AB9" s="161"/>
      <c r="AC9" s="159"/>
      <c r="AD9" s="159"/>
      <c r="AE9" s="159"/>
    </row>
    <row r="10" spans="2:31">
      <c r="L10" s="163" t="s">
        <v>191</v>
      </c>
      <c r="M10" s="164"/>
      <c r="N10" s="163" t="s">
        <v>191</v>
      </c>
      <c r="O10" s="1299"/>
      <c r="P10" s="1299"/>
      <c r="Q10" s="1299"/>
      <c r="R10" s="164"/>
      <c r="S10" s="1463" t="s">
        <v>296</v>
      </c>
      <c r="T10" s="1464"/>
      <c r="U10" s="1464"/>
      <c r="V10" s="1465"/>
      <c r="W10" s="1454" t="s">
        <v>31</v>
      </c>
      <c r="X10" s="1421" t="s">
        <v>296</v>
      </c>
      <c r="Y10" s="164"/>
      <c r="Z10" s="164"/>
      <c r="AA10" s="164"/>
      <c r="AB10" s="164"/>
    </row>
    <row r="11" spans="2:31">
      <c r="F11" s="151" t="s">
        <v>299</v>
      </c>
      <c r="G11" s="151"/>
      <c r="L11" s="162" t="s">
        <v>181</v>
      </c>
      <c r="M11" s="166"/>
      <c r="N11" s="1302" t="s">
        <v>181</v>
      </c>
      <c r="O11" s="162"/>
      <c r="P11" s="1299" t="s">
        <v>31</v>
      </c>
      <c r="Q11" s="165"/>
      <c r="R11" s="165"/>
      <c r="S11" s="1421" t="s">
        <v>181</v>
      </c>
      <c r="T11" s="1421"/>
      <c r="U11" s="1299" t="s">
        <v>31</v>
      </c>
      <c r="V11" s="165"/>
      <c r="W11" s="1081" t="s">
        <v>361</v>
      </c>
      <c r="X11" s="1420" t="s">
        <v>165</v>
      </c>
      <c r="Y11" s="165"/>
      <c r="Z11" s="168"/>
      <c r="AA11" s="165"/>
      <c r="AB11" s="168"/>
    </row>
    <row r="12" spans="2:31">
      <c r="B12" s="168" t="s">
        <v>180</v>
      </c>
      <c r="F12" s="151" t="s">
        <v>301</v>
      </c>
      <c r="G12" s="151"/>
      <c r="H12" s="163" t="s">
        <v>300</v>
      </c>
      <c r="L12" s="163" t="s">
        <v>37</v>
      </c>
      <c r="M12" s="168"/>
      <c r="N12" s="1083" t="s">
        <v>37</v>
      </c>
      <c r="O12" s="163"/>
      <c r="P12" s="169" t="s">
        <v>246</v>
      </c>
      <c r="Q12" s="163" t="s">
        <v>181</v>
      </c>
      <c r="R12" s="168"/>
      <c r="S12" s="1083" t="s">
        <v>37</v>
      </c>
      <c r="T12" s="163"/>
      <c r="U12" s="169" t="s">
        <v>246</v>
      </c>
      <c r="V12" s="163" t="s">
        <v>181</v>
      </c>
      <c r="W12" s="163" t="s">
        <v>183</v>
      </c>
      <c r="X12" s="163" t="s">
        <v>183</v>
      </c>
      <c r="Y12" s="168"/>
      <c r="Z12" s="168"/>
      <c r="AA12" s="162"/>
      <c r="AB12" s="170"/>
      <c r="AC12" s="159"/>
    </row>
    <row r="13" spans="2:31">
      <c r="B13" s="171" t="s">
        <v>182</v>
      </c>
      <c r="D13" s="172" t="s">
        <v>196</v>
      </c>
      <c r="F13" s="172" t="s">
        <v>182</v>
      </c>
      <c r="G13" s="173"/>
      <c r="H13" s="150" t="s">
        <v>302</v>
      </c>
      <c r="J13" s="150" t="s">
        <v>303</v>
      </c>
      <c r="L13" s="175" t="s">
        <v>192</v>
      </c>
      <c r="M13" s="162"/>
      <c r="N13" s="1084" t="s">
        <v>192</v>
      </c>
      <c r="O13" s="176"/>
      <c r="P13" s="177" t="s">
        <v>192</v>
      </c>
      <c r="Q13" s="150" t="s">
        <v>305</v>
      </c>
      <c r="R13" s="170"/>
      <c r="S13" s="1084" t="s">
        <v>192</v>
      </c>
      <c r="T13" s="176"/>
      <c r="U13" s="177" t="s">
        <v>192</v>
      </c>
      <c r="V13" s="1418" t="s">
        <v>305</v>
      </c>
      <c r="W13" s="175" t="s">
        <v>306</v>
      </c>
      <c r="X13" s="175" t="s">
        <v>306</v>
      </c>
      <c r="Y13" s="170"/>
      <c r="Z13" s="170"/>
      <c r="AA13" s="162"/>
      <c r="AB13" s="170"/>
      <c r="AC13" s="159"/>
    </row>
    <row r="14" spans="2:31">
      <c r="B14" s="178"/>
      <c r="D14" s="169" t="s">
        <v>307</v>
      </c>
      <c r="F14" s="169" t="s">
        <v>308</v>
      </c>
      <c r="G14" s="151"/>
      <c r="H14" s="169" t="s">
        <v>309</v>
      </c>
      <c r="J14" s="169" t="s">
        <v>310</v>
      </c>
      <c r="L14" s="169" t="s">
        <v>311</v>
      </c>
      <c r="M14" s="169"/>
      <c r="N14" s="1085" t="s">
        <v>311</v>
      </c>
      <c r="O14" s="169"/>
      <c r="P14" s="1085" t="s">
        <v>313</v>
      </c>
      <c r="Q14" s="1085" t="s">
        <v>314</v>
      </c>
      <c r="R14" s="169"/>
      <c r="S14" s="1085" t="s">
        <v>312</v>
      </c>
      <c r="T14" s="169"/>
      <c r="U14" s="1085" t="s">
        <v>313</v>
      </c>
      <c r="V14" s="1085" t="s">
        <v>314</v>
      </c>
      <c r="W14" s="1085" t="s">
        <v>802</v>
      </c>
      <c r="X14" s="1085" t="s">
        <v>1013</v>
      </c>
      <c r="Y14" s="169"/>
      <c r="Z14" s="169"/>
      <c r="AA14" s="166"/>
      <c r="AB14" s="166"/>
      <c r="AC14" s="159"/>
    </row>
    <row r="15" spans="2:31">
      <c r="M15" s="169"/>
      <c r="N15" s="1085" t="s">
        <v>31</v>
      </c>
      <c r="Q15" s="1085" t="s">
        <v>318</v>
      </c>
      <c r="S15" s="1085" t="s">
        <v>31</v>
      </c>
      <c r="V15" s="1085" t="s">
        <v>318</v>
      </c>
      <c r="W15" s="1085" t="s">
        <v>915</v>
      </c>
      <c r="X15" s="1085" t="s">
        <v>915</v>
      </c>
      <c r="AA15" s="159"/>
      <c r="AB15" s="159"/>
      <c r="AC15" s="159"/>
    </row>
    <row r="16" spans="2:31">
      <c r="D16" s="179" t="s">
        <v>17</v>
      </c>
      <c r="AA16" s="159"/>
      <c r="AB16" s="159"/>
      <c r="AC16" s="159"/>
    </row>
    <row r="17" spans="2:31">
      <c r="B17" s="168">
        <v>1</v>
      </c>
      <c r="D17" s="153" t="s">
        <v>320</v>
      </c>
      <c r="F17" s="180" t="s">
        <v>803</v>
      </c>
      <c r="G17" s="180"/>
      <c r="H17" s="181">
        <f>'Exhibit No.__(JRS-11) p1-8'!C89/12</f>
        <v>105258.64978493931</v>
      </c>
      <c r="I17" s="154"/>
      <c r="J17" s="181">
        <f>'Exhibit No.__(JRS-11) p1-8'!C101/1000</f>
        <v>1569786.6374891768</v>
      </c>
      <c r="L17" s="182">
        <f>'Exhibit No.__(JRS-11) p1-8'!F101/1000</f>
        <v>142933.87703273332</v>
      </c>
      <c r="M17" s="183"/>
      <c r="N17" s="182">
        <f ca="1">'Exhibit No.__(JRS-11) p1-8'!I101/1000</f>
        <v>145355.24003273333</v>
      </c>
      <c r="O17" s="182"/>
      <c r="P17" s="182">
        <f ca="1">('Rate Design Work eff 10-14-16'!I100-'Rate Design Work eff 10-14-16'!F100)/1000</f>
        <v>2421.3629999999998</v>
      </c>
      <c r="Q17" s="183">
        <f ca="1">P17/L17</f>
        <v>1.6940441624244774E-2</v>
      </c>
      <c r="R17" s="183"/>
      <c r="S17" s="182">
        <f ca="1">'Billing Determinants'!I101/1000</f>
        <v>148768.01803273332</v>
      </c>
      <c r="T17" s="182"/>
      <c r="U17" s="182">
        <f ca="1">('Rate Design Work eff 9-15-17'!I100-'Rate Design Work eff 9-15-17'!F100)/1000</f>
        <v>3412.7779999999998</v>
      </c>
      <c r="V17" s="183">
        <f ca="1">U17/N17</f>
        <v>2.3478878361945933E-2</v>
      </c>
      <c r="W17" s="186">
        <f ca="1">N17/J17*100</f>
        <v>9.2595539139780403</v>
      </c>
      <c r="X17" s="186">
        <f ca="1">S17/J17*100</f>
        <v>9.4769578540102088</v>
      </c>
      <c r="Y17" s="183"/>
      <c r="Z17" s="183"/>
      <c r="AA17" s="188" t="s">
        <v>31</v>
      </c>
      <c r="AB17" s="189"/>
      <c r="AC17" s="190" t="s">
        <v>31</v>
      </c>
      <c r="AD17" s="154" t="s">
        <v>31</v>
      </c>
    </row>
    <row r="18" spans="2:31">
      <c r="H18" s="191"/>
      <c r="J18" s="191"/>
      <c r="L18" s="191"/>
      <c r="M18" s="159"/>
      <c r="N18" s="191"/>
      <c r="O18" s="159"/>
      <c r="P18" s="191"/>
      <c r="Q18" s="1409"/>
      <c r="R18" s="159"/>
      <c r="S18" s="191"/>
      <c r="T18" s="159"/>
      <c r="U18" s="191"/>
      <c r="V18" s="1409"/>
      <c r="W18" s="192"/>
      <c r="X18" s="192"/>
      <c r="Y18" s="159"/>
      <c r="Z18" s="159"/>
      <c r="AA18" s="20"/>
      <c r="AB18" s="159"/>
      <c r="AC18" s="159"/>
    </row>
    <row r="19" spans="2:31">
      <c r="Q19" s="1097"/>
      <c r="V19" s="1097"/>
      <c r="AA19" s="20"/>
      <c r="AB19" s="159"/>
      <c r="AC19" s="159"/>
    </row>
    <row r="20" spans="2:31">
      <c r="B20" s="86">
        <f>MAX(B$14:B19)+1</f>
        <v>2</v>
      </c>
      <c r="D20" s="179" t="s">
        <v>322</v>
      </c>
      <c r="H20" s="196">
        <f>SUM(H17:H17)</f>
        <v>105258.64978493931</v>
      </c>
      <c r="J20" s="196">
        <f>SUM(J17:J17)</f>
        <v>1569786.6374891768</v>
      </c>
      <c r="K20" s="196"/>
      <c r="L20" s="197">
        <f>SUM(L17:L17)</f>
        <v>142933.87703273332</v>
      </c>
      <c r="M20" s="183"/>
      <c r="N20" s="197">
        <f ca="1">SUM(N17:N17)</f>
        <v>145355.24003273333</v>
      </c>
      <c r="O20" s="197"/>
      <c r="P20" s="182">
        <f ca="1">SUM(P17)</f>
        <v>2421.3629999999998</v>
      </c>
      <c r="Q20" s="183">
        <f ca="1">P20/L20</f>
        <v>1.6940441624244774E-2</v>
      </c>
      <c r="R20" s="183"/>
      <c r="S20" s="197">
        <f ca="1">SUM(S17:S17)</f>
        <v>148768.01803273332</v>
      </c>
      <c r="T20" s="197"/>
      <c r="U20" s="182">
        <f ca="1">SUM(U17)</f>
        <v>3412.7779999999998</v>
      </c>
      <c r="V20" s="183">
        <f ca="1">U20/N20</f>
        <v>2.3478878361945933E-2</v>
      </c>
      <c r="W20" s="186">
        <f ca="1">N20/J20*100</f>
        <v>9.2595539139780403</v>
      </c>
      <c r="X20" s="186">
        <f ca="1">S20/J20*100</f>
        <v>9.4769578540102088</v>
      </c>
      <c r="Y20" s="183"/>
      <c r="Z20" s="183"/>
      <c r="AA20" s="187"/>
      <c r="AB20" s="189"/>
      <c r="AC20" s="159"/>
    </row>
    <row r="21" spans="2:31">
      <c r="J21" s="1070" t="s">
        <v>31</v>
      </c>
      <c r="Q21" s="1097"/>
      <c r="V21" s="1097"/>
      <c r="AA21" s="20"/>
      <c r="AB21" s="159"/>
      <c r="AC21" s="159"/>
    </row>
    <row r="22" spans="2:31">
      <c r="D22" s="179" t="s">
        <v>323</v>
      </c>
      <c r="H22" s="198"/>
      <c r="Q22" s="1097"/>
      <c r="V22" s="1097"/>
      <c r="AA22" s="20"/>
      <c r="AB22" s="159"/>
      <c r="AC22" s="159"/>
    </row>
    <row r="23" spans="2:31">
      <c r="B23" s="86">
        <f>MAX(B$14:B22)+1</f>
        <v>3</v>
      </c>
      <c r="D23" s="153" t="s">
        <v>324</v>
      </c>
      <c r="F23" s="151">
        <v>24</v>
      </c>
      <c r="G23" s="151"/>
      <c r="H23" s="181">
        <f>'Exhibit No.__(JRS-11) p1-8'!C177/12</f>
        <v>19046.041792326934</v>
      </c>
      <c r="J23" s="181">
        <f ca="1">'Exhibit No.__(JRS-11) p1-8'!C205/1000</f>
        <v>536266.600352215</v>
      </c>
      <c r="L23" s="182">
        <f ca="1">'Exhibit No.__(JRS-11) p1-8'!F205/1000</f>
        <v>48607.124891159161</v>
      </c>
      <c r="M23" s="183"/>
      <c r="N23" s="182">
        <f ca="1">'Exhibit No.__(JRS-11) p1-8'!I205/1000</f>
        <v>49430.454891159163</v>
      </c>
      <c r="O23" s="182"/>
      <c r="P23" s="182">
        <f ca="1">('Rate Design Work eff 10-14-16'!I204-'Rate Design Work eff 10-14-16'!F204)/1000</f>
        <v>823.33</v>
      </c>
      <c r="Q23" s="183">
        <f ca="1">P23/L23</f>
        <v>1.6938463277628466E-2</v>
      </c>
      <c r="R23" s="183"/>
      <c r="S23" s="182">
        <f ca="1">'Billing Determinants'!I205/1000</f>
        <v>50590.494891159164</v>
      </c>
      <c r="T23" s="182"/>
      <c r="U23" s="182">
        <f ca="1">('Rate Design Work eff 9-15-17'!I204-'Rate Design Work eff 9-15-17'!F204)/1000</f>
        <v>1160.04</v>
      </c>
      <c r="V23" s="183">
        <f ca="1">U23/N23</f>
        <v>2.3468123094442284E-2</v>
      </c>
      <c r="W23" s="186">
        <f ca="1">N23/J23*100</f>
        <v>9.2175151051163162</v>
      </c>
      <c r="X23" s="186">
        <f t="shared" ref="X23:X30" ca="1" si="0">S23/J23*100</f>
        <v>9.4338328842280657</v>
      </c>
      <c r="Y23" s="183"/>
      <c r="Z23" s="183"/>
      <c r="AA23" s="187"/>
      <c r="AB23" s="189"/>
      <c r="AC23" s="159"/>
      <c r="AD23" s="199"/>
      <c r="AE23" s="14"/>
    </row>
    <row r="24" spans="2:31">
      <c r="B24" s="86">
        <f>MAX(B$14:B23)+1</f>
        <v>4</v>
      </c>
      <c r="D24" s="153" t="s">
        <v>325</v>
      </c>
      <c r="E24" s="52"/>
      <c r="F24" s="151">
        <v>33</v>
      </c>
      <c r="G24" s="151"/>
      <c r="H24" s="181">
        <v>0</v>
      </c>
      <c r="J24" s="181">
        <v>0</v>
      </c>
      <c r="L24" s="182">
        <v>0</v>
      </c>
      <c r="M24" s="183"/>
      <c r="N24" s="182">
        <f ca="1">'Exhibit No.__(JRS-11) p1-8'!I597/100</f>
        <v>0</v>
      </c>
      <c r="O24" s="182"/>
      <c r="P24" s="182">
        <f ca="1">('Rate Design Work eff 10-14-16'!I596-'Rate Design Work eff 10-14-16'!F596)/1000</f>
        <v>0</v>
      </c>
      <c r="Q24" s="183">
        <f ca="1">Q25</f>
        <v>1.6941109731765304E-2</v>
      </c>
      <c r="R24" s="183"/>
      <c r="S24" s="182">
        <f ca="1">'Billing Determinants'!I597/1000</f>
        <v>0</v>
      </c>
      <c r="T24" s="182"/>
      <c r="U24" s="182">
        <f ca="1">('Rate Design Work eff 9-15-17'!I596-'Rate Design Work eff 9-15-17'!F596)/1000</f>
        <v>0</v>
      </c>
      <c r="V24" s="183">
        <f ca="1">V25</f>
        <v>2.3473379082064615E-2</v>
      </c>
      <c r="W24" s="186">
        <v>0</v>
      </c>
      <c r="X24" s="186">
        <v>0</v>
      </c>
      <c r="Y24" s="183"/>
      <c r="Z24" s="183"/>
      <c r="AA24" s="187"/>
      <c r="AB24" s="189"/>
      <c r="AC24" s="159"/>
      <c r="AD24" s="199"/>
      <c r="AE24" s="14"/>
    </row>
    <row r="25" spans="2:31">
      <c r="B25" s="86">
        <f>MAX(B$14:B24)+1</f>
        <v>5</v>
      </c>
      <c r="D25" s="153" t="s">
        <v>326</v>
      </c>
      <c r="F25" s="151">
        <v>36</v>
      </c>
      <c r="G25" s="151"/>
      <c r="H25" s="181">
        <f>'Exhibit No.__(JRS-11) p1-8'!C606/12</f>
        <v>1085.852777777774</v>
      </c>
      <c r="J25" s="181">
        <f ca="1">'Exhibit No.__(JRS-11) p1-8'!C637/1000</f>
        <v>928614.07790582778</v>
      </c>
      <c r="L25" s="182">
        <f ca="1">'Exhibit No.__(JRS-11) p1-8'!F637/1000</f>
        <v>72091.735390272821</v>
      </c>
      <c r="M25" s="183"/>
      <c r="N25" s="182">
        <f ca="1">'Exhibit No.__(JRS-11) p1-8'!I637/1000</f>
        <v>73313.049390272819</v>
      </c>
      <c r="O25" s="182"/>
      <c r="P25" s="182">
        <f ca="1">('Rate Design Work eff 10-14-16'!I636-'Rate Design Work eff 10-14-16'!F636)/1000</f>
        <v>1221.3140000000001</v>
      </c>
      <c r="Q25" s="183">
        <f t="shared" ref="Q25:Q30" ca="1" si="1">P25/L25</f>
        <v>1.6941109731765304E-2</v>
      </c>
      <c r="R25" s="183"/>
      <c r="S25" s="182">
        <f ca="1">'Billing Determinants'!I637/1000</f>
        <v>75033.954390272833</v>
      </c>
      <c r="T25" s="182"/>
      <c r="U25" s="182">
        <f ca="1">('Rate Design Work eff 9-15-17'!I636-'Rate Design Work eff 9-15-17'!F636)/1000</f>
        <v>1720.905</v>
      </c>
      <c r="V25" s="183">
        <f t="shared" ref="V25:V30" ca="1" si="2">U25/N25</f>
        <v>2.3473379082064615E-2</v>
      </c>
      <c r="W25" s="186">
        <f t="shared" ref="W25:W30" ca="1" si="3">N25/J25*100</f>
        <v>7.8948888601393357</v>
      </c>
      <c r="X25" s="186">
        <f t="shared" ca="1" si="0"/>
        <v>8.0802085791641574</v>
      </c>
      <c r="Y25" s="183"/>
      <c r="Z25" s="183"/>
      <c r="AA25" s="187"/>
      <c r="AB25" s="189"/>
      <c r="AC25" s="159"/>
      <c r="AD25" s="199"/>
      <c r="AE25" s="14"/>
    </row>
    <row r="26" spans="2:31">
      <c r="B26" s="86">
        <f>MAX(B$14:B25)+1</f>
        <v>6</v>
      </c>
      <c r="D26" s="153" t="s">
        <v>190</v>
      </c>
      <c r="F26" s="151" t="s">
        <v>327</v>
      </c>
      <c r="G26" s="151"/>
      <c r="H26" s="181">
        <f>'Exhibit No.__(JRS-11) p1-8'!C726</f>
        <v>5224.9278642093977</v>
      </c>
      <c r="J26" s="181">
        <f ca="1">'Exhibit No.__(JRS-11) p1-8'!C769/1000</f>
        <v>160874.871894949</v>
      </c>
      <c r="L26" s="182">
        <f ca="1">'Exhibit No.__(JRS-11) p1-8'!F769/1000</f>
        <v>13779.761</v>
      </c>
      <c r="M26" s="183"/>
      <c r="N26" s="182">
        <f ca="1">'Exhibit No.__(JRS-11) p1-8'!I769/1000</f>
        <v>14013.388999999999</v>
      </c>
      <c r="O26" s="182"/>
      <c r="P26" s="182">
        <f ca="1">('Rate Design Work eff 10-14-16'!I768-'Rate Design Work eff 10-14-16'!F768)/1000</f>
        <v>233.62799999999999</v>
      </c>
      <c r="Q26" s="183">
        <f t="shared" ca="1" si="1"/>
        <v>1.6954430486856773E-2</v>
      </c>
      <c r="R26" s="183"/>
      <c r="S26" s="182">
        <f ca="1">'Billing Determinants'!I769/1000</f>
        <v>14342.200999999999</v>
      </c>
      <c r="T26" s="182"/>
      <c r="U26" s="182">
        <f ca="1">('Rate Design Work eff 9-15-17'!I768-'Rate Design Work eff 9-15-17'!F768)/1000</f>
        <v>328.81200000000001</v>
      </c>
      <c r="V26" s="183">
        <f t="shared" ca="1" si="2"/>
        <v>2.3464131338964474E-2</v>
      </c>
      <c r="W26" s="186">
        <f t="shared" ca="1" si="3"/>
        <v>8.7107382495078021</v>
      </c>
      <c r="X26" s="186">
        <f t="shared" ca="1" si="0"/>
        <v>8.9151281558535942</v>
      </c>
      <c r="Y26" s="183"/>
      <c r="Z26" s="183"/>
      <c r="AA26" s="187"/>
      <c r="AB26" s="189"/>
      <c r="AC26" s="159"/>
    </row>
    <row r="27" spans="2:31">
      <c r="B27" s="86">
        <f>MAX(B$14:B26)+1</f>
        <v>7</v>
      </c>
      <c r="D27" s="153" t="s">
        <v>328</v>
      </c>
      <c r="F27" s="151">
        <v>47</v>
      </c>
      <c r="G27" s="151"/>
      <c r="H27" s="181">
        <f>'Exhibit No.__(JRS-11) p1-8'!C883/12</f>
        <v>1</v>
      </c>
      <c r="J27" s="181">
        <f ca="1">'Exhibit No.__(JRS-11) p1-8'!C897/1000</f>
        <v>2252.8077291342674</v>
      </c>
      <c r="L27" s="182">
        <f ca="1">'Exhibit No.__(JRS-11) p1-8'!F897/1000</f>
        <v>320.24390541901147</v>
      </c>
      <c r="M27" s="183"/>
      <c r="N27" s="182">
        <f ca="1">'Exhibit No.__(JRS-11) p1-8'!I897/1000</f>
        <v>325.8169054190115</v>
      </c>
      <c r="O27" s="182"/>
      <c r="P27" s="182">
        <f ca="1">('Rate Design Work eff 10-14-16'!I898-'Rate Design Work eff 10-14-16'!F898)/1000</f>
        <v>5.5730000000000004</v>
      </c>
      <c r="Q27" s="183">
        <f t="shared" ca="1" si="1"/>
        <v>1.7402360843395949E-2</v>
      </c>
      <c r="R27" s="183"/>
      <c r="S27" s="182">
        <f ca="1">'Billing Determinants'!I897/1000</f>
        <v>333.5599054190115</v>
      </c>
      <c r="T27" s="182"/>
      <c r="U27" s="182">
        <f ca="1">('Rate Design Work eff 9-15-17'!I898-'Rate Design Work eff 9-15-17'!F898)/1000</f>
        <v>7.7430000000000003</v>
      </c>
      <c r="V27" s="183">
        <f t="shared" ca="1" si="2"/>
        <v>2.376488104582002E-2</v>
      </c>
      <c r="W27" s="186">
        <f t="shared" ca="1" si="3"/>
        <v>14.462703638903967</v>
      </c>
      <c r="X27" s="186">
        <f t="shared" ca="1" si="0"/>
        <v>14.806408070483467</v>
      </c>
      <c r="Y27" s="183"/>
      <c r="Z27" s="183"/>
      <c r="AA27" s="187"/>
      <c r="AB27" s="189"/>
      <c r="AC27" s="159"/>
    </row>
    <row r="28" spans="2:31">
      <c r="B28" s="86">
        <f>MAX(B$14:B27)+1</f>
        <v>8</v>
      </c>
      <c r="D28" s="153" t="s">
        <v>329</v>
      </c>
      <c r="F28" s="151">
        <v>48</v>
      </c>
      <c r="G28" s="151"/>
      <c r="H28" s="181">
        <f>('Exhibit No.__(JRS-11) p1-8'!C924)/12</f>
        <v>65.154040404040458</v>
      </c>
      <c r="J28" s="181">
        <f ca="1">('Exhibit No.__(JRS-11) p1-8'!C934)/1000</f>
        <v>413290.81798306474</v>
      </c>
      <c r="L28" s="182">
        <f ca="1">('Exhibit No.__(JRS-11) p1-8'!F934)/1000</f>
        <v>28946.199579258908</v>
      </c>
      <c r="M28" s="183"/>
      <c r="N28" s="182">
        <f ca="1">'Exhibit No.__(JRS-11) p1-8'!I934/1000</f>
        <v>29436.674579258906</v>
      </c>
      <c r="O28" s="182"/>
      <c r="P28" s="182">
        <f ca="1">('Rate Design Work eff 10-14-16'!I935-'Rate Design Work eff 10-14-16'!F935)/1000</f>
        <v>490.47500000000002</v>
      </c>
      <c r="Q28" s="183">
        <f t="shared" ca="1" si="1"/>
        <v>1.694436600069063E-2</v>
      </c>
      <c r="R28" s="183"/>
      <c r="S28" s="182">
        <f ca="1">'Billing Determinants'!I934/1000</f>
        <v>30127.245579258906</v>
      </c>
      <c r="T28" s="182"/>
      <c r="U28" s="182">
        <f ca="1">('Rate Design Work eff 9-15-17'!I935-'Rate Design Work eff 9-15-17'!F935)/1000</f>
        <v>690.57100000000003</v>
      </c>
      <c r="V28" s="183">
        <f t="shared" ca="1" si="2"/>
        <v>2.3459545273723841E-2</v>
      </c>
      <c r="W28" s="186">
        <f t="shared" ca="1" si="3"/>
        <v>7.1225087271271343</v>
      </c>
      <c r="X28" s="186">
        <f t="shared" ca="1" si="0"/>
        <v>7.289599543073666</v>
      </c>
      <c r="Y28" s="183"/>
      <c r="Z28" s="183"/>
      <c r="AA28" s="187"/>
      <c r="AB28" s="189"/>
      <c r="AC28" s="159"/>
      <c r="AD28" s="154" t="s">
        <v>31</v>
      </c>
    </row>
    <row r="29" spans="2:31">
      <c r="B29" s="86">
        <f>MAX(B$14:B27)+1</f>
        <v>8</v>
      </c>
      <c r="D29" s="153" t="s">
        <v>652</v>
      </c>
      <c r="F29" s="180" t="s">
        <v>653</v>
      </c>
      <c r="G29" s="151"/>
      <c r="H29" s="181">
        <f>('Exhibit No.__(JRS-11) p1-8'!C1093)/12</f>
        <v>1.0027777777777749</v>
      </c>
      <c r="J29" s="181">
        <f ca="1">('Exhibit No.__(JRS-11) p1-8'!C1104)/1000</f>
        <v>459903.50184810511</v>
      </c>
      <c r="L29" s="182">
        <f ca="1">('Exhibit No.__(JRS-11) p1-8'!F1104)/1000</f>
        <v>26554.390864840949</v>
      </c>
      <c r="M29" s="183"/>
      <c r="N29" s="182">
        <f ca="1">'Exhibit No.__(JRS-11) p1-8'!I1104/1000</f>
        <v>27004.252864840946</v>
      </c>
      <c r="O29" s="182"/>
      <c r="P29" s="182">
        <f ca="1">('Rate Design Work eff 10-14-16'!I1104-'Rate Design Work eff 10-14-16'!F1104)/1000</f>
        <v>449.86200000000002</v>
      </c>
      <c r="Q29" s="183">
        <f t="shared" ca="1" si="1"/>
        <v>1.6941153057878459E-2</v>
      </c>
      <c r="R29" s="183"/>
      <c r="S29" s="182">
        <f ca="1">'Billing Determinants'!I1104/1000</f>
        <v>27638.135864840948</v>
      </c>
      <c r="T29" s="182"/>
      <c r="U29" s="182">
        <f ca="1">('Rate Design Work eff 9-15-17'!I1104-'Rate Design Work eff 9-15-17'!F1104)/1000</f>
        <v>633.88300000000004</v>
      </c>
      <c r="V29" s="183">
        <f t="shared" ca="1" si="2"/>
        <v>2.3473450762465063E-2</v>
      </c>
      <c r="W29" s="186">
        <f t="shared" ca="1" si="3"/>
        <v>5.871721514692835</v>
      </c>
      <c r="X29" s="186">
        <f t="shared" ca="1" si="0"/>
        <v>6.0095510805588841</v>
      </c>
      <c r="Y29" s="183"/>
      <c r="Z29" s="183"/>
      <c r="AA29" s="187"/>
      <c r="AB29" s="189"/>
      <c r="AC29" s="159"/>
    </row>
    <row r="30" spans="2:31">
      <c r="B30" s="86">
        <f>MAX(B$14:B29)+1</f>
        <v>9</v>
      </c>
      <c r="D30" s="153" t="s">
        <v>186</v>
      </c>
      <c r="F30" s="151" t="s">
        <v>187</v>
      </c>
      <c r="G30" s="151"/>
      <c r="H30" s="181">
        <f>'Exhibit No.__(JRS-11) p1-8'!C1224/12</f>
        <v>29.122222222222252</v>
      </c>
      <c r="J30" s="181">
        <f>'Exhibit No.__(JRS-11) p1-8'!C1230/1000</f>
        <v>269.62791580171842</v>
      </c>
      <c r="L30" s="182">
        <f>'Exhibit No.__(JRS-11) p1-8'!F1230/1000</f>
        <v>24.108272947769361</v>
      </c>
      <c r="M30" s="183"/>
      <c r="N30" s="182">
        <f>'Exhibit No.__(JRS-11) p1-8'!I1230/1000</f>
        <v>24.51727294776936</v>
      </c>
      <c r="O30" s="182"/>
      <c r="P30" s="182">
        <f>('Rate Design Work eff 10-14-16'!I1226-'Rate Design Work eff 10-14-16'!F1226)/1000</f>
        <v>0.40899999999999997</v>
      </c>
      <c r="Q30" s="183">
        <f t="shared" si="1"/>
        <v>1.6965130637358369E-2</v>
      </c>
      <c r="R30" s="183"/>
      <c r="S30" s="182">
        <f>'Billing Determinants'!I1232/1000</f>
        <v>25.091272947769362</v>
      </c>
      <c r="T30" s="182"/>
      <c r="U30" s="182">
        <f>('Rate Design Work eff 9-15-17'!I1226-'Rate Design Work eff 9-15-17'!F1226)/1000</f>
        <v>0.57399999999999995</v>
      </c>
      <c r="V30" s="183">
        <f t="shared" si="2"/>
        <v>2.3412065494511854E-2</v>
      </c>
      <c r="W30" s="186">
        <f t="shared" si="3"/>
        <v>9.0930024344360199</v>
      </c>
      <c r="X30" s="186">
        <f t="shared" si="0"/>
        <v>9.3058884029727942</v>
      </c>
      <c r="Y30" s="183"/>
      <c r="Z30" s="183"/>
      <c r="AA30" s="187"/>
      <c r="AB30" s="189"/>
      <c r="AC30" s="159"/>
      <c r="AD30" s="1070" t="s">
        <v>31</v>
      </c>
    </row>
    <row r="31" spans="2:31">
      <c r="B31" s="168"/>
      <c r="F31" s="151"/>
      <c r="G31" s="151"/>
      <c r="H31" s="191"/>
      <c r="J31" s="191"/>
      <c r="L31" s="191"/>
      <c r="M31" s="159"/>
      <c r="N31" s="191"/>
      <c r="O31" s="159"/>
      <c r="P31" s="191"/>
      <c r="Q31" s="1410"/>
      <c r="R31" s="159"/>
      <c r="S31" s="191"/>
      <c r="T31" s="159"/>
      <c r="U31" s="191"/>
      <c r="V31" s="1410"/>
      <c r="W31" s="192"/>
      <c r="X31" s="192"/>
      <c r="Y31" s="159"/>
      <c r="Z31" s="159"/>
      <c r="AA31" s="20"/>
      <c r="AB31" s="159"/>
      <c r="AC31" s="1449" t="s">
        <v>31</v>
      </c>
    </row>
    <row r="32" spans="2:31">
      <c r="B32" s="168"/>
      <c r="Q32" s="1097"/>
      <c r="V32" s="1097"/>
      <c r="AA32" s="20"/>
      <c r="AB32" s="159"/>
      <c r="AC32" s="159"/>
    </row>
    <row r="33" spans="2:30">
      <c r="B33" s="86">
        <f>MAX(B$14:B32)+1</f>
        <v>10</v>
      </c>
      <c r="D33" s="179" t="s">
        <v>330</v>
      </c>
      <c r="H33" s="196">
        <f>SUM(H23:H30)</f>
        <v>25453.101474718143</v>
      </c>
      <c r="J33" s="196">
        <f ca="1">SUM(J23:J30)</f>
        <v>2501472.3056290983</v>
      </c>
      <c r="K33" s="196"/>
      <c r="L33" s="182">
        <f ca="1">SUM(L23:L30)</f>
        <v>190323.56390389864</v>
      </c>
      <c r="M33" s="183"/>
      <c r="N33" s="182">
        <f ca="1">SUM(N23:N30)</f>
        <v>193548.15490389863</v>
      </c>
      <c r="O33" s="197"/>
      <c r="P33" s="182">
        <f ca="1">SUM(P23:P30)</f>
        <v>3224.5910000000003</v>
      </c>
      <c r="Q33" s="183">
        <f ca="1">P33/L33</f>
        <v>1.6942678740653548E-2</v>
      </c>
      <c r="R33" s="183"/>
      <c r="S33" s="182">
        <f ca="1">SUM(S23:S30)</f>
        <v>198090.68290389862</v>
      </c>
      <c r="T33" s="197"/>
      <c r="U33" s="182">
        <f ca="1">SUM(U23:U30)</f>
        <v>4542.5279999999993</v>
      </c>
      <c r="V33" s="183">
        <f ca="1">U33/N33</f>
        <v>2.3469756155802546E-2</v>
      </c>
      <c r="W33" s="186">
        <f ca="1">N33/J33*100</f>
        <v>7.7373694870958394</v>
      </c>
      <c r="X33" s="186">
        <f ca="1">S33/J33*100</f>
        <v>7.918963662245325</v>
      </c>
      <c r="Y33" s="183"/>
      <c r="Z33" s="183"/>
      <c r="AA33" s="187"/>
      <c r="AB33" s="189"/>
      <c r="AC33" s="1449" t="s">
        <v>31</v>
      </c>
    </row>
    <row r="34" spans="2:30">
      <c r="B34" s="168"/>
      <c r="Q34" s="1097"/>
      <c r="V34" s="1097"/>
      <c r="AA34" s="20"/>
      <c r="AB34" s="159"/>
      <c r="AC34" s="159"/>
    </row>
    <row r="35" spans="2:30">
      <c r="B35" s="168"/>
      <c r="D35" s="179" t="s">
        <v>188</v>
      </c>
      <c r="Q35" s="1097"/>
      <c r="V35" s="1097"/>
      <c r="AA35" s="20"/>
      <c r="AB35" s="159"/>
      <c r="AC35" s="159"/>
    </row>
    <row r="36" spans="2:30">
      <c r="B36" s="86">
        <f>MAX(B$14:B35)+1</f>
        <v>11</v>
      </c>
      <c r="D36" s="153" t="s">
        <v>184</v>
      </c>
      <c r="F36" s="151" t="s">
        <v>185</v>
      </c>
      <c r="G36" s="151"/>
      <c r="H36" s="181">
        <f>'Exhibit No.__(JRS-11) p1-8'!C24/12-0.3</f>
        <v>2460.6166666666663</v>
      </c>
      <c r="J36" s="181">
        <f ca="1">'Exhibit No.__(JRS-11) p1-8'!C27/1000</f>
        <v>3285.7464134232382</v>
      </c>
      <c r="L36" s="182">
        <f ca="1">'Exhibit No.__(JRS-11) p1-8'!F27/1000</f>
        <v>469.31262621896536</v>
      </c>
      <c r="M36" s="183"/>
      <c r="N36" s="182">
        <f ca="1">'Exhibit No.__(JRS-11) p1-8'!I27/1000</f>
        <v>477.39711350964478</v>
      </c>
      <c r="O36" s="182"/>
      <c r="P36" s="182">
        <f ca="1">('Rate Design Work eff 10-14-16'!I27-'Rate Design Work eff 10-14-16'!F27)/1000</f>
        <v>8.0844872906794194</v>
      </c>
      <c r="Q36" s="183">
        <f ca="1">P36/L36</f>
        <v>1.7226230105531981E-2</v>
      </c>
      <c r="R36" s="183"/>
      <c r="S36" s="182">
        <f ca="1">'Billing Determinants'!I27/1000</f>
        <v>488.55641257909394</v>
      </c>
      <c r="T36" s="182"/>
      <c r="U36" s="182">
        <f ca="1">('Rate Design Work eff 9-15-17'!I27-'Rate Design Work eff 9-15-17'!F27)/1000</f>
        <v>11.159299069449188</v>
      </c>
      <c r="V36" s="183">
        <f ca="1">U36/N36</f>
        <v>2.3375296485163476E-2</v>
      </c>
      <c r="W36" s="186">
        <f ca="1">N36/J36*100</f>
        <v>14.529335299867864</v>
      </c>
      <c r="X36" s="186">
        <f t="shared" ref="X36:X40" ca="1" si="4">S36/J36*100</f>
        <v>14.868962820234625</v>
      </c>
      <c r="Y36" s="183"/>
      <c r="Z36" s="183"/>
      <c r="AA36" s="187"/>
      <c r="AB36" s="189"/>
      <c r="AC36" s="159"/>
    </row>
    <row r="37" spans="2:30">
      <c r="B37" s="86">
        <f>MAX(B$14:B36)+1</f>
        <v>12</v>
      </c>
      <c r="D37" s="153" t="s">
        <v>331</v>
      </c>
      <c r="F37" s="151" t="s">
        <v>332</v>
      </c>
      <c r="G37" s="151"/>
      <c r="H37" s="181">
        <f>'Exhibit No.__(JRS-11) p1-8'!C1135/12</f>
        <v>177</v>
      </c>
      <c r="J37" s="181">
        <f ca="1">'Exhibit No.__(JRS-11) p1-8'!C1139/1000</f>
        <v>3932.5577854698172</v>
      </c>
      <c r="L37" s="182">
        <f>'Exhibit No.__(JRS-11) p1-8'!F1139/1000</f>
        <v>768.97320538016254</v>
      </c>
      <c r="M37" s="183"/>
      <c r="N37" s="182">
        <f>'Exhibit No.__(JRS-11) p1-8'!I1139/1000</f>
        <v>782.10020538016261</v>
      </c>
      <c r="O37" s="182"/>
      <c r="P37" s="182">
        <f>('Rate Design Work eff 10-14-16'!I1139-'Rate Design Work eff 10-14-16'!F1139)/1000</f>
        <v>13.127000000000001</v>
      </c>
      <c r="Q37" s="183">
        <f>P37/L37</f>
        <v>1.7070815872589885E-2</v>
      </c>
      <c r="R37" s="183"/>
      <c r="S37" s="182">
        <f>'Billing Determinants'!I1141/1000</f>
        <v>800.33920538016253</v>
      </c>
      <c r="T37" s="182"/>
      <c r="U37" s="182">
        <f>('Rate Design Work eff 9-15-17'!I1139-'Rate Design Work eff 9-15-17'!F1139)/1000</f>
        <v>18.239000000000001</v>
      </c>
      <c r="V37" s="183">
        <f>U37/N37</f>
        <v>2.332054112060283E-2</v>
      </c>
      <c r="W37" s="186">
        <f ca="1">N37/J37*100</f>
        <v>19.88782487239984</v>
      </c>
      <c r="X37" s="186">
        <f t="shared" ca="1" si="4"/>
        <v>20.351619710135985</v>
      </c>
      <c r="Y37" s="183"/>
      <c r="Z37" s="183"/>
      <c r="AA37" s="187"/>
      <c r="AB37" s="189"/>
      <c r="AC37" s="188" t="s">
        <v>31</v>
      </c>
    </row>
    <row r="38" spans="2:30">
      <c r="B38" s="86">
        <f>MAX(B$14:B37)+1</f>
        <v>13</v>
      </c>
      <c r="D38" s="153" t="s">
        <v>331</v>
      </c>
      <c r="F38" s="151">
        <v>52</v>
      </c>
      <c r="G38" s="151"/>
      <c r="H38" s="181">
        <f>'Exhibit No.__(JRS-11) p1-8'!C1151/12</f>
        <v>1.1666666666666667</v>
      </c>
      <c r="J38" s="181">
        <f ca="1">'Exhibit No.__(JRS-11) p1-8'!C1156/1000</f>
        <v>212.19525038227087</v>
      </c>
      <c r="L38" s="182">
        <f>'Exhibit No.__(JRS-11) p1-8'!F1156/1000</f>
        <v>36.502141953691478</v>
      </c>
      <c r="M38" s="183"/>
      <c r="N38" s="182">
        <f>'Exhibit No.__(JRS-11) p1-8'!I1156/1000</f>
        <v>37.12014195369148</v>
      </c>
      <c r="O38" s="182"/>
      <c r="P38" s="182">
        <f>('Rate Design Work eff 10-14-16'!I1155-'Rate Design Work eff 10-14-16'!F1155)/1000</f>
        <v>0.61799999999999999</v>
      </c>
      <c r="Q38" s="183">
        <f>P38/L38</f>
        <v>1.6930513304781594E-2</v>
      </c>
      <c r="R38" s="183"/>
      <c r="S38" s="182">
        <f>'Billing Determinants'!I1158/1000</f>
        <v>37.99214195369148</v>
      </c>
      <c r="T38" s="182"/>
      <c r="U38" s="182">
        <f>('Rate Design Work eff 9-15-17'!I1155-'Rate Design Work eff 9-15-17'!F1155)/1000</f>
        <v>0.872</v>
      </c>
      <c r="V38" s="183">
        <f>U38/N38</f>
        <v>2.3491289475343246E-2</v>
      </c>
      <c r="W38" s="186">
        <f ca="1">N38/J38*100</f>
        <v>17.493389643179736</v>
      </c>
      <c r="X38" s="186">
        <f t="shared" ca="1" si="4"/>
        <v>17.904331923192643</v>
      </c>
      <c r="Y38" s="183"/>
      <c r="Z38" s="183"/>
      <c r="AA38" s="187"/>
      <c r="AB38" s="189"/>
      <c r="AC38" s="159"/>
    </row>
    <row r="39" spans="2:30">
      <c r="B39" s="86">
        <f>MAX(B$14:B38)+1</f>
        <v>14</v>
      </c>
      <c r="D39" s="153" t="s">
        <v>331</v>
      </c>
      <c r="F39" s="151">
        <v>53</v>
      </c>
      <c r="G39" s="151"/>
      <c r="H39" s="181">
        <f>'Exhibit No.__(JRS-11) p1-8'!C1166/12</f>
        <v>6.7847222222222223</v>
      </c>
      <c r="J39" s="181">
        <f ca="1">'Exhibit No.__(JRS-11) p1-8'!C1170/1000</f>
        <v>4656.9131691638522</v>
      </c>
      <c r="L39" s="182">
        <f>'Exhibit No.__(JRS-11) p1-8'!F1170/1000</f>
        <v>325.79118695836257</v>
      </c>
      <c r="M39" s="183"/>
      <c r="N39" s="182">
        <f>'Exhibit No.__(JRS-11) p1-8'!I1170/1000</f>
        <v>331.29827748414397</v>
      </c>
      <c r="O39" s="182"/>
      <c r="P39" s="182">
        <f>('Rate Design Work eff 10-14-16'!I1169-'Rate Design Work eff 10-14-16'!F1169)/1000</f>
        <v>5.5070182750000383</v>
      </c>
      <c r="Q39" s="183">
        <f>P39/L39</f>
        <v>1.6903521321170231E-2</v>
      </c>
      <c r="R39" s="183"/>
      <c r="S39" s="182">
        <f>'Billing Determinants'!I1172/1000</f>
        <v>339.07660882721854</v>
      </c>
      <c r="T39" s="182"/>
      <c r="U39" s="182">
        <f>('Rate Design Work eff 9-15-17'!I1169-'Rate Design Work eff 9-15-17'!F1169)/1000</f>
        <v>7.7782813384425831</v>
      </c>
      <c r="V39" s="183">
        <f>U39/N39</f>
        <v>2.3478182251686637E-2</v>
      </c>
      <c r="W39" s="186">
        <f ca="1">N39/J39*100</f>
        <v>7.1141175591991663</v>
      </c>
      <c r="X39" s="186">
        <f t="shared" ca="1" si="4"/>
        <v>7.2811451815860169</v>
      </c>
      <c r="Y39" s="183"/>
      <c r="Z39" s="183"/>
      <c r="AA39" s="187"/>
      <c r="AB39" s="189"/>
      <c r="AC39" s="159"/>
      <c r="AD39" s="154" t="s">
        <v>31</v>
      </c>
    </row>
    <row r="40" spans="2:30">
      <c r="B40" s="86">
        <f>MAX(B$14:B39)+1</f>
        <v>15</v>
      </c>
      <c r="D40" s="153" t="s">
        <v>331</v>
      </c>
      <c r="F40" s="151">
        <v>57</v>
      </c>
      <c r="G40" s="151"/>
      <c r="H40" s="181">
        <f>'Exhibit No.__(JRS-11) p1-8'!C1266/12</f>
        <v>34.833333333333336</v>
      </c>
      <c r="J40" s="181">
        <f ca="1">'Exhibit No.__(JRS-11) p1-8'!C1270/1000</f>
        <v>1753.793178375513</v>
      </c>
      <c r="L40" s="182">
        <f>'Exhibit No.__(JRS-11) p1-8'!F1270/1000</f>
        <v>219.70146192102368</v>
      </c>
      <c r="M40" s="183"/>
      <c r="N40" s="182">
        <f>'Exhibit No.__(JRS-11) p1-8'!I1270/1000</f>
        <v>223.41646192102368</v>
      </c>
      <c r="O40" s="182"/>
      <c r="P40" s="182">
        <f>('Rate Design Work eff 10-14-16'!I1266-'Rate Design Work eff 10-14-16'!F1266)/1000</f>
        <v>3.7149999999999999</v>
      </c>
      <c r="Q40" s="183">
        <f>P40/L40</f>
        <v>1.690930942159791E-2</v>
      </c>
      <c r="R40" s="183"/>
      <c r="S40" s="182">
        <f>'Billing Determinants'!I1272/1000</f>
        <v>228.62746192102367</v>
      </c>
      <c r="T40" s="182"/>
      <c r="U40" s="182">
        <f>('Rate Design Work eff 9-15-17'!I1266-'Rate Design Work eff 9-15-17'!F1266)/1000</f>
        <v>5.2110000000000003</v>
      </c>
      <c r="V40" s="183">
        <f>U40/N40</f>
        <v>2.3324154161218684E-2</v>
      </c>
      <c r="W40" s="186">
        <f ca="1">N40/J40*100</f>
        <v>12.739042703311673</v>
      </c>
      <c r="X40" s="186">
        <f t="shared" ca="1" si="4"/>
        <v>13.036170099190064</v>
      </c>
      <c r="Y40" s="183"/>
      <c r="Z40" s="183"/>
      <c r="AA40" s="187"/>
      <c r="AB40" s="189"/>
      <c r="AC40" s="159"/>
    </row>
    <row r="41" spans="2:30">
      <c r="B41" s="168"/>
      <c r="H41" s="191"/>
      <c r="J41" s="191"/>
      <c r="L41" s="191"/>
      <c r="M41" s="159"/>
      <c r="N41" s="192"/>
      <c r="O41" s="159"/>
      <c r="P41" s="191"/>
      <c r="Q41" s="1410"/>
      <c r="R41" s="159"/>
      <c r="S41" s="192"/>
      <c r="T41" s="159"/>
      <c r="U41" s="191"/>
      <c r="V41" s="1410"/>
      <c r="W41" s="192"/>
      <c r="X41" s="192"/>
      <c r="Y41" s="159"/>
      <c r="Z41" s="159"/>
      <c r="AA41" s="20"/>
      <c r="AB41" s="159"/>
      <c r="AC41" s="159"/>
    </row>
    <row r="42" spans="2:30">
      <c r="B42" s="168"/>
      <c r="Q42" s="1097"/>
      <c r="V42" s="1097"/>
      <c r="AA42" s="20"/>
      <c r="AB42" s="159"/>
      <c r="AC42" s="159"/>
    </row>
    <row r="43" spans="2:30">
      <c r="B43" s="86">
        <f>MAX(B$14:B42)+1</f>
        <v>16</v>
      </c>
      <c r="D43" s="179" t="s">
        <v>333</v>
      </c>
      <c r="H43" s="200">
        <f>SUM(H36:H40)</f>
        <v>2680.4013888888885</v>
      </c>
      <c r="J43" s="200">
        <f ca="1">SUM(J36:J40)</f>
        <v>13841.205796814691</v>
      </c>
      <c r="K43" s="196"/>
      <c r="L43" s="201">
        <f ca="1">SUM(L36:L40)</f>
        <v>1820.2806224322057</v>
      </c>
      <c r="M43" s="189"/>
      <c r="N43" s="201">
        <f ca="1">SUM(N36:N40)</f>
        <v>1851.3322002486666</v>
      </c>
      <c r="O43" s="202"/>
      <c r="P43" s="201">
        <f ca="1">SUM(P36:P40)</f>
        <v>31.051505565679459</v>
      </c>
      <c r="Q43" s="1411">
        <f ca="1">P43/L43</f>
        <v>1.7058636554724921E-2</v>
      </c>
      <c r="R43" s="189"/>
      <c r="S43" s="201">
        <f ca="1">SUM(S36:S40)</f>
        <v>1894.5918306611902</v>
      </c>
      <c r="T43" s="202"/>
      <c r="U43" s="201">
        <f ca="1">SUM(U36:U40)</f>
        <v>43.259580407891768</v>
      </c>
      <c r="V43" s="1411">
        <f ca="1">U43/N43</f>
        <v>2.3366730402075458E-2</v>
      </c>
      <c r="W43" s="203">
        <f ca="1">N43/J43*100</f>
        <v>13.37551241868478</v>
      </c>
      <c r="X43" s="203">
        <f ca="1">S43/J43*100</f>
        <v>13.688054772635466</v>
      </c>
      <c r="Y43" s="189"/>
      <c r="Z43" s="189"/>
      <c r="AA43" s="205"/>
      <c r="AB43" s="189"/>
      <c r="AC43" s="159"/>
    </row>
    <row r="44" spans="2:30">
      <c r="B44" s="168"/>
      <c r="D44" s="179"/>
      <c r="H44" s="206"/>
      <c r="J44" s="206"/>
      <c r="K44" s="196"/>
      <c r="L44" s="202"/>
      <c r="M44" s="202"/>
      <c r="N44" s="202"/>
      <c r="O44" s="202"/>
      <c r="P44" s="202"/>
      <c r="Q44" s="207"/>
      <c r="R44" s="202"/>
      <c r="S44" s="202"/>
      <c r="T44" s="202"/>
      <c r="U44" s="202"/>
      <c r="V44" s="207"/>
      <c r="W44" s="202"/>
      <c r="X44" s="202"/>
      <c r="Y44" s="202"/>
      <c r="Z44" s="202"/>
      <c r="AA44" s="20"/>
      <c r="AB44" s="202"/>
      <c r="AC44" s="159"/>
    </row>
    <row r="45" spans="2:30" ht="16.5" thickBot="1">
      <c r="B45" s="86">
        <f>MAX(B$14:B44)+1</f>
        <v>17</v>
      </c>
      <c r="D45" s="209" t="s">
        <v>334</v>
      </c>
      <c r="H45" s="210">
        <f>H43+H33+H20</f>
        <v>133392.15264854633</v>
      </c>
      <c r="J45" s="210">
        <f ca="1">J43+J33+J20</f>
        <v>4085100.1489150897</v>
      </c>
      <c r="L45" s="211">
        <f ca="1">L43+L33+L20</f>
        <v>335077.72155906417</v>
      </c>
      <c r="M45" s="189"/>
      <c r="N45" s="211">
        <f ca="1">N43+N33+N20</f>
        <v>340754.72713688063</v>
      </c>
      <c r="O45" s="212"/>
      <c r="P45" s="211">
        <f ca="1">P43+P33+P20</f>
        <v>5677.0055055656794</v>
      </c>
      <c r="Q45" s="1408">
        <f ca="1">P45/L45</f>
        <v>1.6942354386174831E-2</v>
      </c>
      <c r="R45" s="189"/>
      <c r="S45" s="211">
        <f ca="1">S43+S33+S20</f>
        <v>348753.29276729317</v>
      </c>
      <c r="T45" s="212"/>
      <c r="U45" s="211">
        <f ca="1">U43+U33+U20</f>
        <v>7998.5655804078906</v>
      </c>
      <c r="V45" s="1408">
        <f ca="1">U45/N45</f>
        <v>2.347308765930892E-2</v>
      </c>
      <c r="W45" s="213">
        <f ca="1">N45/J45*100</f>
        <v>8.3414044874120741</v>
      </c>
      <c r="X45" s="213">
        <f ca="1">S45/J45*100</f>
        <v>8.5372030073709251</v>
      </c>
      <c r="Y45" s="189"/>
      <c r="Z45" s="189"/>
      <c r="AA45" s="188" t="s">
        <v>31</v>
      </c>
      <c r="AB45" s="189"/>
      <c r="AC45" s="190" t="s">
        <v>31</v>
      </c>
    </row>
    <row r="46" spans="2:30" ht="16.5" thickTop="1">
      <c r="B46" s="1457" t="s">
        <v>31</v>
      </c>
      <c r="C46" s="1458"/>
      <c r="D46" s="1458"/>
      <c r="H46" s="214"/>
      <c r="J46" s="214"/>
      <c r="L46" s="212"/>
      <c r="M46" s="189"/>
      <c r="N46" s="212"/>
      <c r="O46" s="212"/>
      <c r="P46" s="212"/>
      <c r="Q46" s="1097"/>
      <c r="R46" s="189"/>
      <c r="S46" s="212"/>
      <c r="T46" s="212"/>
      <c r="U46" s="212"/>
      <c r="V46" s="1097"/>
      <c r="W46" s="189"/>
      <c r="X46" s="189"/>
      <c r="Y46" s="189"/>
      <c r="Z46" s="189"/>
      <c r="AA46" s="187"/>
      <c r="AB46" s="189"/>
      <c r="AC46" s="159"/>
    </row>
    <row r="47" spans="2:30">
      <c r="B47" s="86">
        <v>18</v>
      </c>
      <c r="D47" s="215" t="s">
        <v>335</v>
      </c>
      <c r="H47" s="214"/>
      <c r="J47" s="214"/>
      <c r="L47" s="184">
        <f ca="1">'Exhibit No.__(JRS-11) p1-8'!F1277/1000</f>
        <v>594.93922999999995</v>
      </c>
      <c r="M47" s="216"/>
      <c r="N47" s="184">
        <f ca="1">L47</f>
        <v>594.93922999999995</v>
      </c>
      <c r="O47" s="212"/>
      <c r="P47" s="199"/>
      <c r="Q47" s="183"/>
      <c r="R47" s="189"/>
      <c r="S47" s="184">
        <f ca="1">N47</f>
        <v>594.93922999999995</v>
      </c>
      <c r="T47" s="212"/>
      <c r="U47" s="199"/>
      <c r="V47" s="183"/>
      <c r="W47" s="186"/>
      <c r="X47" s="186"/>
      <c r="Y47" s="183"/>
      <c r="Z47" s="189"/>
      <c r="AA47" s="187"/>
      <c r="AB47" s="189"/>
      <c r="AC47" s="159"/>
    </row>
    <row r="48" spans="2:30">
      <c r="B48" s="86"/>
      <c r="D48" s="215"/>
      <c r="H48" s="214"/>
      <c r="J48" s="214"/>
      <c r="L48" s="212"/>
      <c r="M48" s="216"/>
      <c r="N48" s="184"/>
      <c r="O48" s="212"/>
      <c r="P48" s="199"/>
      <c r="Q48" s="183"/>
      <c r="R48" s="189"/>
      <c r="S48" s="184"/>
      <c r="T48" s="212"/>
      <c r="U48" s="199"/>
      <c r="V48" s="183"/>
      <c r="W48" s="186"/>
      <c r="X48" s="186"/>
      <c r="Y48" s="183"/>
      <c r="Z48" s="189"/>
      <c r="AA48" s="187"/>
      <c r="AB48" s="189"/>
      <c r="AC48" s="159"/>
    </row>
    <row r="49" spans="2:29" ht="16.5" thickBot="1">
      <c r="B49" s="86">
        <v>19</v>
      </c>
      <c r="D49" s="87" t="s">
        <v>189</v>
      </c>
      <c r="H49" s="217">
        <f>SUM(H45:H47)</f>
        <v>133392.15264854633</v>
      </c>
      <c r="J49" s="217">
        <f ca="1">SUM(J45:J47)</f>
        <v>4085100.1489150897</v>
      </c>
      <c r="L49" s="211">
        <f ca="1">SUM(L45:L47)</f>
        <v>335672.66078906419</v>
      </c>
      <c r="N49" s="218">
        <f ca="1">SUM(N45:N47)</f>
        <v>341349.66636688064</v>
      </c>
      <c r="O49" s="212"/>
      <c r="P49" s="211">
        <f ca="1">SUM(P45:P47)</f>
        <v>5677.0055055656794</v>
      </c>
      <c r="Q49" s="1408">
        <f ca="1">P49/L49</f>
        <v>1.6912326110266974E-2</v>
      </c>
      <c r="S49" s="218">
        <f ca="1">SUM(S45:S47)</f>
        <v>349348.23199729319</v>
      </c>
      <c r="T49" s="212"/>
      <c r="U49" s="211">
        <f ca="1">SUM(U45:U47)</f>
        <v>7998.5655804078906</v>
      </c>
      <c r="V49" s="1408">
        <f ca="1">U49/N49</f>
        <v>2.3432176353179963E-2</v>
      </c>
      <c r="W49" s="213">
        <f ca="1">N49/J49*100</f>
        <v>8.3559681262045782</v>
      </c>
      <c r="X49" s="213">
        <f ca="1">S49/J49*100</f>
        <v>8.5517666461634274</v>
      </c>
      <c r="Y49" s="183"/>
      <c r="AA49" s="159"/>
      <c r="AB49" s="159"/>
      <c r="AC49" s="159"/>
    </row>
    <row r="50" spans="2:29" ht="18.75" customHeight="1" thickTop="1">
      <c r="I50" s="1070"/>
      <c r="P50" s="182" t="s">
        <v>31</v>
      </c>
      <c r="Q50" s="1422" t="s">
        <v>31</v>
      </c>
      <c r="U50" s="182" t="s">
        <v>31</v>
      </c>
      <c r="V50" s="1422" t="s">
        <v>31</v>
      </c>
    </row>
    <row r="51" spans="2:29" ht="18.75" customHeight="1">
      <c r="P51" s="1323" t="s">
        <v>31</v>
      </c>
      <c r="Q51" s="1324" t="s">
        <v>31</v>
      </c>
      <c r="U51" s="1323" t="s">
        <v>31</v>
      </c>
      <c r="V51" s="1324" t="s">
        <v>31</v>
      </c>
    </row>
    <row r="52" spans="2:29">
      <c r="L52" s="220"/>
      <c r="M52" s="159"/>
      <c r="P52" s="199"/>
      <c r="Q52" s="221"/>
      <c r="R52" s="159"/>
      <c r="U52" s="199"/>
      <c r="V52" s="221"/>
      <c r="W52" s="159"/>
      <c r="X52" s="159"/>
      <c r="Y52" s="159"/>
      <c r="Z52" s="159"/>
      <c r="AA52" s="159"/>
      <c r="AB52" s="159"/>
    </row>
    <row r="53" spans="2:29">
      <c r="M53" s="159"/>
      <c r="P53" s="222"/>
      <c r="R53" s="159"/>
      <c r="U53" s="222"/>
      <c r="W53" s="212"/>
      <c r="X53" s="212"/>
      <c r="Y53" s="159"/>
      <c r="Z53" s="159"/>
      <c r="AA53" s="159"/>
      <c r="AB53" s="159"/>
    </row>
    <row r="54" spans="2:29">
      <c r="N54" s="188"/>
      <c r="P54" s="223"/>
      <c r="Q54" s="224"/>
      <c r="S54" s="188"/>
      <c r="U54" s="223"/>
      <c r="V54" s="224"/>
    </row>
    <row r="55" spans="2:29">
      <c r="N55" s="159"/>
      <c r="P55" s="225"/>
      <c r="Q55" s="226"/>
      <c r="S55" s="159"/>
      <c r="U55" s="225"/>
      <c r="V55" s="226"/>
    </row>
    <row r="56" spans="2:29">
      <c r="N56" s="178"/>
      <c r="P56" s="227"/>
      <c r="Q56" s="228"/>
      <c r="S56" s="178"/>
      <c r="U56" s="227"/>
      <c r="V56" s="228"/>
    </row>
    <row r="57" spans="2:29">
      <c r="N57" s="229"/>
      <c r="Q57" s="194"/>
      <c r="S57" s="229"/>
      <c r="V57" s="194"/>
    </row>
    <row r="58" spans="2:29">
      <c r="N58" s="154"/>
      <c r="Q58" s="230"/>
      <c r="S58" s="154"/>
      <c r="V58" s="230"/>
    </row>
    <row r="60" spans="2:29">
      <c r="N60" s="178"/>
      <c r="S60" s="178"/>
    </row>
  </sheetData>
  <mergeCells count="10">
    <mergeCell ref="B7:V7"/>
    <mergeCell ref="B46:D46"/>
    <mergeCell ref="N9:Q9"/>
    <mergeCell ref="S9:V9"/>
    <mergeCell ref="S10:V10"/>
    <mergeCell ref="B2:V2"/>
    <mergeCell ref="B3:V3"/>
    <mergeCell ref="B4:V4"/>
    <mergeCell ref="B5:V5"/>
    <mergeCell ref="B6:V6"/>
  </mergeCells>
  <phoneticPr fontId="0" type="noConversion"/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sqref="A1:F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1484" t="s">
        <v>72</v>
      </c>
      <c r="B1" s="1484"/>
      <c r="C1" s="1484"/>
      <c r="D1" s="1484"/>
      <c r="E1" s="1484"/>
      <c r="F1" s="1484"/>
    </row>
    <row r="2" spans="1:8">
      <c r="A2" s="1484" t="s">
        <v>633</v>
      </c>
      <c r="B2" s="1484"/>
      <c r="C2" s="1484"/>
      <c r="D2" s="1484"/>
      <c r="E2" s="1484"/>
      <c r="F2" s="1484"/>
    </row>
    <row r="3" spans="1:8">
      <c r="A3" s="1484" t="s">
        <v>634</v>
      </c>
      <c r="B3" s="1484"/>
      <c r="C3" s="1484"/>
      <c r="D3" s="1484"/>
      <c r="E3" s="1484"/>
      <c r="F3" s="1484"/>
    </row>
    <row r="4" spans="1:8">
      <c r="A4" s="1484" t="s">
        <v>1029</v>
      </c>
      <c r="B4" s="1484"/>
      <c r="C4" s="1484"/>
      <c r="D4" s="1484"/>
      <c r="E4" s="1484"/>
      <c r="F4" s="1484"/>
    </row>
    <row r="5" spans="1:8">
      <c r="A5" s="643"/>
      <c r="B5" s="1485"/>
      <c r="C5" s="1485"/>
      <c r="D5" s="1485"/>
      <c r="E5" s="1485"/>
      <c r="F5" s="1485"/>
      <c r="H5" s="709" t="s">
        <v>361</v>
      </c>
    </row>
    <row r="6" spans="1:8">
      <c r="A6" s="675" t="s">
        <v>635</v>
      </c>
      <c r="B6" s="655" t="s">
        <v>614</v>
      </c>
      <c r="C6" s="655" t="s">
        <v>10</v>
      </c>
      <c r="D6" s="655" t="s">
        <v>636</v>
      </c>
      <c r="E6" s="655" t="s">
        <v>32</v>
      </c>
      <c r="F6" s="1443" t="s">
        <v>614</v>
      </c>
      <c r="H6" s="655" t="s">
        <v>32</v>
      </c>
    </row>
    <row r="7" spans="1:8">
      <c r="A7" s="697" t="s">
        <v>637</v>
      </c>
      <c r="B7" s="698" t="s">
        <v>40</v>
      </c>
      <c r="C7" s="698" t="s">
        <v>638</v>
      </c>
      <c r="D7" s="698" t="s">
        <v>20</v>
      </c>
      <c r="E7" s="699" t="s">
        <v>639</v>
      </c>
      <c r="F7" s="698" t="s">
        <v>640</v>
      </c>
      <c r="H7" s="699" t="s">
        <v>639</v>
      </c>
    </row>
    <row r="8" spans="1:8">
      <c r="A8" s="691" t="s">
        <v>641</v>
      </c>
      <c r="B8" s="700">
        <f>'by rate'!C18</f>
        <v>2460.8958695590204</v>
      </c>
      <c r="C8" s="662">
        <f>F8*E8/100</f>
        <v>1213924.7221758463</v>
      </c>
      <c r="D8" s="694">
        <f>C8/B8</f>
        <v>493.2856920895947</v>
      </c>
      <c r="E8" s="701">
        <f>ROUND(H8*(1+$E$14),3)</f>
        <v>8.9039999999999999</v>
      </c>
      <c r="F8" s="700">
        <f>'by rate'!D18</f>
        <v>13633476.214912919</v>
      </c>
      <c r="H8" s="1447">
        <v>8.5079999999999991</v>
      </c>
    </row>
    <row r="9" spans="1:8">
      <c r="A9" s="691" t="s">
        <v>642</v>
      </c>
      <c r="B9" s="700">
        <f>'by rate'!C19</f>
        <v>1797.9619737179671</v>
      </c>
      <c r="C9" s="662">
        <f>F9*E9/100</f>
        <v>600859.45474576997</v>
      </c>
      <c r="D9" s="694">
        <f>C9/B9</f>
        <v>334.18918949841054</v>
      </c>
      <c r="E9" s="701">
        <f>ROUND(H9*(1+$E$14),3)-0.002</f>
        <v>5.9889999999999999</v>
      </c>
      <c r="F9" s="700">
        <f>'by rate'!D19</f>
        <v>10032717.561291868</v>
      </c>
      <c r="H9" s="1447">
        <v>5.7240000000000002</v>
      </c>
    </row>
    <row r="10" spans="1:8">
      <c r="A10" s="691" t="s">
        <v>690</v>
      </c>
      <c r="B10" s="700">
        <f>'by rate'!C20</f>
        <v>1405.1421567230125</v>
      </c>
      <c r="C10" s="662">
        <f>F10*E10/100</f>
        <v>293454.00233508745</v>
      </c>
      <c r="D10" s="694">
        <f>C10/B10</f>
        <v>208.84292804897629</v>
      </c>
      <c r="E10" s="701">
        <f>ROUND(H10*(1+$E$14),3)</f>
        <v>3.7440000000000002</v>
      </c>
      <c r="F10" s="700">
        <f>'by rate'!D20</f>
        <v>7837980.8315995568</v>
      </c>
      <c r="H10" s="1447">
        <v>3.577</v>
      </c>
    </row>
    <row r="11" spans="1:8">
      <c r="A11" s="675" t="s">
        <v>10</v>
      </c>
      <c r="B11" s="700">
        <f>'Low Income Program YR 2'!E29</f>
        <v>5664</v>
      </c>
      <c r="C11" s="662">
        <f>SUM(C8:C10)</f>
        <v>2108238.1792567037</v>
      </c>
      <c r="D11" s="694">
        <f>C11/B11</f>
        <v>372.21719266537849</v>
      </c>
      <c r="E11" s="701">
        <f>C11/F11*100</f>
        <v>6.6919327533641919</v>
      </c>
      <c r="F11" s="700">
        <f>SUM(F8:F10)</f>
        <v>31504174.607804343</v>
      </c>
      <c r="H11" s="1447">
        <v>6.3946239157155871</v>
      </c>
    </row>
    <row r="13" spans="1:8">
      <c r="B13" t="s">
        <v>31</v>
      </c>
    </row>
    <row r="14" spans="1:8">
      <c r="E14" s="652">
        <v>4.6600000000000003E-2</v>
      </c>
    </row>
    <row r="16" spans="1:8">
      <c r="C16" s="633">
        <f ca="1">'Low Income Program YR 2'!D40</f>
        <v>2014609.6564499687</v>
      </c>
      <c r="D16" s="634">
        <v>322.48</v>
      </c>
      <c r="H16" t="s">
        <v>31</v>
      </c>
    </row>
    <row r="17" spans="3:4">
      <c r="C17" s="633">
        <f ca="1">'Low Income Program YR 2'!E40</f>
        <v>2109188.5431973184</v>
      </c>
      <c r="D17" s="634">
        <f ca="1">'Low Income Program YR 2'!D35</f>
        <v>355.68673313029109</v>
      </c>
    </row>
  </sheetData>
  <mergeCells count="5">
    <mergeCell ref="A1:F1"/>
    <mergeCell ref="A2:F2"/>
    <mergeCell ref="A3:F3"/>
    <mergeCell ref="B5:F5"/>
    <mergeCell ref="A4:F4"/>
  </mergeCells>
  <printOptions horizontalCentered="1"/>
  <pageMargins left="0.25" right="0.25" top="0.5" bottom="0.2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defaultRowHeight="15.75"/>
  <sheetData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625" style="3" bestFit="1" customWidth="1"/>
    <col min="5" max="5" width="2.625" style="3" customWidth="1"/>
    <col min="6" max="6" width="14.375" style="3" customWidth="1"/>
    <col min="7" max="7" width="9.62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>
      <c r="A3" s="1467" t="s">
        <v>979</v>
      </c>
      <c r="B3" s="1467"/>
      <c r="C3" s="1467"/>
      <c r="D3" s="1467"/>
      <c r="E3" s="1467"/>
      <c r="F3" s="1467"/>
      <c r="G3" s="1467"/>
      <c r="H3" s="1467"/>
      <c r="I3" s="1467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430"/>
      <c r="U3" s="1430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>
      <c r="A4" s="1468" t="s">
        <v>337</v>
      </c>
      <c r="B4" s="1468"/>
      <c r="C4" s="1468"/>
      <c r="D4" s="1468"/>
      <c r="E4" s="1468"/>
      <c r="F4" s="1468"/>
      <c r="G4" s="1468"/>
      <c r="H4" s="1468"/>
      <c r="I4" s="1468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1469" t="s">
        <v>191</v>
      </c>
      <c r="E9" s="1470"/>
      <c r="F9" s="1471"/>
      <c r="G9" s="1469" t="s">
        <v>1038</v>
      </c>
      <c r="H9" s="1470"/>
      <c r="I9" s="1471"/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339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C36+C54+C72</f>
        <v>26489.869513898491</v>
      </c>
      <c r="D15" s="250">
        <f>'Rate Design Work eff 10-14-16'!D15</f>
        <v>10.79</v>
      </c>
      <c r="F15" s="2">
        <f>F36+F54+F72</f>
        <v>285825.69205496472</v>
      </c>
      <c r="G15" s="250">
        <f ca="1">'Rate Design Work eff 10-14-16'!G15</f>
        <v>10.98</v>
      </c>
      <c r="I15" s="2">
        <f ca="1">I36+I54+I72</f>
        <v>290858.76726260543</v>
      </c>
      <c r="J15" s="2"/>
      <c r="K15" s="250" t="e">
        <f ca="1">'Rate Design Work eff 10-14-16'!K15</f>
        <v>#DIV/0!</v>
      </c>
      <c r="M15" s="2" t="e">
        <f ca="1">'Rate Design Work eff 10-14-16'!M15</f>
        <v>#DIV/0!</v>
      </c>
      <c r="N15" s="2"/>
      <c r="O15" s="250" t="e">
        <f ca="1">'Rate Design Work eff 10-14-16'!O15</f>
        <v>#DIV/0!</v>
      </c>
      <c r="Q15" s="2" t="e">
        <f ca="1">'Rate Design Work eff 10-14-16'!Q15</f>
        <v>#DIV/0!</v>
      </c>
      <c r="R15" s="2"/>
      <c r="S15" s="250" t="e">
        <f ca="1">'Rate Design Work eff 10-14-16'!S15</f>
        <v>#DIV/0!</v>
      </c>
      <c r="U15" s="2" t="e">
        <f ca="1">'Rate Design Work eff 10-14-16'!U15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C37+C55+C73</f>
        <v>4203.5649449873126</v>
      </c>
      <c r="D16" s="250">
        <f>'Rate Design Work eff 10-14-16'!D16</f>
        <v>20.53</v>
      </c>
      <c r="F16" s="2">
        <f>F37+F55+F73</f>
        <v>86299.188320589543</v>
      </c>
      <c r="G16" s="250">
        <f ca="1">'Rate Design Work eff 10-14-16'!G16</f>
        <v>20.88</v>
      </c>
      <c r="I16" s="2">
        <f ca="1">I37+I55+I73</f>
        <v>87770.436051335098</v>
      </c>
      <c r="J16" s="2"/>
      <c r="K16" s="250" t="e">
        <f ca="1">'Rate Design Work eff 10-14-16'!K16</f>
        <v>#DIV/0!</v>
      </c>
      <c r="M16" s="2" t="e">
        <f ca="1">'Rate Design Work eff 10-14-16'!M16</f>
        <v>#DIV/0!</v>
      </c>
      <c r="N16" s="2"/>
      <c r="O16" s="250" t="e">
        <f ca="1">'Rate Design Work eff 10-14-16'!O16</f>
        <v>#DIV/0!</v>
      </c>
      <c r="Q16" s="2" t="e">
        <f ca="1">'Rate Design Work eff 10-14-16'!Q16</f>
        <v>#DIV/0!</v>
      </c>
      <c r="R16" s="2"/>
      <c r="S16" s="250" t="e">
        <f ca="1">'Rate Design Work eff 10-14-16'!S16</f>
        <v>#DIV/0!</v>
      </c>
      <c r="U16" s="2" t="e">
        <f ca="1">'Rate Design Work eff 10-14-16'!U16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C38+C56+C74</f>
        <v>526.20017951728096</v>
      </c>
      <c r="D17" s="250">
        <f>'Rate Design Work eff 10-14-16'!D17</f>
        <v>42.48</v>
      </c>
      <c r="F17" s="2">
        <f>F38+F56+F74</f>
        <v>22352.983625894096</v>
      </c>
      <c r="G17" s="250">
        <f ca="1">'Rate Design Work eff 10-14-16'!G17</f>
        <v>43.21</v>
      </c>
      <c r="I17" s="2">
        <f ca="1">I38+I56+I74</f>
        <v>22737.109756941711</v>
      </c>
      <c r="J17" s="2"/>
      <c r="K17" s="250" t="e">
        <f ca="1">'Rate Design Work eff 10-14-16'!K17</f>
        <v>#DIV/0!</v>
      </c>
      <c r="M17" s="2" t="e">
        <f ca="1">'Rate Design Work eff 10-14-16'!M17</f>
        <v>#DIV/0!</v>
      </c>
      <c r="N17" s="2"/>
      <c r="O17" s="250" t="e">
        <f ca="1">'Rate Design Work eff 10-14-16'!O17</f>
        <v>#DIV/0!</v>
      </c>
      <c r="Q17" s="2" t="e">
        <f ca="1">'Rate Design Work eff 10-14-16'!Q17</f>
        <v>#DIV/0!</v>
      </c>
      <c r="R17" s="2"/>
      <c r="S17" s="250" t="e">
        <f ca="1">'Rate Design Work eff 10-14-16'!S17</f>
        <v>#DIV/0!</v>
      </c>
      <c r="U17" s="2" t="e">
        <f ca="1">'Rate Design Work eff 10-14-16'!U17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>C40+C58+C76</f>
        <v>2018.638768592042</v>
      </c>
      <c r="D19" s="250">
        <f>'Rate Design Work eff 10-14-16'!D19</f>
        <v>12.27</v>
      </c>
      <c r="F19" s="2">
        <f>F40+F58+F76</f>
        <v>24768.697690624354</v>
      </c>
      <c r="G19" s="250">
        <f ca="1">'Rate Design Work eff 10-14-16'!G19</f>
        <v>12.48</v>
      </c>
      <c r="I19" s="2">
        <f ca="1">I40+I58+I76</f>
        <v>25192.611832028684</v>
      </c>
      <c r="J19" s="2"/>
      <c r="K19" s="250" t="e">
        <f ca="1">'Rate Design Work eff 10-14-16'!K19</f>
        <v>#DIV/0!</v>
      </c>
      <c r="M19" s="2" t="e">
        <f ca="1">'Rate Design Work eff 10-14-16'!M19</f>
        <v>#DIV/0!</v>
      </c>
      <c r="N19" s="2"/>
      <c r="O19" s="250" t="e">
        <f ca="1">'Rate Design Work eff 10-14-16'!O19</f>
        <v>#DIV/0!</v>
      </c>
      <c r="Q19" s="2" t="e">
        <f ca="1">'Rate Design Work eff 10-14-16'!Q19</f>
        <v>#DIV/0!</v>
      </c>
      <c r="R19" s="2"/>
      <c r="S19" s="250" t="e">
        <f ca="1">'Rate Design Work eff 10-14-16'!S19</f>
        <v>#DIV/0!</v>
      </c>
      <c r="U19" s="2" t="e">
        <f ca="1">'Rate Design Work eff 10-14-16'!U19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>C41+C59+C77</f>
        <v>1655.2402129628979</v>
      </c>
      <c r="D20" s="250">
        <f>'Rate Design Work eff 10-14-16'!D20</f>
        <v>18.02</v>
      </c>
      <c r="F20" s="2">
        <f>F41+F59+F77</f>
        <v>29827.42863759142</v>
      </c>
      <c r="G20" s="250">
        <f ca="1">'Rate Design Work eff 10-14-16'!G20</f>
        <v>18.329999999999998</v>
      </c>
      <c r="I20" s="2">
        <f ca="1">I41+I59+I77</f>
        <v>30340.553103609916</v>
      </c>
      <c r="J20" s="2"/>
      <c r="K20" s="250" t="e">
        <f ca="1">'Rate Design Work eff 10-14-16'!K20</f>
        <v>#DIV/0!</v>
      </c>
      <c r="M20" s="2" t="e">
        <f ca="1">'Rate Design Work eff 10-14-16'!M20</f>
        <v>#DIV/0!</v>
      </c>
      <c r="N20" s="2"/>
      <c r="O20" s="250" t="e">
        <f ca="1">'Rate Design Work eff 10-14-16'!O20</f>
        <v>#DIV/0!</v>
      </c>
      <c r="Q20" s="2" t="e">
        <f ca="1">'Rate Design Work eff 10-14-16'!Q20</f>
        <v>#DIV/0!</v>
      </c>
      <c r="R20" s="2"/>
      <c r="S20" s="250" t="e">
        <f ca="1">'Rate Design Work eff 10-14-16'!S20</f>
        <v>#DIV/0!</v>
      </c>
      <c r="U20" s="2" t="e">
        <f ca="1">'Rate Design Work eff 10-14-16'!U20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>C42+C60+C78</f>
        <v>517.99922764535575</v>
      </c>
      <c r="D21" s="250">
        <f>'Rate Design Work eff 10-14-16'!D21</f>
        <v>29.07</v>
      </c>
      <c r="F21" s="2">
        <f>F42+F60+F78</f>
        <v>15058.237547650491</v>
      </c>
      <c r="G21" s="250">
        <f ca="1">'Rate Design Work eff 10-14-16'!G21</f>
        <v>29.57</v>
      </c>
      <c r="I21" s="2">
        <f ca="1">I42+I60+I78</f>
        <v>15317.237161473167</v>
      </c>
      <c r="J21" s="2"/>
      <c r="K21" s="250" t="e">
        <f ca="1">'Rate Design Work eff 10-14-16'!K21</f>
        <v>#DIV/0!</v>
      </c>
      <c r="M21" s="2" t="e">
        <f ca="1">'Rate Design Work eff 10-14-16'!M21</f>
        <v>#DIV/0!</v>
      </c>
      <c r="N21" s="2"/>
      <c r="O21" s="250" t="e">
        <f ca="1">'Rate Design Work eff 10-14-16'!O21</f>
        <v>#DIV/0!</v>
      </c>
      <c r="Q21" s="2" t="e">
        <f ca="1">'Rate Design Work eff 10-14-16'!Q21</f>
        <v>#DIV/0!</v>
      </c>
      <c r="R21" s="2"/>
      <c r="S21" s="250" t="e">
        <f ca="1">'Rate Design Work eff 10-14-16'!S21</f>
        <v>#DIV/0!</v>
      </c>
      <c r="U21" s="2" t="e">
        <f ca="1">'Rate Design Work eff 10-14-16'!U21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>C43+C61+C79</f>
        <v>561.33497359685657</v>
      </c>
      <c r="D22" s="250">
        <f>'Rate Design Work eff 10-14-16'!D22</f>
        <v>1</v>
      </c>
      <c r="E22" s="20"/>
      <c r="F22" s="2">
        <f>F43+F61+F79</f>
        <v>561.33497359685657</v>
      </c>
      <c r="G22" s="250">
        <f>'Rate Design Work eff 10-14-16'!G22</f>
        <v>1</v>
      </c>
      <c r="H22" s="20"/>
      <c r="I22" s="2">
        <f>I43+I61+I79</f>
        <v>561.33497359685657</v>
      </c>
      <c r="J22" s="2"/>
      <c r="K22" s="250">
        <f>'Rate Design Work eff 10-14-16'!K22</f>
        <v>1</v>
      </c>
      <c r="L22" s="20"/>
      <c r="M22" s="2">
        <f>'Rate Design Work eff 10-14-16'!M22</f>
        <v>561.33497359685657</v>
      </c>
      <c r="N22" s="2"/>
      <c r="O22" s="250" t="str">
        <f>'Rate Design Work eff 10-14-16'!O22</f>
        <v xml:space="preserve"> </v>
      </c>
      <c r="P22" s="20"/>
      <c r="Q22" s="2">
        <f>'Rate Design Work eff 10-14-16'!Q22</f>
        <v>0</v>
      </c>
      <c r="R22" s="2"/>
      <c r="S22" s="250" t="str">
        <f>'Rate Design Work eff 10-14-16'!S22</f>
        <v xml:space="preserve"> </v>
      </c>
      <c r="T22" s="20"/>
      <c r="U22" s="2">
        <f>'Rate Design Work eff 10-14-16'!U22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901</v>
      </c>
      <c r="C23" s="1122">
        <f t="shared" ref="C23:C26" si="0">C44+C62+C80</f>
        <v>3257550</v>
      </c>
      <c r="D23" s="250">
        <f>'Rate Design Work eff 10-14-16'!D23</f>
        <v>0</v>
      </c>
      <c r="E23" s="1119"/>
      <c r="F23" s="1123"/>
      <c r="G23" s="1128">
        <f>'Rate Design Work eff 10-14-16'!G23</f>
        <v>0</v>
      </c>
      <c r="H23" s="1126" t="s">
        <v>364</v>
      </c>
      <c r="I23" s="1123">
        <f>I44+I62+I80</f>
        <v>0</v>
      </c>
      <c r="J23" s="1123"/>
      <c r="K23" s="1128" t="s">
        <v>31</v>
      </c>
      <c r="L23" s="1126" t="s">
        <v>31</v>
      </c>
      <c r="M23" s="2">
        <f>'Rate Design Work eff 10-14-16'!M23</f>
        <v>0</v>
      </c>
      <c r="N23" s="1123"/>
      <c r="O23" s="1128" t="s">
        <v>31</v>
      </c>
      <c r="P23" s="1126" t="s">
        <v>31</v>
      </c>
      <c r="Q23" s="2">
        <f>'Rate Design Work eff 10-14-16'!Q23</f>
        <v>0</v>
      </c>
      <c r="R23" s="1123"/>
      <c r="S23" s="1128">
        <f>G23</f>
        <v>0</v>
      </c>
      <c r="T23" s="1126" t="s">
        <v>364</v>
      </c>
      <c r="U23" s="2">
        <f>'Rate Design Work eff 10-14-16'!U23</f>
        <v>0</v>
      </c>
      <c r="V23" s="1124"/>
      <c r="W23" s="784"/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0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0"/>
        <v>3257550</v>
      </c>
      <c r="D25" s="254"/>
      <c r="E25" s="20"/>
      <c r="F25" s="2">
        <f>F46+F64+F82</f>
        <v>464693.56285091152</v>
      </c>
      <c r="G25" s="254"/>
      <c r="H25" s="20"/>
      <c r="I25" s="2">
        <f ca="1">I46+I64+I82</f>
        <v>472778.05014159094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0"/>
        <v>28196.413423238097</v>
      </c>
      <c r="D26" s="254"/>
      <c r="E26" s="20"/>
      <c r="F26" s="257">
        <f ca="1">F47+F65+F83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$I$26*V31/($V$31+$W$31+$X$31)</f>
        <v>#DIV/0!</v>
      </c>
      <c r="N26" s="51"/>
      <c r="O26" s="294"/>
      <c r="P26" s="294"/>
      <c r="Q26" s="295" t="e">
        <f ca="1">$I$26*W31/($V$31+$W$31+$X$31)</f>
        <v>#DIV/0!</v>
      </c>
      <c r="R26" s="51"/>
      <c r="S26" s="294"/>
      <c r="T26" s="294"/>
      <c r="U26" s="295" t="e">
        <f ca="1">$I$26*X31/($V$31+$W$31+$X$31)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469312.62621896534</v>
      </c>
      <c r="G27" s="297"/>
      <c r="H27" s="259"/>
      <c r="I27" s="259">
        <f ca="1">I25+I26</f>
        <v>477397.11350964475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targets'!Q37*1000</f>
        <v>477263.4619578697</v>
      </c>
      <c r="X27" s="1417">
        <f ca="1">(I27-F27)/F27</f>
        <v>1.7226230105531981E-2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A28" s="1326" t="s">
        <v>31</v>
      </c>
      <c r="C28" s="33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42"/>
      <c r="W28" s="401"/>
      <c r="X28" s="1303"/>
      <c r="Y28" s="751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 ht="18" customHeight="1">
      <c r="C29" s="260"/>
      <c r="D29" s="294" t="s">
        <v>31</v>
      </c>
      <c r="E29" s="260"/>
      <c r="F29" s="248"/>
      <c r="G29" s="1" t="s">
        <v>31</v>
      </c>
      <c r="H29" s="260"/>
      <c r="I29" s="2" t="s">
        <v>31</v>
      </c>
      <c r="J29" s="2"/>
      <c r="K29" s="1" t="s">
        <v>31</v>
      </c>
      <c r="L29" s="260"/>
      <c r="M29" s="2" t="s">
        <v>31</v>
      </c>
      <c r="N29" s="2"/>
      <c r="O29" s="1" t="s">
        <v>31</v>
      </c>
      <c r="P29" s="260"/>
      <c r="Q29" s="2" t="s">
        <v>31</v>
      </c>
      <c r="R29" s="2"/>
      <c r="S29" s="1" t="s">
        <v>31</v>
      </c>
      <c r="T29" s="260"/>
      <c r="U29" s="2" t="s">
        <v>31</v>
      </c>
      <c r="V29" s="112" t="s">
        <v>257</v>
      </c>
      <c r="W29" s="780">
        <f ca="1">W27-I27</f>
        <v>-133.65155177505221</v>
      </c>
      <c r="X29" s="394">
        <v>0</v>
      </c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 hidden="1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>
        <f ca="1">U29-I27</f>
        <v>-477397.11350964475</v>
      </c>
      <c r="V30" s="719"/>
      <c r="W30" s="719"/>
      <c r="X30" s="719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 hidden="1">
      <c r="C31" s="260"/>
      <c r="D31" s="294"/>
      <c r="E31" s="260"/>
      <c r="F31" s="248"/>
      <c r="G31" s="1"/>
      <c r="H31" s="260"/>
      <c r="I31" s="2"/>
      <c r="J31" s="2"/>
      <c r="K31" s="1"/>
      <c r="L31" s="260"/>
      <c r="M31" s="2"/>
      <c r="N31" s="2"/>
      <c r="O31" s="1"/>
      <c r="P31" s="260"/>
      <c r="Q31" s="2"/>
      <c r="R31" s="2"/>
      <c r="S31" s="1"/>
      <c r="T31" s="260"/>
      <c r="U31" s="2"/>
      <c r="V31" s="401"/>
      <c r="W31" s="401"/>
      <c r="X31" s="401"/>
      <c r="Y31" s="226"/>
      <c r="Z31" s="14"/>
      <c r="AA31" s="14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 hidden="1">
      <c r="A32" s="247" t="s">
        <v>341</v>
      </c>
      <c r="F32" s="248"/>
      <c r="W32" s="261" t="s">
        <v>31</v>
      </c>
      <c r="X32" s="3"/>
      <c r="Y32" s="3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R32" s="84"/>
    </row>
    <row r="33" spans="1:44" hidden="1">
      <c r="A33" s="3" t="s">
        <v>355</v>
      </c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 hidden="1">
      <c r="F34" s="248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 hidden="1">
      <c r="A35" s="3" t="s">
        <v>343</v>
      </c>
      <c r="F35" s="248"/>
      <c r="V35" s="263"/>
      <c r="W35" s="263"/>
      <c r="X35" s="74"/>
      <c r="Y35" s="74"/>
      <c r="Z35" s="264"/>
      <c r="AA35" s="264"/>
      <c r="AB35" s="265"/>
      <c r="AC35" s="265"/>
      <c r="AD35" s="265"/>
      <c r="AE35" s="265"/>
      <c r="AF35" s="266"/>
      <c r="AG35" s="267"/>
      <c r="AH35" s="263"/>
      <c r="AI35" s="263"/>
      <c r="AJ35" s="263"/>
      <c r="AK35" s="263"/>
      <c r="AL35" s="20"/>
      <c r="AM35" s="20"/>
      <c r="AN35" s="20"/>
      <c r="AO35" s="20"/>
      <c r="AP35" s="20"/>
      <c r="AR35" s="84"/>
    </row>
    <row r="36" spans="1:44" hidden="1">
      <c r="A36" s="3" t="s">
        <v>344</v>
      </c>
      <c r="C36" s="249">
        <f>'Rate Design Work eff 10-14-16'!C35</f>
        <v>12319.411199591441</v>
      </c>
      <c r="D36" s="250">
        <f>'Rate Design Work eff 10-14-16'!D35</f>
        <v>10.79</v>
      </c>
      <c r="F36" s="2">
        <f>D36*C36</f>
        <v>132926.44684359164</v>
      </c>
      <c r="G36" s="250">
        <f ca="1">$G$15</f>
        <v>10.98</v>
      </c>
      <c r="I36" s="2">
        <f ca="1">(G36*$C36)</f>
        <v>135267.13497151402</v>
      </c>
      <c r="J36" s="2"/>
      <c r="K36" s="250" t="e">
        <f ca="1">K15</f>
        <v>#DIV/0!</v>
      </c>
      <c r="M36" s="2" t="e">
        <f ca="1">K36*C36</f>
        <v>#DIV/0!</v>
      </c>
      <c r="N36" s="2"/>
      <c r="O36" s="250" t="e">
        <f ca="1">O15</f>
        <v>#DIV/0!</v>
      </c>
      <c r="Q36" s="2" t="e">
        <f ca="1">O36*C36</f>
        <v>#DIV/0!</v>
      </c>
      <c r="R36" s="2"/>
      <c r="S36" s="250" t="e">
        <f ca="1">S15</f>
        <v>#DIV/0!</v>
      </c>
      <c r="U36" s="2" t="e">
        <f ca="1">S36*C36</f>
        <v>#DIV/0!</v>
      </c>
      <c r="V36" s="20"/>
      <c r="W36" s="266"/>
      <c r="X36" s="74"/>
      <c r="Y36" s="74"/>
      <c r="Z36" s="263"/>
      <c r="AA36" s="263"/>
      <c r="AB36" s="268"/>
      <c r="AC36" s="268"/>
      <c r="AD36" s="268"/>
      <c r="AE36" s="268"/>
      <c r="AF36" s="269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 hidden="1">
      <c r="A37" s="3" t="s">
        <v>345</v>
      </c>
      <c r="C37" s="249">
        <f>'Rate Design Work eff 10-14-16'!C36</f>
        <v>269.40125116474059</v>
      </c>
      <c r="D37" s="250">
        <f>'Rate Design Work eff 10-14-16'!D36</f>
        <v>20.53</v>
      </c>
      <c r="F37" s="2">
        <f>D37*C37</f>
        <v>5530.8076864121249</v>
      </c>
      <c r="G37" s="250">
        <f ca="1">$G$16</f>
        <v>20.88</v>
      </c>
      <c r="I37" s="2">
        <f ca="1">(G37*$C37)</f>
        <v>5625.098124319783</v>
      </c>
      <c r="J37" s="2"/>
      <c r="K37" s="250" t="e">
        <f ca="1">K16</f>
        <v>#DIV/0!</v>
      </c>
      <c r="M37" s="2" t="e">
        <f ca="1">K37*C37</f>
        <v>#DIV/0!</v>
      </c>
      <c r="N37" s="2"/>
      <c r="O37" s="250" t="e">
        <f ca="1">O16</f>
        <v>#DIV/0!</v>
      </c>
      <c r="Q37" s="2" t="e">
        <f ca="1">O37*C37</f>
        <v>#DIV/0!</v>
      </c>
      <c r="R37" s="2"/>
      <c r="S37" s="250" t="e">
        <f ca="1">S16</f>
        <v>#DIV/0!</v>
      </c>
      <c r="U37" s="2" t="e">
        <f ca="1">S37*C37</f>
        <v>#DIV/0!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 hidden="1">
      <c r="A38" s="3" t="s">
        <v>346</v>
      </c>
      <c r="C38" s="249">
        <f>'Rate Design Work eff 10-14-16'!C37</f>
        <v>0</v>
      </c>
      <c r="D38" s="250">
        <f>'Rate Design Work eff 10-14-16'!D37</f>
        <v>42.48</v>
      </c>
      <c r="F38" s="2">
        <f>D38*C38</f>
        <v>0</v>
      </c>
      <c r="G38" s="250">
        <f ca="1">$G$17</f>
        <v>43.21</v>
      </c>
      <c r="I38" s="2">
        <f ca="1">(G38*$C38)</f>
        <v>0</v>
      </c>
      <c r="J38" s="2"/>
      <c r="K38" s="250" t="e">
        <f ca="1">K17</f>
        <v>#DIV/0!</v>
      </c>
      <c r="M38" s="2" t="e">
        <f ca="1">K38*C38</f>
        <v>#DIV/0!</v>
      </c>
      <c r="N38" s="2"/>
      <c r="O38" s="250" t="e">
        <f ca="1">O17</f>
        <v>#DIV/0!</v>
      </c>
      <c r="Q38" s="2" t="e">
        <f ca="1">O38*C38</f>
        <v>#DIV/0!</v>
      </c>
      <c r="R38" s="2"/>
      <c r="S38" s="250" t="e">
        <f ca="1">S17</f>
        <v>#DIV/0!</v>
      </c>
      <c r="U38" s="2" t="e">
        <f ca="1">S38*C38</f>
        <v>#DIV/0!</v>
      </c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 hidden="1">
      <c r="A39" s="3" t="s">
        <v>347</v>
      </c>
      <c r="C39" s="249"/>
      <c r="D39" s="250"/>
      <c r="F39" s="2"/>
      <c r="G39" s="250"/>
      <c r="I39" s="2"/>
      <c r="J39" s="2"/>
      <c r="K39" s="250"/>
      <c r="M39" s="2"/>
      <c r="N39" s="2"/>
      <c r="O39" s="250"/>
      <c r="Q39" s="2"/>
      <c r="R39" s="2"/>
      <c r="S39" s="250"/>
      <c r="U39" s="2"/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 hidden="1">
      <c r="A40" s="3" t="s">
        <v>348</v>
      </c>
      <c r="C40" s="249">
        <f>'Rate Design Work eff 10-14-16'!C39</f>
        <v>815.26657972914199</v>
      </c>
      <c r="D40" s="250">
        <f>'Rate Design Work eff 10-14-16'!D39</f>
        <v>12.27</v>
      </c>
      <c r="F40" s="2">
        <f>D40*C40</f>
        <v>10003.320933276573</v>
      </c>
      <c r="G40" s="250">
        <f ca="1">$G$19</f>
        <v>12.48</v>
      </c>
      <c r="I40" s="2">
        <f ca="1">(G40*$C40)</f>
        <v>10174.526915019693</v>
      </c>
      <c r="J40" s="2"/>
      <c r="K40" s="250" t="e">
        <f ca="1">K19</f>
        <v>#DIV/0!</v>
      </c>
      <c r="M40" s="2" t="e">
        <f ca="1">K40*C40</f>
        <v>#DIV/0!</v>
      </c>
      <c r="N40" s="2"/>
      <c r="O40" s="250" t="e">
        <f ca="1">O19</f>
        <v>#DIV/0!</v>
      </c>
      <c r="Q40" s="2" t="e">
        <f ca="1">O40*C40</f>
        <v>#DIV/0!</v>
      </c>
      <c r="R40" s="2"/>
      <c r="S40" s="250" t="e">
        <f ca="1">S19</f>
        <v>#DIV/0!</v>
      </c>
      <c r="U40" s="2" t="e">
        <f ca="1">S40*C40</f>
        <v>#DIV/0!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 hidden="1">
      <c r="A41" s="3" t="s">
        <v>349</v>
      </c>
      <c r="C41" s="249">
        <f>'Rate Design Work eff 10-14-16'!C40</f>
        <v>197.43500610479001</v>
      </c>
      <c r="D41" s="250">
        <f>'Rate Design Work eff 10-14-16'!D40</f>
        <v>18.02</v>
      </c>
      <c r="F41" s="2">
        <f>D41*C41</f>
        <v>3557.7788100083158</v>
      </c>
      <c r="G41" s="250">
        <f ca="1">$G$20</f>
        <v>18.329999999999998</v>
      </c>
      <c r="I41" s="2">
        <f ca="1">(G41*$C41)</f>
        <v>3618.9836619008006</v>
      </c>
      <c r="J41" s="2"/>
      <c r="K41" s="250" t="e">
        <f ca="1">K20</f>
        <v>#DIV/0!</v>
      </c>
      <c r="M41" s="2" t="e">
        <f ca="1">K41*C41</f>
        <v>#DIV/0!</v>
      </c>
      <c r="N41" s="2"/>
      <c r="O41" s="250" t="e">
        <f ca="1">O20</f>
        <v>#DIV/0!</v>
      </c>
      <c r="Q41" s="2" t="e">
        <f ca="1">O41*C41</f>
        <v>#DIV/0!</v>
      </c>
      <c r="R41" s="2"/>
      <c r="S41" s="250" t="e">
        <f ca="1">S20</f>
        <v>#DIV/0!</v>
      </c>
      <c r="U41" s="2" t="e">
        <f ca="1">S41*C41</f>
        <v>#DIV/0!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 hidden="1">
      <c r="A42" s="3" t="s">
        <v>350</v>
      </c>
      <c r="C42" s="249">
        <f>'Rate Design Work eff 10-14-16'!C41</f>
        <v>12.0001539348952</v>
      </c>
      <c r="D42" s="250">
        <f>'Rate Design Work eff 10-14-16'!D41</f>
        <v>29.07</v>
      </c>
      <c r="F42" s="2">
        <f>D42*C42</f>
        <v>348.84447488740346</v>
      </c>
      <c r="G42" s="250">
        <f ca="1">$G$21</f>
        <v>29.57</v>
      </c>
      <c r="I42" s="2">
        <f ca="1">(G42*$C42)</f>
        <v>354.84455185485109</v>
      </c>
      <c r="J42" s="2"/>
      <c r="K42" s="250" t="e">
        <f ca="1">K21</f>
        <v>#DIV/0!</v>
      </c>
      <c r="M42" s="2" t="e">
        <f ca="1">K42*C42</f>
        <v>#DIV/0!</v>
      </c>
      <c r="N42" s="2"/>
      <c r="O42" s="250" t="e">
        <f ca="1">O21</f>
        <v>#DIV/0!</v>
      </c>
      <c r="Q42" s="2" t="e">
        <f ca="1">O42*C42</f>
        <v>#DIV/0!</v>
      </c>
      <c r="R42" s="2"/>
      <c r="S42" s="250" t="e">
        <f ca="1">S21</f>
        <v>#DIV/0!</v>
      </c>
      <c r="U42" s="2" t="e">
        <f ca="1">S42*C42</f>
        <v>#DIV/0!</v>
      </c>
      <c r="V42" s="20"/>
      <c r="W42" s="266"/>
      <c r="X42" s="74"/>
      <c r="Y42" s="74"/>
      <c r="Z42" s="20"/>
      <c r="AA42" s="20"/>
      <c r="AB42" s="272"/>
      <c r="AC42" s="272"/>
      <c r="AD42" s="272"/>
      <c r="AE42" s="272"/>
      <c r="AF42" s="263"/>
      <c r="AG42" s="263"/>
      <c r="AH42" s="266"/>
      <c r="AI42" s="266"/>
      <c r="AJ42" s="270"/>
      <c r="AK42" s="266"/>
      <c r="AL42" s="20"/>
      <c r="AM42" s="20"/>
      <c r="AN42" s="20"/>
      <c r="AO42" s="20"/>
      <c r="AP42" s="20"/>
      <c r="AR42" s="84"/>
    </row>
    <row r="43" spans="1:44" hidden="1">
      <c r="A43" s="3" t="s">
        <v>351</v>
      </c>
      <c r="C43" s="249">
        <f>'Rate Design Work eff 10-14-16'!C42</f>
        <v>105.16961673026219</v>
      </c>
      <c r="D43" s="250">
        <f>'Rate Design Work eff 10-14-16'!D42</f>
        <v>1</v>
      </c>
      <c r="E43" s="20"/>
      <c r="F43" s="2">
        <f>D43*C43</f>
        <v>105.16961673026219</v>
      </c>
      <c r="G43" s="254">
        <f>$G$22</f>
        <v>1</v>
      </c>
      <c r="H43" s="20"/>
      <c r="I43" s="2">
        <f>(G43*$C43)</f>
        <v>105.16961673026219</v>
      </c>
      <c r="J43" s="2"/>
      <c r="K43" s="250">
        <f>K22</f>
        <v>1</v>
      </c>
      <c r="L43" s="20"/>
      <c r="M43" s="2">
        <f>K43*C43</f>
        <v>105.16961673026219</v>
      </c>
      <c r="N43" s="2"/>
      <c r="O43" s="250" t="str">
        <f>O22</f>
        <v xml:space="preserve"> </v>
      </c>
      <c r="P43" s="20"/>
      <c r="Q43" s="2">
        <f>O43*C43</f>
        <v>0</v>
      </c>
      <c r="R43" s="2"/>
      <c r="S43" s="250" t="str">
        <f>S22</f>
        <v xml:space="preserve"> </v>
      </c>
      <c r="T43" s="20"/>
      <c r="U43" s="2">
        <f>S43*C43</f>
        <v>0</v>
      </c>
      <c r="V43" s="263"/>
      <c r="W43" s="266"/>
      <c r="X43" s="74"/>
      <c r="Y43" s="74"/>
      <c r="Z43" s="20"/>
      <c r="AA43" s="20"/>
      <c r="AB43" s="263"/>
      <c r="AC43" s="263"/>
      <c r="AD43" s="263"/>
      <c r="AE43" s="263"/>
      <c r="AF43" s="263"/>
      <c r="AG43" s="263"/>
      <c r="AH43" s="266"/>
      <c r="AI43" s="266"/>
      <c r="AJ43" s="266"/>
      <c r="AK43" s="266"/>
      <c r="AL43" s="20"/>
      <c r="AM43" s="20"/>
      <c r="AN43" s="20"/>
      <c r="AO43" s="20"/>
      <c r="AP43" s="20"/>
      <c r="AR43" s="84"/>
    </row>
    <row r="44" spans="1:44" s="1118" customFormat="1" hidden="1">
      <c r="A44" s="968" t="s">
        <v>884</v>
      </c>
      <c r="C44" s="1122">
        <f>C46</f>
        <v>1033526</v>
      </c>
      <c r="D44" s="250">
        <f>'Rate Design Work eff 10-14-16'!D43</f>
        <v>0</v>
      </c>
      <c r="E44" s="1119"/>
      <c r="F44" s="1123"/>
      <c r="G44" s="1128">
        <f>G23</f>
        <v>0</v>
      </c>
      <c r="H44" s="1126" t="s">
        <v>364</v>
      </c>
      <c r="I44" s="1123">
        <f>G44*C44/100</f>
        <v>0</v>
      </c>
      <c r="J44" s="1123"/>
      <c r="K44" s="1128" t="str">
        <f>K23</f>
        <v xml:space="preserve"> </v>
      </c>
      <c r="L44" s="1126" t="s">
        <v>364</v>
      </c>
      <c r="M44" s="1123">
        <f>K44*C44</f>
        <v>0</v>
      </c>
      <c r="N44" s="1123"/>
      <c r="O44" s="1128" t="str">
        <f>O23</f>
        <v xml:space="preserve"> </v>
      </c>
      <c r="P44" s="1126" t="s">
        <v>364</v>
      </c>
      <c r="Q44" s="2">
        <f>O44*C44</f>
        <v>0</v>
      </c>
      <c r="R44" s="1123"/>
      <c r="S44" s="1128">
        <f>S23</f>
        <v>0</v>
      </c>
      <c r="T44" s="1126" t="s">
        <v>364</v>
      </c>
      <c r="U44" s="1123">
        <f>S44*C44/100</f>
        <v>0</v>
      </c>
      <c r="W44" s="784"/>
      <c r="Z44" s="1125"/>
      <c r="AA44" s="1125"/>
      <c r="AF44" s="1119"/>
      <c r="AG44" s="1119"/>
      <c r="AH44" s="1119"/>
      <c r="AI44" s="1119"/>
      <c r="AJ44" s="1119"/>
      <c r="AK44" s="1119"/>
      <c r="AL44" s="1119"/>
      <c r="AM44" s="1119"/>
      <c r="AN44" s="1119"/>
      <c r="AO44" s="1119"/>
      <c r="AP44" s="1119"/>
      <c r="AR44" s="1124"/>
    </row>
    <row r="45" spans="1:44" hidden="1">
      <c r="A45" s="3" t="s">
        <v>352</v>
      </c>
      <c r="C45" s="249">
        <f>'Rate Design Work eff 10-14-16'!C44</f>
        <v>13372</v>
      </c>
      <c r="D45" s="250"/>
      <c r="F45" s="2"/>
      <c r="G45" s="250"/>
      <c r="I45" s="2"/>
      <c r="J45" s="2"/>
      <c r="K45" s="250"/>
      <c r="M45" s="2"/>
      <c r="N45" s="2"/>
      <c r="O45" s="250"/>
      <c r="Q45" s="2"/>
      <c r="R45" s="2"/>
      <c r="S45" s="250"/>
      <c r="U45" s="2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7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 hidden="1">
      <c r="A46" s="3" t="s">
        <v>35</v>
      </c>
      <c r="C46" s="249">
        <f>'Rate Design Work eff 10-14-16'!C45</f>
        <v>1033526</v>
      </c>
      <c r="D46" s="254"/>
      <c r="E46" s="20"/>
      <c r="F46" s="257">
        <f>SUM(F36:F43)</f>
        <v>152472.36836490635</v>
      </c>
      <c r="G46" s="254"/>
      <c r="H46" s="20"/>
      <c r="I46" s="257">
        <f ca="1">SUM(I36:I44)</f>
        <v>155145.75784133942</v>
      </c>
      <c r="J46" s="257"/>
      <c r="K46" s="254"/>
      <c r="L46" s="20"/>
      <c r="M46" s="257" t="e">
        <f ca="1">SUM(M36:M44)</f>
        <v>#DIV/0!</v>
      </c>
      <c r="N46" s="257"/>
      <c r="O46" s="254"/>
      <c r="P46" s="20"/>
      <c r="Q46" s="257" t="e">
        <f ca="1">SUM(Q36:Q44)</f>
        <v>#DIV/0!</v>
      </c>
      <c r="R46" s="257"/>
      <c r="S46" s="254"/>
      <c r="T46" s="20"/>
      <c r="U46" s="257" t="e">
        <f ca="1">SUM(U36:U44)</f>
        <v>#DIV/0!</v>
      </c>
      <c r="V46" s="263"/>
      <c r="W46" s="272"/>
      <c r="X46" s="263"/>
      <c r="Y46" s="263"/>
      <c r="Z46" s="20"/>
      <c r="AA46" s="20"/>
      <c r="AB46" s="20"/>
      <c r="AC46" s="20"/>
      <c r="AD46" s="20"/>
      <c r="AE46" s="20"/>
      <c r="AF46" s="20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idden="1">
      <c r="A47" s="3" t="s">
        <v>353</v>
      </c>
      <c r="C47" s="249">
        <f>'Table 2'!H21</f>
        <v>13388.012256127642</v>
      </c>
      <c r="D47" s="254"/>
      <c r="E47" s="20"/>
      <c r="F47" s="257">
        <f>'Table 3'!E21</f>
        <v>2236.7857072807878</v>
      </c>
      <c r="G47" s="254"/>
      <c r="H47" s="20"/>
      <c r="I47" s="257">
        <f>F47</f>
        <v>2236.7857072807878</v>
      </c>
      <c r="J47" s="257"/>
      <c r="K47" s="254"/>
      <c r="L47" s="20"/>
      <c r="M47" s="257" t="e">
        <f ca="1">M26/I26*I47</f>
        <v>#DIV/0!</v>
      </c>
      <c r="N47" s="257"/>
      <c r="O47" s="254"/>
      <c r="P47" s="20"/>
      <c r="Q47" s="257" t="e">
        <f ca="1">Q26/I26*I47</f>
        <v>#DIV/0!</v>
      </c>
      <c r="R47" s="257"/>
      <c r="S47" s="254"/>
      <c r="T47" s="20"/>
      <c r="U47" s="257" t="e">
        <f ca="1">U26/I26*I47</f>
        <v>#DIV/0!</v>
      </c>
      <c r="V47" s="429"/>
      <c r="W47" s="272"/>
      <c r="X47" s="263"/>
      <c r="Y47" s="263"/>
      <c r="Z47" s="263"/>
      <c r="AA47" s="263"/>
      <c r="AB47" s="268"/>
      <c r="AC47" s="268"/>
      <c r="AD47" s="268"/>
      <c r="AE47" s="268"/>
      <c r="AF47" s="266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hidden="1" thickBot="1">
      <c r="A48" s="3" t="s">
        <v>9</v>
      </c>
      <c r="C48" s="258">
        <f>C46+C47</f>
        <v>1046914.0122561277</v>
      </c>
      <c r="D48" s="297"/>
      <c r="E48" s="259"/>
      <c r="F48" s="259">
        <f>F46+F47</f>
        <v>154709.15407218714</v>
      </c>
      <c r="G48" s="297"/>
      <c r="H48" s="259"/>
      <c r="I48" s="259">
        <f ca="1">I46+I47</f>
        <v>157382.54354862022</v>
      </c>
      <c r="J48" s="51"/>
      <c r="K48" s="297"/>
      <c r="L48" s="259"/>
      <c r="M48" s="259" t="e">
        <f ca="1">M46+M47</f>
        <v>#DIV/0!</v>
      </c>
      <c r="N48" s="297"/>
      <c r="O48" s="297"/>
      <c r="P48" s="259"/>
      <c r="Q48" s="259" t="e">
        <f ca="1">Q46+Q47</f>
        <v>#DIV/0!</v>
      </c>
      <c r="R48" s="297"/>
      <c r="S48" s="297"/>
      <c r="T48" s="259"/>
      <c r="U48" s="259" t="e">
        <f ca="1">U46+U47</f>
        <v>#DIV/0!</v>
      </c>
      <c r="V48" s="396"/>
      <c r="W48" s="455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 ht="16.5" hidden="1" thickTop="1">
      <c r="C49" s="260"/>
      <c r="D49" s="294" t="s">
        <v>31</v>
      </c>
      <c r="E49" s="260"/>
      <c r="F49" s="248"/>
      <c r="G49" s="1" t="s">
        <v>31</v>
      </c>
      <c r="H49" s="260"/>
      <c r="I49" s="2" t="s">
        <v>31</v>
      </c>
      <c r="J49" s="2"/>
      <c r="K49" s="1" t="s">
        <v>31</v>
      </c>
      <c r="L49" s="260"/>
      <c r="M49" s="2" t="s">
        <v>31</v>
      </c>
      <c r="N49" s="2"/>
      <c r="O49" s="1" t="s">
        <v>31</v>
      </c>
      <c r="P49" s="260"/>
      <c r="Q49" s="2" t="s">
        <v>31</v>
      </c>
      <c r="R49" s="2"/>
      <c r="S49" s="1" t="s">
        <v>31</v>
      </c>
      <c r="T49" s="260"/>
      <c r="U49" s="2" t="s">
        <v>31</v>
      </c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 hidden="1">
      <c r="A50" s="247" t="s">
        <v>341</v>
      </c>
      <c r="F50" s="248"/>
      <c r="V50" s="20"/>
      <c r="W50" s="74"/>
      <c r="X50" s="74"/>
      <c r="Y50" s="74"/>
      <c r="Z50" s="20"/>
      <c r="AA50" s="20"/>
      <c r="AB50" s="20"/>
      <c r="AC50" s="20"/>
      <c r="AD50" s="20"/>
      <c r="AE50" s="20"/>
      <c r="AF50" s="20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 hidden="1">
      <c r="A51" s="3" t="s">
        <v>356</v>
      </c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 hidden="1">
      <c r="F52" s="248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 hidden="1">
      <c r="A53" s="3" t="s">
        <v>343</v>
      </c>
      <c r="F53" s="248"/>
      <c r="V53" s="263"/>
      <c r="W53" s="263"/>
      <c r="X53" s="74"/>
      <c r="Y53" s="74"/>
      <c r="Z53" s="264"/>
      <c r="AA53" s="264"/>
      <c r="AB53" s="265"/>
      <c r="AC53" s="265"/>
      <c r="AD53" s="265"/>
      <c r="AE53" s="265"/>
      <c r="AF53" s="266"/>
      <c r="AG53" s="267"/>
      <c r="AH53" s="263"/>
      <c r="AI53" s="263"/>
      <c r="AJ53" s="263"/>
      <c r="AK53" s="263"/>
      <c r="AL53" s="20"/>
      <c r="AM53" s="20"/>
      <c r="AN53" s="20"/>
      <c r="AO53" s="20"/>
      <c r="AP53" s="20"/>
      <c r="AR53" s="84"/>
    </row>
    <row r="54" spans="1:44" hidden="1">
      <c r="A54" s="3" t="s">
        <v>344</v>
      </c>
      <c r="C54" s="249">
        <f>'Rate Design Work eff 10-14-16'!C53</f>
        <v>13565.461216694168</v>
      </c>
      <c r="D54" s="250">
        <f>'Rate Design Work eff 10-14-16'!D53</f>
        <v>10.79</v>
      </c>
      <c r="F54" s="2">
        <f>D54*C54</f>
        <v>146371.32652813007</v>
      </c>
      <c r="G54" s="250">
        <f ca="1">$G$15</f>
        <v>10.98</v>
      </c>
      <c r="I54" s="2">
        <f t="shared" ref="I54:I56" ca="1" si="1">(G54*$C54)</f>
        <v>148948.76415930197</v>
      </c>
      <c r="J54" s="2"/>
      <c r="K54" s="250" t="e">
        <f ca="1">K15</f>
        <v>#DIV/0!</v>
      </c>
      <c r="M54" s="2" t="e">
        <f t="shared" ref="M54:M56" ca="1" si="2">(K54*$C54)</f>
        <v>#DIV/0!</v>
      </c>
      <c r="N54" s="2"/>
      <c r="O54" s="250" t="e">
        <f ca="1">O15</f>
        <v>#DIV/0!</v>
      </c>
      <c r="Q54" s="2" t="e">
        <f t="shared" ref="Q54:Q56" ca="1" si="3">(O54*$C54)</f>
        <v>#DIV/0!</v>
      </c>
      <c r="R54" s="2"/>
      <c r="S54" s="250" t="e">
        <f ca="1">S15</f>
        <v>#DIV/0!</v>
      </c>
      <c r="U54" s="2" t="e">
        <f t="shared" ref="U54:U56" ca="1" si="4">(S54*$C54)</f>
        <v>#DIV/0!</v>
      </c>
      <c r="V54" s="20"/>
      <c r="W54" s="266"/>
      <c r="X54" s="74"/>
      <c r="Y54" s="74"/>
      <c r="Z54" s="263"/>
      <c r="AA54" s="263"/>
      <c r="AB54" s="268"/>
      <c r="AC54" s="268"/>
      <c r="AD54" s="268"/>
      <c r="AE54" s="268"/>
      <c r="AF54" s="269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 hidden="1">
      <c r="A55" s="3" t="s">
        <v>345</v>
      </c>
      <c r="C55" s="249">
        <f>'Rate Design Work eff 10-14-16'!C54</f>
        <v>3532.598813033077</v>
      </c>
      <c r="D55" s="250">
        <f>'Rate Design Work eff 10-14-16'!D54</f>
        <v>20.53</v>
      </c>
      <c r="F55" s="2">
        <f>D55*C55</f>
        <v>72524.253631569081</v>
      </c>
      <c r="G55" s="250">
        <f ca="1">$G$16</f>
        <v>20.88</v>
      </c>
      <c r="I55" s="2">
        <f t="shared" ca="1" si="1"/>
        <v>73760.663216130648</v>
      </c>
      <c r="J55" s="2"/>
      <c r="K55" s="250" t="e">
        <f ca="1">K16</f>
        <v>#DIV/0!</v>
      </c>
      <c r="M55" s="2" t="e">
        <f t="shared" ca="1" si="2"/>
        <v>#DIV/0!</v>
      </c>
      <c r="N55" s="2"/>
      <c r="O55" s="250" t="e">
        <f ca="1">O16</f>
        <v>#DIV/0!</v>
      </c>
      <c r="Q55" s="2" t="e">
        <f t="shared" ca="1" si="3"/>
        <v>#DIV/0!</v>
      </c>
      <c r="R55" s="2"/>
      <c r="S55" s="250" t="e">
        <f ca="1">S16</f>
        <v>#DIV/0!</v>
      </c>
      <c r="U55" s="2" t="e">
        <f t="shared" ca="1" si="4"/>
        <v>#DIV/0!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 hidden="1">
      <c r="A56" s="3" t="s">
        <v>346</v>
      </c>
      <c r="C56" s="249">
        <f>'Rate Design Work eff 10-14-16'!C55</f>
        <v>489.16675699261128</v>
      </c>
      <c r="D56" s="250">
        <f>'Rate Design Work eff 10-14-16'!D55</f>
        <v>42.48</v>
      </c>
      <c r="F56" s="2">
        <f>D56*C56</f>
        <v>20779.803837046125</v>
      </c>
      <c r="G56" s="250">
        <f ca="1">$G$17</f>
        <v>43.21</v>
      </c>
      <c r="I56" s="2">
        <f t="shared" ca="1" si="1"/>
        <v>21136.895569650733</v>
      </c>
      <c r="J56" s="2"/>
      <c r="K56" s="250" t="e">
        <f ca="1">K17</f>
        <v>#DIV/0!</v>
      </c>
      <c r="M56" s="2" t="e">
        <f t="shared" ca="1" si="2"/>
        <v>#DIV/0!</v>
      </c>
      <c r="N56" s="2"/>
      <c r="O56" s="250" t="e">
        <f ca="1">O17</f>
        <v>#DIV/0!</v>
      </c>
      <c r="Q56" s="2" t="e">
        <f t="shared" ca="1" si="3"/>
        <v>#DIV/0!</v>
      </c>
      <c r="R56" s="2"/>
      <c r="S56" s="250" t="e">
        <f ca="1">S17</f>
        <v>#DIV/0!</v>
      </c>
      <c r="U56" s="2" t="e">
        <f t="shared" ca="1" si="4"/>
        <v>#DIV/0!</v>
      </c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 hidden="1">
      <c r="A57" s="3" t="s">
        <v>347</v>
      </c>
      <c r="C57" s="249"/>
      <c r="D57" s="250"/>
      <c r="F57" s="2"/>
      <c r="G57" s="250"/>
      <c r="I57" s="2"/>
      <c r="J57" s="2"/>
      <c r="K57" s="250"/>
      <c r="M57" s="2"/>
      <c r="N57" s="2"/>
      <c r="O57" s="250"/>
      <c r="Q57" s="2"/>
      <c r="R57" s="2"/>
      <c r="S57" s="250"/>
      <c r="U57" s="2"/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 hidden="1">
      <c r="A58" s="3" t="s">
        <v>348</v>
      </c>
      <c r="C58" s="249">
        <f>'Rate Design Work eff 10-14-16'!C57</f>
        <v>1191.3721888629</v>
      </c>
      <c r="D58" s="250">
        <f>'Rate Design Work eff 10-14-16'!D57</f>
        <v>12.27</v>
      </c>
      <c r="F58" s="2">
        <f>D58*C58</f>
        <v>14618.136757347782</v>
      </c>
      <c r="G58" s="250">
        <f ca="1">$G$19</f>
        <v>12.48</v>
      </c>
      <c r="I58" s="2">
        <f t="shared" ref="I58:I61" ca="1" si="5">(G58*$C58)</f>
        <v>14868.324917008993</v>
      </c>
      <c r="J58" s="2"/>
      <c r="K58" s="250" t="e">
        <f ca="1">K19</f>
        <v>#DIV/0!</v>
      </c>
      <c r="M58" s="2" t="e">
        <f t="shared" ref="M58:M61" ca="1" si="6">(K58*$C58)</f>
        <v>#DIV/0!</v>
      </c>
      <c r="N58" s="2"/>
      <c r="O58" s="250" t="e">
        <f ca="1">O19</f>
        <v>#DIV/0!</v>
      </c>
      <c r="Q58" s="2" t="e">
        <f t="shared" ref="Q58:Q61" ca="1" si="7">(O58*$C58)</f>
        <v>#DIV/0!</v>
      </c>
      <c r="R58" s="2"/>
      <c r="S58" s="250" t="e">
        <f ca="1">S19</f>
        <v>#DIV/0!</v>
      </c>
      <c r="U58" s="2" t="e">
        <f t="shared" ref="U58:U61" ca="1" si="8">(S58*$C58)</f>
        <v>#DIV/0!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 hidden="1">
      <c r="A59" s="3" t="s">
        <v>349</v>
      </c>
      <c r="C59" s="249">
        <f>'Rate Design Work eff 10-14-16'!C58</f>
        <v>1361.8043880047101</v>
      </c>
      <c r="D59" s="250">
        <f>'Rate Design Work eff 10-14-16'!D58</f>
        <v>18.02</v>
      </c>
      <c r="F59" s="2">
        <f>D59*C59</f>
        <v>24539.715071844876</v>
      </c>
      <c r="G59" s="250">
        <f ca="1">$G$20</f>
        <v>18.329999999999998</v>
      </c>
      <c r="I59" s="2">
        <f t="shared" ca="1" si="5"/>
        <v>24961.874432126333</v>
      </c>
      <c r="J59" s="2"/>
      <c r="K59" s="250" t="e">
        <f ca="1">K20</f>
        <v>#DIV/0!</v>
      </c>
      <c r="M59" s="2" t="e">
        <f t="shared" ca="1" si="6"/>
        <v>#DIV/0!</v>
      </c>
      <c r="N59" s="2"/>
      <c r="O59" s="250" t="e">
        <f ca="1">O20</f>
        <v>#DIV/0!</v>
      </c>
      <c r="Q59" s="2" t="e">
        <f t="shared" ca="1" si="7"/>
        <v>#DIV/0!</v>
      </c>
      <c r="R59" s="2"/>
      <c r="S59" s="250" t="e">
        <f ca="1">S20</f>
        <v>#DIV/0!</v>
      </c>
      <c r="U59" s="2" t="e">
        <f t="shared" ca="1" si="8"/>
        <v>#DIV/0!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 hidden="1">
      <c r="A60" s="3" t="s">
        <v>350</v>
      </c>
      <c r="C60" s="249">
        <f>'Rate Design Work eff 10-14-16'!C59</f>
        <v>503.93238412641102</v>
      </c>
      <c r="D60" s="250">
        <f>'Rate Design Work eff 10-14-16'!D59</f>
        <v>29.07</v>
      </c>
      <c r="F60" s="2">
        <f>D60*C60</f>
        <v>14649.314406554769</v>
      </c>
      <c r="G60" s="250">
        <f ca="1">$G$21</f>
        <v>29.57</v>
      </c>
      <c r="I60" s="2">
        <f t="shared" ca="1" si="5"/>
        <v>14901.280598617974</v>
      </c>
      <c r="J60" s="2"/>
      <c r="K60" s="250" t="e">
        <f ca="1">K21</f>
        <v>#DIV/0!</v>
      </c>
      <c r="M60" s="2" t="e">
        <f t="shared" ca="1" si="6"/>
        <v>#DIV/0!</v>
      </c>
      <c r="N60" s="2"/>
      <c r="O60" s="250" t="e">
        <f ca="1">O21</f>
        <v>#DIV/0!</v>
      </c>
      <c r="Q60" s="2" t="e">
        <f t="shared" ca="1" si="7"/>
        <v>#DIV/0!</v>
      </c>
      <c r="R60" s="2"/>
      <c r="S60" s="250" t="e">
        <f ca="1">S21</f>
        <v>#DIV/0!</v>
      </c>
      <c r="U60" s="2" t="e">
        <f t="shared" ca="1" si="8"/>
        <v>#DIV/0!</v>
      </c>
      <c r="V60" s="20"/>
      <c r="W60" s="266"/>
      <c r="X60" s="74"/>
      <c r="Y60" s="74"/>
      <c r="Z60" s="20"/>
      <c r="AA60" s="20"/>
      <c r="AB60" s="272"/>
      <c r="AC60" s="272"/>
      <c r="AD60" s="272"/>
      <c r="AE60" s="272"/>
      <c r="AF60" s="263"/>
      <c r="AG60" s="263"/>
      <c r="AH60" s="266"/>
      <c r="AI60" s="266"/>
      <c r="AJ60" s="270"/>
      <c r="AK60" s="266"/>
      <c r="AL60" s="20"/>
      <c r="AM60" s="20"/>
      <c r="AN60" s="20"/>
      <c r="AO60" s="20"/>
      <c r="AP60" s="20"/>
      <c r="AR60" s="84"/>
    </row>
    <row r="61" spans="1:44" hidden="1">
      <c r="A61" s="3" t="s">
        <v>351</v>
      </c>
      <c r="C61" s="249">
        <f>'Rate Design Work eff 10-14-16'!C60</f>
        <v>324.1657048160514</v>
      </c>
      <c r="D61" s="250">
        <f>'Rate Design Work eff 10-14-16'!D60</f>
        <v>1</v>
      </c>
      <c r="E61" s="20"/>
      <c r="F61" s="2">
        <f>D61*C61</f>
        <v>324.1657048160514</v>
      </c>
      <c r="G61" s="254">
        <f>$G$22</f>
        <v>1</v>
      </c>
      <c r="H61" s="20"/>
      <c r="I61" s="2">
        <f t="shared" si="5"/>
        <v>324.1657048160514</v>
      </c>
      <c r="J61" s="2"/>
      <c r="K61" s="250">
        <f>K22</f>
        <v>1</v>
      </c>
      <c r="L61" s="20"/>
      <c r="M61" s="2">
        <f t="shared" si="6"/>
        <v>324.1657048160514</v>
      </c>
      <c r="N61" s="2"/>
      <c r="O61" s="250" t="str">
        <f>O22</f>
        <v xml:space="preserve"> </v>
      </c>
      <c r="P61" s="20"/>
      <c r="Q61" s="2">
        <f t="shared" si="7"/>
        <v>0</v>
      </c>
      <c r="R61" s="2"/>
      <c r="S61" s="250" t="str">
        <f>S22</f>
        <v xml:space="preserve"> </v>
      </c>
      <c r="T61" s="20"/>
      <c r="U61" s="2">
        <f t="shared" si="8"/>
        <v>0</v>
      </c>
      <c r="V61" s="263"/>
      <c r="W61" s="266"/>
      <c r="X61" s="74"/>
      <c r="Y61" s="74"/>
      <c r="Z61" s="20"/>
      <c r="AA61" s="20"/>
      <c r="AB61" s="263"/>
      <c r="AC61" s="263"/>
      <c r="AD61" s="263"/>
      <c r="AE61" s="263"/>
      <c r="AF61" s="263"/>
      <c r="AG61" s="263"/>
      <c r="AH61" s="266"/>
      <c r="AI61" s="266"/>
      <c r="AJ61" s="266"/>
      <c r="AK61" s="266"/>
      <c r="AL61" s="20"/>
      <c r="AM61" s="20"/>
      <c r="AN61" s="20"/>
      <c r="AO61" s="20"/>
      <c r="AP61" s="20"/>
      <c r="AR61" s="84"/>
    </row>
    <row r="62" spans="1:44" s="1118" customFormat="1" hidden="1">
      <c r="A62" s="968" t="s">
        <v>884</v>
      </c>
      <c r="C62" s="1122">
        <f>C64</f>
        <v>2083856</v>
      </c>
      <c r="D62" s="250">
        <f>'Rate Design Work eff 10-14-16'!D61</f>
        <v>0</v>
      </c>
      <c r="E62" s="1119"/>
      <c r="F62" s="1123"/>
      <c r="G62" s="1128">
        <f>G23</f>
        <v>0</v>
      </c>
      <c r="H62" s="1126" t="s">
        <v>364</v>
      </c>
      <c r="I62" s="1123">
        <f>G62*C62/100</f>
        <v>0</v>
      </c>
      <c r="J62" s="1123"/>
      <c r="K62" s="1128" t="str">
        <f>K23</f>
        <v xml:space="preserve"> </v>
      </c>
      <c r="L62" s="1126" t="s">
        <v>364</v>
      </c>
      <c r="M62" s="1123" t="e">
        <f>K62*#REF!/100</f>
        <v>#REF!</v>
      </c>
      <c r="N62" s="1123"/>
      <c r="O62" s="1128" t="str">
        <f>O23</f>
        <v xml:space="preserve"> </v>
      </c>
      <c r="P62" s="1126" t="s">
        <v>364</v>
      </c>
      <c r="Q62" s="1123">
        <f>O62*G62/100</f>
        <v>0</v>
      </c>
      <c r="R62" s="1123"/>
      <c r="S62" s="1128">
        <f>S23</f>
        <v>0</v>
      </c>
      <c r="T62" s="1126" t="s">
        <v>364</v>
      </c>
      <c r="U62" s="1123">
        <f>S62*C62/100</f>
        <v>0</v>
      </c>
      <c r="W62" s="784"/>
      <c r="Z62" s="1125"/>
      <c r="AA62" s="1125"/>
      <c r="AF62" s="1119"/>
      <c r="AG62" s="1119"/>
      <c r="AH62" s="1119"/>
      <c r="AI62" s="1119"/>
      <c r="AJ62" s="1119"/>
      <c r="AK62" s="1119"/>
      <c r="AL62" s="1119"/>
      <c r="AM62" s="1119"/>
      <c r="AN62" s="1119"/>
      <c r="AO62" s="1119"/>
      <c r="AP62" s="1119"/>
      <c r="AR62" s="1124"/>
    </row>
    <row r="63" spans="1:44" hidden="1">
      <c r="A63" s="3" t="s">
        <v>352</v>
      </c>
      <c r="C63" s="249">
        <f>'Rate Design Work eff 10-14-16'!C62</f>
        <v>15518</v>
      </c>
      <c r="D63" s="250"/>
      <c r="F63" s="2"/>
      <c r="G63" s="250"/>
      <c r="I63" s="2"/>
      <c r="J63" s="2"/>
      <c r="K63" s="250"/>
      <c r="M63" s="2"/>
      <c r="N63" s="2"/>
      <c r="O63" s="250"/>
      <c r="Q63" s="2"/>
      <c r="R63" s="2"/>
      <c r="S63" s="250"/>
      <c r="U63" s="2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7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 hidden="1">
      <c r="A64" s="3" t="s">
        <v>35</v>
      </c>
      <c r="C64" s="249">
        <f>'Rate Design Work eff 10-14-16'!C63</f>
        <v>2083856</v>
      </c>
      <c r="D64" s="254"/>
      <c r="E64" s="20"/>
      <c r="F64" s="257">
        <f>SUM(F54:F61)</f>
        <v>293806.71593730879</v>
      </c>
      <c r="G64" s="254"/>
      <c r="H64" s="20"/>
      <c r="I64" s="257">
        <f ca="1">SUM(I54:I62)</f>
        <v>298901.96859765274</v>
      </c>
      <c r="J64" s="257"/>
      <c r="K64" s="254"/>
      <c r="L64" s="20"/>
      <c r="M64" s="257" t="e">
        <f ca="1">SUM(M54:M62)</f>
        <v>#DIV/0!</v>
      </c>
      <c r="N64" s="257"/>
      <c r="O64" s="254"/>
      <c r="P64" s="20"/>
      <c r="Q64" s="257" t="e">
        <f ca="1">SUM(Q54:Q62)</f>
        <v>#DIV/0!</v>
      </c>
      <c r="R64" s="257"/>
      <c r="S64" s="254"/>
      <c r="T64" s="20"/>
      <c r="U64" s="257" t="e">
        <f ca="1">SUM(U54:U62)</f>
        <v>#DIV/0!</v>
      </c>
      <c r="V64" s="263"/>
      <c r="W64" s="272"/>
      <c r="X64" s="263"/>
      <c r="Y64" s="263"/>
      <c r="Z64" s="20"/>
      <c r="AA64" s="20"/>
      <c r="AB64" s="20"/>
      <c r="AC64" s="20"/>
      <c r="AD64" s="20"/>
      <c r="AE64" s="20"/>
      <c r="AF64" s="20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idden="1">
      <c r="A65" s="3" t="s">
        <v>353</v>
      </c>
      <c r="C65" s="249">
        <f>'Table 2'!H52</f>
        <v>14372.590194620605</v>
      </c>
      <c r="D65" s="254"/>
      <c r="E65" s="20"/>
      <c r="F65" s="257">
        <f>'Table 3'!E52</f>
        <v>2323.2050877783413</v>
      </c>
      <c r="G65" s="254"/>
      <c r="H65" s="20"/>
      <c r="I65" s="257">
        <f>F65</f>
        <v>2323.2050877783413</v>
      </c>
      <c r="J65" s="257"/>
      <c r="K65" s="254"/>
      <c r="L65" s="20"/>
      <c r="M65" s="257" t="e">
        <f ca="1">M26/I26*I65</f>
        <v>#DIV/0!</v>
      </c>
      <c r="N65" s="257"/>
      <c r="O65" s="254"/>
      <c r="P65" s="20"/>
      <c r="Q65" s="257" t="e">
        <f ca="1">Q26/I26*I65</f>
        <v>#DIV/0!</v>
      </c>
      <c r="R65" s="257"/>
      <c r="S65" s="254"/>
      <c r="T65" s="20"/>
      <c r="U65" s="257" t="e">
        <f ca="1">U26/I26*I65</f>
        <v>#DIV/0!</v>
      </c>
      <c r="V65" s="429"/>
      <c r="W65" s="272"/>
      <c r="X65" s="263"/>
      <c r="Y65" s="263"/>
      <c r="Z65" s="263"/>
      <c r="AA65" s="263"/>
      <c r="AB65" s="268"/>
      <c r="AC65" s="268"/>
      <c r="AD65" s="268"/>
      <c r="AE65" s="268"/>
      <c r="AF65" s="266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hidden="1" thickBot="1">
      <c r="A66" s="3" t="s">
        <v>9</v>
      </c>
      <c r="C66" s="258">
        <f>C64+C65</f>
        <v>2098228.5901946207</v>
      </c>
      <c r="D66" s="297"/>
      <c r="E66" s="259"/>
      <c r="F66" s="259">
        <f>F64+F65</f>
        <v>296129.92102508713</v>
      </c>
      <c r="G66" s="297"/>
      <c r="H66" s="259"/>
      <c r="I66" s="259">
        <f ca="1">I64+I65</f>
        <v>301225.17368543107</v>
      </c>
      <c r="J66" s="51"/>
      <c r="K66" s="297"/>
      <c r="L66" s="259"/>
      <c r="M66" s="259" t="e">
        <f ca="1">M64+M65</f>
        <v>#DIV/0!</v>
      </c>
      <c r="N66" s="297"/>
      <c r="O66" s="297"/>
      <c r="P66" s="259"/>
      <c r="Q66" s="259" t="e">
        <f ca="1">Q64+Q65</f>
        <v>#DIV/0!</v>
      </c>
      <c r="R66" s="297"/>
      <c r="S66" s="297"/>
      <c r="T66" s="259"/>
      <c r="U66" s="259" t="e">
        <f ca="1">U64+U65</f>
        <v>#DIV/0!</v>
      </c>
      <c r="V66" s="396"/>
      <c r="W66" s="455"/>
      <c r="X66" s="263"/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263"/>
      <c r="AK66" s="263"/>
      <c r="AL66" s="20"/>
      <c r="AM66" s="20"/>
      <c r="AN66" s="20"/>
      <c r="AO66" s="20"/>
      <c r="AP66" s="20"/>
      <c r="AR66" s="84"/>
    </row>
    <row r="67" spans="1:44" ht="16.5" hidden="1" thickTop="1">
      <c r="C67" s="260"/>
      <c r="D67" s="294" t="s">
        <v>31</v>
      </c>
      <c r="E67" s="260"/>
      <c r="F67" s="248"/>
      <c r="G67" s="1" t="s">
        <v>31</v>
      </c>
      <c r="H67" s="260"/>
      <c r="I67" s="2" t="s">
        <v>31</v>
      </c>
      <c r="J67" s="2"/>
      <c r="K67" s="1" t="s">
        <v>31</v>
      </c>
      <c r="L67" s="260"/>
      <c r="M67" s="2" t="s">
        <v>31</v>
      </c>
      <c r="N67" s="2"/>
      <c r="O67" s="1" t="s">
        <v>31</v>
      </c>
      <c r="P67" s="260"/>
      <c r="Q67" s="2" t="s">
        <v>31</v>
      </c>
      <c r="R67" s="2"/>
      <c r="S67" s="1" t="s">
        <v>31</v>
      </c>
      <c r="T67" s="260"/>
      <c r="U67" s="2" t="s">
        <v>31</v>
      </c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 hidden="1">
      <c r="A68" s="247" t="s">
        <v>341</v>
      </c>
      <c r="F68" s="248"/>
      <c r="V68" s="20"/>
      <c r="W68" s="74"/>
      <c r="X68" s="74"/>
      <c r="Y68" s="74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R68" s="84"/>
    </row>
    <row r="69" spans="1:44" hidden="1">
      <c r="A69" s="3" t="s">
        <v>357</v>
      </c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 hidden="1">
      <c r="F70" s="248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263"/>
      <c r="AG70" s="263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 hidden="1">
      <c r="A71" s="3" t="s">
        <v>343</v>
      </c>
      <c r="F71" s="248"/>
      <c r="V71" s="263"/>
      <c r="W71" s="263"/>
      <c r="X71" s="74"/>
      <c r="Y71" s="74"/>
      <c r="Z71" s="264"/>
      <c r="AA71" s="264"/>
      <c r="AB71" s="265"/>
      <c r="AC71" s="265"/>
      <c r="AD71" s="265"/>
      <c r="AE71" s="265"/>
      <c r="AF71" s="266"/>
      <c r="AG71" s="267"/>
      <c r="AH71" s="263"/>
      <c r="AI71" s="263"/>
      <c r="AJ71" s="263"/>
      <c r="AK71" s="263"/>
      <c r="AL71" s="20"/>
      <c r="AM71" s="20"/>
      <c r="AN71" s="20"/>
      <c r="AO71" s="20"/>
      <c r="AP71" s="20"/>
      <c r="AR71" s="84"/>
    </row>
    <row r="72" spans="1:44" hidden="1">
      <c r="A72" s="3" t="s">
        <v>344</v>
      </c>
      <c r="C72" s="249">
        <f>'Rate Design Work eff 10-14-16'!C71</f>
        <v>604.99709761288204</v>
      </c>
      <c r="D72" s="250">
        <f>'Rate Design Work eff 10-14-16'!D71</f>
        <v>10.79</v>
      </c>
      <c r="F72" s="2">
        <f>D72*C72</f>
        <v>6527.9186832429968</v>
      </c>
      <c r="G72" s="250">
        <f ca="1">$G$15</f>
        <v>10.98</v>
      </c>
      <c r="I72" s="2">
        <f t="shared" ref="I72:I74" ca="1" si="9">(G72*$C72)</f>
        <v>6642.8681317894452</v>
      </c>
      <c r="J72" s="2"/>
      <c r="K72" s="250" t="e">
        <f ca="1">K15</f>
        <v>#DIV/0!</v>
      </c>
      <c r="M72" s="2" t="e">
        <f t="shared" ref="M72:M74" ca="1" si="10">(K72*$C72)</f>
        <v>#DIV/0!</v>
      </c>
      <c r="N72" s="2"/>
      <c r="O72" s="250" t="e">
        <f ca="1">O15</f>
        <v>#DIV/0!</v>
      </c>
      <c r="Q72" s="2" t="e">
        <f t="shared" ref="Q72:Q74" ca="1" si="11">(O72*$C72)</f>
        <v>#DIV/0!</v>
      </c>
      <c r="R72" s="2"/>
      <c r="S72" s="250" t="e">
        <f ca="1">S15</f>
        <v>#DIV/0!</v>
      </c>
      <c r="U72" s="2" t="e">
        <f t="shared" ref="U72:U74" ca="1" si="12">(S72*$C72)</f>
        <v>#DIV/0!</v>
      </c>
      <c r="V72" s="20"/>
      <c r="W72" s="266"/>
      <c r="X72" s="74"/>
      <c r="Y72" s="74"/>
      <c r="Z72" s="263"/>
      <c r="AA72" s="263"/>
      <c r="AB72" s="268"/>
      <c r="AC72" s="268"/>
      <c r="AD72" s="268"/>
      <c r="AE72" s="268"/>
      <c r="AF72" s="269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 hidden="1">
      <c r="A73" s="3" t="s">
        <v>345</v>
      </c>
      <c r="C73" s="249">
        <f>'Rate Design Work eff 10-14-16'!C72</f>
        <v>401.56488078949502</v>
      </c>
      <c r="D73" s="250">
        <f>'Rate Design Work eff 10-14-16'!D72</f>
        <v>20.53</v>
      </c>
      <c r="F73" s="2">
        <f>D73*C73</f>
        <v>8244.127002608333</v>
      </c>
      <c r="G73" s="250">
        <f ca="1">$G$16</f>
        <v>20.88</v>
      </c>
      <c r="I73" s="2">
        <f t="shared" ca="1" si="9"/>
        <v>8384.6747108846557</v>
      </c>
      <c r="J73" s="2"/>
      <c r="K73" s="250" t="e">
        <f ca="1">K16</f>
        <v>#DIV/0!</v>
      </c>
      <c r="M73" s="2" t="e">
        <f t="shared" ca="1" si="10"/>
        <v>#DIV/0!</v>
      </c>
      <c r="N73" s="2"/>
      <c r="O73" s="250" t="e">
        <f ca="1">O16</f>
        <v>#DIV/0!</v>
      </c>
      <c r="Q73" s="2" t="e">
        <f t="shared" ca="1" si="11"/>
        <v>#DIV/0!</v>
      </c>
      <c r="R73" s="2"/>
      <c r="S73" s="250" t="e">
        <f ca="1">S16</f>
        <v>#DIV/0!</v>
      </c>
      <c r="U73" s="2" t="e">
        <f t="shared" ca="1" si="12"/>
        <v>#DIV/0!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 hidden="1">
      <c r="A74" s="3" t="s">
        <v>346</v>
      </c>
      <c r="C74" s="249">
        <f>'Rate Design Work eff 10-14-16'!C73</f>
        <v>37.033422524669703</v>
      </c>
      <c r="D74" s="250">
        <f>'Rate Design Work eff 10-14-16'!D73</f>
        <v>42.48</v>
      </c>
      <c r="F74" s="2">
        <f>D74*C74</f>
        <v>1573.1797888479689</v>
      </c>
      <c r="G74" s="250">
        <f ca="1">$G$17</f>
        <v>43.21</v>
      </c>
      <c r="I74" s="2">
        <f t="shared" ca="1" si="9"/>
        <v>1600.2141872909779</v>
      </c>
      <c r="J74" s="2"/>
      <c r="K74" s="250" t="e">
        <f ca="1">K17</f>
        <v>#DIV/0!</v>
      </c>
      <c r="M74" s="2" t="e">
        <f t="shared" ca="1" si="10"/>
        <v>#DIV/0!</v>
      </c>
      <c r="N74" s="2"/>
      <c r="O74" s="250" t="e">
        <f ca="1">O17</f>
        <v>#DIV/0!</v>
      </c>
      <c r="Q74" s="2" t="e">
        <f t="shared" ca="1" si="11"/>
        <v>#DIV/0!</v>
      </c>
      <c r="R74" s="2"/>
      <c r="S74" s="250" t="e">
        <f ca="1">S17</f>
        <v>#DIV/0!</v>
      </c>
      <c r="U74" s="2" t="e">
        <f t="shared" ca="1" si="12"/>
        <v>#DIV/0!</v>
      </c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 hidden="1">
      <c r="A75" s="3" t="s">
        <v>347</v>
      </c>
      <c r="C75" s="249"/>
      <c r="D75" s="250"/>
      <c r="F75" s="2"/>
      <c r="G75" s="250"/>
      <c r="I75" s="2"/>
      <c r="J75" s="2"/>
      <c r="K75" s="250"/>
      <c r="M75" s="2"/>
      <c r="N75" s="2"/>
      <c r="O75" s="250"/>
      <c r="Q75" s="2"/>
      <c r="R75" s="2"/>
      <c r="S75" s="250"/>
      <c r="U75" s="2"/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 hidden="1">
      <c r="A76" s="3" t="s">
        <v>348</v>
      </c>
      <c r="C76" s="249">
        <f>'Rate Design Work eff 10-14-16'!C75</f>
        <v>12</v>
      </c>
      <c r="D76" s="250">
        <f>'Rate Design Work eff 10-14-16'!D75</f>
        <v>12.27</v>
      </c>
      <c r="F76" s="2">
        <f>D76*C76</f>
        <v>147.24</v>
      </c>
      <c r="G76" s="250">
        <f ca="1">$G$19</f>
        <v>12.48</v>
      </c>
      <c r="I76" s="2">
        <f t="shared" ref="I76:I79" ca="1" si="13">(G76*$C76)</f>
        <v>149.76</v>
      </c>
      <c r="J76" s="2"/>
      <c r="K76" s="250" t="e">
        <f ca="1">K19</f>
        <v>#DIV/0!</v>
      </c>
      <c r="M76" s="2" t="e">
        <f t="shared" ref="M76:M79" ca="1" si="14">(K76*$C76)</f>
        <v>#DIV/0!</v>
      </c>
      <c r="N76" s="2"/>
      <c r="O76" s="250" t="e">
        <f ca="1">O19</f>
        <v>#DIV/0!</v>
      </c>
      <c r="Q76" s="2" t="e">
        <f t="shared" ref="Q76:Q79" ca="1" si="15">(O76*$C76)</f>
        <v>#DIV/0!</v>
      </c>
      <c r="R76" s="2"/>
      <c r="S76" s="250" t="e">
        <f ca="1">S19</f>
        <v>#DIV/0!</v>
      </c>
      <c r="U76" s="2" t="e">
        <f t="shared" ref="U76:U79" ca="1" si="16">(S76*$C76)</f>
        <v>#DIV/0!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 hidden="1">
      <c r="A77" s="3" t="s">
        <v>349</v>
      </c>
      <c r="C77" s="249">
        <f>'Rate Design Work eff 10-14-16'!C76</f>
        <v>96.000818853397803</v>
      </c>
      <c r="D77" s="250">
        <f>'Rate Design Work eff 10-14-16'!D76</f>
        <v>18.02</v>
      </c>
      <c r="F77" s="2">
        <f>D77*C77</f>
        <v>1729.9347557382284</v>
      </c>
      <c r="G77" s="250">
        <f ca="1">$G$20</f>
        <v>18.329999999999998</v>
      </c>
      <c r="I77" s="2">
        <f t="shared" ca="1" si="13"/>
        <v>1759.6950095827815</v>
      </c>
      <c r="J77" s="2"/>
      <c r="K77" s="250" t="e">
        <f ca="1">K20</f>
        <v>#DIV/0!</v>
      </c>
      <c r="M77" s="2" t="e">
        <f t="shared" ca="1" si="14"/>
        <v>#DIV/0!</v>
      </c>
      <c r="N77" s="2"/>
      <c r="O77" s="250" t="e">
        <f ca="1">O20</f>
        <v>#DIV/0!</v>
      </c>
      <c r="Q77" s="2" t="e">
        <f t="shared" ca="1" si="15"/>
        <v>#DIV/0!</v>
      </c>
      <c r="R77" s="2"/>
      <c r="S77" s="250" t="e">
        <f ca="1">S20</f>
        <v>#DIV/0!</v>
      </c>
      <c r="U77" s="2" t="e">
        <f t="shared" ca="1" si="16"/>
        <v>#DIV/0!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 hidden="1">
      <c r="A78" s="3" t="s">
        <v>350</v>
      </c>
      <c r="C78" s="249">
        <f>'Rate Design Work eff 10-14-16'!C77</f>
        <v>2.0666895840495001</v>
      </c>
      <c r="D78" s="250">
        <f>'Rate Design Work eff 10-14-16'!D77</f>
        <v>29.07</v>
      </c>
      <c r="F78" s="2">
        <f>D78*C78</f>
        <v>60.078666208318971</v>
      </c>
      <c r="G78" s="250">
        <f ca="1">$G$21</f>
        <v>29.57</v>
      </c>
      <c r="I78" s="2">
        <f t="shared" ca="1" si="13"/>
        <v>61.11201100034372</v>
      </c>
      <c r="J78" s="2"/>
      <c r="K78" s="250" t="e">
        <f ca="1">K21</f>
        <v>#DIV/0!</v>
      </c>
      <c r="M78" s="2" t="e">
        <f t="shared" ca="1" si="14"/>
        <v>#DIV/0!</v>
      </c>
      <c r="N78" s="2"/>
      <c r="O78" s="250" t="e">
        <f ca="1">O21</f>
        <v>#DIV/0!</v>
      </c>
      <c r="Q78" s="2" t="e">
        <f t="shared" ca="1" si="15"/>
        <v>#DIV/0!</v>
      </c>
      <c r="R78" s="2"/>
      <c r="S78" s="250" t="e">
        <f ca="1">S21</f>
        <v>#DIV/0!</v>
      </c>
      <c r="U78" s="2" t="e">
        <f t="shared" ca="1" si="16"/>
        <v>#DIV/0!</v>
      </c>
      <c r="V78" s="20"/>
      <c r="W78" s="266"/>
      <c r="X78" s="74"/>
      <c r="Y78" s="74"/>
      <c r="Z78" s="20"/>
      <c r="AA78" s="20"/>
      <c r="AB78" s="272"/>
      <c r="AC78" s="272"/>
      <c r="AD78" s="272"/>
      <c r="AE78" s="272"/>
      <c r="AF78" s="263"/>
      <c r="AG78" s="263"/>
      <c r="AH78" s="266"/>
      <c r="AI78" s="266"/>
      <c r="AJ78" s="270"/>
      <c r="AK78" s="266"/>
      <c r="AL78" s="20"/>
      <c r="AM78" s="20"/>
      <c r="AN78" s="20"/>
      <c r="AO78" s="20"/>
      <c r="AP78" s="20"/>
      <c r="AR78" s="84"/>
    </row>
    <row r="79" spans="1:44" hidden="1">
      <c r="A79" s="3" t="s">
        <v>351</v>
      </c>
      <c r="C79" s="249">
        <f>'Rate Design Work eff 10-14-16'!C78</f>
        <v>131.99965205054301</v>
      </c>
      <c r="D79" s="250">
        <f>'Rate Design Work eff 10-14-16'!D78</f>
        <v>1</v>
      </c>
      <c r="E79" s="20"/>
      <c r="F79" s="2">
        <f>D79*C79</f>
        <v>131.99965205054301</v>
      </c>
      <c r="G79" s="254">
        <f>$G$22</f>
        <v>1</v>
      </c>
      <c r="H79" s="20"/>
      <c r="I79" s="2">
        <f t="shared" si="13"/>
        <v>131.99965205054301</v>
      </c>
      <c r="J79" s="2"/>
      <c r="K79" s="250">
        <f>K22</f>
        <v>1</v>
      </c>
      <c r="L79" s="20"/>
      <c r="M79" s="2">
        <f t="shared" si="14"/>
        <v>131.99965205054301</v>
      </c>
      <c r="N79" s="2"/>
      <c r="O79" s="250" t="str">
        <f>O22</f>
        <v xml:space="preserve"> </v>
      </c>
      <c r="P79" s="20"/>
      <c r="Q79" s="2">
        <f t="shared" si="15"/>
        <v>0</v>
      </c>
      <c r="R79" s="2"/>
      <c r="S79" s="250" t="str">
        <f>S22</f>
        <v xml:space="preserve"> </v>
      </c>
      <c r="T79" s="20"/>
      <c r="U79" s="2">
        <f t="shared" si="16"/>
        <v>0</v>
      </c>
      <c r="V79" s="263"/>
      <c r="W79" s="266"/>
      <c r="X79" s="74"/>
      <c r="Y79" s="74"/>
      <c r="Z79" s="20"/>
      <c r="AA79" s="20"/>
      <c r="AB79" s="263"/>
      <c r="AC79" s="263"/>
      <c r="AD79" s="263"/>
      <c r="AE79" s="263"/>
      <c r="AF79" s="263"/>
      <c r="AG79" s="263"/>
      <c r="AH79" s="266"/>
      <c r="AI79" s="266"/>
      <c r="AJ79" s="266"/>
      <c r="AK79" s="266"/>
      <c r="AL79" s="20"/>
      <c r="AM79" s="20"/>
      <c r="AN79" s="20"/>
      <c r="AO79" s="20"/>
      <c r="AP79" s="20"/>
      <c r="AR79" s="84"/>
    </row>
    <row r="80" spans="1:44" s="1118" customFormat="1" hidden="1">
      <c r="A80" s="968" t="s">
        <v>884</v>
      </c>
      <c r="C80" s="1122">
        <f>C82</f>
        <v>140168</v>
      </c>
      <c r="D80" s="250">
        <f>'Rate Design Work eff 10-14-16'!D79</f>
        <v>0</v>
      </c>
      <c r="E80" s="1119"/>
      <c r="F80" s="1123"/>
      <c r="G80" s="1128">
        <f>G23</f>
        <v>0</v>
      </c>
      <c r="H80" s="1126" t="s">
        <v>364</v>
      </c>
      <c r="I80" s="1123">
        <f>G80*C80/100</f>
        <v>0</v>
      </c>
      <c r="J80" s="1123"/>
      <c r="K80" s="1128" t="str">
        <f>K23</f>
        <v xml:space="preserve"> </v>
      </c>
      <c r="L80" s="1126" t="s">
        <v>364</v>
      </c>
      <c r="M80" s="1123" t="e">
        <f>K80*#REF!/100</f>
        <v>#REF!</v>
      </c>
      <c r="N80" s="1123"/>
      <c r="O80" s="1128" t="str">
        <f>O23</f>
        <v xml:space="preserve"> </v>
      </c>
      <c r="P80" s="1126" t="s">
        <v>364</v>
      </c>
      <c r="Q80" s="1123">
        <f>O80*G80/100</f>
        <v>0</v>
      </c>
      <c r="R80" s="1123"/>
      <c r="S80" s="1128">
        <f>S23</f>
        <v>0</v>
      </c>
      <c r="T80" s="1126" t="s">
        <v>364</v>
      </c>
      <c r="U80" s="1123">
        <f>S80*C80/100</f>
        <v>0</v>
      </c>
      <c r="W80" s="784"/>
      <c r="Z80" s="1125"/>
      <c r="AA80" s="1125"/>
      <c r="AF80" s="1119"/>
      <c r="AG80" s="1119"/>
      <c r="AH80" s="1119"/>
      <c r="AI80" s="1119"/>
      <c r="AJ80" s="1119"/>
      <c r="AK80" s="1119"/>
      <c r="AL80" s="1119"/>
      <c r="AM80" s="1119"/>
      <c r="AN80" s="1119"/>
      <c r="AO80" s="1119"/>
      <c r="AP80" s="1119"/>
      <c r="AR80" s="1124"/>
    </row>
    <row r="81" spans="1:44" hidden="1">
      <c r="A81" s="3" t="s">
        <v>352</v>
      </c>
      <c r="C81" s="249">
        <f>'Rate Design Work eff 10-14-16'!C80</f>
        <v>641</v>
      </c>
      <c r="D81" s="250"/>
      <c r="F81" s="2"/>
      <c r="G81" s="250"/>
      <c r="I81" s="2"/>
      <c r="J81" s="2"/>
      <c r="K81" s="250"/>
      <c r="M81" s="2"/>
      <c r="N81" s="2"/>
      <c r="O81" s="250"/>
      <c r="Q81" s="2"/>
      <c r="R81" s="2"/>
      <c r="S81" s="250"/>
      <c r="U81" s="2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7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 hidden="1">
      <c r="A82" s="3" t="s">
        <v>35</v>
      </c>
      <c r="C82" s="249">
        <f>'Rate Design Work eff 10-14-16'!C81</f>
        <v>140168</v>
      </c>
      <c r="D82" s="254"/>
      <c r="E82" s="20"/>
      <c r="F82" s="257">
        <f>SUM(F72:F79)</f>
        <v>18414.478548696392</v>
      </c>
      <c r="G82" s="254"/>
      <c r="H82" s="20"/>
      <c r="I82" s="257">
        <f ca="1">SUM(I72:I80)</f>
        <v>18730.323702598747</v>
      </c>
      <c r="J82" s="257"/>
      <c r="K82" s="254"/>
      <c r="L82" s="20"/>
      <c r="M82" s="257" t="e">
        <f ca="1">SUM(M72:M80)</f>
        <v>#DIV/0!</v>
      </c>
      <c r="N82" s="257"/>
      <c r="O82" s="254"/>
      <c r="P82" s="20"/>
      <c r="Q82" s="257" t="e">
        <f ca="1">SUM(Q72:Q80)</f>
        <v>#DIV/0!</v>
      </c>
      <c r="R82" s="257"/>
      <c r="S82" s="254"/>
      <c r="T82" s="20"/>
      <c r="U82" s="257" t="e">
        <f ca="1">SUM(U72:U80)</f>
        <v>#DIV/0!</v>
      </c>
      <c r="V82" s="263"/>
      <c r="W82" s="272"/>
      <c r="X82" s="263"/>
      <c r="Y82" s="263"/>
      <c r="Z82" s="20"/>
      <c r="AA82" s="20"/>
      <c r="AB82" s="20"/>
      <c r="AC82" s="20"/>
      <c r="AD82" s="20"/>
      <c r="AE82" s="20"/>
      <c r="AF82" s="20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idden="1">
      <c r="A83" s="3" t="s">
        <v>353</v>
      </c>
      <c r="C83" s="249">
        <f ca="1">'Table 2'!H84</f>
        <v>435.81097248984889</v>
      </c>
      <c r="D83" s="254"/>
      <c r="E83" s="20"/>
      <c r="F83" s="257">
        <f ca="1">'Table 3'!E84</f>
        <v>59.072572994694113</v>
      </c>
      <c r="G83" s="254"/>
      <c r="H83" s="20"/>
      <c r="I83" s="257">
        <f ca="1">F83</f>
        <v>59.072572994694113</v>
      </c>
      <c r="J83" s="257"/>
      <c r="K83" s="254"/>
      <c r="L83" s="20"/>
      <c r="M83" s="257" t="e">
        <f ca="1">M26/I26*I83</f>
        <v>#DIV/0!</v>
      </c>
      <c r="N83" s="257"/>
      <c r="O83" s="254"/>
      <c r="P83" s="20"/>
      <c r="Q83" s="257" t="e">
        <f ca="1">Q26/I26*I83</f>
        <v>#DIV/0!</v>
      </c>
      <c r="R83" s="257"/>
      <c r="S83" s="254"/>
      <c r="T83" s="20"/>
      <c r="U83" s="257" t="e">
        <f ca="1">U26/I26*I83</f>
        <v>#DIV/0!</v>
      </c>
      <c r="V83" s="429"/>
      <c r="W83" s="272"/>
      <c r="X83" s="263"/>
      <c r="Y83" s="263"/>
      <c r="Z83" s="263"/>
      <c r="AA83" s="263"/>
      <c r="AB83" s="268"/>
      <c r="AC83" s="268"/>
      <c r="AD83" s="268"/>
      <c r="AE83" s="268"/>
      <c r="AF83" s="266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hidden="1" thickBot="1">
      <c r="A84" s="3" t="s">
        <v>9</v>
      </c>
      <c r="C84" s="258">
        <f ca="1">C82+C83</f>
        <v>140603.81097248985</v>
      </c>
      <c r="D84" s="297"/>
      <c r="E84" s="259"/>
      <c r="F84" s="259">
        <f ca="1">F82+F83</f>
        <v>18473.551121691085</v>
      </c>
      <c r="G84" s="297"/>
      <c r="H84" s="259"/>
      <c r="I84" s="259">
        <f ca="1">I82+I83</f>
        <v>18789.396275593441</v>
      </c>
      <c r="J84" s="51"/>
      <c r="K84" s="297"/>
      <c r="L84" s="259"/>
      <c r="M84" s="259" t="e">
        <f ca="1">M82+M83</f>
        <v>#DIV/0!</v>
      </c>
      <c r="N84" s="297"/>
      <c r="O84" s="297"/>
      <c r="P84" s="259"/>
      <c r="Q84" s="259" t="e">
        <f ca="1">Q82+Q83</f>
        <v>#DIV/0!</v>
      </c>
      <c r="R84" s="297"/>
      <c r="S84" s="297"/>
      <c r="T84" s="259"/>
      <c r="U84" s="259" t="e">
        <f ca="1">U82+U83</f>
        <v>#DIV/0!</v>
      </c>
      <c r="V84" s="396"/>
      <c r="W84" s="455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0"/>
      <c r="AM84" s="20"/>
      <c r="AN84" s="20"/>
      <c r="AO84" s="20"/>
      <c r="AP84" s="20"/>
      <c r="AR84" s="84"/>
    </row>
    <row r="85" spans="1:44" hidden="1">
      <c r="C85" s="260"/>
      <c r="D85" s="294" t="s">
        <v>31</v>
      </c>
      <c r="E85" s="260"/>
      <c r="F85" s="248"/>
      <c r="G85" s="1" t="s">
        <v>31</v>
      </c>
      <c r="H85" s="260"/>
      <c r="I85" s="2" t="s">
        <v>31</v>
      </c>
      <c r="J85" s="2"/>
      <c r="K85" s="1" t="s">
        <v>31</v>
      </c>
      <c r="L85" s="260"/>
      <c r="M85" s="2" t="s">
        <v>31</v>
      </c>
      <c r="N85" s="2"/>
      <c r="O85" s="1" t="s">
        <v>31</v>
      </c>
      <c r="P85" s="260"/>
      <c r="Q85" s="2" t="s">
        <v>31</v>
      </c>
      <c r="R85" s="2"/>
      <c r="S85" s="1" t="s">
        <v>31</v>
      </c>
      <c r="T85" s="260"/>
      <c r="U85" s="2" t="s">
        <v>31</v>
      </c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278" t="s">
        <v>358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20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1" t="s">
        <v>359</v>
      </c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456"/>
      <c r="W87" s="74"/>
      <c r="X87" s="74"/>
      <c r="Y87" s="74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282"/>
      <c r="B88" s="1"/>
      <c r="C88" s="1"/>
      <c r="D88" s="21"/>
      <c r="E88" s="1"/>
      <c r="F88" s="1"/>
      <c r="G88" s="21"/>
      <c r="H88" s="1"/>
      <c r="I88" s="1"/>
      <c r="J88" s="1"/>
      <c r="K88" s="21"/>
      <c r="L88" s="1"/>
      <c r="M88" s="1"/>
      <c r="N88" s="1"/>
      <c r="O88" s="21"/>
      <c r="P88" s="1"/>
      <c r="Q88" s="1"/>
      <c r="R88" s="1"/>
      <c r="S88" s="21"/>
      <c r="T88" s="1"/>
      <c r="U88" s="1"/>
      <c r="V88" s="20"/>
      <c r="W88" s="74"/>
      <c r="X88" s="766" t="s">
        <v>625</v>
      </c>
      <c r="Y88" s="766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R88" s="84"/>
    </row>
    <row r="89" spans="1:44">
      <c r="A89" s="1" t="s">
        <v>360</v>
      </c>
      <c r="B89" s="1"/>
      <c r="C89" s="21">
        <f>C108+C123+C138+C153</f>
        <v>1263103.7974192717</v>
      </c>
      <c r="D89" s="283">
        <f>'Rate Design Work eff 10-14-16'!D88</f>
        <v>7.75</v>
      </c>
      <c r="E89" s="1"/>
      <c r="F89" s="2">
        <f>F108+F123+F138+F153</f>
        <v>9789055</v>
      </c>
      <c r="G89" s="283">
        <f>'Rate Design Work eff 10-14-16'!G88</f>
        <v>7.75</v>
      </c>
      <c r="H89" s="1"/>
      <c r="I89" s="2">
        <f>I108+I123+I138+I153</f>
        <v>9789055</v>
      </c>
      <c r="J89" s="2"/>
      <c r="K89" s="283">
        <f>'Rate Design Work eff 10-14-16'!K88</f>
        <v>7.75</v>
      </c>
      <c r="L89" s="1"/>
      <c r="M89" s="2">
        <f>M108+M123+M138+M153</f>
        <v>9789054.4299993571</v>
      </c>
      <c r="N89" s="2"/>
      <c r="O89" s="286" t="s">
        <v>31</v>
      </c>
      <c r="P89" s="1"/>
      <c r="Q89" s="2">
        <f>O89*C89</f>
        <v>0</v>
      </c>
      <c r="R89" s="2"/>
      <c r="S89" s="286" t="s">
        <v>31</v>
      </c>
      <c r="T89" s="1"/>
      <c r="U89" s="2">
        <f>S89*C89</f>
        <v>0</v>
      </c>
      <c r="X89" s="14">
        <f>(G89-D89)/D89</f>
        <v>0</v>
      </c>
      <c r="Y89" s="711" t="s">
        <v>31</v>
      </c>
      <c r="AK89" s="20"/>
      <c r="AL89" s="20"/>
      <c r="AM89" s="20"/>
      <c r="AN89" s="20"/>
      <c r="AO89" s="20"/>
      <c r="AP89" s="20"/>
      <c r="AR89" s="84"/>
    </row>
    <row r="90" spans="1:44">
      <c r="A90" s="1" t="s">
        <v>363</v>
      </c>
      <c r="B90" s="1"/>
      <c r="C90" s="21">
        <f>C109+C124+C139+C154</f>
        <v>706991944.07558155</v>
      </c>
      <c r="D90" s="284">
        <f>'Rate Design Work eff 10-14-16'!D89</f>
        <v>6.4249999999999998</v>
      </c>
      <c r="E90" s="1" t="s">
        <v>364</v>
      </c>
      <c r="F90" s="2">
        <f>F109+F124+F139+F154</f>
        <v>45424231</v>
      </c>
      <c r="G90" s="284">
        <f>'Rate Design Work eff 10-14-16'!G89</f>
        <v>6.548</v>
      </c>
      <c r="H90" s="1" t="s">
        <v>364</v>
      </c>
      <c r="I90" s="2">
        <f>I109+I124+I139+I154</f>
        <v>46293832</v>
      </c>
      <c r="J90" s="2"/>
      <c r="K90" s="284" t="e">
        <f>'Rate Design Work eff 10-14-16'!K89</f>
        <v>#DIV/0!</v>
      </c>
      <c r="L90" s="1" t="s">
        <v>364</v>
      </c>
      <c r="M90" s="2" t="e">
        <f>K90*C90/100</f>
        <v>#DIV/0!</v>
      </c>
      <c r="N90" s="1" t="s">
        <v>31</v>
      </c>
      <c r="O90" s="284" t="e">
        <f>'Rate Design Work eff 10-14-16'!O89</f>
        <v>#DIV/0!</v>
      </c>
      <c r="P90" s="1" t="s">
        <v>364</v>
      </c>
      <c r="Q90" s="2" t="e">
        <f>O90*C90/100</f>
        <v>#DIV/0!</v>
      </c>
      <c r="R90" s="2"/>
      <c r="S90" s="284" t="e">
        <f ca="1">'Rate Design Work eff 10-14-16'!S89</f>
        <v>#DIV/0!</v>
      </c>
      <c r="T90" s="1" t="s">
        <v>364</v>
      </c>
      <c r="U90" s="2" t="e">
        <f ca="1">(X104-U89-U92-U93-U94-U95-U96-U100)*I90/(I90+I91)</f>
        <v>#DIV/0!</v>
      </c>
      <c r="W90" s="88" t="s">
        <v>31</v>
      </c>
      <c r="X90" s="14">
        <f>((G90+G95)-D90)/D90</f>
        <v>1.9143968871595366E-2</v>
      </c>
      <c r="Y90" s="222">
        <f>(D91-D90)/D90</f>
        <v>0.58225680933852153</v>
      </c>
      <c r="Z90" s="222"/>
      <c r="AB90" s="222"/>
      <c r="AD90" s="84"/>
      <c r="AE90" s="84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365</v>
      </c>
      <c r="B91" s="1"/>
      <c r="C91" s="21">
        <f>C110+C125+C140+C155</f>
        <v>843225109.61000884</v>
      </c>
      <c r="D91" s="284">
        <f>'Rate Design Work eff 10-14-16'!D90</f>
        <v>10.166</v>
      </c>
      <c r="E91" s="1" t="s">
        <v>364</v>
      </c>
      <c r="F91" s="2">
        <f>F110+F125+F140+F155</f>
        <v>85722264</v>
      </c>
      <c r="G91" s="284">
        <f>'Rate Design Work eff 10-14-16'!G90</f>
        <v>10.35</v>
      </c>
      <c r="H91" s="1" t="s">
        <v>364</v>
      </c>
      <c r="I91" s="2">
        <f>I110+I125+I140+I155</f>
        <v>87273799</v>
      </c>
      <c r="J91" s="2"/>
      <c r="K91" s="284" t="e">
        <f>'Rate Design Work eff 10-14-16'!K90</f>
        <v>#DIV/0!</v>
      </c>
      <c r="L91" s="1" t="s">
        <v>364</v>
      </c>
      <c r="M91" s="2" t="e">
        <f>K91*C91/100</f>
        <v>#DIV/0!</v>
      </c>
      <c r="N91" s="1" t="s">
        <v>31</v>
      </c>
      <c r="O91" s="284" t="e">
        <f>'Rate Design Work eff 10-14-16'!O90</f>
        <v>#DIV/0!</v>
      </c>
      <c r="P91" s="1" t="s">
        <v>364</v>
      </c>
      <c r="Q91" s="2" t="e">
        <f>O91*C91/100</f>
        <v>#DIV/0!</v>
      </c>
      <c r="R91" s="2"/>
      <c r="S91" s="284" t="e">
        <f ca="1">'Rate Design Work eff 10-14-16'!S90</f>
        <v>#DIV/0!</v>
      </c>
      <c r="T91" s="1" t="s">
        <v>364</v>
      </c>
      <c r="U91" s="2" t="e">
        <f ca="1">S91*C91/100</f>
        <v>#DIV/0!</v>
      </c>
      <c r="V91" s="285"/>
      <c r="X91" s="14">
        <f>((G91+G96)-D91)/D91</f>
        <v>1.8099547511312146E-2</v>
      </c>
      <c r="Y91" s="222">
        <f>(G91-G90)/G90</f>
        <v>0.58063530849114231</v>
      </c>
      <c r="Z91" s="222">
        <v>0.72450000000000003</v>
      </c>
      <c r="AB91" s="222"/>
      <c r="AD91" s="106"/>
      <c r="AE91" s="106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1" t="s">
        <v>367</v>
      </c>
      <c r="B92" s="1"/>
      <c r="C92" s="21">
        <f>C111+C126+C141+C156</f>
        <v>5306</v>
      </c>
      <c r="D92" s="286">
        <f>'Rate Design Work eff 10-14-16'!D91</f>
        <v>1.71</v>
      </c>
      <c r="E92" s="1"/>
      <c r="F92" s="2">
        <f>F111+F126+F141+F156</f>
        <v>9073</v>
      </c>
      <c r="G92" s="283">
        <f ca="1">'Rate Design Work eff 10-14-16'!G91</f>
        <v>1.74</v>
      </c>
      <c r="H92" s="1"/>
      <c r="I92" s="2">
        <f ca="1">I111+I126+I141+I156</f>
        <v>9232</v>
      </c>
      <c r="J92" s="2"/>
      <c r="K92" s="283" t="str">
        <f>'Rate Design Work eff 10-14-16'!K91</f>
        <v xml:space="preserve"> </v>
      </c>
      <c r="L92" s="1"/>
      <c r="M92" s="2">
        <f>K92*C92</f>
        <v>0</v>
      </c>
      <c r="N92" s="2"/>
      <c r="O92" s="286" t="s">
        <v>31</v>
      </c>
      <c r="P92" s="1"/>
      <c r="Q92" s="2">
        <f>O92*C92</f>
        <v>0</v>
      </c>
      <c r="R92" s="2"/>
      <c r="S92" s="284">
        <f ca="1">'Rate Design Work eff 10-14-16'!S91</f>
        <v>1.74</v>
      </c>
      <c r="T92" s="1"/>
      <c r="U92" s="2">
        <f ca="1">S92*C92</f>
        <v>9232.44</v>
      </c>
      <c r="X92" s="14">
        <f ca="1">(G92-D92)/D92</f>
        <v>1.7543859649122823E-2</v>
      </c>
      <c r="AD92" s="84"/>
      <c r="AE92" s="84"/>
      <c r="AF92" s="222"/>
      <c r="AK92" s="20"/>
      <c r="AL92" s="20"/>
      <c r="AM92" s="20"/>
      <c r="AN92" s="20"/>
      <c r="AO92" s="20"/>
      <c r="AP92" s="20"/>
      <c r="AR92" s="84"/>
    </row>
    <row r="93" spans="1:44">
      <c r="A93" s="288" t="s">
        <v>369</v>
      </c>
      <c r="B93" s="288"/>
      <c r="C93" s="21">
        <f>C112+C127+C142+C157</f>
        <v>703</v>
      </c>
      <c r="D93" s="286">
        <f>'Rate Design Work eff 10-14-16'!D92</f>
        <v>3.3</v>
      </c>
      <c r="E93" s="288"/>
      <c r="F93" s="2">
        <f>F112+F127+F142+F157</f>
        <v>2320</v>
      </c>
      <c r="G93" s="283">
        <f ca="1">'Rate Design Work eff 10-14-16'!G92</f>
        <v>3.4</v>
      </c>
      <c r="H93" s="288"/>
      <c r="I93" s="2">
        <f ca="1">I112+I127+I142+I157</f>
        <v>2390</v>
      </c>
      <c r="J93" s="2"/>
      <c r="K93" s="283" t="str">
        <f>'Rate Design Work eff 10-14-16'!K92</f>
        <v xml:space="preserve"> </v>
      </c>
      <c r="L93" s="288"/>
      <c r="M93" s="2">
        <f>K93*C93</f>
        <v>0</v>
      </c>
      <c r="N93" s="2"/>
      <c r="O93" s="286" t="s">
        <v>31</v>
      </c>
      <c r="P93" s="288"/>
      <c r="Q93" s="2">
        <f>O93*C93</f>
        <v>0</v>
      </c>
      <c r="R93" s="2"/>
      <c r="S93" s="283">
        <f ca="1">'Rate Design Work eff 10-14-16'!S92</f>
        <v>3.4</v>
      </c>
      <c r="T93" s="288"/>
      <c r="U93" s="2">
        <f ca="1">S93*C93</f>
        <v>2390.1999999999998</v>
      </c>
      <c r="X93" s="14">
        <f ca="1">(G93-D93)/D93</f>
        <v>3.0303030303030332E-2</v>
      </c>
      <c r="AK93" s="20"/>
      <c r="AL93" s="20"/>
      <c r="AM93" s="20"/>
      <c r="AN93" s="20"/>
      <c r="AO93" s="20"/>
      <c r="AP93" s="20"/>
      <c r="AR93" s="84"/>
    </row>
    <row r="94" spans="1:44">
      <c r="A94" s="288" t="s">
        <v>370</v>
      </c>
      <c r="B94" s="288"/>
      <c r="C94" s="21">
        <f>C115+C128+C143+C158</f>
        <v>70.5</v>
      </c>
      <c r="D94" s="289">
        <f>'Rate Design Work eff 10-14-16'!D93</f>
        <v>-1.71</v>
      </c>
      <c r="E94" s="288"/>
      <c r="F94" s="2">
        <f>F115+F128+F143+F158</f>
        <v>-121</v>
      </c>
      <c r="G94" s="289">
        <f ca="1">-G92</f>
        <v>-1.74</v>
      </c>
      <c r="H94" s="288"/>
      <c r="I94" s="2">
        <f ca="1">I115+I128+I143+I158</f>
        <v>-123</v>
      </c>
      <c r="J94" s="2"/>
      <c r="K94" s="289" t="s">
        <v>31</v>
      </c>
      <c r="L94" s="288"/>
      <c r="M94" s="2">
        <f>K94*C94</f>
        <v>0</v>
      </c>
      <c r="N94" s="2"/>
      <c r="O94" s="289" t="s">
        <v>31</v>
      </c>
      <c r="P94" s="288"/>
      <c r="Q94" s="2">
        <f>O94*C94</f>
        <v>0</v>
      </c>
      <c r="R94" s="2"/>
      <c r="S94" s="289">
        <f ca="1">'Rate Design Work eff 10-14-16'!S93</f>
        <v>-1.74</v>
      </c>
      <c r="T94" s="288"/>
      <c r="U94" s="2">
        <f ca="1">S94*C94</f>
        <v>-122.67</v>
      </c>
      <c r="X94" s="14">
        <f ca="1">(G94-D94)/D94</f>
        <v>1.7543859649122823E-2</v>
      </c>
      <c r="AK94" s="20"/>
      <c r="AL94" s="20"/>
      <c r="AM94" s="20"/>
      <c r="AN94" s="20"/>
      <c r="AO94" s="20"/>
      <c r="AP94" s="20"/>
      <c r="AR94" s="84"/>
    </row>
    <row r="95" spans="1:44" s="1118" customFormat="1" hidden="1">
      <c r="A95" s="968" t="s">
        <v>886</v>
      </c>
      <c r="C95" s="1127">
        <f>C90</f>
        <v>706991944.07558155</v>
      </c>
      <c r="D95" s="254">
        <f>'Rate Design Work eff 10-14-16'!D94</f>
        <v>0</v>
      </c>
      <c r="E95" s="1119"/>
      <c r="F95" s="1123"/>
      <c r="G95" s="1128">
        <f>'Rate Design Work eff 10-14-16'!G94</f>
        <v>0</v>
      </c>
      <c r="H95" s="1126" t="s">
        <v>364</v>
      </c>
      <c r="I95" s="1123">
        <f>I113+I129+I144+I159</f>
        <v>0</v>
      </c>
      <c r="J95" s="1123"/>
      <c r="K95" s="1128" t="str">
        <f>'Rate Design Work eff 10-14-16'!K94</f>
        <v xml:space="preserve"> </v>
      </c>
      <c r="L95" s="1126" t="s">
        <v>31</v>
      </c>
      <c r="M95" s="2">
        <f>K95*C95/100</f>
        <v>0</v>
      </c>
      <c r="N95" s="1123"/>
      <c r="O95" s="1128" t="s">
        <v>31</v>
      </c>
      <c r="P95" s="1126" t="s">
        <v>31</v>
      </c>
      <c r="Q95" s="2">
        <f>O95*C95/100</f>
        <v>0</v>
      </c>
      <c r="R95" s="1123"/>
      <c r="S95" s="284">
        <f>'Rate Design Work eff 10-14-16'!S94</f>
        <v>0</v>
      </c>
      <c r="T95" s="1126" t="s">
        <v>364</v>
      </c>
      <c r="U95" s="2">
        <f>S95*C95/100</f>
        <v>0</v>
      </c>
      <c r="V95" s="1124"/>
      <c r="W95" s="784"/>
      <c r="Z95" s="1125"/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968" t="s">
        <v>887</v>
      </c>
      <c r="C96" s="1127">
        <f>C91</f>
        <v>843225109.61000884</v>
      </c>
      <c r="D96" s="254">
        <f>'Rate Design Work eff 10-14-16'!D95</f>
        <v>0</v>
      </c>
      <c r="E96" s="1119"/>
      <c r="F96" s="1123"/>
      <c r="G96" s="1128">
        <f>'Rate Design Work eff 10-14-16'!G95</f>
        <v>0</v>
      </c>
      <c r="H96" s="1126" t="s">
        <v>364</v>
      </c>
      <c r="I96" s="1123">
        <f>I114+I130+I145+I160</f>
        <v>0</v>
      </c>
      <c r="J96" s="1123"/>
      <c r="K96" s="1128" t="str">
        <f>'Rate Design Work eff 10-14-16'!K95</f>
        <v xml:space="preserve"> </v>
      </c>
      <c r="L96" s="1126" t="s">
        <v>31</v>
      </c>
      <c r="M96" s="2">
        <f>K96*C96/100</f>
        <v>0</v>
      </c>
      <c r="N96" s="1123"/>
      <c r="O96" s="1128" t="s">
        <v>31</v>
      </c>
      <c r="P96" s="1126" t="s">
        <v>31</v>
      </c>
      <c r="Q96" s="2">
        <f>O96*C96/100</f>
        <v>0</v>
      </c>
      <c r="R96" s="1123"/>
      <c r="S96" s="284">
        <f>'Rate Design Work eff 10-14-16'!S95</f>
        <v>0</v>
      </c>
      <c r="T96" s="1126" t="s">
        <v>364</v>
      </c>
      <c r="U96" s="2">
        <f>S96*C96/100</f>
        <v>0</v>
      </c>
      <c r="V96" s="1124"/>
      <c r="W96" s="784"/>
      <c r="Z96" s="770" t="e">
        <f>(G96-G95)/G95</f>
        <v>#DIV/0!</v>
      </c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860</v>
      </c>
      <c r="B97" s="1256"/>
      <c r="C97" s="1257"/>
      <c r="D97" s="1260">
        <f>'Rate Design Work eff 10-14-16'!D96</f>
        <v>6.4249999999999998</v>
      </c>
      <c r="E97" s="1261" t="s">
        <v>364</v>
      </c>
      <c r="F97" s="1259"/>
      <c r="G97" s="1260">
        <f>G90+G95</f>
        <v>6.548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1125"/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 s="1118" customFormat="1" hidden="1">
      <c r="A98" s="1255" t="s">
        <v>861</v>
      </c>
      <c r="B98" s="1256"/>
      <c r="C98" s="1257"/>
      <c r="D98" s="1260">
        <f>'Rate Design Work eff 10-14-16'!D97</f>
        <v>10.166</v>
      </c>
      <c r="E98" s="1261" t="s">
        <v>364</v>
      </c>
      <c r="F98" s="1259"/>
      <c r="G98" s="1260">
        <f>G91+G96</f>
        <v>10.35</v>
      </c>
      <c r="H98" s="1261" t="s">
        <v>364</v>
      </c>
      <c r="I98" s="1259"/>
      <c r="J98" s="1259"/>
      <c r="K98" s="1260" t="e">
        <f>K91+K96</f>
        <v>#DIV/0!</v>
      </c>
      <c r="L98" s="1261" t="s">
        <v>364</v>
      </c>
      <c r="M98" s="1259"/>
      <c r="N98" s="1259"/>
      <c r="O98" s="1260" t="e">
        <f>O91+O96</f>
        <v>#DIV/0!</v>
      </c>
      <c r="P98" s="1261" t="s">
        <v>364</v>
      </c>
      <c r="Q98" s="1259"/>
      <c r="R98" s="1259"/>
      <c r="S98" s="1260" t="e">
        <f ca="1">S91+S96</f>
        <v>#DIV/0!</v>
      </c>
      <c r="T98" s="1261" t="s">
        <v>364</v>
      </c>
      <c r="U98" s="1259"/>
      <c r="V98" s="1124"/>
      <c r="W98" s="784"/>
      <c r="Z98" s="770">
        <f>(G98-G97)/G97</f>
        <v>0.58063530849114231</v>
      </c>
      <c r="AA98" s="1125"/>
      <c r="AF98" s="1119"/>
      <c r="AG98" s="1119"/>
      <c r="AH98" s="1119"/>
      <c r="AI98" s="1119"/>
      <c r="AJ98" s="1119"/>
      <c r="AK98" s="1119"/>
      <c r="AL98" s="1119"/>
      <c r="AM98" s="1119"/>
      <c r="AN98" s="1119"/>
      <c r="AO98" s="1119"/>
      <c r="AP98" s="1119"/>
      <c r="AR98" s="1124"/>
    </row>
    <row r="99" spans="1:44">
      <c r="A99" s="1" t="s">
        <v>371</v>
      </c>
      <c r="B99" s="290"/>
      <c r="C99" s="21">
        <f>C116+C131+C146+C161</f>
        <v>1550217053.6855903</v>
      </c>
      <c r="D99" s="953"/>
      <c r="E99" s="2"/>
      <c r="F99" s="2">
        <f>F116+F131+F146+F161</f>
        <v>140946822</v>
      </c>
      <c r="G99" s="2"/>
      <c r="H99" s="2"/>
      <c r="I99" s="2">
        <f t="shared" ref="I99" ca="1" si="17">I116+I131+I146+I161</f>
        <v>143368185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 ca="1">SUM(U89:U98)</f>
        <v>#DIV/0!</v>
      </c>
      <c r="W99" s="14"/>
      <c r="AK99" s="20"/>
      <c r="AL99" s="20"/>
      <c r="AM99" s="20"/>
      <c r="AN99" s="20"/>
      <c r="AO99" s="20"/>
      <c r="AP99" s="20"/>
      <c r="AR99" s="84"/>
    </row>
    <row r="100" spans="1:44">
      <c r="A100" s="1" t="s">
        <v>353</v>
      </c>
      <c r="B100" s="292"/>
      <c r="C100" s="293">
        <f>C117+C132+C147+C162</f>
        <v>19569583.803586423</v>
      </c>
      <c r="D100" s="294"/>
      <c r="E100" s="294"/>
      <c r="F100" s="295">
        <f>F117+F132+F147+F162</f>
        <v>1987055.0327333291</v>
      </c>
      <c r="G100" s="294"/>
      <c r="H100" s="294"/>
      <c r="I100" s="295">
        <f>F100</f>
        <v>1987055.0327333291</v>
      </c>
      <c r="J100" s="51"/>
      <c r="K100" s="294"/>
      <c r="L100" s="294"/>
      <c r="M100" s="295" t="e">
        <f>$I$100*V104/($V$104+$W$104+$X$104)</f>
        <v>#DIV/0!</v>
      </c>
      <c r="N100" s="51"/>
      <c r="O100" s="294"/>
      <c r="P100" s="294"/>
      <c r="Q100" s="295" t="e">
        <f>$I$100*W104/($V$104+$W$104+$X$104)</f>
        <v>#DIV/0!</v>
      </c>
      <c r="R100" s="51"/>
      <c r="S100" s="294"/>
      <c r="T100" s="294"/>
      <c r="U100" s="295" t="e">
        <f>$I$100*X104/($V$104+$W$104+$X$104)</f>
        <v>#DIV/0!</v>
      </c>
      <c r="AK100" s="20"/>
      <c r="AL100" s="20"/>
      <c r="AM100" s="20"/>
      <c r="AN100" s="20"/>
      <c r="AO100" s="20"/>
      <c r="AP100" s="20"/>
      <c r="AR100" s="84"/>
    </row>
    <row r="101" spans="1:44" ht="16.5" thickBot="1">
      <c r="A101" s="1" t="s">
        <v>372</v>
      </c>
      <c r="B101" s="1"/>
      <c r="C101" s="296">
        <f>C99+C100</f>
        <v>1569786637.4891768</v>
      </c>
      <c r="D101" s="297"/>
      <c r="E101" s="297"/>
      <c r="F101" s="297">
        <f>F99+F100</f>
        <v>142933877.03273332</v>
      </c>
      <c r="G101" s="297"/>
      <c r="H101" s="297"/>
      <c r="I101" s="297">
        <f ca="1">I99+I100</f>
        <v>145355240.03273332</v>
      </c>
      <c r="J101" s="297"/>
      <c r="K101" s="297"/>
      <c r="L101" s="297"/>
      <c r="M101" s="297" t="e">
        <f>M99+M100</f>
        <v>#DIV/0!</v>
      </c>
      <c r="N101" s="297"/>
      <c r="O101" s="297"/>
      <c r="P101" s="297"/>
      <c r="Q101" s="297" t="e">
        <f>Q99+Q100</f>
        <v>#DIV/0!</v>
      </c>
      <c r="R101" s="297"/>
      <c r="S101" s="297"/>
      <c r="T101" s="297"/>
      <c r="U101" s="297" t="e">
        <f ca="1">U99+U100</f>
        <v>#DIV/0!</v>
      </c>
      <c r="V101" s="757" t="s">
        <v>354</v>
      </c>
      <c r="W101" s="1082">
        <f ca="1">'Rate Spread targets'!Q18*1000</f>
        <v>145355383.96504799</v>
      </c>
      <c r="X101" s="1417">
        <f ca="1">'Rate Spread targets'!V18</f>
        <v>1.6941448609556001E-2</v>
      </c>
      <c r="Y101" s="751"/>
      <c r="Z101" s="4" t="s">
        <v>31</v>
      </c>
      <c r="AA101" s="4" t="s">
        <v>31</v>
      </c>
      <c r="AK101" s="20"/>
      <c r="AL101" s="20"/>
      <c r="AM101" s="20"/>
      <c r="AN101" s="20"/>
      <c r="AO101" s="20"/>
      <c r="AP101" s="20"/>
      <c r="AR101" s="84"/>
    </row>
    <row r="102" spans="1:44" ht="16.5" thickTop="1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 t="s">
        <v>31</v>
      </c>
      <c r="V102" s="112" t="s">
        <v>257</v>
      </c>
      <c r="W102" s="780">
        <f ca="1">W101-I101</f>
        <v>143.93231466412544</v>
      </c>
      <c r="X102" s="394">
        <v>1.6049999999999998E-2</v>
      </c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1"/>
      <c r="C103" s="335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>
        <f ca="1">U102-I101</f>
        <v>-145355240.03273332</v>
      </c>
      <c r="V103" s="1279"/>
      <c r="W103" s="719"/>
      <c r="X103" s="1276"/>
      <c r="Y103" s="751"/>
      <c r="Z103" s="4"/>
      <c r="AA103" s="4"/>
      <c r="AK103" s="20"/>
      <c r="AL103" s="20"/>
      <c r="AM103" s="20"/>
      <c r="AN103" s="20"/>
      <c r="AO103" s="20"/>
      <c r="AP103" s="20"/>
      <c r="AR103" s="84"/>
    </row>
    <row r="104" spans="1:44" hidden="1">
      <c r="A104" s="1"/>
      <c r="B104" s="298"/>
      <c r="C104" s="21"/>
      <c r="D104" s="1" t="s">
        <v>31</v>
      </c>
      <c r="E104" s="1"/>
      <c r="G104" s="1" t="s">
        <v>31</v>
      </c>
      <c r="H104" s="1"/>
      <c r="I104" s="2"/>
      <c r="J104" s="2"/>
      <c r="K104" s="1" t="s">
        <v>31</v>
      </c>
      <c r="L104" s="1"/>
      <c r="V104" s="1124"/>
      <c r="W104" s="1124"/>
      <c r="X104" s="1124"/>
      <c r="Y104" s="792"/>
      <c r="AK104" s="20"/>
      <c r="AL104" s="20"/>
      <c r="AM104" s="20"/>
      <c r="AN104" s="20"/>
      <c r="AO104" s="20"/>
      <c r="AP104" s="20"/>
      <c r="AR104" s="84"/>
    </row>
    <row r="105" spans="1:44">
      <c r="A105" s="278" t="s">
        <v>373</v>
      </c>
      <c r="B105" s="1"/>
      <c r="C105" s="1" t="s">
        <v>31</v>
      </c>
      <c r="D105" s="21"/>
      <c r="E105" s="1"/>
      <c r="F105" s="1"/>
      <c r="G105" s="21"/>
      <c r="H105" s="1"/>
      <c r="I105" s="1325" t="s">
        <v>31</v>
      </c>
      <c r="J105" s="1"/>
      <c r="K105" s="21"/>
      <c r="L105" s="1"/>
      <c r="M105" s="1"/>
      <c r="N105" s="1"/>
      <c r="O105" s="21"/>
      <c r="P105" s="1"/>
      <c r="Q105" s="1"/>
      <c r="R105" s="1"/>
      <c r="S105" s="21"/>
      <c r="T105" s="1"/>
      <c r="U105" s="1"/>
      <c r="V105" s="2"/>
      <c r="W105" s="2"/>
      <c r="X105" s="2"/>
      <c r="Y105" s="1"/>
      <c r="AA105" s="2"/>
      <c r="AB105" s="1" t="s">
        <v>31</v>
      </c>
      <c r="AC105" s="1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1" t="s">
        <v>320</v>
      </c>
      <c r="B106" s="1"/>
      <c r="C106" s="1" t="s">
        <v>31</v>
      </c>
      <c r="D106" s="21"/>
      <c r="E106" s="1"/>
      <c r="F106" s="1"/>
      <c r="G106" s="21"/>
      <c r="H106" s="1"/>
      <c r="I106" s="1"/>
      <c r="J106" s="1"/>
      <c r="K106" s="21"/>
      <c r="L106" s="1"/>
      <c r="M106" s="1" t="s">
        <v>31</v>
      </c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333" t="s">
        <v>671</v>
      </c>
      <c r="B107" s="1"/>
      <c r="C107" s="1"/>
      <c r="D107" s="21"/>
      <c r="E107" s="1"/>
      <c r="F107" s="1"/>
      <c r="G107" s="21"/>
      <c r="H107" s="1"/>
      <c r="I107" s="1"/>
      <c r="J107" s="1"/>
      <c r="K107" s="21"/>
      <c r="L107" s="1"/>
      <c r="M107" s="1"/>
      <c r="N107" s="1"/>
      <c r="O107" s="21"/>
      <c r="P107" s="1"/>
      <c r="Q107" s="1"/>
      <c r="R107" s="1"/>
      <c r="S107" s="21"/>
      <c r="T107" s="1"/>
      <c r="U107" s="1"/>
      <c r="V107" s="20"/>
      <c r="W107" s="74"/>
      <c r="X107" s="74"/>
      <c r="Y107" s="74"/>
      <c r="Z107" s="7" t="s">
        <v>31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360</v>
      </c>
      <c r="B108" s="1"/>
      <c r="C108" s="21">
        <f>'Rate Design Work eff 10-14-16'!C107</f>
        <v>1190382.0735483039</v>
      </c>
      <c r="D108" s="283">
        <f>'Rate Design Work eff 10-14-16'!D107</f>
        <v>7.75</v>
      </c>
      <c r="E108" s="1"/>
      <c r="F108" s="2">
        <f>ROUND(D108*C108,0)</f>
        <v>9225461</v>
      </c>
      <c r="G108" s="283">
        <f>$G$89</f>
        <v>7.75</v>
      </c>
      <c r="H108" s="1"/>
      <c r="I108" s="2">
        <f>ROUND(G108*$C108,0)</f>
        <v>9225461</v>
      </c>
      <c r="J108" s="2"/>
      <c r="K108" s="283">
        <f>K89</f>
        <v>7.75</v>
      </c>
      <c r="L108" s="1"/>
      <c r="M108" s="2">
        <f>'Rate Design Work eff 10-14-16'!M107</f>
        <v>9225461.0699993558</v>
      </c>
      <c r="N108" s="2"/>
      <c r="O108" s="283" t="str">
        <f>$O$89</f>
        <v xml:space="preserve"> </v>
      </c>
      <c r="P108" s="1"/>
      <c r="Q108" s="2">
        <f>'Rate Design Work eff 10-14-16'!Q107</f>
        <v>0</v>
      </c>
      <c r="R108" s="2"/>
      <c r="S108" s="283" t="str">
        <f>$S$89</f>
        <v xml:space="preserve"> </v>
      </c>
      <c r="T108" s="1"/>
      <c r="U108" s="2">
        <f>'Rate Design Work eff 10-14-16'!U107</f>
        <v>0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363</v>
      </c>
      <c r="B109" s="1"/>
      <c r="C109" s="21">
        <f>'Rate Design Work eff 10-14-16'!C108</f>
        <v>664551696.22316003</v>
      </c>
      <c r="D109" s="284">
        <f>'Rate Design Work eff 10-14-16'!D108</f>
        <v>6.4249999999999998</v>
      </c>
      <c r="E109" s="1" t="s">
        <v>364</v>
      </c>
      <c r="F109" s="2">
        <f>ROUND(C109*D109/100,0)</f>
        <v>42697446</v>
      </c>
      <c r="G109" s="284">
        <f>$G$90</f>
        <v>6.548</v>
      </c>
      <c r="H109" s="1" t="s">
        <v>364</v>
      </c>
      <c r="I109" s="2">
        <f>ROUND(G109*$C109/100,0)</f>
        <v>43514845</v>
      </c>
      <c r="J109" s="2"/>
      <c r="K109" s="284" t="e">
        <f>K90</f>
        <v>#DIV/0!</v>
      </c>
      <c r="L109" s="1" t="s">
        <v>364</v>
      </c>
      <c r="M109" s="2" t="e">
        <f>'Rate Design Work eff 10-14-16'!M108</f>
        <v>#DIV/0!</v>
      </c>
      <c r="N109" s="2"/>
      <c r="O109" s="284" t="e">
        <f>O90</f>
        <v>#DIV/0!</v>
      </c>
      <c r="P109" s="1" t="s">
        <v>364</v>
      </c>
      <c r="Q109" s="2" t="e">
        <f>'Rate Design Work eff 10-14-16'!Q108</f>
        <v>#DIV/0!</v>
      </c>
      <c r="R109" s="2"/>
      <c r="S109" s="284" t="e">
        <f ca="1">S90</f>
        <v>#DIV/0!</v>
      </c>
      <c r="T109" s="1" t="s">
        <v>364</v>
      </c>
      <c r="U109" s="2" t="e">
        <f ca="1">'Rate Design Work eff 10-14-16'!U108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365</v>
      </c>
      <c r="B110" s="21"/>
      <c r="C110" s="21">
        <f>'Rate Design Work eff 10-14-16'!C109</f>
        <v>794267679.4665302</v>
      </c>
      <c r="D110" s="284">
        <f>'Rate Design Work eff 10-14-16'!D109</f>
        <v>10.166</v>
      </c>
      <c r="E110" s="1" t="s">
        <v>364</v>
      </c>
      <c r="F110" s="2">
        <f>ROUND(C110*D110/100,0)</f>
        <v>80745252</v>
      </c>
      <c r="G110" s="284">
        <f>$G$91</f>
        <v>10.35</v>
      </c>
      <c r="H110" s="1" t="s">
        <v>364</v>
      </c>
      <c r="I110" s="2">
        <f>ROUND(G110*$C110/100,0)</f>
        <v>82206705</v>
      </c>
      <c r="J110" s="2"/>
      <c r="K110" s="284" t="e">
        <f>K91</f>
        <v>#DIV/0!</v>
      </c>
      <c r="L110" s="1" t="s">
        <v>364</v>
      </c>
      <c r="M110" s="2" t="e">
        <f>'Rate Design Work eff 10-14-16'!M109</f>
        <v>#DIV/0!</v>
      </c>
      <c r="N110" s="2"/>
      <c r="O110" s="284" t="e">
        <f>O91</f>
        <v>#DIV/0!</v>
      </c>
      <c r="P110" s="1" t="s">
        <v>364</v>
      </c>
      <c r="Q110" s="2" t="e">
        <f>'Rate Design Work eff 10-14-16'!Q109</f>
        <v>#DIV/0!</v>
      </c>
      <c r="R110" s="2"/>
      <c r="S110" s="284" t="e">
        <f ca="1">S91</f>
        <v>#DIV/0!</v>
      </c>
      <c r="T110" s="1" t="s">
        <v>364</v>
      </c>
      <c r="U110" s="2" t="e">
        <f ca="1">'Rate Design Work eff 10-14-16'!U109</f>
        <v>#DIV/0!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1" t="s">
        <v>367</v>
      </c>
      <c r="B111" s="1"/>
      <c r="C111" s="21">
        <v>0</v>
      </c>
      <c r="D111" s="286">
        <f>'Rate Design Work eff 10-14-16'!D110</f>
        <v>1.71</v>
      </c>
      <c r="E111" s="1"/>
      <c r="F111" s="2">
        <v>0</v>
      </c>
      <c r="G111" s="286">
        <f ca="1">$G$92</f>
        <v>1.74</v>
      </c>
      <c r="H111" s="1"/>
      <c r="I111" s="2">
        <f ca="1">ROUND(G111*$C111,0)</f>
        <v>0</v>
      </c>
      <c r="J111" s="2"/>
      <c r="K111" s="286" t="str">
        <f>K92</f>
        <v xml:space="preserve"> </v>
      </c>
      <c r="L111" s="1"/>
      <c r="M111" s="2">
        <f>'Rate Design Work eff 10-14-16'!M110</f>
        <v>0</v>
      </c>
      <c r="N111" s="2"/>
      <c r="O111" s="286" t="str">
        <f>O92</f>
        <v xml:space="preserve"> </v>
      </c>
      <c r="P111" s="1"/>
      <c r="Q111" s="2">
        <f>'Rate Design Work eff 10-14-16'!Q110</f>
        <v>0</v>
      </c>
      <c r="R111" s="2"/>
      <c r="S111" s="286">
        <f ca="1">S92</f>
        <v>1.74</v>
      </c>
      <c r="T111" s="1"/>
      <c r="U111" s="2">
        <f ca="1">'Rate Design Work eff 10-14-16'!U110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>
      <c r="A112" s="288" t="s">
        <v>369</v>
      </c>
      <c r="B112" s="288"/>
      <c r="C112" s="21">
        <v>0</v>
      </c>
      <c r="D112" s="286">
        <f>'Rate Design Work eff 10-14-16'!D111</f>
        <v>3.3</v>
      </c>
      <c r="E112" s="288"/>
      <c r="F112" s="2">
        <v>0</v>
      </c>
      <c r="G112" s="286">
        <f ca="1">$G$93</f>
        <v>3.4</v>
      </c>
      <c r="H112" s="288"/>
      <c r="I112" s="2">
        <f ca="1">ROUND(G112*$C112,0)</f>
        <v>0</v>
      </c>
      <c r="J112" s="2"/>
      <c r="K112" s="286" t="str">
        <f>K93</f>
        <v xml:space="preserve"> </v>
      </c>
      <c r="L112" s="288"/>
      <c r="M112" s="2">
        <f>'Rate Design Work eff 10-14-16'!M111</f>
        <v>0</v>
      </c>
      <c r="N112" s="2"/>
      <c r="O112" s="286" t="str">
        <f t="shared" ref="O112:O115" si="18">O93</f>
        <v xml:space="preserve"> </v>
      </c>
      <c r="P112" s="288"/>
      <c r="Q112" s="2">
        <f>'Rate Design Work eff 10-14-16'!Q111</f>
        <v>0</v>
      </c>
      <c r="R112" s="2"/>
      <c r="S112" s="286">
        <f ca="1">S93</f>
        <v>3.4</v>
      </c>
      <c r="T112" s="288"/>
      <c r="U112" s="2">
        <f ca="1">'Rate Design Work eff 10-14-16'!U111</f>
        <v>0</v>
      </c>
      <c r="V112" s="20"/>
      <c r="W112" s="74"/>
      <c r="X112" s="74"/>
      <c r="Y112" s="74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R112" s="84"/>
    </row>
    <row r="113" spans="1:44" s="1118" customFormat="1" hidden="1">
      <c r="A113" s="968" t="s">
        <v>886</v>
      </c>
      <c r="C113" s="1122">
        <f>C109</f>
        <v>664551696.22316003</v>
      </c>
      <c r="D113" s="254">
        <f>'Rate Design Work eff 10-14-16'!D112</f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31</v>
      </c>
      <c r="M113" s="2">
        <f>'Rate Design Work eff 10-14-16'!M112</f>
        <v>0</v>
      </c>
      <c r="N113" s="1123"/>
      <c r="O113" s="286" t="str">
        <f t="shared" si="18"/>
        <v xml:space="preserve"> </v>
      </c>
      <c r="P113" s="1126" t="s">
        <v>31</v>
      </c>
      <c r="Q113" s="2">
        <f>'Rate Design Work eff 10-14-16'!Q112</f>
        <v>0</v>
      </c>
      <c r="R113" s="1123"/>
      <c r="S113" s="1128">
        <f>G113</f>
        <v>0</v>
      </c>
      <c r="T113" s="1126" t="s">
        <v>364</v>
      </c>
      <c r="U113" s="2">
        <f>'Rate Design Work eff 10-14-16'!U112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 s="1118" customFormat="1" hidden="1">
      <c r="A114" s="968" t="s">
        <v>887</v>
      </c>
      <c r="C114" s="1122">
        <f>C110</f>
        <v>794267679.4665302</v>
      </c>
      <c r="D114" s="254">
        <f>'Rate Design Work eff 10-14-16'!D113</f>
        <v>0</v>
      </c>
      <c r="E114" s="1119"/>
      <c r="F114" s="1123"/>
      <c r="G114" s="1128">
        <f>G96</f>
        <v>0</v>
      </c>
      <c r="H114" s="1126" t="s">
        <v>364</v>
      </c>
      <c r="I114" s="1123">
        <f>G114*C114/100</f>
        <v>0</v>
      </c>
      <c r="J114" s="1123"/>
      <c r="K114" s="1128" t="str">
        <f>K96</f>
        <v xml:space="preserve"> </v>
      </c>
      <c r="L114" s="1126" t="s">
        <v>31</v>
      </c>
      <c r="M114" s="2">
        <f>'Rate Design Work eff 10-14-16'!M113</f>
        <v>0</v>
      </c>
      <c r="N114" s="1123"/>
      <c r="O114" s="286" t="str">
        <f t="shared" si="18"/>
        <v xml:space="preserve"> </v>
      </c>
      <c r="P114" s="1126" t="s">
        <v>31</v>
      </c>
      <c r="Q114" s="2">
        <f>'Rate Design Work eff 10-14-16'!Q113</f>
        <v>0</v>
      </c>
      <c r="R114" s="1123"/>
      <c r="S114" s="1128">
        <f>G114</f>
        <v>0</v>
      </c>
      <c r="T114" s="1126" t="s">
        <v>364</v>
      </c>
      <c r="U114" s="2">
        <f>'Rate Design Work eff 10-14-16'!U113</f>
        <v>0</v>
      </c>
      <c r="W114" s="784"/>
      <c r="Z114" s="1125"/>
      <c r="AA114" s="1125"/>
      <c r="AF114" s="1119"/>
      <c r="AG114" s="1119"/>
      <c r="AH114" s="1119"/>
      <c r="AI114" s="1119"/>
      <c r="AJ114" s="1119"/>
      <c r="AK114" s="1119"/>
      <c r="AL114" s="1119"/>
      <c r="AM114" s="1119"/>
      <c r="AN114" s="1119"/>
      <c r="AO114" s="1119"/>
      <c r="AP114" s="1119"/>
      <c r="AR114" s="1124"/>
    </row>
    <row r="115" spans="1:44">
      <c r="A115" s="288" t="s">
        <v>370</v>
      </c>
      <c r="B115" s="288"/>
      <c r="C115" s="21">
        <v>0</v>
      </c>
      <c r="D115" s="289">
        <f>'Rate Design Work eff 10-14-16'!D114</f>
        <v>-1.71</v>
      </c>
      <c r="E115" s="288"/>
      <c r="F115" s="2">
        <v>0</v>
      </c>
      <c r="G115" s="289">
        <f ca="1">-G111</f>
        <v>-1.74</v>
      </c>
      <c r="H115" s="288"/>
      <c r="I115" s="2">
        <f ca="1">ROUND(G115*$C115,0)</f>
        <v>0</v>
      </c>
      <c r="J115" s="2"/>
      <c r="K115" s="289" t="str">
        <f>K94</f>
        <v xml:space="preserve"> </v>
      </c>
      <c r="L115" s="288"/>
      <c r="M115" s="2">
        <f>'Rate Design Work eff 10-14-16'!M114</f>
        <v>0</v>
      </c>
      <c r="N115" s="2"/>
      <c r="O115" s="286" t="str">
        <f t="shared" si="18"/>
        <v xml:space="preserve"> </v>
      </c>
      <c r="P115" s="288"/>
      <c r="Q115" s="2">
        <f>'Rate Design Work eff 10-14-16'!Q114</f>
        <v>0</v>
      </c>
      <c r="R115" s="2"/>
      <c r="S115" s="289">
        <f ca="1">-S111</f>
        <v>-1.74</v>
      </c>
      <c r="T115" s="288"/>
      <c r="U115" s="2">
        <f ca="1">'Rate Design Work eff 10-14-16'!U114</f>
        <v>0</v>
      </c>
      <c r="V115" s="20"/>
      <c r="W115" s="74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371</v>
      </c>
      <c r="B116" s="290"/>
      <c r="C116" s="21">
        <f>SUM(C109:C110)</f>
        <v>1458819375.6896901</v>
      </c>
      <c r="D116" s="953"/>
      <c r="E116" s="2"/>
      <c r="F116" s="2">
        <f>SUM(F108:F115)</f>
        <v>132668159</v>
      </c>
      <c r="G116" s="2"/>
      <c r="H116" s="2"/>
      <c r="I116" s="2">
        <f ca="1">SUM(I108:I115)</f>
        <v>134947011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 ca="1">SUM(U108:U115)</f>
        <v>#DIV/0!</v>
      </c>
      <c r="V116" s="20"/>
      <c r="W116" s="51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>
      <c r="A117" s="1" t="s">
        <v>353</v>
      </c>
      <c r="B117" s="292"/>
      <c r="C117" s="302">
        <f>'Table 2'!H13+'Table 2'!H17</f>
        <v>18426169.205008153</v>
      </c>
      <c r="D117" s="294"/>
      <c r="E117" s="294"/>
      <c r="F117" s="295">
        <f>'Table 3'!E13+'Table 3'!E17</f>
        <v>1871290.0371091876</v>
      </c>
      <c r="G117" s="294"/>
      <c r="H117" s="294"/>
      <c r="I117" s="295">
        <f>F117</f>
        <v>1871290.0371091876</v>
      </c>
      <c r="J117" s="51"/>
      <c r="K117" s="294"/>
      <c r="L117" s="294"/>
      <c r="M117" s="295" t="e">
        <f>I117/$I$100*$M$100</f>
        <v>#DIV/0!</v>
      </c>
      <c r="N117" s="51"/>
      <c r="O117" s="294"/>
      <c r="P117" s="294"/>
      <c r="Q117" s="295" t="e">
        <f>I117/$I$100*$Q$100</f>
        <v>#DIV/0!</v>
      </c>
      <c r="R117" s="51"/>
      <c r="S117" s="294"/>
      <c r="T117" s="294"/>
      <c r="U117" s="295" t="e">
        <f>I117/$I$100*$U$100</f>
        <v>#DIV/0!</v>
      </c>
      <c r="V117" s="429"/>
      <c r="W117" s="272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Bot="1">
      <c r="A118" s="1" t="s">
        <v>372</v>
      </c>
      <c r="B118" s="1"/>
      <c r="C118" s="296">
        <f>C116+C117</f>
        <v>1477245544.8946984</v>
      </c>
      <c r="D118" s="297"/>
      <c r="E118" s="297"/>
      <c r="F118" s="297">
        <f>SUM(F116:F117)</f>
        <v>134539449.0371092</v>
      </c>
      <c r="G118" s="297"/>
      <c r="H118" s="297"/>
      <c r="I118" s="297">
        <f ca="1">I116+I117</f>
        <v>136818301.0371092</v>
      </c>
      <c r="J118" s="51"/>
      <c r="K118" s="297"/>
      <c r="L118" s="297"/>
      <c r="M118" s="297" t="e">
        <f>M116+M117</f>
        <v>#DIV/0!</v>
      </c>
      <c r="N118" s="297"/>
      <c r="O118" s="297"/>
      <c r="P118" s="297"/>
      <c r="Q118" s="297" t="e">
        <f>Q116+Q117</f>
        <v>#DIV/0!</v>
      </c>
      <c r="R118" s="297"/>
      <c r="S118" s="297"/>
      <c r="T118" s="297"/>
      <c r="U118" s="297" t="e">
        <f ca="1">U116+$U$117</f>
        <v>#DIV/0!</v>
      </c>
      <c r="V118" s="396"/>
      <c r="W118" s="455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 ht="16.5" thickTop="1">
      <c r="A119" s="1"/>
      <c r="B119" s="298"/>
      <c r="C119" s="21"/>
      <c r="D119" s="1" t="s">
        <v>31</v>
      </c>
      <c r="E119" s="1"/>
      <c r="F119" s="84" t="s">
        <v>31</v>
      </c>
      <c r="G119" s="1" t="s">
        <v>31</v>
      </c>
      <c r="H119" s="1"/>
      <c r="I119" s="2" t="s">
        <v>31</v>
      </c>
      <c r="J119" s="2"/>
      <c r="K119" s="1" t="s">
        <v>31</v>
      </c>
      <c r="L119" s="1"/>
      <c r="M119" s="2" t="s">
        <v>31</v>
      </c>
      <c r="N119" s="2"/>
      <c r="O119" s="1" t="s">
        <v>31</v>
      </c>
      <c r="P119" s="1"/>
      <c r="Q119" s="2" t="s">
        <v>31</v>
      </c>
      <c r="R119" s="2"/>
      <c r="S119" s="1" t="s">
        <v>31</v>
      </c>
      <c r="T119" s="1"/>
      <c r="U119" s="2" t="s">
        <v>31</v>
      </c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278" t="s">
        <v>374</v>
      </c>
      <c r="B120" s="1"/>
      <c r="C120" s="1" t="s">
        <v>31</v>
      </c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1" t="s">
        <v>320</v>
      </c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282"/>
      <c r="B122" s="1"/>
      <c r="C122" s="1"/>
      <c r="D122" s="21"/>
      <c r="E122" s="1"/>
      <c r="F122" s="1"/>
      <c r="G122" s="21"/>
      <c r="H122" s="1"/>
      <c r="I122" s="1"/>
      <c r="J122" s="1"/>
      <c r="K122" s="21"/>
      <c r="L122" s="1"/>
      <c r="M122" s="1"/>
      <c r="N122" s="1"/>
      <c r="O122" s="21"/>
      <c r="P122" s="1"/>
      <c r="Q122" s="1"/>
      <c r="R122" s="1"/>
      <c r="S122" s="21"/>
      <c r="T122" s="1"/>
      <c r="U122" s="1"/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360</v>
      </c>
      <c r="B123" s="1"/>
      <c r="C123" s="21">
        <f>'Rate Design Work eff 10-14-16'!C122</f>
        <v>71521.491612903294</v>
      </c>
      <c r="D123" s="283">
        <f>'Rate Design Work eff 10-14-16'!D122</f>
        <v>7.75</v>
      </c>
      <c r="E123" s="1"/>
      <c r="F123" s="2">
        <f>ROUND(D123*C123,0)</f>
        <v>554292</v>
      </c>
      <c r="G123" s="283">
        <f>D123</f>
        <v>7.75</v>
      </c>
      <c r="H123" s="1"/>
      <c r="I123" s="2">
        <f>ROUND(G123*$C123,0)</f>
        <v>554292</v>
      </c>
      <c r="J123" s="2"/>
      <c r="K123" s="283">
        <f>G123</f>
        <v>7.75</v>
      </c>
      <c r="L123" s="1"/>
      <c r="M123" s="2">
        <f>'Rate Design Work eff 10-14-16'!M122</f>
        <v>554291.56000000052</v>
      </c>
      <c r="N123" s="2"/>
      <c r="O123" s="283" t="str">
        <f>$O$89</f>
        <v xml:space="preserve"> </v>
      </c>
      <c r="P123" s="1"/>
      <c r="Q123" s="2">
        <f>'Rate Design Work eff 10-14-16'!Q122</f>
        <v>0</v>
      </c>
      <c r="R123" s="2"/>
      <c r="S123" s="283" t="str">
        <f>$S$89</f>
        <v xml:space="preserve"> </v>
      </c>
      <c r="T123" s="1"/>
      <c r="U123" s="2">
        <f>'Rate Design Work eff 10-14-16'!U122</f>
        <v>0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363</v>
      </c>
      <c r="B124" s="1"/>
      <c r="C124" s="21">
        <f>'Rate Design Work eff 10-14-16'!C123</f>
        <v>41755519.776553854</v>
      </c>
      <c r="D124" s="284">
        <f>'Rate Design Work eff 10-14-16'!D123</f>
        <v>6.4249999999999998</v>
      </c>
      <c r="E124" s="1" t="s">
        <v>364</v>
      </c>
      <c r="F124" s="2">
        <f>ROUND(C124*D124/100,0)</f>
        <v>2682792</v>
      </c>
      <c r="G124" s="284">
        <f>$G$90</f>
        <v>6.548</v>
      </c>
      <c r="H124" s="1" t="s">
        <v>364</v>
      </c>
      <c r="I124" s="2">
        <f>ROUND(G124*$C124/100,0)</f>
        <v>2734151</v>
      </c>
      <c r="J124" s="2"/>
      <c r="K124" s="284" t="e">
        <f>K90</f>
        <v>#DIV/0!</v>
      </c>
      <c r="L124" s="1" t="s">
        <v>364</v>
      </c>
      <c r="M124" s="2" t="e">
        <f>'Rate Design Work eff 10-14-16'!M123</f>
        <v>#DIV/0!</v>
      </c>
      <c r="N124" s="2"/>
      <c r="O124" s="284" t="e">
        <f>O90</f>
        <v>#DIV/0!</v>
      </c>
      <c r="P124" s="1" t="s">
        <v>364</v>
      </c>
      <c r="Q124" s="2" t="e">
        <f>'Rate Design Work eff 10-14-16'!Q123</f>
        <v>#DIV/0!</v>
      </c>
      <c r="R124" s="2"/>
      <c r="S124" s="284" t="e">
        <f ca="1">S90</f>
        <v>#DIV/0!</v>
      </c>
      <c r="T124" s="1" t="s">
        <v>364</v>
      </c>
      <c r="U124" s="2" t="e">
        <f ca="1">'Rate Design Work eff 10-14-16'!U123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365</v>
      </c>
      <c r="B125" s="1"/>
      <c r="C125" s="21">
        <f>'Rate Design Work eff 10-14-16'!C124</f>
        <v>47018320.003545634</v>
      </c>
      <c r="D125" s="284">
        <f>'Rate Design Work eff 10-14-16'!D124</f>
        <v>10.166</v>
      </c>
      <c r="E125" s="1" t="s">
        <v>364</v>
      </c>
      <c r="F125" s="2">
        <f>ROUND(C125*D125/100,0)</f>
        <v>4779882</v>
      </c>
      <c r="G125" s="284">
        <f>$G$91</f>
        <v>10.35</v>
      </c>
      <c r="H125" s="1" t="s">
        <v>364</v>
      </c>
      <c r="I125" s="2">
        <f>ROUND(G125*$C125/100,0)</f>
        <v>4866396</v>
      </c>
      <c r="J125" s="2"/>
      <c r="K125" s="284" t="e">
        <f>K91</f>
        <v>#DIV/0!</v>
      </c>
      <c r="L125" s="1" t="s">
        <v>364</v>
      </c>
      <c r="M125" s="2" t="e">
        <f>'Rate Design Work eff 10-14-16'!M124</f>
        <v>#DIV/0!</v>
      </c>
      <c r="N125" s="2"/>
      <c r="O125" s="284" t="e">
        <f>O91</f>
        <v>#DIV/0!</v>
      </c>
      <c r="P125" s="1" t="s">
        <v>364</v>
      </c>
      <c r="Q125" s="2" t="e">
        <f>'Rate Design Work eff 10-14-16'!Q124</f>
        <v>#DIV/0!</v>
      </c>
      <c r="R125" s="2"/>
      <c r="S125" s="284" t="e">
        <f ca="1">S91</f>
        <v>#DIV/0!</v>
      </c>
      <c r="T125" s="1" t="s">
        <v>364</v>
      </c>
      <c r="U125" s="2" t="e">
        <f ca="1">'Rate Design Work eff 10-14-16'!U124</f>
        <v>#DIV/0!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1" t="s">
        <v>367</v>
      </c>
      <c r="B126" s="1"/>
      <c r="C126" s="21">
        <v>0</v>
      </c>
      <c r="D126" s="286">
        <f>'Rate Design Work eff 10-14-16'!D125</f>
        <v>1.71</v>
      </c>
      <c r="E126" s="1"/>
      <c r="F126" s="2">
        <v>0</v>
      </c>
      <c r="G126" s="286">
        <f ca="1">$G$92</f>
        <v>1.74</v>
      </c>
      <c r="H126" s="1"/>
      <c r="I126" s="2">
        <f ca="1">ROUND(G126*$C126,0)</f>
        <v>0</v>
      </c>
      <c r="J126" s="2"/>
      <c r="K126" s="286">
        <v>0</v>
      </c>
      <c r="L126" s="1"/>
      <c r="M126" s="2">
        <f>'Rate Design Work eff 10-14-16'!M125</f>
        <v>0</v>
      </c>
      <c r="N126" s="2"/>
      <c r="O126" s="286">
        <v>0</v>
      </c>
      <c r="P126" s="1"/>
      <c r="Q126" s="2">
        <f>'Rate Design Work eff 10-14-16'!Q125</f>
        <v>0</v>
      </c>
      <c r="R126" s="2"/>
      <c r="S126" s="286">
        <f ca="1">S92</f>
        <v>1.74</v>
      </c>
      <c r="T126" s="1"/>
      <c r="U126" s="2">
        <f ca="1">'Rate Design Work eff 10-14-16'!U125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369</v>
      </c>
      <c r="B127" s="288"/>
      <c r="C127" s="21">
        <v>0</v>
      </c>
      <c r="D127" s="286">
        <f>'Rate Design Work eff 10-14-16'!D126</f>
        <v>3.3</v>
      </c>
      <c r="E127" s="288"/>
      <c r="F127" s="2">
        <v>0</v>
      </c>
      <c r="G127" s="286">
        <f ca="1">$G$93</f>
        <v>3.4</v>
      </c>
      <c r="H127" s="288"/>
      <c r="I127" s="2">
        <f ca="1">ROUND(G127*$C127,0)</f>
        <v>0</v>
      </c>
      <c r="J127" s="2"/>
      <c r="K127" s="286">
        <v>0</v>
      </c>
      <c r="L127" s="288"/>
      <c r="M127" s="2">
        <f>'Rate Design Work eff 10-14-16'!M126</f>
        <v>0</v>
      </c>
      <c r="N127" s="2"/>
      <c r="O127" s="286">
        <v>0</v>
      </c>
      <c r="P127" s="288"/>
      <c r="Q127" s="2">
        <f>'Rate Design Work eff 10-14-16'!Q126</f>
        <v>0</v>
      </c>
      <c r="R127" s="2"/>
      <c r="S127" s="286">
        <f ca="1">S93</f>
        <v>3.4</v>
      </c>
      <c r="T127" s="288"/>
      <c r="U127" s="2">
        <f ca="1">'Rate Design Work eff 10-14-16'!U126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>
      <c r="A128" s="288" t="s">
        <v>370</v>
      </c>
      <c r="B128" s="288"/>
      <c r="C128" s="21">
        <v>0</v>
      </c>
      <c r="D128" s="289">
        <f>'Rate Design Work eff 10-14-16'!D127</f>
        <v>-1.71</v>
      </c>
      <c r="E128" s="288"/>
      <c r="F128" s="2">
        <v>0</v>
      </c>
      <c r="G128" s="289">
        <f ca="1">-G126</f>
        <v>-1.74</v>
      </c>
      <c r="H128" s="288"/>
      <c r="I128" s="2">
        <f ca="1">ROUND(G128*$C128,0)</f>
        <v>0</v>
      </c>
      <c r="J128" s="2"/>
      <c r="K128" s="289">
        <f>-K126</f>
        <v>0</v>
      </c>
      <c r="L128" s="288"/>
      <c r="M128" s="2">
        <f>'Rate Design Work eff 10-14-16'!M127</f>
        <v>0</v>
      </c>
      <c r="N128" s="2"/>
      <c r="O128" s="289">
        <f>-O126</f>
        <v>0</v>
      </c>
      <c r="P128" s="288"/>
      <c r="Q128" s="2">
        <f>'Rate Design Work eff 10-14-16'!Q127</f>
        <v>0</v>
      </c>
      <c r="R128" s="2"/>
      <c r="S128" s="289">
        <f ca="1">-S126</f>
        <v>-1.74</v>
      </c>
      <c r="T128" s="288"/>
      <c r="U128" s="2">
        <f ca="1">'Rate Design Work eff 10-14-16'!U127</f>
        <v>0</v>
      </c>
      <c r="V128" s="20"/>
      <c r="W128" s="74"/>
      <c r="X128" s="74"/>
      <c r="Y128" s="74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R128" s="84"/>
    </row>
    <row r="129" spans="1:44" s="1118" customFormat="1" hidden="1">
      <c r="A129" s="968" t="s">
        <v>886</v>
      </c>
      <c r="C129" s="1122">
        <f>C124</f>
        <v>41755519.776553854</v>
      </c>
      <c r="D129" s="254">
        <f>'Rate Design Work eff 10-14-16'!D128</f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2">
        <f>'Rate Design Work eff 10-14-16'!M128</f>
        <v>0</v>
      </c>
      <c r="N129" s="1123"/>
      <c r="O129" s="1128" t="str">
        <f>O113</f>
        <v xml:space="preserve"> </v>
      </c>
      <c r="P129" s="1126" t="s">
        <v>364</v>
      </c>
      <c r="Q129" s="2">
        <f>'Rate Design Work eff 10-14-16'!Q128</f>
        <v>0</v>
      </c>
      <c r="R129" s="1123"/>
      <c r="S129" s="1128">
        <f>S113</f>
        <v>0</v>
      </c>
      <c r="T129" s="1126" t="s">
        <v>364</v>
      </c>
      <c r="U129" s="2">
        <f>'Rate Design Work eff 10-14-16'!U128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 s="1118" customFormat="1" hidden="1">
      <c r="A130" s="968" t="s">
        <v>887</v>
      </c>
      <c r="C130" s="1122">
        <f>C125</f>
        <v>47018320.003545634</v>
      </c>
      <c r="D130" s="254">
        <f>'Rate Design Work eff 10-14-16'!D129</f>
        <v>0</v>
      </c>
      <c r="E130" s="1119"/>
      <c r="F130" s="1123"/>
      <c r="G130" s="1128">
        <f>G114</f>
        <v>0</v>
      </c>
      <c r="H130" s="1126" t="s">
        <v>364</v>
      </c>
      <c r="I130" s="1123">
        <f>G130*C130/100</f>
        <v>0</v>
      </c>
      <c r="J130" s="1123"/>
      <c r="K130" s="1128" t="str">
        <f>K114</f>
        <v xml:space="preserve"> </v>
      </c>
      <c r="L130" s="1126" t="s">
        <v>364</v>
      </c>
      <c r="M130" s="2">
        <f>'Rate Design Work eff 10-14-16'!M129</f>
        <v>0</v>
      </c>
      <c r="N130" s="1123"/>
      <c r="O130" s="1128" t="str">
        <f>O114</f>
        <v xml:space="preserve"> </v>
      </c>
      <c r="P130" s="1126" t="s">
        <v>364</v>
      </c>
      <c r="Q130" s="2">
        <f>'Rate Design Work eff 10-14-16'!Q129</f>
        <v>0</v>
      </c>
      <c r="R130" s="1123"/>
      <c r="S130" s="1128">
        <f>S114</f>
        <v>0</v>
      </c>
      <c r="T130" s="1126" t="s">
        <v>364</v>
      </c>
      <c r="U130" s="2">
        <f>'Rate Design Work eff 10-14-16'!U129</f>
        <v>0</v>
      </c>
      <c r="W130" s="784"/>
      <c r="Z130" s="1125"/>
      <c r="AA130" s="1125"/>
      <c r="AF130" s="1119"/>
      <c r="AG130" s="1119"/>
      <c r="AH130" s="1119"/>
      <c r="AI130" s="1119"/>
      <c r="AJ130" s="1119"/>
      <c r="AK130" s="1119"/>
      <c r="AL130" s="1119"/>
      <c r="AM130" s="1119"/>
      <c r="AN130" s="1119"/>
      <c r="AO130" s="1119"/>
      <c r="AP130" s="1119"/>
      <c r="AR130" s="1124"/>
    </row>
    <row r="131" spans="1:44">
      <c r="A131" s="1" t="s">
        <v>371</v>
      </c>
      <c r="B131" s="1"/>
      <c r="C131" s="21">
        <f>SUM(C124:C125)</f>
        <v>88773839.780099481</v>
      </c>
      <c r="D131" s="953"/>
      <c r="E131" s="2"/>
      <c r="F131" s="2">
        <f>SUM(F123:F128)</f>
        <v>8016966</v>
      </c>
      <c r="G131" s="2"/>
      <c r="H131" s="2"/>
      <c r="I131" s="2">
        <f ca="1">SUM(I123:I130)</f>
        <v>8154839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 ca="1">SUM(U123:U130)</f>
        <v>#DIV/0!</v>
      </c>
      <c r="V131" s="20"/>
      <c r="W131" s="74"/>
      <c r="X131" s="74"/>
      <c r="Y131" s="74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>
      <c r="A132" s="1" t="s">
        <v>353</v>
      </c>
      <c r="B132" s="1"/>
      <c r="C132" s="302">
        <f>'Table 2'!H14</f>
        <v>1109915.5774999433</v>
      </c>
      <c r="D132" s="294"/>
      <c r="E132" s="294"/>
      <c r="F132" s="295">
        <f>'Table 3'!E14</f>
        <v>112036.90433211296</v>
      </c>
      <c r="G132" s="294"/>
      <c r="H132" s="294"/>
      <c r="I132" s="295">
        <f>F132</f>
        <v>112036.90433211296</v>
      </c>
      <c r="J132" s="51"/>
      <c r="K132" s="294"/>
      <c r="L132" s="294"/>
      <c r="M132" s="295" t="e">
        <f>I132/$I$100*$M$100</f>
        <v>#DIV/0!</v>
      </c>
      <c r="N132" s="51"/>
      <c r="O132" s="294"/>
      <c r="P132" s="294"/>
      <c r="Q132" s="295" t="e">
        <f>I132/$I$100*$Q$100</f>
        <v>#DIV/0!</v>
      </c>
      <c r="R132" s="51"/>
      <c r="S132" s="294"/>
      <c r="T132" s="294"/>
      <c r="U132" s="295" t="e">
        <f>I132/$I$100*$U$100</f>
        <v>#DIV/0!</v>
      </c>
      <c r="V132" s="429"/>
      <c r="W132" s="272"/>
      <c r="X132" s="74"/>
      <c r="Y132" s="74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Bot="1">
      <c r="A133" s="1" t="s">
        <v>372</v>
      </c>
      <c r="B133" s="1"/>
      <c r="C133" s="296">
        <f>C131+C132</f>
        <v>89883755.357599422</v>
      </c>
      <c r="D133" s="297"/>
      <c r="E133" s="297"/>
      <c r="F133" s="297">
        <f>SUM(F131:F132)</f>
        <v>8129002.9043321125</v>
      </c>
      <c r="G133" s="297"/>
      <c r="H133" s="297"/>
      <c r="I133" s="297">
        <f ca="1">I131+I132</f>
        <v>8266875.9043321125</v>
      </c>
      <c r="J133" s="51"/>
      <c r="K133" s="297"/>
      <c r="L133" s="297"/>
      <c r="M133" s="297" t="e">
        <f>M131+M132</f>
        <v>#DIV/0!</v>
      </c>
      <c r="N133" s="297"/>
      <c r="O133" s="297"/>
      <c r="P133" s="297"/>
      <c r="Q133" s="297" t="e">
        <f>Q131+Q132</f>
        <v>#DIV/0!</v>
      </c>
      <c r="R133" s="297"/>
      <c r="S133" s="297"/>
      <c r="T133" s="297"/>
      <c r="U133" s="297" t="e">
        <f ca="1">U131+U132</f>
        <v>#DIV/0!</v>
      </c>
      <c r="V133" s="396"/>
      <c r="W133" s="455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 ht="16.5" hidden="1" thickTop="1">
      <c r="A134" s="1"/>
      <c r="B134" s="298"/>
      <c r="C134" s="21"/>
      <c r="D134" s="1" t="s">
        <v>31</v>
      </c>
      <c r="E134" s="1"/>
      <c r="G134" s="1" t="s">
        <v>31</v>
      </c>
      <c r="H134" s="1"/>
      <c r="I134" s="2" t="s">
        <v>31</v>
      </c>
      <c r="J134" s="2"/>
      <c r="K134" s="1" t="s">
        <v>31</v>
      </c>
      <c r="L134" s="1"/>
      <c r="M134" s="2" t="s">
        <v>31</v>
      </c>
      <c r="N134" s="2"/>
      <c r="O134" s="1" t="s">
        <v>31</v>
      </c>
      <c r="P134" s="1"/>
      <c r="Q134" s="2" t="s">
        <v>31</v>
      </c>
      <c r="R134" s="2"/>
      <c r="S134" s="1" t="s">
        <v>31</v>
      </c>
      <c r="T134" s="1"/>
      <c r="U134" s="2" t="s">
        <v>31</v>
      </c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 hidden="1">
      <c r="A135" s="278" t="s">
        <v>375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 hidden="1">
      <c r="A136" s="1" t="s">
        <v>320</v>
      </c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 hidden="1">
      <c r="A137" s="282"/>
      <c r="B137" s="1"/>
      <c r="C137" s="1"/>
      <c r="D137" s="21"/>
      <c r="E137" s="1"/>
      <c r="F137" s="1"/>
      <c r="G137" s="21"/>
      <c r="H137" s="1"/>
      <c r="I137" s="1"/>
      <c r="J137" s="1"/>
      <c r="K137" s="21"/>
      <c r="L137" s="1"/>
      <c r="M137" s="1"/>
      <c r="N137" s="1"/>
      <c r="O137" s="21"/>
      <c r="P137" s="1"/>
      <c r="Q137" s="1"/>
      <c r="R137" s="1"/>
      <c r="S137" s="21"/>
      <c r="T137" s="1"/>
      <c r="U137" s="1"/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 hidden="1">
      <c r="A138" s="1" t="s">
        <v>360</v>
      </c>
      <c r="B138" s="1"/>
      <c r="C138" s="21">
        <f>'Rate Design Work eff 10-14-16'!C137</f>
        <v>995.23225806451603</v>
      </c>
      <c r="D138" s="283">
        <f>'Rate Design Work eff 10-14-16'!D137</f>
        <v>7.75</v>
      </c>
      <c r="E138" s="1"/>
      <c r="F138" s="2">
        <f>ROUND(D138*C138,0)</f>
        <v>7713</v>
      </c>
      <c r="G138" s="283">
        <f>$G$89</f>
        <v>7.75</v>
      </c>
      <c r="H138" s="1"/>
      <c r="I138" s="2">
        <f>ROUND(G138*$C138,0)</f>
        <v>7713</v>
      </c>
      <c r="J138" s="2"/>
      <c r="K138" s="283">
        <f>$K$89</f>
        <v>7.75</v>
      </c>
      <c r="L138" s="1"/>
      <c r="M138" s="2">
        <f>K138*$C138</f>
        <v>7713.0499999999993</v>
      </c>
      <c r="N138" s="2"/>
      <c r="O138" s="283" t="str">
        <f>$O$89</f>
        <v xml:space="preserve"> </v>
      </c>
      <c r="P138" s="1"/>
      <c r="Q138" s="2">
        <f>ROUND(O138*$C138,0)</f>
        <v>0</v>
      </c>
      <c r="R138" s="2"/>
      <c r="S138" s="283" t="str">
        <f>$S$89</f>
        <v xml:space="preserve"> </v>
      </c>
      <c r="T138" s="1"/>
      <c r="U138" s="2">
        <f>ROUND(S138*$C138,0)</f>
        <v>0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 hidden="1">
      <c r="A139" s="1" t="s">
        <v>363</v>
      </c>
      <c r="B139" s="1"/>
      <c r="C139" s="21">
        <f>'Rate Design Work eff 10-14-16'!C138</f>
        <v>563242.07586769864</v>
      </c>
      <c r="D139" s="284">
        <f>'Rate Design Work eff 10-14-16'!D138</f>
        <v>6.4249999999999998</v>
      </c>
      <c r="E139" s="1" t="s">
        <v>364</v>
      </c>
      <c r="F139" s="2">
        <f>ROUND(C139*D139/100,0)</f>
        <v>36188</v>
      </c>
      <c r="G139" s="284">
        <f>$G$90</f>
        <v>6.548</v>
      </c>
      <c r="H139" s="1" t="s">
        <v>364</v>
      </c>
      <c r="I139" s="2">
        <f>ROUND(G139*$C139/100,0)</f>
        <v>36881</v>
      </c>
      <c r="J139" s="2"/>
      <c r="K139" s="284" t="e">
        <f>K90</f>
        <v>#DIV/0!</v>
      </c>
      <c r="L139" s="1" t="s">
        <v>364</v>
      </c>
      <c r="M139" s="2" t="e">
        <f>K139*$C139/100</f>
        <v>#DIV/0!</v>
      </c>
      <c r="N139" s="2"/>
      <c r="O139" s="284" t="e">
        <f>O90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S90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 hidden="1">
      <c r="A140" s="1" t="s">
        <v>365</v>
      </c>
      <c r="B140" s="1"/>
      <c r="C140" s="21">
        <f>'Rate Design Work eff 10-14-16'!C139</f>
        <v>1663533.139932974</v>
      </c>
      <c r="D140" s="284">
        <f>'Rate Design Work eff 10-14-16'!D139</f>
        <v>10.166</v>
      </c>
      <c r="E140" s="1" t="s">
        <v>364</v>
      </c>
      <c r="F140" s="2">
        <f>ROUND(C140*D140/100,0)</f>
        <v>169115</v>
      </c>
      <c r="G140" s="284">
        <f>$G$91</f>
        <v>10.35</v>
      </c>
      <c r="H140" s="1" t="s">
        <v>364</v>
      </c>
      <c r="I140" s="2">
        <f>ROUND(G140*$C140/100,0)</f>
        <v>172176</v>
      </c>
      <c r="J140" s="2"/>
      <c r="K140" s="284" t="e">
        <f>K110</f>
        <v>#DIV/0!</v>
      </c>
      <c r="L140" s="1" t="s">
        <v>364</v>
      </c>
      <c r="M140" s="2" t="e">
        <f>K140*$C140/100</f>
        <v>#DIV/0!</v>
      </c>
      <c r="N140" s="2"/>
      <c r="O140" s="284" t="e">
        <f>O110</f>
        <v>#DIV/0!</v>
      </c>
      <c r="P140" s="1" t="s">
        <v>364</v>
      </c>
      <c r="Q140" s="2" t="e">
        <f>ROUND(O140*$C140/100,0)</f>
        <v>#DIV/0!</v>
      </c>
      <c r="R140" s="2"/>
      <c r="S140" s="284" t="e">
        <f ca="1">S110</f>
        <v>#DIV/0!</v>
      </c>
      <c r="T140" s="1" t="s">
        <v>364</v>
      </c>
      <c r="U140" s="2" t="e">
        <f ca="1">ROUND(S140*$C140/100,0)</f>
        <v>#DIV/0!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 hidden="1">
      <c r="A141" s="1" t="s">
        <v>367</v>
      </c>
      <c r="B141" s="1"/>
      <c r="C141" s="21">
        <f>'Rate Design Work eff 10-14-16'!C140</f>
        <v>4598.5</v>
      </c>
      <c r="D141" s="286">
        <f>'Rate Design Work eff 10-14-16'!D140</f>
        <v>1.71</v>
      </c>
      <c r="E141" s="1"/>
      <c r="F141" s="2">
        <f>ROUND(D141*C141,0)</f>
        <v>7863</v>
      </c>
      <c r="G141" s="286">
        <f ca="1">$G$92</f>
        <v>1.74</v>
      </c>
      <c r="H141" s="1"/>
      <c r="I141" s="2">
        <f ca="1">ROUND(G141*$C141,0)</f>
        <v>8001</v>
      </c>
      <c r="J141" s="2"/>
      <c r="K141" s="286">
        <v>0</v>
      </c>
      <c r="L141" s="1"/>
      <c r="M141" s="2">
        <f>ROUND(K141*$C141,0)</f>
        <v>0</v>
      </c>
      <c r="N141" s="2"/>
      <c r="O141" s="286">
        <v>0</v>
      </c>
      <c r="P141" s="1"/>
      <c r="Q141" s="2">
        <f>ROUND(O141*$C141,0)</f>
        <v>0</v>
      </c>
      <c r="R141" s="2"/>
      <c r="S141" s="286">
        <f ca="1">S92</f>
        <v>1.74</v>
      </c>
      <c r="T141" s="1"/>
      <c r="U141" s="2">
        <f ca="1">ROUND(S141*$C141,0)</f>
        <v>8001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 hidden="1">
      <c r="A142" s="288" t="s">
        <v>369</v>
      </c>
      <c r="B142" s="288"/>
      <c r="C142" s="21">
        <f>'Rate Design Work eff 10-14-16'!C141</f>
        <v>605</v>
      </c>
      <c r="D142" s="286">
        <f>'Rate Design Work eff 10-14-16'!D141</f>
        <v>3.3</v>
      </c>
      <c r="E142" s="288"/>
      <c r="F142" s="2">
        <f>ROUND(D142*C142,0)</f>
        <v>1997</v>
      </c>
      <c r="G142" s="286">
        <f ca="1">$G$93</f>
        <v>3.4</v>
      </c>
      <c r="H142" s="288"/>
      <c r="I142" s="2">
        <f ca="1">ROUND(G142*$C142,0)</f>
        <v>2057</v>
      </c>
      <c r="J142" s="2"/>
      <c r="K142" s="286">
        <v>0</v>
      </c>
      <c r="L142" s="288"/>
      <c r="M142" s="2">
        <f>ROUND(K142*$C142,0)</f>
        <v>0</v>
      </c>
      <c r="N142" s="2"/>
      <c r="O142" s="286">
        <v>0</v>
      </c>
      <c r="P142" s="288"/>
      <c r="Q142" s="2">
        <f>ROUND(O142*$C142,0)</f>
        <v>0</v>
      </c>
      <c r="R142" s="2"/>
      <c r="S142" s="286">
        <f ca="1">S93</f>
        <v>3.4</v>
      </c>
      <c r="T142" s="288"/>
      <c r="U142" s="2">
        <f ca="1">ROUND(S142*$C142,0)</f>
        <v>2057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hidden="1">
      <c r="A143" s="288" t="s">
        <v>370</v>
      </c>
      <c r="B143" s="288"/>
      <c r="C143" s="21">
        <f>'Rate Design Work eff 10-14-16'!C142</f>
        <v>55.5</v>
      </c>
      <c r="D143" s="289">
        <f>'Rate Design Work eff 10-14-16'!D142</f>
        <v>-1.71</v>
      </c>
      <c r="E143" s="288"/>
      <c r="F143" s="2">
        <f>ROUND(D143*C143,0)</f>
        <v>-95</v>
      </c>
      <c r="G143" s="289">
        <f ca="1">-G141</f>
        <v>-1.74</v>
      </c>
      <c r="H143" s="288"/>
      <c r="I143" s="2">
        <f ca="1">ROUND(G143*$C143,0)</f>
        <v>-97</v>
      </c>
      <c r="J143" s="2"/>
      <c r="K143" s="289">
        <f>-K141</f>
        <v>0</v>
      </c>
      <c r="L143" s="288"/>
      <c r="M143" s="2">
        <f>ROUND(K143*$C143,0)</f>
        <v>0</v>
      </c>
      <c r="N143" s="2"/>
      <c r="O143" s="289">
        <f>-O141</f>
        <v>0</v>
      </c>
      <c r="P143" s="288"/>
      <c r="Q143" s="2">
        <f>ROUND(O143*$C143,0)</f>
        <v>0</v>
      </c>
      <c r="R143" s="2"/>
      <c r="S143" s="289">
        <f ca="1">-S141</f>
        <v>-1.74</v>
      </c>
      <c r="T143" s="288"/>
      <c r="U143" s="2">
        <f ca="1">ROUND(S143*$C143,0)</f>
        <v>-97</v>
      </c>
      <c r="V143" s="20"/>
      <c r="W143" s="74"/>
      <c r="X143" s="74"/>
      <c r="Y143" s="74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R143" s="84"/>
    </row>
    <row r="144" spans="1:44" s="1118" customFormat="1" hidden="1">
      <c r="A144" s="968" t="s">
        <v>886</v>
      </c>
      <c r="C144" s="1122">
        <f>C139</f>
        <v>563242.07586769864</v>
      </c>
      <c r="D144" s="254">
        <f>'Rate Design Work eff 10-14-16'!D143</f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 t="str">
        <f>O129</f>
        <v xml:space="preserve"> 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 s="1118" customFormat="1" hidden="1">
      <c r="A145" s="968" t="s">
        <v>887</v>
      </c>
      <c r="C145" s="1122">
        <f>C140</f>
        <v>1663533.139932974</v>
      </c>
      <c r="D145" s="254">
        <f>'Rate Design Work eff 10-14-16'!D144</f>
        <v>0</v>
      </c>
      <c r="E145" s="1119"/>
      <c r="F145" s="1123"/>
      <c r="G145" s="1128">
        <f>G130</f>
        <v>0</v>
      </c>
      <c r="H145" s="1126" t="s">
        <v>364</v>
      </c>
      <c r="I145" s="1123">
        <f>G145*C145/100</f>
        <v>0</v>
      </c>
      <c r="J145" s="1123"/>
      <c r="K145" s="1128" t="str">
        <f>K130</f>
        <v xml:space="preserve"> </v>
      </c>
      <c r="L145" s="1126" t="s">
        <v>364</v>
      </c>
      <c r="M145" s="1123">
        <f>K145*C145/100</f>
        <v>0</v>
      </c>
      <c r="N145" s="1123"/>
      <c r="O145" s="1128" t="str">
        <f>O130</f>
        <v xml:space="preserve"> </v>
      </c>
      <c r="P145" s="1126" t="s">
        <v>364</v>
      </c>
      <c r="Q145" s="1123">
        <f>O145*C145/100</f>
        <v>0</v>
      </c>
      <c r="R145" s="1123"/>
      <c r="S145" s="1128">
        <f>S130</f>
        <v>0</v>
      </c>
      <c r="T145" s="1126" t="s">
        <v>364</v>
      </c>
      <c r="U145" s="1123">
        <f>S145*C145/100</f>
        <v>0</v>
      </c>
      <c r="W145" s="784"/>
      <c r="Z145" s="1125"/>
      <c r="AA145" s="1125"/>
      <c r="AF145" s="1119"/>
      <c r="AG145" s="1119"/>
      <c r="AH145" s="1119"/>
      <c r="AI145" s="1119"/>
      <c r="AJ145" s="1119"/>
      <c r="AK145" s="1119"/>
      <c r="AL145" s="1119"/>
      <c r="AM145" s="1119"/>
      <c r="AN145" s="1119"/>
      <c r="AO145" s="1119"/>
      <c r="AP145" s="1119"/>
      <c r="AR145" s="1124"/>
    </row>
    <row r="146" spans="1:44" hidden="1">
      <c r="A146" s="1" t="s">
        <v>371</v>
      </c>
      <c r="B146" s="290"/>
      <c r="C146" s="21">
        <f>SUM(C139:C140)</f>
        <v>2226775.2158006728</v>
      </c>
      <c r="D146" s="953"/>
      <c r="E146" s="2"/>
      <c r="F146" s="2">
        <f>SUM(F138:F143)</f>
        <v>222781</v>
      </c>
      <c r="G146" s="2"/>
      <c r="H146" s="2"/>
      <c r="I146" s="2">
        <f ca="1">SUM(I138:I145)</f>
        <v>226731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 ca="1">SUM(U138:U145)</f>
        <v>#DIV/0!</v>
      </c>
      <c r="V146" s="20"/>
      <c r="W146" s="74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idden="1">
      <c r="A147" s="1" t="s">
        <v>353</v>
      </c>
      <c r="B147" s="25"/>
      <c r="C147" s="302">
        <f>'Table 2'!H15</f>
        <v>28355.575910563297</v>
      </c>
      <c r="D147" s="294"/>
      <c r="E147" s="294"/>
      <c r="F147" s="295">
        <f>'Table 3'!E15</f>
        <v>3166.5031041856219</v>
      </c>
      <c r="G147" s="294"/>
      <c r="H147" s="294"/>
      <c r="I147" s="295">
        <f>F147</f>
        <v>3166.5031041856219</v>
      </c>
      <c r="J147" s="51"/>
      <c r="K147" s="294"/>
      <c r="L147" s="294"/>
      <c r="M147" s="295" t="e">
        <f>I147/$I$100*$M$100</f>
        <v>#DIV/0!</v>
      </c>
      <c r="N147" s="51"/>
      <c r="O147" s="294"/>
      <c r="P147" s="294"/>
      <c r="Q147" s="295" t="e">
        <f>I147/$I$100*$Q$100</f>
        <v>#DIV/0!</v>
      </c>
      <c r="R147" s="51"/>
      <c r="S147" s="294"/>
      <c r="T147" s="294"/>
      <c r="U147" s="295" t="e">
        <f>I147/$I$100*$U$100</f>
        <v>#DIV/0!</v>
      </c>
      <c r="V147" s="429"/>
      <c r="W147" s="272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hidden="1" thickBot="1">
      <c r="A148" s="1" t="s">
        <v>372</v>
      </c>
      <c r="B148" s="1"/>
      <c r="C148" s="296">
        <f>C146+C147</f>
        <v>2255130.7917112359</v>
      </c>
      <c r="D148" s="297"/>
      <c r="E148" s="297"/>
      <c r="F148" s="297">
        <f>F146+F147</f>
        <v>225947.50310418563</v>
      </c>
      <c r="G148" s="297"/>
      <c r="H148" s="297"/>
      <c r="I148" s="297">
        <f ca="1">I146+I147</f>
        <v>229897.50310418563</v>
      </c>
      <c r="J148" s="51"/>
      <c r="K148" s="297"/>
      <c r="L148" s="297"/>
      <c r="M148" s="297" t="e">
        <f>M146+M147</f>
        <v>#DIV/0!</v>
      </c>
      <c r="N148" s="297"/>
      <c r="O148" s="297"/>
      <c r="P148" s="297"/>
      <c r="Q148" s="297" t="e">
        <f>Q146+Q147</f>
        <v>#DIV/0!</v>
      </c>
      <c r="R148" s="297"/>
      <c r="S148" s="297"/>
      <c r="T148" s="297"/>
      <c r="U148" s="297" t="e">
        <f ca="1">U146+U147</f>
        <v>#DIV/0!</v>
      </c>
      <c r="V148" s="396"/>
      <c r="W148" s="455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 ht="16.5" hidden="1" thickTop="1">
      <c r="A149" s="1"/>
      <c r="B149" s="298"/>
      <c r="C149" s="21"/>
      <c r="D149" s="1" t="s">
        <v>31</v>
      </c>
      <c r="E149" s="1"/>
      <c r="G149" s="1" t="s">
        <v>31</v>
      </c>
      <c r="H149" s="1"/>
      <c r="I149" s="2" t="s">
        <v>31</v>
      </c>
      <c r="J149" s="2"/>
      <c r="K149" s="1" t="s">
        <v>31</v>
      </c>
      <c r="L149" s="1"/>
      <c r="M149" s="2" t="s">
        <v>31</v>
      </c>
      <c r="N149" s="2"/>
      <c r="O149" s="1" t="s">
        <v>31</v>
      </c>
      <c r="P149" s="1"/>
      <c r="Q149" s="2" t="s">
        <v>31</v>
      </c>
      <c r="R149" s="2"/>
      <c r="S149" s="1" t="s">
        <v>31</v>
      </c>
      <c r="T149" s="1"/>
      <c r="U149" s="2" t="s">
        <v>31</v>
      </c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 hidden="1">
      <c r="A150" s="278" t="s">
        <v>376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 hidden="1">
      <c r="A151" s="1" t="s">
        <v>320</v>
      </c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 hidden="1">
      <c r="A152" s="282"/>
      <c r="B152" s="1"/>
      <c r="C152" s="1"/>
      <c r="D152" s="21"/>
      <c r="E152" s="1"/>
      <c r="F152" s="1"/>
      <c r="G152" s="21"/>
      <c r="H152" s="1"/>
      <c r="I152" s="1"/>
      <c r="J152" s="1"/>
      <c r="K152" s="21"/>
      <c r="L152" s="1"/>
      <c r="M152" s="1"/>
      <c r="N152" s="1"/>
      <c r="O152" s="21"/>
      <c r="P152" s="1"/>
      <c r="Q152" s="1"/>
      <c r="R152" s="1"/>
      <c r="S152" s="21"/>
      <c r="T152" s="1"/>
      <c r="U152" s="1"/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 hidden="1">
      <c r="A153" s="1" t="s">
        <v>360</v>
      </c>
      <c r="B153" s="1"/>
      <c r="C153" s="21">
        <f>'Rate Design Work eff 10-14-16'!C152</f>
        <v>205</v>
      </c>
      <c r="D153" s="283">
        <f>'Rate Design Work eff 10-14-16'!D152</f>
        <v>7.75</v>
      </c>
      <c r="E153" s="1"/>
      <c r="F153" s="2">
        <f>ROUND(D153*C153,0)</f>
        <v>1589</v>
      </c>
      <c r="G153" s="283">
        <f>$G$89</f>
        <v>7.75</v>
      </c>
      <c r="H153" s="1"/>
      <c r="I153" s="2">
        <f>ROUND(G153*$C153,0)</f>
        <v>1589</v>
      </c>
      <c r="J153" s="2"/>
      <c r="K153" s="283">
        <f>$K$89</f>
        <v>7.75</v>
      </c>
      <c r="L153" s="1"/>
      <c r="M153" s="2">
        <f>K153*$C153</f>
        <v>1588.75</v>
      </c>
      <c r="N153" s="2"/>
      <c r="O153" s="283" t="str">
        <f>$O$89</f>
        <v xml:space="preserve"> </v>
      </c>
      <c r="P153" s="1"/>
      <c r="Q153" s="2">
        <f>ROUND(O153*$C153,0)</f>
        <v>0</v>
      </c>
      <c r="R153" s="2"/>
      <c r="S153" s="283" t="str">
        <f>$S$89</f>
        <v xml:space="preserve"> </v>
      </c>
      <c r="T153" s="1"/>
      <c r="U153" s="2">
        <f>ROUND(S153*$C153,0)</f>
        <v>0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 hidden="1">
      <c r="A154" s="1" t="s">
        <v>363</v>
      </c>
      <c r="B154" s="1"/>
      <c r="C154" s="21">
        <f>'Rate Design Work eff 10-14-16'!C153</f>
        <v>121486</v>
      </c>
      <c r="D154" s="284">
        <f>'Rate Design Work eff 10-14-16'!D153</f>
        <v>6.4249999999999998</v>
      </c>
      <c r="E154" s="1" t="s">
        <v>364</v>
      </c>
      <c r="F154" s="2">
        <f>ROUND(C154*D154/100,0)</f>
        <v>7805</v>
      </c>
      <c r="G154" s="284">
        <f>$G$90</f>
        <v>6.548</v>
      </c>
      <c r="H154" s="1" t="s">
        <v>364</v>
      </c>
      <c r="I154" s="2">
        <f>ROUND(G154*$C154/100,0)</f>
        <v>7955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 hidden="1">
      <c r="A155" s="1" t="s">
        <v>365</v>
      </c>
      <c r="B155" s="1"/>
      <c r="C155" s="21">
        <f>'Rate Design Work eff 10-14-16'!C154</f>
        <v>275577</v>
      </c>
      <c r="D155" s="284">
        <f>'Rate Design Work eff 10-14-16'!D154</f>
        <v>10.166</v>
      </c>
      <c r="E155" s="1" t="s">
        <v>364</v>
      </c>
      <c r="F155" s="2">
        <f>ROUND(C155*D155/100,0)</f>
        <v>28015</v>
      </c>
      <c r="G155" s="284">
        <f>$G$91</f>
        <v>10.35</v>
      </c>
      <c r="H155" s="1" t="s">
        <v>364</v>
      </c>
      <c r="I155" s="2">
        <f>ROUND(G155*$C155/100,0)</f>
        <v>28522</v>
      </c>
      <c r="J155" s="2"/>
      <c r="K155" s="284" t="e">
        <f>K91</f>
        <v>#DIV/0!</v>
      </c>
      <c r="L155" s="1" t="s">
        <v>364</v>
      </c>
      <c r="M155" s="2" t="e">
        <f>K155*$C155/100</f>
        <v>#DIV/0!</v>
      </c>
      <c r="N155" s="2"/>
      <c r="O155" s="284" t="e">
        <f>O91</f>
        <v>#DIV/0!</v>
      </c>
      <c r="P155" s="1" t="s">
        <v>364</v>
      </c>
      <c r="Q155" s="2" t="e">
        <f>ROUND(O155*$C155/100,0)</f>
        <v>#DIV/0!</v>
      </c>
      <c r="R155" s="2"/>
      <c r="S155" s="284" t="e">
        <f ca="1">S91</f>
        <v>#DIV/0!</v>
      </c>
      <c r="T155" s="1" t="s">
        <v>364</v>
      </c>
      <c r="U155" s="2" t="e">
        <f ca="1">ROUND(S155*$C155/100,0)</f>
        <v>#DIV/0!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 hidden="1">
      <c r="A156" s="1" t="s">
        <v>367</v>
      </c>
      <c r="B156" s="1"/>
      <c r="C156" s="21">
        <f>'Rate Design Work eff 10-14-16'!C155</f>
        <v>707.5</v>
      </c>
      <c r="D156" s="286">
        <f>'Rate Design Work eff 10-14-16'!D155</f>
        <v>1.71</v>
      </c>
      <c r="E156" s="1"/>
      <c r="F156" s="2">
        <f>ROUND(D156*C156,0)</f>
        <v>1210</v>
      </c>
      <c r="G156" s="286">
        <f ca="1">$G$92</f>
        <v>1.74</v>
      </c>
      <c r="H156" s="1"/>
      <c r="I156" s="2">
        <f ca="1">ROUND(G156*$C156,0)</f>
        <v>1231</v>
      </c>
      <c r="J156" s="2"/>
      <c r="K156" s="286">
        <v>0</v>
      </c>
      <c r="L156" s="1"/>
      <c r="M156" s="2">
        <f>ROUND(K156*$C156,0)</f>
        <v>0</v>
      </c>
      <c r="N156" s="2"/>
      <c r="O156" s="286">
        <v>0</v>
      </c>
      <c r="P156" s="1"/>
      <c r="Q156" s="2">
        <f>ROUND(O156*$C156,0)</f>
        <v>0</v>
      </c>
      <c r="R156" s="2"/>
      <c r="S156" s="286">
        <f ca="1">S92</f>
        <v>1.74</v>
      </c>
      <c r="T156" s="1"/>
      <c r="U156" s="2">
        <f ca="1">ROUND(S156*$C156,0)</f>
        <v>1231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 hidden="1">
      <c r="A157" s="288" t="s">
        <v>369</v>
      </c>
      <c r="B157" s="288"/>
      <c r="C157" s="21">
        <f>'Rate Design Work eff 10-14-16'!C156</f>
        <v>98</v>
      </c>
      <c r="D157" s="286">
        <f>'Rate Design Work eff 10-14-16'!D156</f>
        <v>3.3</v>
      </c>
      <c r="E157" s="288"/>
      <c r="F157" s="2">
        <f>ROUND(D157*C157,0)</f>
        <v>323</v>
      </c>
      <c r="G157" s="286">
        <f ca="1">$G$93</f>
        <v>3.4</v>
      </c>
      <c r="H157" s="288"/>
      <c r="I157" s="2">
        <f ca="1">ROUND(G157*$C157,0)</f>
        <v>333</v>
      </c>
      <c r="J157" s="2"/>
      <c r="K157" s="286">
        <v>0</v>
      </c>
      <c r="L157" s="288"/>
      <c r="M157" s="2">
        <f>ROUND(K157*$C157,0)</f>
        <v>0</v>
      </c>
      <c r="N157" s="2"/>
      <c r="O157" s="286">
        <v>0</v>
      </c>
      <c r="P157" s="288"/>
      <c r="Q157" s="2">
        <f>ROUND(O157*$C157,0)</f>
        <v>0</v>
      </c>
      <c r="R157" s="2"/>
      <c r="S157" s="286">
        <f ca="1">S93</f>
        <v>3.4</v>
      </c>
      <c r="T157" s="288"/>
      <c r="U157" s="2">
        <f ca="1">ROUND(S157*$C157,0)</f>
        <v>333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hidden="1">
      <c r="A158" s="288" t="s">
        <v>370</v>
      </c>
      <c r="B158" s="288"/>
      <c r="C158" s="21">
        <f>'Rate Design Work eff 10-14-16'!C157</f>
        <v>15</v>
      </c>
      <c r="D158" s="289">
        <f>'Rate Design Work eff 10-14-16'!D157</f>
        <v>-1.71</v>
      </c>
      <c r="E158" s="288"/>
      <c r="F158" s="2">
        <f>ROUND(D158*C158,0)</f>
        <v>-26</v>
      </c>
      <c r="G158" s="289">
        <f ca="1">-G156</f>
        <v>-1.74</v>
      </c>
      <c r="H158" s="288"/>
      <c r="I158" s="2">
        <f ca="1">ROUND(G158*$C158,0)</f>
        <v>-26</v>
      </c>
      <c r="J158" s="2"/>
      <c r="K158" s="289">
        <f>-K156</f>
        <v>0</v>
      </c>
      <c r="L158" s="288"/>
      <c r="M158" s="2">
        <f>ROUND(K158*$C158,0)</f>
        <v>0</v>
      </c>
      <c r="N158" s="2"/>
      <c r="O158" s="289">
        <f>-O156</f>
        <v>0</v>
      </c>
      <c r="P158" s="288"/>
      <c r="Q158" s="2">
        <f>ROUND(O158*$C158,0)</f>
        <v>0</v>
      </c>
      <c r="R158" s="2"/>
      <c r="S158" s="289">
        <f ca="1">-S156</f>
        <v>-1.74</v>
      </c>
      <c r="T158" s="288"/>
      <c r="U158" s="2">
        <f ca="1">ROUND(S158*$C158,0)</f>
        <v>-26</v>
      </c>
      <c r="V158" s="20"/>
      <c r="W158" s="74"/>
      <c r="X158" s="74"/>
      <c r="Y158" s="74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R158" s="84"/>
    </row>
    <row r="159" spans="1:44" s="1118" customFormat="1" hidden="1">
      <c r="A159" s="968" t="s">
        <v>886</v>
      </c>
      <c r="C159" s="1122">
        <f>C154</f>
        <v>121486</v>
      </c>
      <c r="D159" s="254">
        <f>'Rate Design Work eff 10-14-16'!D158</f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 t="str">
        <f>O144</f>
        <v xml:space="preserve"> 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 s="1118" customFormat="1" hidden="1">
      <c r="A160" s="968" t="s">
        <v>887</v>
      </c>
      <c r="C160" s="1122">
        <f>C155</f>
        <v>275577</v>
      </c>
      <c r="D160" s="254">
        <f>'Rate Design Work eff 10-14-16'!D159</f>
        <v>0</v>
      </c>
      <c r="E160" s="1119"/>
      <c r="F160" s="1123"/>
      <c r="G160" s="1128">
        <f>G145</f>
        <v>0</v>
      </c>
      <c r="H160" s="1126" t="s">
        <v>364</v>
      </c>
      <c r="I160" s="1123">
        <f>G160*C160/100</f>
        <v>0</v>
      </c>
      <c r="J160" s="1123"/>
      <c r="K160" s="1128" t="str">
        <f>K145</f>
        <v xml:space="preserve"> </v>
      </c>
      <c r="L160" s="1126" t="s">
        <v>364</v>
      </c>
      <c r="M160" s="1123">
        <f>K160*C160/100</f>
        <v>0</v>
      </c>
      <c r="N160" s="1123"/>
      <c r="O160" s="1128" t="str">
        <f>O145</f>
        <v xml:space="preserve"> </v>
      </c>
      <c r="P160" s="1126" t="s">
        <v>364</v>
      </c>
      <c r="Q160" s="1123">
        <f>O160*C160/100</f>
        <v>0</v>
      </c>
      <c r="R160" s="1123"/>
      <c r="S160" s="1128">
        <f>S145</f>
        <v>0</v>
      </c>
      <c r="T160" s="1126" t="s">
        <v>364</v>
      </c>
      <c r="U160" s="1123">
        <f>S160*C160/100</f>
        <v>0</v>
      </c>
      <c r="W160" s="784"/>
      <c r="Z160" s="1125"/>
      <c r="AA160" s="1125"/>
      <c r="AF160" s="1119"/>
      <c r="AG160" s="1119"/>
      <c r="AH160" s="1119"/>
      <c r="AI160" s="1119"/>
      <c r="AJ160" s="1119"/>
      <c r="AK160" s="1119"/>
      <c r="AL160" s="1119"/>
      <c r="AM160" s="1119"/>
      <c r="AN160" s="1119"/>
      <c r="AO160" s="1119"/>
      <c r="AP160" s="1119"/>
      <c r="AR160" s="1124"/>
    </row>
    <row r="161" spans="1:51" hidden="1">
      <c r="A161" s="1" t="s">
        <v>371</v>
      </c>
      <c r="B161" s="1"/>
      <c r="C161" s="21">
        <f>SUM(C154:C155)</f>
        <v>397063</v>
      </c>
      <c r="D161" s="953"/>
      <c r="E161" s="2"/>
      <c r="F161" s="2">
        <f>SUM(F153:F158)</f>
        <v>38916</v>
      </c>
      <c r="G161" s="2"/>
      <c r="H161" s="2"/>
      <c r="I161" s="2">
        <f ca="1">SUM(I153:I160)</f>
        <v>39604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 ca="1">SUM(U153:U160)</f>
        <v>#DIV/0!</v>
      </c>
      <c r="V161" s="20"/>
      <c r="W161" s="74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idden="1">
      <c r="A162" s="1" t="s">
        <v>353</v>
      </c>
      <c r="B162" s="1"/>
      <c r="C162" s="302">
        <f>'Table 2'!H16</f>
        <v>5143.445167760472</v>
      </c>
      <c r="D162" s="294"/>
      <c r="E162" s="294"/>
      <c r="F162" s="295">
        <f>'Table 3'!E16</f>
        <v>561.58818784280481</v>
      </c>
      <c r="G162" s="294"/>
      <c r="H162" s="294"/>
      <c r="I162" s="295">
        <f>F162</f>
        <v>561.58818784280481</v>
      </c>
      <c r="J162" s="51"/>
      <c r="K162" s="294"/>
      <c r="L162" s="294"/>
      <c r="M162" s="295" t="e">
        <f>I162/$I$100*$M$100</f>
        <v>#DIV/0!</v>
      </c>
      <c r="N162" s="51"/>
      <c r="O162" s="294"/>
      <c r="P162" s="294"/>
      <c r="Q162" s="295" t="e">
        <f>I162/$I$100*$Q$100</f>
        <v>#DIV/0!</v>
      </c>
      <c r="R162" s="51"/>
      <c r="S162" s="294"/>
      <c r="T162" s="294"/>
      <c r="U162" s="295" t="e">
        <f>I162/$I$100*$U$100</f>
        <v>#DIV/0!</v>
      </c>
      <c r="V162" s="429"/>
      <c r="W162" s="272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hidden="1" thickBot="1">
      <c r="A163" s="1" t="s">
        <v>372</v>
      </c>
      <c r="B163" s="1"/>
      <c r="C163" s="296">
        <f>C161+C162</f>
        <v>402206.44516776048</v>
      </c>
      <c r="D163" s="297"/>
      <c r="E163" s="297"/>
      <c r="F163" s="297">
        <f>F161+F162</f>
        <v>39477.588187842804</v>
      </c>
      <c r="G163" s="297"/>
      <c r="H163" s="297"/>
      <c r="I163" s="297">
        <f ca="1">I161+I162</f>
        <v>40165.588187842804</v>
      </c>
      <c r="J163" s="51"/>
      <c r="K163" s="297"/>
      <c r="L163" s="297"/>
      <c r="M163" s="297" t="e">
        <f>M161+M162</f>
        <v>#DIV/0!</v>
      </c>
      <c r="N163" s="297"/>
      <c r="O163" s="297"/>
      <c r="P163" s="297"/>
      <c r="Q163" s="297" t="e">
        <f>Q161+Q162</f>
        <v>#DIV/0!</v>
      </c>
      <c r="R163" s="297"/>
      <c r="S163" s="297"/>
      <c r="T163" s="297"/>
      <c r="U163" s="297" t="e">
        <f ca="1">U161+U162</f>
        <v>#DIV/0!</v>
      </c>
      <c r="V163" s="396"/>
      <c r="W163" s="455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 ht="16.5" hidden="1" thickTop="1">
      <c r="A164" s="1"/>
      <c r="B164" s="298"/>
      <c r="C164" s="21"/>
      <c r="D164" s="1" t="s">
        <v>31</v>
      </c>
      <c r="E164" s="1"/>
      <c r="G164" s="1" t="s">
        <v>31</v>
      </c>
      <c r="H164" s="1"/>
      <c r="I164" s="2" t="s">
        <v>31</v>
      </c>
      <c r="J164" s="2"/>
      <c r="K164" s="1" t="s">
        <v>31</v>
      </c>
      <c r="L164" s="1"/>
      <c r="M164" s="2" t="s">
        <v>31</v>
      </c>
      <c r="N164" s="2"/>
      <c r="O164" s="1" t="s">
        <v>31</v>
      </c>
      <c r="P164" s="1"/>
      <c r="Q164" s="2" t="s">
        <v>31</v>
      </c>
      <c r="R164" s="2"/>
      <c r="S164" s="1" t="s">
        <v>31</v>
      </c>
      <c r="T164" s="1"/>
      <c r="U164" s="2" t="s">
        <v>31</v>
      </c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 ht="16.5" thickTop="1">
      <c r="A165" s="278" t="s">
        <v>377</v>
      </c>
      <c r="B165" s="1"/>
      <c r="C165" s="1" t="s">
        <v>31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 t="s">
        <v>378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W166" s="74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X167" s="74"/>
      <c r="Y167" s="74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379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20"/>
      <c r="W168" s="74"/>
      <c r="X168" s="766" t="s">
        <v>625</v>
      </c>
      <c r="Y168" s="766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R168" s="84"/>
    </row>
    <row r="169" spans="1:51">
      <c r="A169" s="1" t="s">
        <v>380</v>
      </c>
      <c r="B169" s="1"/>
      <c r="C169" s="21">
        <f>C492</f>
        <v>2</v>
      </c>
      <c r="D169" s="283">
        <f>'Rate Design Work eff 10-14-16'!D168</f>
        <v>115.19999999999999</v>
      </c>
      <c r="E169" s="1"/>
      <c r="F169" s="2">
        <f t="shared" ref="F169:F171" si="19">F457</f>
        <v>230</v>
      </c>
      <c r="G169" s="286">
        <f ca="1">'Rate Design Work eff 10-14-16'!G168</f>
        <v>117.12</v>
      </c>
      <c r="H169" s="1"/>
      <c r="I169" s="2">
        <f ca="1">I457</f>
        <v>234</v>
      </c>
      <c r="J169" s="2"/>
      <c r="K169" s="286">
        <f ca="1">'Rate Design Work eff 10-14-16'!K168</f>
        <v>117.12</v>
      </c>
      <c r="L169" s="1"/>
      <c r="M169" s="2">
        <f ca="1">'Rate Design Work eff 10-14-16'!M168</f>
        <v>234</v>
      </c>
      <c r="N169" s="2"/>
      <c r="O169" s="286" t="str">
        <f>'Rate Design Work eff 10-14-16'!O168</f>
        <v xml:space="preserve"> </v>
      </c>
      <c r="P169" s="1"/>
      <c r="Q169" s="2">
        <f>O169*C169</f>
        <v>0</v>
      </c>
      <c r="R169" s="2"/>
      <c r="S169" s="286" t="str">
        <f>'Rate Design Work eff 10-14-16'!S168</f>
        <v xml:space="preserve"> </v>
      </c>
      <c r="T169" s="1"/>
      <c r="U169" s="2">
        <f>S169*C169</f>
        <v>0</v>
      </c>
      <c r="X169" s="55">
        <f ca="1">(G169-D169)/D169</f>
        <v>1.6666666666666805E-2</v>
      </c>
      <c r="Y169" s="55"/>
      <c r="AB169" s="53"/>
      <c r="AD169" s="53"/>
      <c r="AF169" s="53"/>
      <c r="AG169" s="53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381</v>
      </c>
      <c r="B170" s="1"/>
      <c r="C170" s="21">
        <f>C458</f>
        <v>82.084931506849301</v>
      </c>
      <c r="D170" s="283">
        <f>'Rate Design Work eff 10-14-16'!D169</f>
        <v>171.60000000000002</v>
      </c>
      <c r="E170" s="1"/>
      <c r="F170" s="2">
        <f t="shared" si="19"/>
        <v>14086</v>
      </c>
      <c r="G170" s="286">
        <f ca="1">'Rate Design Work eff 10-14-16'!G169</f>
        <v>174.48</v>
      </c>
      <c r="H170" s="1"/>
      <c r="I170" s="2">
        <f ca="1">I458</f>
        <v>14322</v>
      </c>
      <c r="J170" s="2"/>
      <c r="K170" s="286">
        <f ca="1">'Rate Design Work eff 10-14-16'!K169</f>
        <v>174.48</v>
      </c>
      <c r="L170" s="1"/>
      <c r="M170" s="2">
        <f ca="1">'Rate Design Work eff 10-14-16'!M169</f>
        <v>14322</v>
      </c>
      <c r="N170" s="2"/>
      <c r="O170" s="286" t="str">
        <f>'Rate Design Work eff 10-14-16'!O169</f>
        <v xml:space="preserve"> </v>
      </c>
      <c r="P170" s="1"/>
      <c r="Q170" s="2">
        <f>O170*C170</f>
        <v>0</v>
      </c>
      <c r="R170" s="2"/>
      <c r="S170" s="286" t="str">
        <f>'Rate Design Work eff 10-14-16'!S169</f>
        <v xml:space="preserve"> </v>
      </c>
      <c r="T170" s="1"/>
      <c r="U170" s="2">
        <f>S170*C170</f>
        <v>0</v>
      </c>
      <c r="V170" s="84"/>
      <c r="X170" s="55">
        <f ca="1">(G170-D170)/D170</f>
        <v>1.6783216783216589E-2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382</v>
      </c>
      <c r="B171" s="1"/>
      <c r="C171" s="21">
        <f>C459</f>
        <v>2770.9452054794501</v>
      </c>
      <c r="D171" s="283">
        <f>'Rate Design Work eff 10-14-16'!D170</f>
        <v>12</v>
      </c>
      <c r="E171" s="1"/>
      <c r="F171" s="2">
        <f t="shared" si="19"/>
        <v>33251</v>
      </c>
      <c r="G171" s="286">
        <f ca="1">'Rate Design Work eff 10-14-16'!G170</f>
        <v>12.24</v>
      </c>
      <c r="H171" s="1"/>
      <c r="I171" s="2">
        <f ca="1">I459</f>
        <v>33916</v>
      </c>
      <c r="J171" s="2"/>
      <c r="K171" s="286">
        <f ca="1">'Rate Design Work eff 10-14-16'!K170</f>
        <v>12.24</v>
      </c>
      <c r="L171" s="1"/>
      <c r="M171" s="2">
        <f ca="1">'Rate Design Work eff 10-14-16'!M170</f>
        <v>33916</v>
      </c>
      <c r="N171" s="2"/>
      <c r="O171" s="286" t="str">
        <f>'Rate Design Work eff 10-14-16'!O170</f>
        <v xml:space="preserve"> </v>
      </c>
      <c r="P171" s="1"/>
      <c r="Q171" s="2">
        <f>O171*C171</f>
        <v>0</v>
      </c>
      <c r="R171" s="2"/>
      <c r="S171" s="286" t="str">
        <f>'Rate Design Work eff 10-14-16'!S170</f>
        <v xml:space="preserve"> </v>
      </c>
      <c r="T171" s="1"/>
      <c r="U171" s="2">
        <f>S171*C171</f>
        <v>0</v>
      </c>
      <c r="X171" s="55">
        <f ca="1">(G171-D171)/D171</f>
        <v>2.0000000000000018E-2</v>
      </c>
      <c r="Y171" s="5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383</v>
      </c>
      <c r="B172" s="1"/>
      <c r="C172" s="304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305"/>
      <c r="Y172" s="30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380</v>
      </c>
      <c r="B173" s="1"/>
      <c r="C173" s="304">
        <f>C214+C351</f>
        <v>166474.82968162166</v>
      </c>
      <c r="D173" s="283">
        <f>'Rate Design Work eff 10-14-16'!D172</f>
        <v>9.6</v>
      </c>
      <c r="E173" s="308"/>
      <c r="F173" s="307">
        <f>F214+F351</f>
        <v>1598158</v>
      </c>
      <c r="G173" s="286">
        <f ca="1">'Rate Design Work eff 10-14-16'!G172</f>
        <v>9.76</v>
      </c>
      <c r="H173" s="308"/>
      <c r="I173" s="307">
        <f ca="1">I214+I351</f>
        <v>1624795</v>
      </c>
      <c r="J173" s="307"/>
      <c r="K173" s="286">
        <f ca="1">'Rate Design Work eff 10-14-16'!K172</f>
        <v>9.76</v>
      </c>
      <c r="L173" s="308"/>
      <c r="M173" s="2">
        <f ca="1">'Rate Design Work eff 10-14-16'!M172</f>
        <v>1624795</v>
      </c>
      <c r="N173" s="307"/>
      <c r="O173" s="286" t="str">
        <f>'Rate Design Work eff 10-14-16'!O172</f>
        <v xml:space="preserve"> </v>
      </c>
      <c r="P173" s="308"/>
      <c r="Q173" s="2">
        <f>O173*C173</f>
        <v>0</v>
      </c>
      <c r="R173" s="307"/>
      <c r="S173" s="286" t="str">
        <f>'Rate Design Work eff 10-14-16'!S172</f>
        <v xml:space="preserve"> </v>
      </c>
      <c r="T173" s="308"/>
      <c r="U173" s="2">
        <f>S173*C173</f>
        <v>0</v>
      </c>
      <c r="X173" s="55">
        <f ca="1">(G173-D173)/D173</f>
        <v>1.6666666666666684E-2</v>
      </c>
      <c r="Y173" s="55"/>
      <c r="AA173" s="84"/>
      <c r="AB173" s="713"/>
      <c r="AC173" s="84"/>
      <c r="AD173" s="713"/>
      <c r="AE173" s="84"/>
      <c r="AF173" s="84"/>
      <c r="AG173" s="713"/>
      <c r="AH173" s="222"/>
      <c r="AI173" s="84"/>
      <c r="AJ173" s="84"/>
      <c r="AR173" s="20"/>
      <c r="AS173" s="20"/>
      <c r="AT173" s="20"/>
      <c r="AU173" s="20"/>
      <c r="AV173" s="20"/>
      <c r="AW173" s="20"/>
      <c r="AY173" s="84"/>
    </row>
    <row r="174" spans="1:51">
      <c r="A174" s="1" t="s">
        <v>381</v>
      </c>
      <c r="B174" s="1"/>
      <c r="C174" s="304">
        <f>C215+C352</f>
        <v>64148.300000000723</v>
      </c>
      <c r="D174" s="283">
        <f>'Rate Design Work eff 10-14-16'!D173</f>
        <v>14.3</v>
      </c>
      <c r="E174" s="310"/>
      <c r="F174" s="307">
        <f>F215+F352</f>
        <v>917321</v>
      </c>
      <c r="G174" s="286">
        <f ca="1">'Rate Design Work eff 10-14-16'!G173</f>
        <v>14.54</v>
      </c>
      <c r="H174" s="310"/>
      <c r="I174" s="307">
        <f ca="1">I215+I352</f>
        <v>932716</v>
      </c>
      <c r="J174" s="307"/>
      <c r="K174" s="286">
        <f ca="1">'Rate Design Work eff 10-14-16'!K173</f>
        <v>14.54</v>
      </c>
      <c r="L174" s="310"/>
      <c r="M174" s="2">
        <f ca="1">'Rate Design Work eff 10-14-16'!M173</f>
        <v>932716</v>
      </c>
      <c r="N174" s="307"/>
      <c r="O174" s="286" t="str">
        <f>'Rate Design Work eff 10-14-16'!O173</f>
        <v xml:space="preserve"> </v>
      </c>
      <c r="P174" s="310"/>
      <c r="Q174" s="2">
        <f>O174*C174</f>
        <v>0</v>
      </c>
      <c r="R174" s="307"/>
      <c r="S174" s="286" t="str">
        <f>'Rate Design Work eff 10-14-16'!S173</f>
        <v xml:space="preserve"> </v>
      </c>
      <c r="T174" s="310"/>
      <c r="U174" s="2">
        <f>S174*C174</f>
        <v>0</v>
      </c>
      <c r="X174" s="55">
        <f ca="1">(G174-D174)/D174</f>
        <v>1.6783216783216672E-2</v>
      </c>
      <c r="Y174" s="55"/>
      <c r="Z174" s="69"/>
      <c r="AA174" s="84"/>
      <c r="AB174" s="713"/>
      <c r="AC174" s="84"/>
      <c r="AD174" s="712"/>
      <c r="AE174" s="84"/>
      <c r="AF174" s="84"/>
      <c r="AG174" s="712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382</v>
      </c>
      <c r="B175" s="1"/>
      <c r="C175" s="304">
        <f>C216+C353</f>
        <v>1035367</v>
      </c>
      <c r="D175" s="283">
        <f>'Rate Design Work eff 10-14-16'!D174</f>
        <v>1</v>
      </c>
      <c r="E175" s="310"/>
      <c r="F175" s="307">
        <f>F216+F353</f>
        <v>1035367</v>
      </c>
      <c r="G175" s="286">
        <f ca="1">'Rate Design Work eff 10-14-16'!G174</f>
        <v>1.02</v>
      </c>
      <c r="H175" s="310"/>
      <c r="I175" s="307">
        <f ca="1">I216+I353</f>
        <v>1056074</v>
      </c>
      <c r="J175" s="307"/>
      <c r="K175" s="286">
        <f ca="1">'Rate Design Work eff 10-14-16'!K174</f>
        <v>1.02</v>
      </c>
      <c r="L175" s="310"/>
      <c r="M175" s="2">
        <f ca="1">'Rate Design Work eff 10-14-16'!M174</f>
        <v>1056074</v>
      </c>
      <c r="N175" s="307"/>
      <c r="O175" s="286" t="str">
        <f>'Rate Design Work eff 10-14-16'!O174</f>
        <v xml:space="preserve"> </v>
      </c>
      <c r="P175" s="310"/>
      <c r="Q175" s="2">
        <f>O175*C175</f>
        <v>0</v>
      </c>
      <c r="R175" s="307"/>
      <c r="S175" s="286" t="str">
        <f>'Rate Design Work eff 10-14-16'!S174</f>
        <v xml:space="preserve"> </v>
      </c>
      <c r="T175" s="310"/>
      <c r="U175" s="2">
        <f>S175*C175</f>
        <v>0</v>
      </c>
      <c r="X175" s="55">
        <f ca="1">(G175-D175)/D175</f>
        <v>2.0000000000000018E-2</v>
      </c>
      <c r="Y175" s="55"/>
      <c r="Z175" s="69"/>
      <c r="AC175" s="15"/>
      <c r="AD175" s="15"/>
      <c r="AE175" s="15"/>
      <c r="AF175" s="15"/>
      <c r="AG175" s="15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384</v>
      </c>
      <c r="B176" s="1"/>
      <c r="C176" s="304">
        <f>SUM(C173:C174)</f>
        <v>230623.12968162238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352</v>
      </c>
      <c r="B177" s="1"/>
      <c r="C177" s="304">
        <f t="shared" ref="C177:C182" si="20">C217+C355+C461</f>
        <v>228552.50150792321</v>
      </c>
      <c r="D177" s="283"/>
      <c r="E177" s="308"/>
      <c r="F177" s="307"/>
      <c r="G177" s="286"/>
      <c r="H177" s="308"/>
      <c r="I177" s="307"/>
      <c r="J177" s="307"/>
      <c r="K177" s="286"/>
      <c r="L177" s="308"/>
      <c r="M177" s="307"/>
      <c r="N177" s="307"/>
      <c r="O177" s="286"/>
      <c r="P177" s="308"/>
      <c r="Q177" s="307"/>
      <c r="R177" s="307"/>
      <c r="S177" s="286"/>
      <c r="T177" s="308"/>
      <c r="U177" s="307"/>
      <c r="X177" s="305"/>
      <c r="Y177" s="30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385</v>
      </c>
      <c r="B178" s="1"/>
      <c r="C178" s="304">
        <f t="shared" si="20"/>
        <v>844065.53671882139</v>
      </c>
      <c r="D178" s="283">
        <f>'Rate Design Work eff 10-14-16'!D177</f>
        <v>3.64</v>
      </c>
      <c r="E178" s="308"/>
      <c r="F178" s="307">
        <f>F218+F356+F462</f>
        <v>3072399</v>
      </c>
      <c r="G178" s="286">
        <f ca="1">'Rate Design Work eff 10-14-16'!G177</f>
        <v>3.7</v>
      </c>
      <c r="H178" s="308"/>
      <c r="I178" s="307">
        <f t="shared" ref="I178:I185" ca="1" si="21">I218+I356+I462</f>
        <v>3123042</v>
      </c>
      <c r="J178" s="307"/>
      <c r="K178" s="286" t="e">
        <f ca="1">'Rate Design Work eff 10-14-16'!K177</f>
        <v>#REF!</v>
      </c>
      <c r="L178" s="1" t="s">
        <v>31</v>
      </c>
      <c r="M178" s="2" t="e">
        <f ca="1">'Rate Design Work eff 10-14-16'!M177</f>
        <v>#REF!</v>
      </c>
      <c r="N178" s="1" t="s">
        <v>31</v>
      </c>
      <c r="O178" s="286" t="e">
        <f ca="1">'Rate Design Work eff 10-14-16'!O177</f>
        <v>#DIV/0!</v>
      </c>
      <c r="P178" s="1" t="s">
        <v>31</v>
      </c>
      <c r="Q178" s="2" t="e">
        <f ca="1">'Rate Design Work eff 10-14-16'!Q177</f>
        <v>#DIV/0!</v>
      </c>
      <c r="R178" s="2"/>
      <c r="S178" s="286" t="e">
        <f ca="1">'Rate Design Work eff 10-14-16'!S177</f>
        <v>#DIV/0!</v>
      </c>
      <c r="T178" s="1" t="s">
        <v>31</v>
      </c>
      <c r="U178" s="2" t="e">
        <f ca="1">'Rate Design Work eff 10-14-16'!U177</f>
        <v>#DIV/0!</v>
      </c>
      <c r="X178" s="55">
        <f ca="1">(G178-D178)/D178</f>
        <v>1.6483516483516498E-2</v>
      </c>
      <c r="Y178" s="55"/>
      <c r="Z178" s="69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387</v>
      </c>
      <c r="B179" s="1"/>
      <c r="C179" s="304">
        <f t="shared" si="20"/>
        <v>130952667.91217485</v>
      </c>
      <c r="D179" s="284">
        <f>'Rate Design Work eff 10-14-16'!D178</f>
        <v>10.449</v>
      </c>
      <c r="E179" s="308" t="s">
        <v>364</v>
      </c>
      <c r="F179" s="307">
        <f>F219+F357+F463</f>
        <v>13683244</v>
      </c>
      <c r="G179" s="771">
        <f ca="1">'Rate Design Work eff 10-14-16'!G178</f>
        <v>10.628</v>
      </c>
      <c r="H179" s="308" t="s">
        <v>364</v>
      </c>
      <c r="I179" s="307">
        <f t="shared" ca="1" si="21"/>
        <v>13917649</v>
      </c>
      <c r="J179" s="307"/>
      <c r="K179" s="771" t="e">
        <f ca="1">'Rate Design Work eff 10-14-16'!K178</f>
        <v>#REF!</v>
      </c>
      <c r="L179" s="1126" t="s">
        <v>364</v>
      </c>
      <c r="M179" s="2" t="e">
        <f ca="1">'Rate Design Work eff 10-14-16'!M178</f>
        <v>#REF!</v>
      </c>
      <c r="N179" s="307"/>
      <c r="O179" s="771" t="e">
        <f ca="1">'Rate Design Work eff 10-14-16'!O178</f>
        <v>#DIV/0!</v>
      </c>
      <c r="P179" s="308" t="s">
        <v>364</v>
      </c>
      <c r="Q179" s="2" t="e">
        <f ca="1">'Rate Design Work eff 10-14-16'!Q178</f>
        <v>#DIV/0!</v>
      </c>
      <c r="R179" s="307"/>
      <c r="S179" s="771" t="e">
        <f ca="1">'Rate Design Work eff 10-14-16'!S178</f>
        <v>#DIV/0!</v>
      </c>
      <c r="T179" s="308" t="s">
        <v>364</v>
      </c>
      <c r="U179" s="2" t="e">
        <f ca="1">'Rate Design Work eff 10-14-16'!U178</f>
        <v>#DIV/0!</v>
      </c>
      <c r="X179" s="55">
        <f ca="1">((G179+G183)-D179)/D179</f>
        <v>1.7130825916355657E-2</v>
      </c>
      <c r="Y179" s="55"/>
      <c r="Z179" s="69"/>
      <c r="AA179" s="221"/>
      <c r="AB179" s="221"/>
      <c r="AC179" s="221"/>
      <c r="AD179" s="221"/>
      <c r="AE179" s="221"/>
      <c r="AF179" s="221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388</v>
      </c>
      <c r="B180" s="1"/>
      <c r="C180" s="304">
        <f t="shared" si="20"/>
        <v>281502228.69846565</v>
      </c>
      <c r="D180" s="284">
        <f>'Rate Design Work eff 10-14-16'!D179</f>
        <v>7.218</v>
      </c>
      <c r="E180" s="308" t="s">
        <v>364</v>
      </c>
      <c r="F180" s="307">
        <f>F220+F358+F464</f>
        <v>20318831</v>
      </c>
      <c r="G180" s="771">
        <f ca="1">'Rate Design Work eff 10-14-16'!G179</f>
        <v>7.3410000000000002</v>
      </c>
      <c r="H180" s="308" t="s">
        <v>364</v>
      </c>
      <c r="I180" s="307">
        <f t="shared" ca="1" si="21"/>
        <v>20665077</v>
      </c>
      <c r="J180" s="307"/>
      <c r="K180" s="771" t="e">
        <f ca="1">'Rate Design Work eff 10-14-16'!K179</f>
        <v>#REF!</v>
      </c>
      <c r="L180" s="1126" t="s">
        <v>364</v>
      </c>
      <c r="M180" s="2" t="e">
        <f ca="1">'Rate Design Work eff 10-14-16'!M179</f>
        <v>#REF!</v>
      </c>
      <c r="N180" s="307"/>
      <c r="O180" s="771" t="e">
        <f ca="1">'Rate Design Work eff 10-14-16'!O179</f>
        <v>#DIV/0!</v>
      </c>
      <c r="P180" s="308" t="s">
        <v>364</v>
      </c>
      <c r="Q180" s="2" t="e">
        <f ca="1">'Rate Design Work eff 10-14-16'!Q179</f>
        <v>#DIV/0!</v>
      </c>
      <c r="R180" s="307"/>
      <c r="S180" s="771" t="e">
        <f ca="1">'Rate Design Work eff 10-14-16'!S179</f>
        <v>#DIV/0!</v>
      </c>
      <c r="T180" s="308" t="s">
        <v>364</v>
      </c>
      <c r="U180" s="2" t="e">
        <f ca="1">'Rate Design Work eff 10-14-16'!U179</f>
        <v>#DIV/0!</v>
      </c>
      <c r="V180" s="314"/>
      <c r="X180" s="55">
        <f ca="1">((G180+G184)-D180)/D180</f>
        <v>1.7040731504571933E-2</v>
      </c>
      <c r="Y180" s="55"/>
      <c r="Z180" s="69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389</v>
      </c>
      <c r="B181" s="1"/>
      <c r="C181" s="304">
        <f t="shared" si="20"/>
        <v>119991272.36558694</v>
      </c>
      <c r="D181" s="284">
        <f>'Rate Design Work eff 10-14-16'!D180</f>
        <v>6.218</v>
      </c>
      <c r="E181" s="308" t="s">
        <v>364</v>
      </c>
      <c r="F181" s="307">
        <f>F221+F359+F465</f>
        <v>7461057</v>
      </c>
      <c r="G181" s="771">
        <f ca="1">'Rate Design Work eff 10-14-16'!G180</f>
        <v>6.3240000000000007</v>
      </c>
      <c r="H181" s="308" t="s">
        <v>364</v>
      </c>
      <c r="I181" s="307">
        <f t="shared" ca="1" si="21"/>
        <v>7588248</v>
      </c>
      <c r="J181" s="307"/>
      <c r="K181" s="771" t="e">
        <f ca="1">'Rate Design Work eff 10-14-16'!K180</f>
        <v>#REF!</v>
      </c>
      <c r="L181" s="1126" t="s">
        <v>364</v>
      </c>
      <c r="M181" s="2" t="e">
        <f ca="1">'Rate Design Work eff 10-14-16'!M180</f>
        <v>#REF!</v>
      </c>
      <c r="N181" s="307"/>
      <c r="O181" s="771" t="e">
        <f ca="1">'Rate Design Work eff 10-14-16'!O180</f>
        <v>#DIV/0!</v>
      </c>
      <c r="P181" s="308" t="s">
        <v>364</v>
      </c>
      <c r="Q181" s="2" t="e">
        <f ca="1">'Rate Design Work eff 10-14-16'!Q180</f>
        <v>#DIV/0!</v>
      </c>
      <c r="R181" s="307"/>
      <c r="S181" s="771" t="e">
        <f ca="1">'Rate Design Work eff 10-14-16'!S180</f>
        <v>#DIV/0!</v>
      </c>
      <c r="T181" s="308" t="s">
        <v>364</v>
      </c>
      <c r="U181" s="2" t="e">
        <f ca="1">'Rate Design Work eff 10-14-16'!U180</f>
        <v>#DIV/0!</v>
      </c>
      <c r="V181" s="285"/>
      <c r="X181" s="55">
        <f ca="1">((G181+G185)-D181)/D181</f>
        <v>1.7047282084271594E-2</v>
      </c>
      <c r="Y181" s="55"/>
      <c r="Z181" s="69"/>
      <c r="AA181" s="84"/>
      <c r="AB181" s="84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>
      <c r="A182" s="1" t="s">
        <v>390</v>
      </c>
      <c r="B182" s="1"/>
      <c r="C182" s="304">
        <f t="shared" si="20"/>
        <v>122445.59285714269</v>
      </c>
      <c r="D182" s="315">
        <f>'Rate Design Work eff 10-14-16'!D181</f>
        <v>56</v>
      </c>
      <c r="E182" s="308" t="s">
        <v>364</v>
      </c>
      <c r="F182" s="307">
        <f>F222+F360+F466</f>
        <v>68569</v>
      </c>
      <c r="G182" s="772">
        <f ca="1">'Rate Design Work eff 10-14-16'!G181</f>
        <v>57</v>
      </c>
      <c r="H182" s="308" t="s">
        <v>364</v>
      </c>
      <c r="I182" s="307">
        <f t="shared" ca="1" si="21"/>
        <v>69794</v>
      </c>
      <c r="J182" s="307"/>
      <c r="K182" s="772" t="str">
        <f>'Rate Design Work eff 10-14-16'!K181</f>
        <v xml:space="preserve"> </v>
      </c>
      <c r="L182" s="308"/>
      <c r="M182" s="999">
        <f>K182*C182</f>
        <v>0</v>
      </c>
      <c r="N182" s="307"/>
      <c r="O182" s="772" t="e">
        <f>'Rate Design Work eff 10-14-16'!O181</f>
        <v>#DIV/0!</v>
      </c>
      <c r="P182" s="308" t="s">
        <v>364</v>
      </c>
      <c r="Q182" s="2" t="e">
        <f>'Rate Design Work eff 10-14-16'!Q181</f>
        <v>#DIV/0!</v>
      </c>
      <c r="R182" s="307"/>
      <c r="S182" s="772" t="e">
        <f>'Rate Design Work eff 10-14-16'!S181</f>
        <v>#DIV/0!</v>
      </c>
      <c r="T182" s="308" t="s">
        <v>364</v>
      </c>
      <c r="U182" s="2" t="e">
        <f>'Rate Design Work eff 10-14-16'!U181</f>
        <v>#DIV/0!</v>
      </c>
      <c r="X182" s="55">
        <f ca="1">(G182-D182)/D182</f>
        <v>1.7857142857142856E-2</v>
      </c>
      <c r="Y182" s="55"/>
      <c r="Z182" s="69"/>
      <c r="AI182" s="20"/>
      <c r="AJ182" s="20"/>
      <c r="AK182" s="20"/>
      <c r="AL182" s="20"/>
      <c r="AM182" s="20"/>
      <c r="AN182" s="20"/>
      <c r="AO182" s="20"/>
      <c r="AP182" s="20"/>
      <c r="AR182" s="84"/>
    </row>
    <row r="183" spans="1:44" s="1118" customFormat="1" hidden="1">
      <c r="A183" s="968" t="s">
        <v>888</v>
      </c>
      <c r="C183" s="987">
        <f>C179</f>
        <v>130952667.91217485</v>
      </c>
      <c r="D183" s="254">
        <f>'Rate Design Work eff 10-14-16'!D182</f>
        <v>0</v>
      </c>
      <c r="E183" s="1119"/>
      <c r="F183" s="1123"/>
      <c r="G183" s="771">
        <f>'Rate Design Work eff 10-14-16'!G182</f>
        <v>0</v>
      </c>
      <c r="H183" s="972" t="s">
        <v>364</v>
      </c>
      <c r="I183" s="999">
        <f t="shared" si="21"/>
        <v>0</v>
      </c>
      <c r="J183" s="999"/>
      <c r="K183" s="771" t="str">
        <f>'Rate Design Work eff 10-14-16'!K182</f>
        <v xml:space="preserve"> </v>
      </c>
      <c r="L183" s="972"/>
      <c r="M183" s="999">
        <f>K183*C183</f>
        <v>0</v>
      </c>
      <c r="N183" s="999"/>
      <c r="O183" s="771" t="str">
        <f>'Rate Design Work eff 10-14-16'!O182</f>
        <v xml:space="preserve"> </v>
      </c>
      <c r="P183" s="972" t="s">
        <v>31</v>
      </c>
      <c r="Q183" s="999">
        <f>O183*C183</f>
        <v>0</v>
      </c>
      <c r="R183" s="999"/>
      <c r="S183" s="771">
        <f>'Rate Design Work eff 10-14-16'!S182</f>
        <v>0</v>
      </c>
      <c r="T183" s="972" t="s">
        <v>364</v>
      </c>
      <c r="U183" s="2">
        <f>'Rate Design Work eff 10-14-16'!U182</f>
        <v>0</v>
      </c>
      <c r="V183" s="1124"/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889</v>
      </c>
      <c r="C184" s="987">
        <f t="shared" ref="C184:C185" si="22">C180</f>
        <v>281502228.69846565</v>
      </c>
      <c r="D184" s="254">
        <f>'Rate Design Work eff 10-14-16'!D183</f>
        <v>0</v>
      </c>
      <c r="E184" s="1119"/>
      <c r="F184" s="1123"/>
      <c r="G184" s="771">
        <f>'Rate Design Work eff 10-14-16'!G183</f>
        <v>0</v>
      </c>
      <c r="H184" s="972" t="s">
        <v>364</v>
      </c>
      <c r="I184" s="999">
        <f t="shared" si="21"/>
        <v>0</v>
      </c>
      <c r="J184" s="999"/>
      <c r="K184" s="771" t="str">
        <f>'Rate Design Work eff 10-14-16'!K183</f>
        <v xml:space="preserve"> </v>
      </c>
      <c r="L184" s="972"/>
      <c r="M184" s="999">
        <f>K184*C184</f>
        <v>0</v>
      </c>
      <c r="N184" s="999"/>
      <c r="O184" s="771" t="str">
        <f>'Rate Design Work eff 10-14-16'!O183</f>
        <v xml:space="preserve"> </v>
      </c>
      <c r="P184" s="972" t="s">
        <v>31</v>
      </c>
      <c r="Q184" s="999">
        <f>O184*C184</f>
        <v>0</v>
      </c>
      <c r="R184" s="999"/>
      <c r="S184" s="771">
        <f>'Rate Design Work eff 10-14-16'!S183</f>
        <v>0</v>
      </c>
      <c r="T184" s="972" t="s">
        <v>364</v>
      </c>
      <c r="U184" s="2">
        <f>'Rate Design Work eff 10-14-16'!U183</f>
        <v>0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968" t="s">
        <v>890</v>
      </c>
      <c r="C185" s="987">
        <f t="shared" si="22"/>
        <v>119991272.36558694</v>
      </c>
      <c r="D185" s="254">
        <f>'Rate Design Work eff 10-14-16'!D184</f>
        <v>0</v>
      </c>
      <c r="E185" s="1119"/>
      <c r="F185" s="1123"/>
      <c r="G185" s="771">
        <f>'Rate Design Work eff 10-14-16'!G184</f>
        <v>0</v>
      </c>
      <c r="H185" s="972" t="s">
        <v>364</v>
      </c>
      <c r="I185" s="999">
        <f t="shared" ca="1" si="21"/>
        <v>8572</v>
      </c>
      <c r="J185" s="999"/>
      <c r="K185" s="771" t="str">
        <f>'Rate Design Work eff 10-14-16'!K184</f>
        <v xml:space="preserve"> </v>
      </c>
      <c r="L185" s="972"/>
      <c r="M185" s="999">
        <f>K185*C185</f>
        <v>0</v>
      </c>
      <c r="N185" s="999"/>
      <c r="O185" s="771" t="str">
        <f>'Rate Design Work eff 10-14-16'!O184</f>
        <v xml:space="preserve"> </v>
      </c>
      <c r="P185" s="972" t="s">
        <v>31</v>
      </c>
      <c r="Q185" s="999">
        <f>O185*C185</f>
        <v>0</v>
      </c>
      <c r="R185" s="999"/>
      <c r="S185" s="771">
        <f>'Rate Design Work eff 10-14-16'!S184</f>
        <v>0</v>
      </c>
      <c r="T185" s="972" t="s">
        <v>364</v>
      </c>
      <c r="U185" s="2">
        <f ca="1">'Rate Design Work eff 10-14-16'!U184</f>
        <v>8572</v>
      </c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865</v>
      </c>
      <c r="B186" s="1256"/>
      <c r="C186" s="1262"/>
      <c r="D186" s="1260">
        <f>'Rate Design Work eff 10-14-16'!D185</f>
        <v>10.449</v>
      </c>
      <c r="E186" s="1263" t="s">
        <v>364</v>
      </c>
      <c r="F186" s="1259"/>
      <c r="G186" s="1260">
        <f ca="1">G179+G183</f>
        <v>10.628</v>
      </c>
      <c r="H186" s="1263" t="s">
        <v>364</v>
      </c>
      <c r="I186" s="1264"/>
      <c r="J186" s="1264"/>
      <c r="K186" s="1260" t="e">
        <f ca="1">K179+K183</f>
        <v>#REF!</v>
      </c>
      <c r="L186" s="1263" t="s">
        <v>364</v>
      </c>
      <c r="M186" s="1264"/>
      <c r="N186" s="1264"/>
      <c r="O186" s="1260" t="e">
        <f ca="1">O179+O183</f>
        <v>#DIV/0!</v>
      </c>
      <c r="P186" s="1263" t="s">
        <v>364</v>
      </c>
      <c r="Q186" s="1264"/>
      <c r="R186" s="1264"/>
      <c r="S186" s="1260" t="e">
        <f ca="1">S179+S183</f>
        <v>#DIV/0!</v>
      </c>
      <c r="T186" s="1263" t="s">
        <v>364</v>
      </c>
      <c r="U186" s="1264"/>
      <c r="W186" s="784"/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866</v>
      </c>
      <c r="B187" s="1256"/>
      <c r="C187" s="1262"/>
      <c r="D187" s="1260">
        <f>'Rate Design Work eff 10-14-16'!D186</f>
        <v>7.218</v>
      </c>
      <c r="E187" s="1263" t="s">
        <v>364</v>
      </c>
      <c r="F187" s="1259"/>
      <c r="G187" s="1260">
        <f t="shared" ref="G187:G188" ca="1" si="23">G180+G184</f>
        <v>7.3410000000000002</v>
      </c>
      <c r="H187" s="1263" t="s">
        <v>364</v>
      </c>
      <c r="I187" s="1264"/>
      <c r="J187" s="1264"/>
      <c r="K187" s="1260" t="e">
        <f t="shared" ref="K187:K188" ca="1" si="24">K180+K184</f>
        <v>#REF!</v>
      </c>
      <c r="L187" s="1263" t="s">
        <v>364</v>
      </c>
      <c r="M187" s="1264"/>
      <c r="N187" s="1264"/>
      <c r="O187" s="1260" t="e">
        <f t="shared" ref="O187:O188" ca="1" si="25">O180+O184</f>
        <v>#DIV/0!</v>
      </c>
      <c r="P187" s="1263" t="s">
        <v>364</v>
      </c>
      <c r="Q187" s="1264"/>
      <c r="R187" s="1264"/>
      <c r="S187" s="1260" t="e">
        <f t="shared" ref="S187:S188" ca="1" si="26">S180+S184</f>
        <v>#DIV/0!</v>
      </c>
      <c r="T187" s="1263" t="s">
        <v>364</v>
      </c>
      <c r="U187" s="1264"/>
      <c r="W187" s="784" t="s">
        <v>31</v>
      </c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 s="1118" customFormat="1" hidden="1">
      <c r="A188" s="1255" t="s">
        <v>867</v>
      </c>
      <c r="B188" s="1256"/>
      <c r="C188" s="1262"/>
      <c r="D188" s="1260">
        <f>'Rate Design Work eff 10-14-16'!D187</f>
        <v>6.218</v>
      </c>
      <c r="E188" s="1263" t="s">
        <v>364</v>
      </c>
      <c r="F188" s="1259"/>
      <c r="G188" s="1260">
        <f t="shared" ca="1" si="23"/>
        <v>6.3240000000000007</v>
      </c>
      <c r="H188" s="1263" t="s">
        <v>364</v>
      </c>
      <c r="I188" s="1264"/>
      <c r="J188" s="1264"/>
      <c r="K188" s="1260" t="e">
        <f t="shared" ca="1" si="24"/>
        <v>#REF!</v>
      </c>
      <c r="L188" s="1263" t="s">
        <v>364</v>
      </c>
      <c r="M188" s="1264"/>
      <c r="N188" s="1264"/>
      <c r="O188" s="1260" t="e">
        <f t="shared" ca="1" si="25"/>
        <v>#DIV/0!</v>
      </c>
      <c r="P188" s="1263" t="s">
        <v>364</v>
      </c>
      <c r="Q188" s="1264"/>
      <c r="R188" s="1264"/>
      <c r="S188" s="1260" t="e">
        <f t="shared" ca="1" si="26"/>
        <v>#DIV/0!</v>
      </c>
      <c r="T188" s="1263" t="s">
        <v>364</v>
      </c>
      <c r="U188" s="1264"/>
      <c r="W188" s="784"/>
      <c r="Z188" s="1125"/>
      <c r="AA188" s="1125"/>
      <c r="AF188" s="1119"/>
      <c r="AG188" s="1119"/>
      <c r="AH188" s="1119"/>
      <c r="AI188" s="1119"/>
      <c r="AJ188" s="1119"/>
      <c r="AK188" s="1119"/>
      <c r="AL188" s="1119"/>
      <c r="AM188" s="1119"/>
      <c r="AN188" s="1119"/>
      <c r="AO188" s="1119"/>
      <c r="AP188" s="1119"/>
      <c r="AR188" s="1124"/>
    </row>
    <row r="189" spans="1:44">
      <c r="A189" s="316" t="s">
        <v>391</v>
      </c>
      <c r="B189" s="1"/>
      <c r="C189" s="304"/>
      <c r="D189" s="317">
        <f>'Rate Design Work eff 10-14-16'!D188</f>
        <v>-0.01</v>
      </c>
      <c r="E189" s="308"/>
      <c r="F189" s="307"/>
      <c r="G189" s="317">
        <v>-0.01</v>
      </c>
      <c r="H189" s="308"/>
      <c r="I189" s="307"/>
      <c r="J189" s="307"/>
      <c r="K189" s="317">
        <v>-0.01</v>
      </c>
      <c r="L189" s="308"/>
      <c r="M189" s="307"/>
      <c r="N189" s="307"/>
      <c r="O189" s="317">
        <v>-0.01</v>
      </c>
      <c r="P189" s="308"/>
      <c r="Q189" s="307"/>
      <c r="R189" s="307"/>
      <c r="S189" s="317">
        <v>-0.01</v>
      </c>
      <c r="T189" s="308"/>
      <c r="U189" s="307"/>
      <c r="W189" s="318"/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380</v>
      </c>
      <c r="B190" s="1"/>
      <c r="C190" s="304">
        <f t="shared" ref="C190:C199" si="27">C227+C365+C471</f>
        <v>74.633333333333297</v>
      </c>
      <c r="D190" s="319">
        <f>'Rate Design Work eff 10-14-16'!D189</f>
        <v>9.6</v>
      </c>
      <c r="E190" s="306"/>
      <c r="F190" s="307">
        <f t="shared" ref="F190:F199" si="28">F227+F365+F471</f>
        <v>-7</v>
      </c>
      <c r="G190" s="319">
        <f ca="1">G173</f>
        <v>9.76</v>
      </c>
      <c r="H190" s="306"/>
      <c r="I190" s="307">
        <f t="shared" ref="I190:I203" ca="1" si="29">I227+I365+I471</f>
        <v>-7</v>
      </c>
      <c r="J190" s="307"/>
      <c r="K190" s="319">
        <f ca="1">K173</f>
        <v>9.76</v>
      </c>
      <c r="L190" s="306"/>
      <c r="M190" s="2">
        <f ca="1">'Rate Design Work eff 10-14-16'!M189</f>
        <v>-7.2842133333333301</v>
      </c>
      <c r="N190" s="307"/>
      <c r="O190" s="319" t="str">
        <f>O173</f>
        <v xml:space="preserve"> </v>
      </c>
      <c r="P190" s="306"/>
      <c r="Q190" s="2">
        <f>'Rate Design Work eff 10-14-16'!Q189</f>
        <v>0</v>
      </c>
      <c r="R190" s="307"/>
      <c r="S190" s="319" t="str">
        <f>S173</f>
        <v xml:space="preserve"> </v>
      </c>
      <c r="T190" s="306"/>
      <c r="U190" s="2">
        <f>'Rate Design Work eff 10-14-16'!U189</f>
        <v>0</v>
      </c>
      <c r="AI190" s="20"/>
      <c r="AJ190" s="20"/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381</v>
      </c>
      <c r="B191" s="1"/>
      <c r="C191" s="304">
        <f t="shared" si="27"/>
        <v>88.799999999999983</v>
      </c>
      <c r="D191" s="319">
        <f>'Rate Design Work eff 10-14-16'!D190</f>
        <v>14.3</v>
      </c>
      <c r="E191" s="306"/>
      <c r="F191" s="307">
        <f t="shared" si="28"/>
        <v>-12</v>
      </c>
      <c r="G191" s="319">
        <f ca="1">G174</f>
        <v>14.54</v>
      </c>
      <c r="H191" s="306"/>
      <c r="I191" s="307">
        <f t="shared" ca="1" si="29"/>
        <v>-12</v>
      </c>
      <c r="J191" s="307"/>
      <c r="K191" s="319">
        <f ca="1">K174</f>
        <v>14.54</v>
      </c>
      <c r="L191" s="306"/>
      <c r="M191" s="2">
        <f ca="1">'Rate Design Work eff 10-14-16'!M190</f>
        <v>-11.602919999999997</v>
      </c>
      <c r="N191" s="307"/>
      <c r="O191" s="319" t="str">
        <f>O174</f>
        <v xml:space="preserve"> </v>
      </c>
      <c r="P191" s="306"/>
      <c r="Q191" s="2">
        <f>'Rate Design Work eff 10-14-16'!Q190</f>
        <v>0</v>
      </c>
      <c r="R191" s="307"/>
      <c r="S191" s="319" t="str">
        <f>S174</f>
        <v xml:space="preserve"> </v>
      </c>
      <c r="T191" s="306"/>
      <c r="U191" s="2">
        <f>'Rate Design Work eff 10-14-16'!U190</f>
        <v>0</v>
      </c>
      <c r="W191" s="88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392</v>
      </c>
      <c r="B192" s="1"/>
      <c r="C192" s="304">
        <f t="shared" si="27"/>
        <v>2161</v>
      </c>
      <c r="D192" s="319">
        <f>'Rate Design Work eff 10-14-16'!D191</f>
        <v>1</v>
      </c>
      <c r="E192" s="306"/>
      <c r="F192" s="307">
        <f t="shared" si="28"/>
        <v>-21</v>
      </c>
      <c r="G192" s="319">
        <f ca="1">G175</f>
        <v>1.02</v>
      </c>
      <c r="H192" s="306"/>
      <c r="I192" s="307">
        <f t="shared" ca="1" si="29"/>
        <v>-23</v>
      </c>
      <c r="J192" s="307"/>
      <c r="K192" s="319">
        <f ca="1">K175</f>
        <v>1.02</v>
      </c>
      <c r="L192" s="306"/>
      <c r="M192" s="2">
        <f ca="1">'Rate Design Work eff 10-14-16'!M191</f>
        <v>-22.042200000000005</v>
      </c>
      <c r="N192" s="307"/>
      <c r="O192" s="319" t="str">
        <f>O175</f>
        <v xml:space="preserve"> </v>
      </c>
      <c r="P192" s="306"/>
      <c r="Q192" s="2">
        <f>'Rate Design Work eff 10-14-16'!Q191</f>
        <v>0</v>
      </c>
      <c r="R192" s="307"/>
      <c r="S192" s="319" t="str">
        <f>S175</f>
        <v xml:space="preserve"> </v>
      </c>
      <c r="T192" s="306"/>
      <c r="U192" s="2">
        <f>'Rate Design Work eff 10-14-16'!U191</f>
        <v>0</v>
      </c>
      <c r="X192" s="88" t="s">
        <v>31</v>
      </c>
      <c r="Z192" s="4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393</v>
      </c>
      <c r="B193" s="1"/>
      <c r="C193" s="304">
        <f t="shared" si="27"/>
        <v>1487</v>
      </c>
      <c r="D193" s="319">
        <f>'Rate Design Work eff 10-14-16'!D192</f>
        <v>3.64</v>
      </c>
      <c r="E193" s="308"/>
      <c r="F193" s="307">
        <f t="shared" si="28"/>
        <v>-54</v>
      </c>
      <c r="G193" s="319">
        <f ca="1">G178</f>
        <v>3.7</v>
      </c>
      <c r="H193" s="308"/>
      <c r="I193" s="307">
        <f t="shared" ca="1" si="29"/>
        <v>-55</v>
      </c>
      <c r="J193" s="307"/>
      <c r="K193" s="319" t="e">
        <f ca="1">K178</f>
        <v>#REF!</v>
      </c>
      <c r="L193" s="308"/>
      <c r="M193" s="2" t="e">
        <f ca="1">'Rate Design Work eff 10-14-16'!M192</f>
        <v>#REF!</v>
      </c>
      <c r="N193" s="307"/>
      <c r="O193" s="319" t="e">
        <f ca="1">O178</f>
        <v>#DIV/0!</v>
      </c>
      <c r="P193" s="308"/>
      <c r="Q193" s="2" t="e">
        <f ca="1">'Rate Design Work eff 10-14-16'!Q192</f>
        <v>#DIV/0!</v>
      </c>
      <c r="R193" s="307"/>
      <c r="S193" s="319" t="e">
        <f ca="1">S178</f>
        <v>#DIV/0!</v>
      </c>
      <c r="T193" s="308"/>
      <c r="U193" s="2" t="e">
        <f ca="1">'Rate Design Work eff 10-14-16'!U192</f>
        <v>#DIV/0!</v>
      </c>
      <c r="Y193" s="88" t="s">
        <v>31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395</v>
      </c>
      <c r="B194" s="1"/>
      <c r="C194" s="304">
        <f t="shared" si="27"/>
        <v>116452.33333333327</v>
      </c>
      <c r="D194" s="320">
        <f>'Rate Design Work eff 10-14-16'!D193</f>
        <v>10.449</v>
      </c>
      <c r="E194" s="308" t="s">
        <v>364</v>
      </c>
      <c r="F194" s="307">
        <f t="shared" si="28"/>
        <v>-121</v>
      </c>
      <c r="G194" s="320">
        <f ca="1">G179</f>
        <v>10.628</v>
      </c>
      <c r="H194" s="308" t="s">
        <v>364</v>
      </c>
      <c r="I194" s="307">
        <f t="shared" ca="1" si="29"/>
        <v>-123</v>
      </c>
      <c r="J194" s="307"/>
      <c r="K194" s="320" t="e">
        <f ca="1">K179</f>
        <v>#REF!</v>
      </c>
      <c r="L194" s="308"/>
      <c r="M194" s="2" t="e">
        <f ca="1">'Rate Design Work eff 10-14-16'!M193</f>
        <v>#REF!</v>
      </c>
      <c r="N194" s="307"/>
      <c r="O194" s="320" t="e">
        <f ca="1">O179</f>
        <v>#DIV/0!</v>
      </c>
      <c r="P194" s="308" t="s">
        <v>364</v>
      </c>
      <c r="Q194" s="2" t="e">
        <f ca="1">'Rate Design Work eff 10-14-16'!Q193</f>
        <v>#DIV/0!</v>
      </c>
      <c r="R194" s="307"/>
      <c r="S194" s="320" t="e">
        <f ca="1">S179</f>
        <v>#DIV/0!</v>
      </c>
      <c r="T194" s="308" t="s">
        <v>364</v>
      </c>
      <c r="U194" s="2" t="e">
        <f ca="1">'Rate Design Work eff 10-14-16'!U193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388</v>
      </c>
      <c r="B195" s="1"/>
      <c r="C195" s="304">
        <f t="shared" si="27"/>
        <v>524872.66666666698</v>
      </c>
      <c r="D195" s="320">
        <f>'Rate Design Work eff 10-14-16'!D194</f>
        <v>7.218</v>
      </c>
      <c r="E195" s="308" t="s">
        <v>364</v>
      </c>
      <c r="F195" s="307">
        <f t="shared" si="28"/>
        <v>-378</v>
      </c>
      <c r="G195" s="320">
        <f ca="1">G180</f>
        <v>7.3410000000000002</v>
      </c>
      <c r="H195" s="308" t="s">
        <v>364</v>
      </c>
      <c r="I195" s="307">
        <f t="shared" ca="1" si="29"/>
        <v>-385</v>
      </c>
      <c r="J195" s="307"/>
      <c r="K195" s="320" t="e">
        <f ca="1">K180</f>
        <v>#REF!</v>
      </c>
      <c r="L195" s="308"/>
      <c r="M195" s="2" t="e">
        <f ca="1">'Rate Design Work eff 10-14-16'!M194</f>
        <v>#REF!</v>
      </c>
      <c r="N195" s="307"/>
      <c r="O195" s="320" t="e">
        <f ca="1">O180</f>
        <v>#DIV/0!</v>
      </c>
      <c r="P195" s="308" t="s">
        <v>364</v>
      </c>
      <c r="Q195" s="2" t="e">
        <f ca="1">'Rate Design Work eff 10-14-16'!Q194</f>
        <v>#DIV/0!</v>
      </c>
      <c r="R195" s="307"/>
      <c r="S195" s="320" t="e">
        <f ca="1">S180</f>
        <v>#DIV/0!</v>
      </c>
      <c r="T195" s="308" t="s">
        <v>364</v>
      </c>
      <c r="U195" s="2" t="e">
        <f ca="1">'Rate Design Work eff 10-14-16'!U194</f>
        <v>#DIV/0!</v>
      </c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389</v>
      </c>
      <c r="B196" s="1"/>
      <c r="C196" s="304">
        <f t="shared" si="27"/>
        <v>933865</v>
      </c>
      <c r="D196" s="320">
        <f>'Rate Design Work eff 10-14-16'!D195</f>
        <v>6.218</v>
      </c>
      <c r="E196" s="308" t="s">
        <v>364</v>
      </c>
      <c r="F196" s="307">
        <f t="shared" si="28"/>
        <v>-580</v>
      </c>
      <c r="G196" s="320">
        <f ca="1">G181</f>
        <v>6.3240000000000007</v>
      </c>
      <c r="H196" s="308" t="s">
        <v>364</v>
      </c>
      <c r="I196" s="307">
        <f t="shared" ca="1" si="29"/>
        <v>-591</v>
      </c>
      <c r="J196" s="307"/>
      <c r="K196" s="320" t="e">
        <f ca="1">K181</f>
        <v>#REF!</v>
      </c>
      <c r="L196" s="308"/>
      <c r="M196" s="2" t="e">
        <f ca="1">'Rate Design Work eff 10-14-16'!M195</f>
        <v>#REF!</v>
      </c>
      <c r="N196" s="307"/>
      <c r="O196" s="320" t="e">
        <f ca="1">O181</f>
        <v>#DIV/0!</v>
      </c>
      <c r="P196" s="308" t="s">
        <v>364</v>
      </c>
      <c r="Q196" s="2" t="e">
        <f ca="1">'Rate Design Work eff 10-14-16'!Q195</f>
        <v>#DIV/0!</v>
      </c>
      <c r="R196" s="307"/>
      <c r="S196" s="320" t="e">
        <f ca="1">S181</f>
        <v>#DIV/0!</v>
      </c>
      <c r="T196" s="308" t="s">
        <v>364</v>
      </c>
      <c r="U196" s="2" t="e">
        <f ca="1">'Rate Design Work eff 10-14-16'!U195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390</v>
      </c>
      <c r="B197" s="1"/>
      <c r="C197" s="304">
        <f t="shared" si="27"/>
        <v>1389.3333333333335</v>
      </c>
      <c r="D197" s="321">
        <f>'Rate Design Work eff 10-14-16'!D196</f>
        <v>56</v>
      </c>
      <c r="E197" s="308" t="s">
        <v>364</v>
      </c>
      <c r="F197" s="307">
        <f t="shared" si="28"/>
        <v>-8</v>
      </c>
      <c r="G197" s="321">
        <f ca="1">G182</f>
        <v>57</v>
      </c>
      <c r="H197" s="308" t="s">
        <v>364</v>
      </c>
      <c r="I197" s="307">
        <f t="shared" ca="1" si="29"/>
        <v>-8</v>
      </c>
      <c r="J197" s="307"/>
      <c r="K197" s="321" t="str">
        <f>K182</f>
        <v xml:space="preserve"> </v>
      </c>
      <c r="L197" s="308"/>
      <c r="M197" s="2">
        <f>'Rate Design Work eff 10-14-16'!M196</f>
        <v>0</v>
      </c>
      <c r="N197" s="307"/>
      <c r="O197" s="321" t="e">
        <f>O182</f>
        <v>#DIV/0!</v>
      </c>
      <c r="P197" s="308" t="s">
        <v>364</v>
      </c>
      <c r="Q197" s="2" t="e">
        <f>'Rate Design Work eff 10-14-16'!Q196</f>
        <v>#DIV/0!</v>
      </c>
      <c r="R197" s="307"/>
      <c r="S197" s="321" t="e">
        <f>S182</f>
        <v>#DIV/0!</v>
      </c>
      <c r="T197" s="308" t="s">
        <v>364</v>
      </c>
      <c r="U197" s="2" t="e">
        <f>'Rate Design Work eff 10-14-16'!U196</f>
        <v>#DIV/0!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397</v>
      </c>
      <c r="B198" s="1"/>
      <c r="C198" s="304">
        <f t="shared" si="27"/>
        <v>130.39999999999998</v>
      </c>
      <c r="D198" s="322">
        <f>'Rate Design Work eff 10-14-16'!D197</f>
        <v>60</v>
      </c>
      <c r="E198" s="308"/>
      <c r="F198" s="307">
        <f t="shared" si="28"/>
        <v>7824</v>
      </c>
      <c r="G198" s="322">
        <f>'Blocking - detail'!$I$172</f>
        <v>60</v>
      </c>
      <c r="H198" s="308"/>
      <c r="I198" s="307">
        <f t="shared" si="29"/>
        <v>7824</v>
      </c>
      <c r="J198" s="307"/>
      <c r="K198" s="311" t="s">
        <v>31</v>
      </c>
      <c r="L198" s="308"/>
      <c r="M198" s="2">
        <f>'Rate Design Work eff 10-14-16'!M197</f>
        <v>0</v>
      </c>
      <c r="N198" s="307"/>
      <c r="O198" s="286" t="e">
        <f>ROUND(Q198/$C$198,2)</f>
        <v>#DIV/0!</v>
      </c>
      <c r="P198" s="308"/>
      <c r="Q198" s="2" t="e">
        <f>'Rate Design Work eff 10-14-16'!Q197</f>
        <v>#DIV/0!</v>
      </c>
      <c r="R198" s="307"/>
      <c r="S198" s="286" t="e">
        <f>ROUND(U198/$C$198,2)</f>
        <v>#DIV/0!</v>
      </c>
      <c r="T198" s="308"/>
      <c r="U198" s="2" t="e">
        <f>'Rate Design Work eff 10-14-16'!U197</f>
        <v>#DIV/0!</v>
      </c>
      <c r="X198" s="88" t="s">
        <v>31</v>
      </c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>
      <c r="A199" s="1" t="s">
        <v>398</v>
      </c>
      <c r="B199" s="1"/>
      <c r="C199" s="304">
        <f t="shared" si="27"/>
        <v>709.3</v>
      </c>
      <c r="D199" s="324">
        <f>'Rate Design Work eff 10-14-16'!D198</f>
        <v>-30</v>
      </c>
      <c r="E199" s="308" t="s">
        <v>364</v>
      </c>
      <c r="F199" s="307">
        <f t="shared" si="28"/>
        <v>-213</v>
      </c>
      <c r="G199" s="324">
        <f>'Rate Design Work eff 10-14-16'!G198</f>
        <v>-30</v>
      </c>
      <c r="H199" s="308" t="s">
        <v>364</v>
      </c>
      <c r="I199" s="307">
        <f t="shared" si="29"/>
        <v>-213</v>
      </c>
      <c r="J199" s="307"/>
      <c r="K199" s="324">
        <f>'Rate Design Work eff 10-14-16'!K198</f>
        <v>-30</v>
      </c>
      <c r="L199" s="308" t="s">
        <v>364</v>
      </c>
      <c r="M199" s="2">
        <f>'Rate Design Work eff 10-14-16'!M198</f>
        <v>-213</v>
      </c>
      <c r="N199" s="307"/>
      <c r="O199" s="1281" t="s">
        <v>31</v>
      </c>
      <c r="P199" s="308" t="s">
        <v>31</v>
      </c>
      <c r="Q199" s="2">
        <f>'Rate Design Work eff 10-14-16'!Q198</f>
        <v>0</v>
      </c>
      <c r="R199" s="307"/>
      <c r="S199" s="1281" t="s">
        <v>31</v>
      </c>
      <c r="T199" s="308" t="s">
        <v>31</v>
      </c>
      <c r="U199" s="2">
        <f>'Rate Design Work eff 10-14-16'!U198</f>
        <v>0</v>
      </c>
      <c r="X199" s="88" t="s">
        <v>31</v>
      </c>
      <c r="Z199" s="279"/>
      <c r="AA199" s="279"/>
      <c r="AI199" s="20"/>
      <c r="AJ199" s="20"/>
      <c r="AK199" s="20"/>
      <c r="AL199" s="20"/>
      <c r="AM199" s="20"/>
      <c r="AN199" s="20"/>
      <c r="AO199" s="20"/>
      <c r="AP199" s="20"/>
      <c r="AR199" s="84"/>
    </row>
    <row r="200" spans="1:44" s="1118" customFormat="1" hidden="1">
      <c r="A200" s="968" t="s">
        <v>888</v>
      </c>
      <c r="C200" s="987">
        <f>C194</f>
        <v>116452.33333333327</v>
      </c>
      <c r="D200" s="254">
        <f>'Rate Design Work eff 10-14-16'!D199</f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29"/>
        <v>0</v>
      </c>
      <c r="J200" s="307"/>
      <c r="K200" s="1128" t="str">
        <f>K183</f>
        <v xml:space="preserve"> </v>
      </c>
      <c r="L200" s="972"/>
      <c r="M200" s="2" t="e">
        <f ca="1">'Rate Design Work eff 10-14-16'!M199</f>
        <v>#REF!</v>
      </c>
      <c r="N200" s="307"/>
      <c r="O200" s="1128" t="str">
        <f>O183</f>
        <v xml:space="preserve"> </v>
      </c>
      <c r="P200" s="972" t="s">
        <v>31</v>
      </c>
      <c r="Q200" s="2" t="e">
        <f ca="1">'Rate Design Work eff 10-14-16'!Q199</f>
        <v>#DIV/0!</v>
      </c>
      <c r="R200" s="307"/>
      <c r="S200" s="1128">
        <f>S183</f>
        <v>0</v>
      </c>
      <c r="T200" s="972" t="s">
        <v>364</v>
      </c>
      <c r="U200" s="2">
        <f ca="1">'Rate Design Work eff 10-14-16'!U199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889</v>
      </c>
      <c r="C201" s="987">
        <f t="shared" ref="C201:C202" si="30">C195</f>
        <v>524872.66666666698</v>
      </c>
      <c r="D201" s="254">
        <f>'Rate Design Work eff 10-14-16'!D200</f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29"/>
        <v>0</v>
      </c>
      <c r="J201" s="307"/>
      <c r="K201" s="1128" t="str">
        <f>K184</f>
        <v xml:space="preserve"> </v>
      </c>
      <c r="L201" s="972"/>
      <c r="M201" s="2" t="e">
        <f ca="1">'Rate Design Work eff 10-14-16'!M200</f>
        <v>#REF!</v>
      </c>
      <c r="N201" s="307"/>
      <c r="O201" s="1128" t="str">
        <f>O184</f>
        <v xml:space="preserve"> </v>
      </c>
      <c r="P201" s="972" t="s">
        <v>31</v>
      </c>
      <c r="Q201" s="2" t="e">
        <f ca="1">'Rate Design Work eff 10-14-16'!Q200</f>
        <v>#DIV/0!</v>
      </c>
      <c r="R201" s="307"/>
      <c r="S201" s="1128">
        <f>S184</f>
        <v>0</v>
      </c>
      <c r="T201" s="972" t="s">
        <v>364</v>
      </c>
      <c r="U201" s="2">
        <f ca="1">'Rate Design Work eff 10-14-16'!U200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 s="1118" customFormat="1" hidden="1">
      <c r="A202" s="968" t="s">
        <v>890</v>
      </c>
      <c r="C202" s="987">
        <f t="shared" si="30"/>
        <v>933865</v>
      </c>
      <c r="D202" s="254">
        <f>'Rate Design Work eff 10-14-16'!D201</f>
        <v>0</v>
      </c>
      <c r="E202" s="1119"/>
      <c r="F202" s="1123"/>
      <c r="G202" s="1128">
        <f>G185</f>
        <v>0</v>
      </c>
      <c r="H202" s="972" t="s">
        <v>364</v>
      </c>
      <c r="I202" s="307">
        <f t="shared" ca="1" si="29"/>
        <v>0</v>
      </c>
      <c r="J202" s="307"/>
      <c r="K202" s="1128" t="str">
        <f>K185</f>
        <v xml:space="preserve"> </v>
      </c>
      <c r="L202" s="972"/>
      <c r="M202" s="2">
        <f>'Rate Design Work eff 10-14-16'!M201</f>
        <v>0</v>
      </c>
      <c r="N202" s="307"/>
      <c r="O202" s="1128" t="str">
        <f>O185</f>
        <v xml:space="preserve"> </v>
      </c>
      <c r="P202" s="972" t="s">
        <v>31</v>
      </c>
      <c r="Q202" s="2" t="e">
        <f>'Rate Design Work eff 10-14-16'!Q201</f>
        <v>#DIV/0!</v>
      </c>
      <c r="R202" s="307"/>
      <c r="S202" s="1128">
        <f>S185</f>
        <v>0</v>
      </c>
      <c r="T202" s="972" t="s">
        <v>364</v>
      </c>
      <c r="U202" s="2">
        <f ca="1">'Rate Design Work eff 10-14-16'!U201</f>
        <v>0</v>
      </c>
      <c r="W202" s="784"/>
      <c r="Z202" s="1125"/>
      <c r="AA202" s="1125"/>
      <c r="AF202" s="1119"/>
      <c r="AG202" s="1119"/>
      <c r="AH202" s="1119"/>
      <c r="AI202" s="1119"/>
      <c r="AJ202" s="1119"/>
      <c r="AK202" s="1119"/>
      <c r="AL202" s="1119"/>
      <c r="AM202" s="1119"/>
      <c r="AN202" s="1119"/>
      <c r="AO202" s="1119"/>
      <c r="AP202" s="1119"/>
      <c r="AR202" s="1124"/>
    </row>
    <row r="203" spans="1:44">
      <c r="A203" s="1" t="s">
        <v>371</v>
      </c>
      <c r="B203" s="249"/>
      <c r="C203" s="304">
        <f>C240+C378+C484</f>
        <v>532446168.97622746</v>
      </c>
      <c r="D203" s="315"/>
      <c r="E203" s="308"/>
      <c r="F203" s="307">
        <f>F240+F378+F484</f>
        <v>48208944</v>
      </c>
      <c r="G203" s="315"/>
      <c r="H203" s="308"/>
      <c r="I203" s="307">
        <f t="shared" ca="1" si="29"/>
        <v>49032274</v>
      </c>
      <c r="J203" s="307"/>
      <c r="K203" s="315"/>
      <c r="L203" s="308"/>
      <c r="M203" s="307" t="e">
        <f ca="1">SUM(M169:M202)</f>
        <v>#REF!</v>
      </c>
      <c r="N203" s="307"/>
      <c r="O203" s="315"/>
      <c r="P203" s="308"/>
      <c r="Q203" s="307" t="e">
        <f ca="1">SUM(Q169:Q202)</f>
        <v>#DIV/0!</v>
      </c>
      <c r="R203" s="307"/>
      <c r="S203" s="315"/>
      <c r="T203" s="308"/>
      <c r="U203" s="307" t="e">
        <f ca="1">SUM(U169:U202)</f>
        <v>#DIV/0!</v>
      </c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>
      <c r="A204" s="1" t="s">
        <v>353</v>
      </c>
      <c r="B204" s="25"/>
      <c r="C204" s="325">
        <f ca="1">C241+C379+C485</f>
        <v>3820431.375987567</v>
      </c>
      <c r="D204" s="294"/>
      <c r="E204" s="294"/>
      <c r="F204" s="326">
        <f ca="1">F241+F379+F485</f>
        <v>398180.89115916123</v>
      </c>
      <c r="G204" s="294"/>
      <c r="H204" s="294"/>
      <c r="I204" s="295">
        <f ca="1">F204</f>
        <v>398180.89115916123</v>
      </c>
      <c r="J204" s="51"/>
      <c r="K204" s="294"/>
      <c r="L204" s="294"/>
      <c r="M204" s="295" t="e">
        <f ca="1">$I$204*V208/($V$208+$W$208+$X$208)</f>
        <v>#DIV/0!</v>
      </c>
      <c r="N204" s="51"/>
      <c r="O204" s="294"/>
      <c r="P204" s="294"/>
      <c r="Q204" s="295" t="e">
        <f ca="1">$I$204*W208/($V$208+$W$208+$X$208)</f>
        <v>#DIV/0!</v>
      </c>
      <c r="R204" s="51"/>
      <c r="S204" s="294"/>
      <c r="T204" s="294"/>
      <c r="U204" s="295" t="e">
        <f ca="1">$I$204*X208/($V$208+$W$208+$X$208)</f>
        <v>#DIV/0!</v>
      </c>
      <c r="X204" s="770"/>
      <c r="Y204" s="770"/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Bot="1">
      <c r="A205" s="1" t="s">
        <v>372</v>
      </c>
      <c r="B205" s="1"/>
      <c r="C205" s="296">
        <f ca="1">SUM(C203:C204)</f>
        <v>536266600.35221505</v>
      </c>
      <c r="D205" s="954"/>
      <c r="E205" s="330"/>
      <c r="F205" s="329">
        <f ca="1">F203+F204</f>
        <v>48607124.891159162</v>
      </c>
      <c r="G205" s="457"/>
      <c r="H205" s="330"/>
      <c r="I205" s="329">
        <f ca="1">I203+I204</f>
        <v>49430454.891159162</v>
      </c>
      <c r="J205" s="329"/>
      <c r="K205" s="457"/>
      <c r="L205" s="330"/>
      <c r="M205" s="329" t="e">
        <f ca="1">M203+M204</f>
        <v>#REF!</v>
      </c>
      <c r="N205" s="329"/>
      <c r="O205" s="457"/>
      <c r="P205" s="330"/>
      <c r="Q205" s="329" t="e">
        <f ca="1">Q203+Q204</f>
        <v>#DIV/0!</v>
      </c>
      <c r="R205" s="329"/>
      <c r="S205" s="457"/>
      <c r="T205" s="330"/>
      <c r="U205" s="329" t="e">
        <f ca="1">U203+U204</f>
        <v>#DIV/0!</v>
      </c>
      <c r="V205" s="757" t="s">
        <v>399</v>
      </c>
      <c r="W205" s="778">
        <f ca="1">'Rate Spread targets'!Q24*1000</f>
        <v>49430599.999561004</v>
      </c>
      <c r="X205" s="1417">
        <f ca="1">(I205-F205)/F205</f>
        <v>1.6938463277628466E-2</v>
      </c>
      <c r="Y205" s="793"/>
      <c r="Z205" s="55" t="s">
        <v>31</v>
      </c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thickTop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 t="s">
        <v>31</v>
      </c>
      <c r="V206" s="112" t="s">
        <v>257</v>
      </c>
      <c r="W206" s="780">
        <f ca="1">W205-I205</f>
        <v>145.10840184241533</v>
      </c>
      <c r="X206" s="785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 hidden="1">
      <c r="A207" s="1"/>
      <c r="B207" s="1"/>
      <c r="C207" s="335"/>
      <c r="D207" s="1277"/>
      <c r="E207" s="23"/>
      <c r="F207" s="307"/>
      <c r="G207" s="1278"/>
      <c r="H207" s="23"/>
      <c r="I207" s="307"/>
      <c r="J207" s="307"/>
      <c r="K207" s="1278"/>
      <c r="L207" s="23"/>
      <c r="M207" s="307"/>
      <c r="N207" s="307"/>
      <c r="O207" s="1278"/>
      <c r="P207" s="23"/>
      <c r="Q207" s="307"/>
      <c r="R207" s="307"/>
      <c r="S207" s="1278"/>
      <c r="T207" s="23"/>
      <c r="U207" s="307" t="s">
        <v>31</v>
      </c>
      <c r="V207" s="1279"/>
      <c r="W207" s="1279"/>
      <c r="X207" s="719"/>
      <c r="Y207" s="793"/>
      <c r="Z207" s="55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 hidden="1">
      <c r="A208" s="1"/>
      <c r="B208" s="1"/>
      <c r="C208" s="21"/>
      <c r="D208" s="322"/>
      <c r="E208" s="1"/>
      <c r="F208" s="2" t="s">
        <v>31</v>
      </c>
      <c r="G208" s="322"/>
      <c r="H208" s="1"/>
      <c r="I208" s="2" t="s">
        <v>31</v>
      </c>
      <c r="J208" s="2"/>
      <c r="K208" s="322"/>
      <c r="L208" s="1"/>
      <c r="M208" s="2" t="s">
        <v>31</v>
      </c>
      <c r="N208" s="2"/>
      <c r="O208" s="322"/>
      <c r="P208" s="1"/>
      <c r="Q208" s="2" t="s">
        <v>31</v>
      </c>
      <c r="R208" s="2"/>
      <c r="S208" s="322"/>
      <c r="T208" s="1"/>
      <c r="U208" s="2" t="s">
        <v>31</v>
      </c>
      <c r="V208" s="1124"/>
      <c r="W208" s="1124"/>
      <c r="X208" s="1124"/>
      <c r="Y208" s="1129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 hidden="1">
      <c r="A209" s="1"/>
      <c r="B209" s="1"/>
      <c r="C209" s="21"/>
      <c r="D209" s="322"/>
      <c r="E209" s="1"/>
      <c r="F209" s="2"/>
      <c r="G209" s="322"/>
      <c r="H209" s="1"/>
      <c r="K209" s="322"/>
      <c r="L209" s="1"/>
      <c r="O209" s="322"/>
      <c r="P209" s="1"/>
      <c r="S209" s="322"/>
      <c r="T209" s="1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 hidden="1">
      <c r="A210" s="278" t="s">
        <v>377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331" t="s">
        <v>31</v>
      </c>
      <c r="X210" s="14"/>
      <c r="Y210" s="14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 hidden="1">
      <c r="A211" s="1" t="s">
        <v>400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401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 hidden="1">
      <c r="A213" s="1" t="s">
        <v>383</v>
      </c>
      <c r="B213" s="1"/>
      <c r="C213" s="304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 hidden="1">
      <c r="A214" s="1" t="s">
        <v>380</v>
      </c>
      <c r="B214" s="1"/>
      <c r="C214" s="304">
        <f>C283+C317+C248</f>
        <v>161975.73333331931</v>
      </c>
      <c r="D214" s="283">
        <f>'Rate Design Work eff 10-14-16'!D213</f>
        <v>9.6</v>
      </c>
      <c r="E214" s="308"/>
      <c r="F214" s="2">
        <f>F283+F317+F248</f>
        <v>1554967</v>
      </c>
      <c r="G214" s="283">
        <f ca="1">$G$173</f>
        <v>9.76</v>
      </c>
      <c r="H214" s="308"/>
      <c r="I214" s="2">
        <f ca="1">I283+I317+I248</f>
        <v>1580883</v>
      </c>
      <c r="J214" s="2"/>
      <c r="K214" s="283">
        <f ca="1">$K$173</f>
        <v>9.76</v>
      </c>
      <c r="L214" s="308"/>
      <c r="M214" s="2">
        <f ca="1">M283+M317+M248</f>
        <v>1580883</v>
      </c>
      <c r="N214" s="2"/>
      <c r="O214" s="283" t="str">
        <f>$O$173</f>
        <v xml:space="preserve"> </v>
      </c>
      <c r="P214" s="308"/>
      <c r="Q214" s="2">
        <f>Q283+Q317+Q248</f>
        <v>0</v>
      </c>
      <c r="R214" s="2"/>
      <c r="S214" s="283" t="str">
        <f>$S$173</f>
        <v xml:space="preserve"> </v>
      </c>
      <c r="T214" s="308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 hidden="1">
      <c r="A215" s="1" t="s">
        <v>381</v>
      </c>
      <c r="B215" s="1"/>
      <c r="C215" s="304">
        <f>C284+C318+C249</f>
        <v>64148.300000000723</v>
      </c>
      <c r="D215" s="283">
        <f>'Rate Design Work eff 10-14-16'!D214</f>
        <v>14.3</v>
      </c>
      <c r="E215" s="310"/>
      <c r="F215" s="2">
        <f>F284+F318+F249</f>
        <v>917321</v>
      </c>
      <c r="G215" s="283">
        <f ca="1">$G$174</f>
        <v>14.54</v>
      </c>
      <c r="H215" s="310"/>
      <c r="I215" s="2">
        <f ca="1">I284+I318+I249</f>
        <v>932716</v>
      </c>
      <c r="J215" s="2"/>
      <c r="K215" s="283">
        <f ca="1">$K$174</f>
        <v>14.54</v>
      </c>
      <c r="L215" s="310"/>
      <c r="M215" s="2">
        <f ca="1">M284+M318+M249</f>
        <v>932716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 hidden="1">
      <c r="A216" s="1" t="s">
        <v>382</v>
      </c>
      <c r="B216" s="1"/>
      <c r="C216" s="304">
        <f>C285+C319+C250</f>
        <v>1035367</v>
      </c>
      <c r="D216" s="283">
        <f>'Rate Design Work eff 10-14-16'!D215</f>
        <v>1</v>
      </c>
      <c r="E216" s="310"/>
      <c r="F216" s="2">
        <f>F285+F319+F250</f>
        <v>1035367</v>
      </c>
      <c r="G216" s="283">
        <f ca="1">$G$175</f>
        <v>1.02</v>
      </c>
      <c r="H216" s="310"/>
      <c r="I216" s="2">
        <f ca="1">I285+I319+I250</f>
        <v>1056074</v>
      </c>
      <c r="J216" s="2"/>
      <c r="K216" s="283">
        <f ca="1">$K$175</f>
        <v>1.02</v>
      </c>
      <c r="L216" s="310"/>
      <c r="M216" s="2">
        <f ca="1">M285+M319+M250</f>
        <v>1056074</v>
      </c>
      <c r="N216" s="2"/>
      <c r="O216" s="283" t="str">
        <f>$O$175</f>
        <v xml:space="preserve"> </v>
      </c>
      <c r="P216" s="310"/>
      <c r="Q216" s="2">
        <f>Q285+Q319+Q250</f>
        <v>0</v>
      </c>
      <c r="R216" s="2"/>
      <c r="S216" s="283" t="str">
        <f>$S$175</f>
        <v xml:space="preserve"> </v>
      </c>
      <c r="T216" s="310"/>
      <c r="U216" s="2">
        <f>U285+U319+U250</f>
        <v>0</v>
      </c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 hidden="1">
      <c r="A217" s="1" t="s">
        <v>384</v>
      </c>
      <c r="B217" s="1"/>
      <c r="C217" s="304">
        <f>SUM(C214:C215)</f>
        <v>226124.03333332003</v>
      </c>
      <c r="D217" s="283"/>
      <c r="E217" s="308"/>
      <c r="F217" s="2"/>
      <c r="G217" s="283"/>
      <c r="H217" s="308"/>
      <c r="I217" s="2"/>
      <c r="J217" s="2"/>
      <c r="K217" s="283"/>
      <c r="L217" s="308"/>
      <c r="M217" s="2"/>
      <c r="N217" s="2"/>
      <c r="O217" s="283"/>
      <c r="P217" s="308"/>
      <c r="Q217" s="2"/>
      <c r="R217" s="2"/>
      <c r="S217" s="283"/>
      <c r="T217" s="308"/>
      <c r="U217" s="2"/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 hidden="1">
      <c r="A218" s="1" t="s">
        <v>385</v>
      </c>
      <c r="B218" s="1"/>
      <c r="C218" s="304">
        <f>C287+C321+C252</f>
        <v>835989</v>
      </c>
      <c r="D218" s="311">
        <f>'Rate Design Work eff 10-14-16'!D217</f>
        <v>3.64</v>
      </c>
      <c r="E218" s="308"/>
      <c r="F218" s="2">
        <f>F287+F321+F252</f>
        <v>3043000</v>
      </c>
      <c r="G218" s="311">
        <f ca="1">$G$178</f>
        <v>3.7</v>
      </c>
      <c r="H218" s="308"/>
      <c r="I218" s="2">
        <f ca="1">I287+I321+I252</f>
        <v>3093159</v>
      </c>
      <c r="J218" s="2"/>
      <c r="K218" s="311" t="e">
        <f ca="1">$K$178</f>
        <v>#REF!</v>
      </c>
      <c r="L218" s="308"/>
      <c r="M218" s="2" t="e">
        <f ca="1">M287+M321+M252</f>
        <v>#REF!</v>
      </c>
      <c r="N218" s="2"/>
      <c r="O218" s="311" t="e">
        <f ca="1">$O$178</f>
        <v>#DIV/0!</v>
      </c>
      <c r="P218" s="308"/>
      <c r="Q218" s="2" t="e">
        <f ca="1">Q287+Q321+Q252</f>
        <v>#DIV/0!</v>
      </c>
      <c r="R218" s="2"/>
      <c r="S218" s="311" t="e">
        <f ca="1">$S$178</f>
        <v>#DIV/0!</v>
      </c>
      <c r="T218" s="308"/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 hidden="1">
      <c r="A219" s="1" t="s">
        <v>387</v>
      </c>
      <c r="B219" s="1"/>
      <c r="C219" s="304">
        <f>C288+C322+C253</f>
        <v>129554839.11787954</v>
      </c>
      <c r="D219" s="284">
        <f>'Rate Design Work eff 10-14-16'!D218</f>
        <v>10.449</v>
      </c>
      <c r="E219" s="308" t="s">
        <v>364</v>
      </c>
      <c r="F219" s="2">
        <f>F288+F322+F253</f>
        <v>13537185</v>
      </c>
      <c r="G219" s="284">
        <f ca="1">$G$179</f>
        <v>10.628</v>
      </c>
      <c r="H219" s="308" t="s">
        <v>364</v>
      </c>
      <c r="I219" s="2">
        <f ca="1">I288+I322+I253</f>
        <v>13769088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 hidden="1">
      <c r="A220" s="1" t="s">
        <v>388</v>
      </c>
      <c r="B220" s="1"/>
      <c r="C220" s="304">
        <f>C289+C323+C254</f>
        <v>281305509.69846565</v>
      </c>
      <c r="D220" s="284">
        <f>'Rate Design Work eff 10-14-16'!D219</f>
        <v>7.218</v>
      </c>
      <c r="E220" s="308" t="s">
        <v>364</v>
      </c>
      <c r="F220" s="2">
        <f>F289+F323+F254</f>
        <v>20304632</v>
      </c>
      <c r="G220" s="284">
        <f ca="1">$G$180</f>
        <v>7.3410000000000002</v>
      </c>
      <c r="H220" s="308" t="s">
        <v>364</v>
      </c>
      <c r="I220" s="2">
        <f ca="1">I289+I323+I254</f>
        <v>20650637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 hidden="1">
      <c r="A221" s="1" t="s">
        <v>389</v>
      </c>
      <c r="B221" s="1"/>
      <c r="C221" s="304">
        <f>C290+C324+C255</f>
        <v>119991272.36558694</v>
      </c>
      <c r="D221" s="284">
        <f>'Rate Design Work eff 10-14-16'!D220</f>
        <v>6.218</v>
      </c>
      <c r="E221" s="308" t="s">
        <v>364</v>
      </c>
      <c r="F221" s="2">
        <f>F290+F324+F255</f>
        <v>7461057</v>
      </c>
      <c r="G221" s="284">
        <f ca="1">$G$181</f>
        <v>6.3240000000000007</v>
      </c>
      <c r="H221" s="308" t="s">
        <v>364</v>
      </c>
      <c r="I221" s="2">
        <f ca="1">I290+I324+I255</f>
        <v>7588248</v>
      </c>
      <c r="J221" s="2"/>
      <c r="K221" s="284" t="e">
        <f ca="1">$K$181</f>
        <v>#REF!</v>
      </c>
      <c r="L221" s="308" t="s">
        <v>364</v>
      </c>
      <c r="M221" s="2" t="e">
        <f ca="1">M290+M324+M255</f>
        <v>#REF!</v>
      </c>
      <c r="N221" s="2"/>
      <c r="O221" s="284" t="e">
        <f ca="1">$O$181</f>
        <v>#DIV/0!</v>
      </c>
      <c r="P221" s="308" t="s">
        <v>364</v>
      </c>
      <c r="Q221" s="2" t="e">
        <f ca="1">Q290+Q324+Q255</f>
        <v>#DIV/0!</v>
      </c>
      <c r="R221" s="2"/>
      <c r="S221" s="284" t="e">
        <f ca="1">$S$181</f>
        <v>#DIV/0!</v>
      </c>
      <c r="T221" s="308" t="s">
        <v>364</v>
      </c>
      <c r="U221" s="2" t="e">
        <f ca="1"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hidden="1">
      <c r="A222" s="1" t="s">
        <v>390</v>
      </c>
      <c r="B222" s="1"/>
      <c r="C222" s="304">
        <f>C291+C325+C256</f>
        <v>120876.56666666651</v>
      </c>
      <c r="D222" s="315">
        <f>'Rate Design Work eff 10-14-16'!D221</f>
        <v>56</v>
      </c>
      <c r="E222" s="308" t="s">
        <v>364</v>
      </c>
      <c r="F222" s="2">
        <f>F291+F325+F256</f>
        <v>67690</v>
      </c>
      <c r="G222" s="315">
        <f ca="1">$G$182</f>
        <v>57</v>
      </c>
      <c r="H222" s="308" t="s">
        <v>364</v>
      </c>
      <c r="I222" s="2">
        <f ca="1">I291+I325+I256</f>
        <v>68900</v>
      </c>
      <c r="J222" s="2"/>
      <c r="K222" s="315" t="str">
        <f>$K$182</f>
        <v xml:space="preserve"> </v>
      </c>
      <c r="L222" s="308" t="s">
        <v>364</v>
      </c>
      <c r="M222" s="2">
        <f>M291+M325+M256</f>
        <v>0</v>
      </c>
      <c r="N222" s="2"/>
      <c r="O222" s="315" t="e">
        <f>$O$182</f>
        <v>#DIV/0!</v>
      </c>
      <c r="P222" s="308" t="s">
        <v>364</v>
      </c>
      <c r="Q222" s="2" t="e">
        <f>Q291+Q325+Q256</f>
        <v>#DIV/0!</v>
      </c>
      <c r="R222" s="2"/>
      <c r="S222" s="315" t="e">
        <f>$S$182</f>
        <v>#DIV/0!</v>
      </c>
      <c r="T222" s="308" t="s">
        <v>364</v>
      </c>
      <c r="U222" s="2" t="e">
        <f>U291+U325+U256</f>
        <v>#DIV/0!</v>
      </c>
      <c r="V222" s="20"/>
      <c r="W222" s="74"/>
      <c r="X222" s="74"/>
      <c r="Y222" s="74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R222" s="84"/>
    </row>
    <row r="223" spans="1:44" s="1118" customFormat="1" hidden="1">
      <c r="A223" s="968" t="s">
        <v>888</v>
      </c>
      <c r="C223" s="987">
        <f>C219</f>
        <v>129554839.11787954</v>
      </c>
      <c r="D223" s="254">
        <f>'Rate Design Work eff 10-14-16'!D222</f>
        <v>0</v>
      </c>
      <c r="E223" s="1119"/>
      <c r="F223" s="1123"/>
      <c r="G223" s="1128">
        <f>G183</f>
        <v>0</v>
      </c>
      <c r="H223" s="972" t="s">
        <v>364</v>
      </c>
      <c r="I223" s="1123">
        <f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>Q257+Q292+Q326</f>
        <v>0</v>
      </c>
      <c r="R223" s="1123"/>
      <c r="S223" s="1128">
        <f>S183</f>
        <v>0</v>
      </c>
      <c r="T223" s="972" t="s">
        <v>364</v>
      </c>
      <c r="U223" s="1123">
        <f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889</v>
      </c>
      <c r="C224" s="987">
        <f t="shared" ref="C224:C225" si="31">C220</f>
        <v>281305509.69846565</v>
      </c>
      <c r="D224" s="254">
        <f>'Rate Design Work eff 10-14-16'!D223</f>
        <v>0</v>
      </c>
      <c r="E224" s="1119"/>
      <c r="F224" s="1123"/>
      <c r="G224" s="1128">
        <f>G184</f>
        <v>0</v>
      </c>
      <c r="H224" s="972" t="s">
        <v>364</v>
      </c>
      <c r="I224" s="1123">
        <f t="shared" ref="I224:I225" si="32">I258+I293+I327</f>
        <v>0</v>
      </c>
      <c r="J224" s="1123"/>
      <c r="K224" s="1128" t="str">
        <f>K184</f>
        <v xml:space="preserve"> </v>
      </c>
      <c r="L224" s="972" t="s">
        <v>364</v>
      </c>
      <c r="M224" s="1123">
        <f t="shared" ref="M224:M225" si="33">M258+M293+M327</f>
        <v>0</v>
      </c>
      <c r="N224" s="1123"/>
      <c r="O224" s="1128" t="str">
        <f>O184</f>
        <v xml:space="preserve"> </v>
      </c>
      <c r="P224" s="972" t="s">
        <v>364</v>
      </c>
      <c r="Q224" s="1123">
        <f t="shared" ref="Q224:Q225" si="34">Q258+Q293+Q327</f>
        <v>0</v>
      </c>
      <c r="R224" s="1123"/>
      <c r="S224" s="1128">
        <f>S184</f>
        <v>0</v>
      </c>
      <c r="T224" s="972" t="s">
        <v>364</v>
      </c>
      <c r="U224" s="1123">
        <f t="shared" ref="U224:U225" si="35">U258+U293+U327</f>
        <v>0</v>
      </c>
      <c r="W224" s="784"/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 s="1118" customFormat="1" hidden="1">
      <c r="A225" s="968" t="s">
        <v>890</v>
      </c>
      <c r="C225" s="987">
        <f t="shared" si="31"/>
        <v>119991272.36558694</v>
      </c>
      <c r="D225" s="254">
        <f>'Rate Design Work eff 10-14-16'!D224</f>
        <v>0</v>
      </c>
      <c r="E225" s="1119"/>
      <c r="F225" s="1123"/>
      <c r="G225" s="1128">
        <f>G185</f>
        <v>0</v>
      </c>
      <c r="H225" s="972" t="s">
        <v>364</v>
      </c>
      <c r="I225" s="1123">
        <f t="shared" si="32"/>
        <v>0</v>
      </c>
      <c r="J225" s="1123"/>
      <c r="K225" s="1128" t="str">
        <f>K185</f>
        <v xml:space="preserve"> </v>
      </c>
      <c r="L225" s="972" t="s">
        <v>364</v>
      </c>
      <c r="M225" s="1123">
        <f t="shared" si="33"/>
        <v>0</v>
      </c>
      <c r="N225" s="1123"/>
      <c r="O225" s="1128" t="str">
        <f>O185</f>
        <v xml:space="preserve"> </v>
      </c>
      <c r="P225" s="972" t="s">
        <v>364</v>
      </c>
      <c r="Q225" s="1123">
        <f t="shared" si="34"/>
        <v>0</v>
      </c>
      <c r="R225" s="1123"/>
      <c r="S225" s="1128">
        <f>S185</f>
        <v>0</v>
      </c>
      <c r="T225" s="972" t="s">
        <v>364</v>
      </c>
      <c r="U225" s="1123">
        <f t="shared" si="35"/>
        <v>0</v>
      </c>
      <c r="W225" s="784" t="s">
        <v>31</v>
      </c>
      <c r="Z225" s="1125"/>
      <c r="AA225" s="1125"/>
      <c r="AF225" s="1119"/>
      <c r="AG225" s="1119"/>
      <c r="AH225" s="1119"/>
      <c r="AI225" s="1119"/>
      <c r="AJ225" s="1119"/>
      <c r="AK225" s="1119"/>
      <c r="AL225" s="1119"/>
      <c r="AM225" s="1119"/>
      <c r="AN225" s="1119"/>
      <c r="AO225" s="1119"/>
      <c r="AP225" s="1119"/>
      <c r="AR225" s="1124"/>
    </row>
    <row r="226" spans="1:44" hidden="1">
      <c r="A226" s="316" t="s">
        <v>391</v>
      </c>
      <c r="B226" s="1"/>
      <c r="C226" s="304"/>
      <c r="D226" s="317">
        <f>'Rate Design Work eff 10-14-16'!D225</f>
        <v>-0.01</v>
      </c>
      <c r="E226" s="308"/>
      <c r="F226" s="2"/>
      <c r="G226" s="317">
        <v>-0.01</v>
      </c>
      <c r="H226" s="308"/>
      <c r="I226" s="2"/>
      <c r="J226" s="2"/>
      <c r="K226" s="317">
        <v>-0.01</v>
      </c>
      <c r="L226" s="308"/>
      <c r="M226" s="2"/>
      <c r="N226" s="2"/>
      <c r="O226" s="317">
        <v>-0.01</v>
      </c>
      <c r="P226" s="308"/>
      <c r="Q226" s="2"/>
      <c r="R226" s="2"/>
      <c r="S226" s="317">
        <v>-0.01</v>
      </c>
      <c r="T226" s="308"/>
      <c r="U226" s="2"/>
      <c r="V226" s="20"/>
      <c r="W226" s="32" t="s">
        <v>31</v>
      </c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 hidden="1">
      <c r="A227" s="1" t="s">
        <v>380</v>
      </c>
      <c r="B227" s="1"/>
      <c r="C227" s="304">
        <f t="shared" ref="C227:C236" si="36">C296+C330+C261</f>
        <v>74.633333333333297</v>
      </c>
      <c r="D227" s="319">
        <f>'Rate Design Work eff 10-14-16'!D226</f>
        <v>9.6</v>
      </c>
      <c r="E227" s="306"/>
      <c r="F227" s="2">
        <f t="shared" ref="F227:F236" si="37">F296+F330+F261</f>
        <v>-7</v>
      </c>
      <c r="G227" s="319">
        <f ca="1">G214</f>
        <v>9.76</v>
      </c>
      <c r="H227" s="306"/>
      <c r="I227" s="2">
        <f t="shared" ref="I227:I236" ca="1" si="38">I296+I330+I261</f>
        <v>-7</v>
      </c>
      <c r="J227" s="2"/>
      <c r="K227" s="319">
        <f ca="1">K214</f>
        <v>9.76</v>
      </c>
      <c r="L227" s="306"/>
      <c r="M227" s="2">
        <f t="shared" ref="M227:M236" ca="1" si="39">M296+M330+M261</f>
        <v>-7</v>
      </c>
      <c r="N227" s="2"/>
      <c r="O227" s="319" t="str">
        <f>O214</f>
        <v xml:space="preserve"> </v>
      </c>
      <c r="P227" s="306"/>
      <c r="Q227" s="2">
        <f t="shared" ref="Q227:Q236" si="40">Q296+Q330+Q261</f>
        <v>0</v>
      </c>
      <c r="R227" s="2"/>
      <c r="S227" s="319" t="str">
        <f>S214</f>
        <v xml:space="preserve"> </v>
      </c>
      <c r="T227" s="306"/>
      <c r="U227" s="2">
        <f t="shared" ref="U227:U236" si="41">U296+U330+U261</f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 hidden="1">
      <c r="A228" s="1" t="s">
        <v>381</v>
      </c>
      <c r="B228" s="1"/>
      <c r="C228" s="304">
        <f t="shared" si="36"/>
        <v>88.799999999999983</v>
      </c>
      <c r="D228" s="319">
        <f>'Rate Design Work eff 10-14-16'!D227</f>
        <v>14.3</v>
      </c>
      <c r="E228" s="306"/>
      <c r="F228" s="2">
        <f t="shared" si="37"/>
        <v>-12</v>
      </c>
      <c r="G228" s="319">
        <f ca="1">G215</f>
        <v>14.54</v>
      </c>
      <c r="H228" s="306"/>
      <c r="I228" s="2">
        <f t="shared" ca="1" si="38"/>
        <v>-12</v>
      </c>
      <c r="J228" s="2"/>
      <c r="K228" s="319">
        <f ca="1">K215</f>
        <v>14.54</v>
      </c>
      <c r="L228" s="306"/>
      <c r="M228" s="2">
        <f t="shared" ca="1" si="39"/>
        <v>-12</v>
      </c>
      <c r="N228" s="2"/>
      <c r="O228" s="319" t="str">
        <f>O215</f>
        <v xml:space="preserve"> </v>
      </c>
      <c r="P228" s="306"/>
      <c r="Q228" s="2">
        <f t="shared" si="40"/>
        <v>0</v>
      </c>
      <c r="R228" s="2"/>
      <c r="S228" s="319" t="str">
        <f>S215</f>
        <v xml:space="preserve"> </v>
      </c>
      <c r="T228" s="306"/>
      <c r="U228" s="2">
        <f t="shared" si="41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 hidden="1">
      <c r="A229" s="1" t="s">
        <v>392</v>
      </c>
      <c r="B229" s="1"/>
      <c r="C229" s="304">
        <f t="shared" si="36"/>
        <v>2161</v>
      </c>
      <c r="D229" s="319">
        <f>'Rate Design Work eff 10-14-16'!D228</f>
        <v>1</v>
      </c>
      <c r="E229" s="306"/>
      <c r="F229" s="2">
        <f t="shared" si="37"/>
        <v>-21</v>
      </c>
      <c r="G229" s="319">
        <f ca="1">G216</f>
        <v>1.02</v>
      </c>
      <c r="H229" s="306"/>
      <c r="I229" s="2">
        <f t="shared" ca="1" si="38"/>
        <v>-23</v>
      </c>
      <c r="J229" s="2"/>
      <c r="K229" s="319">
        <f ca="1">K216</f>
        <v>1.02</v>
      </c>
      <c r="L229" s="306"/>
      <c r="M229" s="2">
        <f t="shared" ca="1" si="39"/>
        <v>-23</v>
      </c>
      <c r="N229" s="2"/>
      <c r="O229" s="319" t="str">
        <f>O216</f>
        <v xml:space="preserve"> </v>
      </c>
      <c r="P229" s="306"/>
      <c r="Q229" s="2">
        <f t="shared" si="40"/>
        <v>0</v>
      </c>
      <c r="R229" s="2"/>
      <c r="S229" s="319" t="str">
        <f>S216</f>
        <v xml:space="preserve"> </v>
      </c>
      <c r="T229" s="306"/>
      <c r="U229" s="2">
        <f t="shared" si="41"/>
        <v>0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 hidden="1">
      <c r="A230" s="1" t="s">
        <v>393</v>
      </c>
      <c r="B230" s="1"/>
      <c r="C230" s="304">
        <f t="shared" si="36"/>
        <v>1487</v>
      </c>
      <c r="D230" s="319">
        <f>'Rate Design Work eff 10-14-16'!D229</f>
        <v>3.64</v>
      </c>
      <c r="E230" s="308"/>
      <c r="F230" s="2">
        <f t="shared" si="37"/>
        <v>-54</v>
      </c>
      <c r="G230" s="319">
        <f ca="1">G218</f>
        <v>3.7</v>
      </c>
      <c r="H230" s="308"/>
      <c r="I230" s="2">
        <f t="shared" ca="1" si="38"/>
        <v>-55</v>
      </c>
      <c r="J230" s="2"/>
      <c r="K230" s="319" t="e">
        <f ca="1">K218</f>
        <v>#REF!</v>
      </c>
      <c r="L230" s="308"/>
      <c r="M230" s="2" t="e">
        <f t="shared" ca="1" si="39"/>
        <v>#REF!</v>
      </c>
      <c r="N230" s="2"/>
      <c r="O230" s="319" t="e">
        <f ca="1">O218</f>
        <v>#DIV/0!</v>
      </c>
      <c r="P230" s="308"/>
      <c r="Q230" s="2" t="e">
        <f t="shared" ca="1" si="40"/>
        <v>#DIV/0!</v>
      </c>
      <c r="R230" s="2"/>
      <c r="S230" s="319" t="e">
        <f ca="1">S218</f>
        <v>#DIV/0!</v>
      </c>
      <c r="T230" s="308"/>
      <c r="U230" s="2" t="e">
        <f t="shared" ca="1" si="41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 hidden="1">
      <c r="A231" s="1" t="s">
        <v>395</v>
      </c>
      <c r="B231" s="1"/>
      <c r="C231" s="304">
        <f t="shared" si="36"/>
        <v>116452.33333333327</v>
      </c>
      <c r="D231" s="320">
        <f>'Rate Design Work eff 10-14-16'!D230</f>
        <v>10.449</v>
      </c>
      <c r="E231" s="308" t="s">
        <v>364</v>
      </c>
      <c r="F231" s="2">
        <f t="shared" si="37"/>
        <v>-121</v>
      </c>
      <c r="G231" s="320">
        <f ca="1">G219</f>
        <v>10.628</v>
      </c>
      <c r="H231" s="308" t="s">
        <v>364</v>
      </c>
      <c r="I231" s="2">
        <f t="shared" ca="1" si="38"/>
        <v>-123</v>
      </c>
      <c r="J231" s="2"/>
      <c r="K231" s="320" t="e">
        <f ca="1">K219</f>
        <v>#REF!</v>
      </c>
      <c r="L231" s="308" t="s">
        <v>364</v>
      </c>
      <c r="M231" s="2" t="e">
        <f t="shared" ca="1" si="39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0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1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 hidden="1">
      <c r="A232" s="1" t="s">
        <v>388</v>
      </c>
      <c r="B232" s="1"/>
      <c r="C232" s="304">
        <f t="shared" si="36"/>
        <v>524872.66666666698</v>
      </c>
      <c r="D232" s="320">
        <f>'Rate Design Work eff 10-14-16'!D231</f>
        <v>7.218</v>
      </c>
      <c r="E232" s="308" t="s">
        <v>364</v>
      </c>
      <c r="F232" s="2">
        <f t="shared" si="37"/>
        <v>-378</v>
      </c>
      <c r="G232" s="320">
        <f ca="1">G220</f>
        <v>7.3410000000000002</v>
      </c>
      <c r="H232" s="308" t="s">
        <v>364</v>
      </c>
      <c r="I232" s="2">
        <f t="shared" ca="1" si="38"/>
        <v>-385</v>
      </c>
      <c r="J232" s="2"/>
      <c r="K232" s="320" t="e">
        <f ca="1">K220</f>
        <v>#REF!</v>
      </c>
      <c r="L232" s="308" t="s">
        <v>364</v>
      </c>
      <c r="M232" s="2" t="e">
        <f t="shared" ca="1" si="39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0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1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 hidden="1">
      <c r="A233" s="1" t="s">
        <v>389</v>
      </c>
      <c r="B233" s="1"/>
      <c r="C233" s="304">
        <f t="shared" si="36"/>
        <v>933865</v>
      </c>
      <c r="D233" s="320">
        <f>'Rate Design Work eff 10-14-16'!D232</f>
        <v>6.218</v>
      </c>
      <c r="E233" s="308" t="s">
        <v>364</v>
      </c>
      <c r="F233" s="2">
        <f t="shared" si="37"/>
        <v>-580</v>
      </c>
      <c r="G233" s="320">
        <f ca="1">G221</f>
        <v>6.3240000000000007</v>
      </c>
      <c r="H233" s="308" t="s">
        <v>364</v>
      </c>
      <c r="I233" s="2">
        <f t="shared" ca="1" si="38"/>
        <v>-591</v>
      </c>
      <c r="J233" s="2"/>
      <c r="K233" s="320" t="e">
        <f ca="1">K221</f>
        <v>#REF!</v>
      </c>
      <c r="L233" s="308" t="s">
        <v>364</v>
      </c>
      <c r="M233" s="2" t="e">
        <f t="shared" ca="1" si="39"/>
        <v>#REF!</v>
      </c>
      <c r="N233" s="2"/>
      <c r="O233" s="320" t="e">
        <f ca="1">O221</f>
        <v>#DIV/0!</v>
      </c>
      <c r="P233" s="308" t="s">
        <v>364</v>
      </c>
      <c r="Q233" s="2" t="e">
        <f t="shared" ca="1" si="40"/>
        <v>#DIV/0!</v>
      </c>
      <c r="R233" s="2"/>
      <c r="S233" s="320" t="e">
        <f ca="1">S221</f>
        <v>#DIV/0!</v>
      </c>
      <c r="T233" s="308" t="s">
        <v>364</v>
      </c>
      <c r="U233" s="2" t="e">
        <f t="shared" ca="1" si="41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 hidden="1">
      <c r="A234" s="1" t="s">
        <v>390</v>
      </c>
      <c r="B234" s="1"/>
      <c r="C234" s="304">
        <f t="shared" si="36"/>
        <v>1389.3333333333335</v>
      </c>
      <c r="D234" s="321">
        <f>'Rate Design Work eff 10-14-16'!D233</f>
        <v>56</v>
      </c>
      <c r="E234" s="308" t="s">
        <v>364</v>
      </c>
      <c r="F234" s="2">
        <f t="shared" si="37"/>
        <v>-8</v>
      </c>
      <c r="G234" s="321">
        <f ca="1">G222</f>
        <v>57</v>
      </c>
      <c r="H234" s="308" t="s">
        <v>364</v>
      </c>
      <c r="I234" s="2">
        <f t="shared" ca="1" si="38"/>
        <v>-8</v>
      </c>
      <c r="J234" s="2"/>
      <c r="K234" s="321" t="str">
        <f>K222</f>
        <v xml:space="preserve"> </v>
      </c>
      <c r="L234" s="308" t="s">
        <v>364</v>
      </c>
      <c r="M234" s="2">
        <f t="shared" si="39"/>
        <v>0</v>
      </c>
      <c r="N234" s="2"/>
      <c r="O234" s="321" t="e">
        <f>O222</f>
        <v>#DIV/0!</v>
      </c>
      <c r="P234" s="308" t="s">
        <v>364</v>
      </c>
      <c r="Q234" s="2" t="e">
        <f t="shared" si="40"/>
        <v>#DIV/0!</v>
      </c>
      <c r="R234" s="2"/>
      <c r="S234" s="321" t="e">
        <f>S222</f>
        <v>#DIV/0!</v>
      </c>
      <c r="T234" s="308" t="s">
        <v>364</v>
      </c>
      <c r="U234" s="2" t="e">
        <f t="shared" si="41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 hidden="1">
      <c r="A235" s="1" t="s">
        <v>397</v>
      </c>
      <c r="B235" s="1"/>
      <c r="C235" s="304">
        <f t="shared" si="36"/>
        <v>130.39999999999998</v>
      </c>
      <c r="D235" s="322">
        <f>'Rate Design Work eff 10-14-16'!D234</f>
        <v>60</v>
      </c>
      <c r="E235" s="308"/>
      <c r="F235" s="2">
        <f t="shared" si="37"/>
        <v>7824</v>
      </c>
      <c r="G235" s="322">
        <f>$G$198</f>
        <v>60</v>
      </c>
      <c r="H235" s="308"/>
      <c r="I235" s="2">
        <f t="shared" si="38"/>
        <v>7824</v>
      </c>
      <c r="J235" s="2"/>
      <c r="K235" s="322">
        <f>$G$198</f>
        <v>60</v>
      </c>
      <c r="L235" s="308"/>
      <c r="M235" s="2">
        <f t="shared" si="39"/>
        <v>0</v>
      </c>
      <c r="N235" s="2"/>
      <c r="O235" s="322" t="e">
        <f>$O$198</f>
        <v>#DIV/0!</v>
      </c>
      <c r="P235" s="308"/>
      <c r="Q235" s="2" t="e">
        <f t="shared" si="40"/>
        <v>#DIV/0!</v>
      </c>
      <c r="R235" s="2"/>
      <c r="S235" s="322" t="e">
        <f>$S$198</f>
        <v>#DIV/0!</v>
      </c>
      <c r="T235" s="308"/>
      <c r="U235" s="2" t="e">
        <f t="shared" si="41"/>
        <v>#DIV/0!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hidden="1">
      <c r="A236" s="1" t="s">
        <v>398</v>
      </c>
      <c r="B236" s="1"/>
      <c r="C236" s="304">
        <f t="shared" si="36"/>
        <v>709.3</v>
      </c>
      <c r="D236" s="324">
        <f>'Rate Design Work eff 10-14-16'!D235</f>
        <v>-30</v>
      </c>
      <c r="E236" s="308" t="s">
        <v>364</v>
      </c>
      <c r="F236" s="2">
        <f t="shared" si="37"/>
        <v>-213</v>
      </c>
      <c r="G236" s="324">
        <f>$G$199</f>
        <v>-30</v>
      </c>
      <c r="H236" s="308" t="s">
        <v>364</v>
      </c>
      <c r="I236" s="2">
        <f t="shared" si="38"/>
        <v>-213</v>
      </c>
      <c r="J236" s="2"/>
      <c r="K236" s="324">
        <f>$K$199</f>
        <v>-30</v>
      </c>
      <c r="L236" s="308" t="s">
        <v>364</v>
      </c>
      <c r="M236" s="2">
        <f t="shared" si="39"/>
        <v>-213</v>
      </c>
      <c r="N236" s="2"/>
      <c r="O236" s="324" t="str">
        <f>$O$199</f>
        <v xml:space="preserve"> </v>
      </c>
      <c r="P236" s="308" t="s">
        <v>364</v>
      </c>
      <c r="Q236" s="2">
        <f t="shared" si="40"/>
        <v>0</v>
      </c>
      <c r="R236" s="2"/>
      <c r="S236" s="324" t="str">
        <f>$S$199</f>
        <v xml:space="preserve"> </v>
      </c>
      <c r="T236" s="308" t="s">
        <v>364</v>
      </c>
      <c r="U236" s="2">
        <f t="shared" si="41"/>
        <v>0</v>
      </c>
      <c r="V236" s="20"/>
      <c r="W236" s="74"/>
      <c r="X236" s="74"/>
      <c r="Y236" s="74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R236" s="84"/>
    </row>
    <row r="237" spans="1:44" s="1118" customFormat="1" hidden="1">
      <c r="A237" s="968" t="s">
        <v>888</v>
      </c>
      <c r="C237" s="987">
        <f>C231</f>
        <v>116452.33333333327</v>
      </c>
      <c r="D237" s="254">
        <f>'Rate Design Work eff 10-14-16'!D236</f>
        <v>0</v>
      </c>
      <c r="E237" s="1119"/>
      <c r="F237" s="1123"/>
      <c r="G237" s="1128">
        <f>G183</f>
        <v>0</v>
      </c>
      <c r="H237" s="972" t="s">
        <v>364</v>
      </c>
      <c r="I237" s="1123">
        <f t="shared" ref="I237:I239" si="42">I271+I306+I340</f>
        <v>0</v>
      </c>
      <c r="J237" s="1123"/>
      <c r="K237" s="1128" t="str">
        <f>K183</f>
        <v xml:space="preserve"> </v>
      </c>
      <c r="L237" s="972" t="s">
        <v>364</v>
      </c>
      <c r="M237" s="1123">
        <f t="shared" ref="M237:M239" si="43">M271+M306+M340</f>
        <v>0</v>
      </c>
      <c r="N237" s="1123"/>
      <c r="O237" s="1128" t="str">
        <f>O183</f>
        <v xml:space="preserve"> </v>
      </c>
      <c r="P237" s="972" t="s">
        <v>364</v>
      </c>
      <c r="Q237" s="1123">
        <f t="shared" ref="Q237:Q239" si="44">Q271+Q306+Q340</f>
        <v>0</v>
      </c>
      <c r="R237" s="1123"/>
      <c r="S237" s="1128">
        <f>S183</f>
        <v>0</v>
      </c>
      <c r="T237" s="972" t="s">
        <v>364</v>
      </c>
      <c r="U237" s="1123">
        <f t="shared" ref="U237:U239" si="45">U271+U306+U340</f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889</v>
      </c>
      <c r="C238" s="987">
        <f t="shared" ref="C238:C239" si="46">C232</f>
        <v>524872.66666666698</v>
      </c>
      <c r="D238" s="254">
        <f>'Rate Design Work eff 10-14-16'!D237</f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42"/>
        <v>0</v>
      </c>
      <c r="J238" s="1123"/>
      <c r="K238" s="1128" t="str">
        <f>K184</f>
        <v xml:space="preserve"> </v>
      </c>
      <c r="L238" s="972" t="s">
        <v>364</v>
      </c>
      <c r="M238" s="1123">
        <f t="shared" si="43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44"/>
        <v>0</v>
      </c>
      <c r="R238" s="1123"/>
      <c r="S238" s="1128">
        <f>S184</f>
        <v>0</v>
      </c>
      <c r="T238" s="972" t="s">
        <v>364</v>
      </c>
      <c r="U238" s="1123">
        <f t="shared" si="45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 s="1118" customFormat="1" hidden="1">
      <c r="A239" s="968" t="s">
        <v>890</v>
      </c>
      <c r="C239" s="987">
        <f t="shared" si="46"/>
        <v>933865</v>
      </c>
      <c r="D239" s="254">
        <f>'Rate Design Work eff 10-14-16'!D238</f>
        <v>0</v>
      </c>
      <c r="E239" s="1119"/>
      <c r="F239" s="1123"/>
      <c r="G239" s="1128">
        <f>G185</f>
        <v>0</v>
      </c>
      <c r="H239" s="972" t="s">
        <v>364</v>
      </c>
      <c r="I239" s="1123">
        <f t="shared" si="42"/>
        <v>0</v>
      </c>
      <c r="J239" s="1123"/>
      <c r="K239" s="1128" t="str">
        <f>K185</f>
        <v xml:space="preserve"> </v>
      </c>
      <c r="L239" s="972" t="s">
        <v>364</v>
      </c>
      <c r="M239" s="1123">
        <f t="shared" ca="1" si="43"/>
        <v>0</v>
      </c>
      <c r="N239" s="1123"/>
      <c r="O239" s="1128" t="str">
        <f>O185</f>
        <v xml:space="preserve"> </v>
      </c>
      <c r="P239" s="972" t="s">
        <v>364</v>
      </c>
      <c r="Q239" s="1123">
        <f t="shared" si="44"/>
        <v>0</v>
      </c>
      <c r="R239" s="1123"/>
      <c r="S239" s="1128">
        <f>S185</f>
        <v>0</v>
      </c>
      <c r="T239" s="972" t="s">
        <v>364</v>
      </c>
      <c r="U239" s="1123">
        <f t="shared" si="45"/>
        <v>0</v>
      </c>
      <c r="W239" s="784"/>
      <c r="Z239" s="1125"/>
      <c r="AA239" s="1125"/>
      <c r="AF239" s="1119"/>
      <c r="AG239" s="1119"/>
      <c r="AH239" s="1119"/>
      <c r="AI239" s="1119"/>
      <c r="AJ239" s="1119"/>
      <c r="AK239" s="1119"/>
      <c r="AL239" s="1119"/>
      <c r="AM239" s="1119"/>
      <c r="AN239" s="1119"/>
      <c r="AO239" s="1119"/>
      <c r="AP239" s="1119"/>
      <c r="AR239" s="1124"/>
    </row>
    <row r="240" spans="1:44" hidden="1">
      <c r="A240" s="1" t="s">
        <v>371</v>
      </c>
      <c r="B240" s="249"/>
      <c r="C240" s="304">
        <f t="shared" ref="C240" si="47">C309+C343+C274</f>
        <v>530851621.18193215</v>
      </c>
      <c r="D240" s="315"/>
      <c r="E240" s="308"/>
      <c r="F240" s="2">
        <f t="shared" ref="F240" si="48">F309+F343+F274</f>
        <v>47927649</v>
      </c>
      <c r="G240" s="315"/>
      <c r="H240" s="308"/>
      <c r="I240" s="2">
        <f t="shared" ref="I240" ca="1" si="49">I309+I343+I274</f>
        <v>48746112</v>
      </c>
      <c r="J240" s="2"/>
      <c r="K240" s="315"/>
      <c r="L240" s="308"/>
      <c r="M240" s="2" t="e">
        <f t="shared" ref="M240" ca="1" si="50">M309+M343+M274</f>
        <v>#REF!</v>
      </c>
      <c r="N240" s="2"/>
      <c r="O240" s="315"/>
      <c r="P240" s="308"/>
      <c r="Q240" s="2" t="e">
        <f t="shared" ref="Q240" ca="1" si="51">Q309+Q343+Q274</f>
        <v>#DIV/0!</v>
      </c>
      <c r="R240" s="2"/>
      <c r="S240" s="315"/>
      <c r="T240" s="308"/>
      <c r="U240" s="2" t="e">
        <f t="shared" ref="U240" ca="1" si="52">U309+U343+U274</f>
        <v>#DIV/0!</v>
      </c>
      <c r="V240" s="20"/>
      <c r="W240" s="74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idden="1">
      <c r="A241" s="1" t="s">
        <v>353</v>
      </c>
      <c r="B241" s="332"/>
      <c r="C241" s="325">
        <f ca="1">C275+C310+C344</f>
        <v>3809581.6993984496</v>
      </c>
      <c r="D241" s="294"/>
      <c r="E241" s="294"/>
      <c r="F241" s="326">
        <f ca="1">F275+F310+F344</f>
        <v>396041.247892012</v>
      </c>
      <c r="G241" s="294"/>
      <c r="H241" s="294"/>
      <c r="I241" s="326">
        <f ca="1">F241</f>
        <v>396041.247892012</v>
      </c>
      <c r="J241" s="307"/>
      <c r="K241" s="294"/>
      <c r="L241" s="294"/>
      <c r="M241" s="326" t="e">
        <f ca="1">M204/I204*I241</f>
        <v>#DIV/0!</v>
      </c>
      <c r="N241" s="307"/>
      <c r="O241" s="294"/>
      <c r="P241" s="294"/>
      <c r="Q241" s="326" t="e">
        <f ca="1">Q204/I204*I241</f>
        <v>#DIV/0!</v>
      </c>
      <c r="R241" s="307"/>
      <c r="S241" s="294"/>
      <c r="T241" s="294"/>
      <c r="U241" s="326" t="e">
        <f ca="1">U204/I204*I241</f>
        <v>#DIV/0!</v>
      </c>
      <c r="V241" s="429"/>
      <c r="W241" s="272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hidden="1" thickBot="1">
      <c r="A242" s="1" t="s">
        <v>372</v>
      </c>
      <c r="B242" s="1"/>
      <c r="C242" s="296">
        <f ca="1">SUM(C240:C241)</f>
        <v>534661202.88133061</v>
      </c>
      <c r="D242" s="327"/>
      <c r="E242" s="330"/>
      <c r="F242" s="329">
        <f ca="1">F240+F241</f>
        <v>48323690.247892015</v>
      </c>
      <c r="G242" s="327"/>
      <c r="H242" s="330"/>
      <c r="I242" s="329">
        <f ca="1">I240+I241</f>
        <v>49142153.247892015</v>
      </c>
      <c r="J242" s="307"/>
      <c r="K242" s="327"/>
      <c r="L242" s="330"/>
      <c r="M242" s="329" t="e">
        <f ca="1">M240+M241</f>
        <v>#REF!</v>
      </c>
      <c r="N242" s="329"/>
      <c r="O242" s="327"/>
      <c r="P242" s="330"/>
      <c r="Q242" s="329" t="e">
        <f ca="1">Q240+Q241</f>
        <v>#DIV/0!</v>
      </c>
      <c r="R242" s="329"/>
      <c r="S242" s="327"/>
      <c r="T242" s="330"/>
      <c r="U242" s="329" t="e">
        <f ca="1">U240+U241</f>
        <v>#DIV/0!</v>
      </c>
      <c r="V242" s="396"/>
      <c r="W242" s="455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 ht="16.5" hidden="1" thickTop="1">
      <c r="A243" s="1"/>
      <c r="B243" s="1"/>
      <c r="C243" s="21"/>
      <c r="D243" s="322"/>
      <c r="E243" s="1"/>
      <c r="F243" s="2"/>
      <c r="G243" s="322"/>
      <c r="H243" s="1"/>
      <c r="I243" s="2" t="s">
        <v>31</v>
      </c>
      <c r="J243" s="2"/>
      <c r="K243" s="322"/>
      <c r="L243" s="1"/>
      <c r="M243" s="2" t="s">
        <v>31</v>
      </c>
      <c r="N243" s="2"/>
      <c r="O243" s="322"/>
      <c r="P243" s="1"/>
      <c r="Q243" s="2" t="s">
        <v>31</v>
      </c>
      <c r="R243" s="2"/>
      <c r="S243" s="322"/>
      <c r="T243" s="1"/>
      <c r="U243" s="2" t="s">
        <v>31</v>
      </c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 hidden="1">
      <c r="A244" s="278" t="s">
        <v>377</v>
      </c>
      <c r="B244" s="1"/>
      <c r="C244" s="1"/>
      <c r="D244" s="2"/>
      <c r="E244" s="1"/>
      <c r="F244" s="365" t="s">
        <v>31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 hidden="1">
      <c r="A245" s="1" t="s">
        <v>759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 hidden="1">
      <c r="A246" s="333" t="s">
        <v>31</v>
      </c>
      <c r="B246" s="1"/>
      <c r="C246" s="21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 hidden="1">
      <c r="A247" s="1" t="s">
        <v>383</v>
      </c>
      <c r="B247" s="1"/>
      <c r="C247" s="304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 hidden="1">
      <c r="A248" s="1" t="s">
        <v>380</v>
      </c>
      <c r="B248" s="1"/>
      <c r="C248" s="304">
        <f>'Rate Design Work eff 10-14-16'!C247</f>
        <v>38513.06666666727</v>
      </c>
      <c r="D248" s="283">
        <f>'Rate Design Work eff 10-14-16'!D247</f>
        <v>9.6</v>
      </c>
      <c r="E248" s="308"/>
      <c r="F248" s="2">
        <f>ROUND(D248*$C248,0)</f>
        <v>369725</v>
      </c>
      <c r="G248" s="283">
        <f ca="1">$G$173</f>
        <v>9.76</v>
      </c>
      <c r="H248" s="308"/>
      <c r="I248" s="2">
        <f ca="1">ROUND(G248*$C248,0)</f>
        <v>375888</v>
      </c>
      <c r="J248" s="2"/>
      <c r="K248" s="283">
        <f ca="1">$K$173</f>
        <v>9.76</v>
      </c>
      <c r="L248" s="308"/>
      <c r="M248" s="2">
        <f ca="1">ROUND(K248*$C248,0)</f>
        <v>375888</v>
      </c>
      <c r="N248" s="2"/>
      <c r="O248" s="283" t="str">
        <f>$O$173</f>
        <v xml:space="preserve"> </v>
      </c>
      <c r="P248" s="308"/>
      <c r="Q248" s="2">
        <f>ROUND(O248*$C248,0)</f>
        <v>0</v>
      </c>
      <c r="R248" s="2"/>
      <c r="S248" s="283" t="str">
        <f>$S$173</f>
        <v xml:space="preserve"> </v>
      </c>
      <c r="T248" s="308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 hidden="1">
      <c r="A249" s="1" t="s">
        <v>381</v>
      </c>
      <c r="B249" s="1"/>
      <c r="C249" s="304">
        <f>'Rate Design Work eff 10-14-16'!C248</f>
        <v>2939.36666666667</v>
      </c>
      <c r="D249" s="283">
        <f>'Rate Design Work eff 10-14-16'!D248</f>
        <v>14.3</v>
      </c>
      <c r="E249" s="310"/>
      <c r="F249" s="2">
        <f t="shared" ref="F249:F250" si="53">ROUND(D249*$C249,0)</f>
        <v>42033</v>
      </c>
      <c r="G249" s="283">
        <f ca="1">$G$174</f>
        <v>14.54</v>
      </c>
      <c r="H249" s="310"/>
      <c r="I249" s="2">
        <f ca="1">ROUND(G249*$C249,0)</f>
        <v>42738</v>
      </c>
      <c r="J249" s="2"/>
      <c r="K249" s="283">
        <f ca="1">$K$174</f>
        <v>14.54</v>
      </c>
      <c r="L249" s="310"/>
      <c r="M249" s="2">
        <f ca="1">ROUND(K249*$C249,0)</f>
        <v>42738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 hidden="1">
      <c r="A250" s="1" t="s">
        <v>382</v>
      </c>
      <c r="B250" s="1"/>
      <c r="C250" s="304">
        <f>'Rate Design Work eff 10-14-16'!C249</f>
        <v>21457</v>
      </c>
      <c r="D250" s="283">
        <f>'Rate Design Work eff 10-14-16'!D249</f>
        <v>1</v>
      </c>
      <c r="E250" s="310"/>
      <c r="F250" s="2">
        <f t="shared" si="53"/>
        <v>21457</v>
      </c>
      <c r="G250" s="283">
        <f ca="1">$G$175</f>
        <v>1.02</v>
      </c>
      <c r="H250" s="310"/>
      <c r="I250" s="2">
        <f ca="1">ROUND(G250*$C250,0)</f>
        <v>21886</v>
      </c>
      <c r="J250" s="2"/>
      <c r="K250" s="283">
        <f ca="1">$K$175</f>
        <v>1.02</v>
      </c>
      <c r="L250" s="310"/>
      <c r="M250" s="2">
        <f ca="1">ROUND(K250*$C250,0)</f>
        <v>21886</v>
      </c>
      <c r="N250" s="2"/>
      <c r="O250" s="283" t="str">
        <f>$O$175</f>
        <v xml:space="preserve"> </v>
      </c>
      <c r="P250" s="310"/>
      <c r="Q250" s="2">
        <f>ROUND(O250*$C250,0)</f>
        <v>0</v>
      </c>
      <c r="R250" s="2"/>
      <c r="S250" s="283" t="str">
        <f>$S$175</f>
        <v xml:space="preserve"> </v>
      </c>
      <c r="T250" s="310"/>
      <c r="U250" s="2">
        <f>ROUND(S250*$C250,0)</f>
        <v>0</v>
      </c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 hidden="1">
      <c r="A251" s="1" t="s">
        <v>384</v>
      </c>
      <c r="B251" s="1"/>
      <c r="C251" s="304">
        <f>'Rate Design Work eff 10-14-16'!C250</f>
        <v>41452.433333333938</v>
      </c>
      <c r="D251" s="283"/>
      <c r="E251" s="308"/>
      <c r="F251" s="2"/>
      <c r="G251" s="283"/>
      <c r="H251" s="308"/>
      <c r="I251" s="2"/>
      <c r="J251" s="2"/>
      <c r="K251" s="283"/>
      <c r="L251" s="308"/>
      <c r="M251" s="2"/>
      <c r="N251" s="2"/>
      <c r="O251" s="283"/>
      <c r="P251" s="308"/>
      <c r="Q251" s="2"/>
      <c r="R251" s="2"/>
      <c r="S251" s="283"/>
      <c r="T251" s="308"/>
      <c r="U251" s="2"/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 hidden="1">
      <c r="A252" s="1" t="s">
        <v>385</v>
      </c>
      <c r="B252" s="1"/>
      <c r="C252" s="304">
        <f>'Rate Design Work eff 10-14-16'!C251</f>
        <v>15663</v>
      </c>
      <c r="D252" s="311">
        <f>'Rate Design Work eff 10-14-16'!D251</f>
        <v>3.64</v>
      </c>
      <c r="E252" s="308"/>
      <c r="F252" s="2">
        <f>ROUND(D252*C252,0)</f>
        <v>57013</v>
      </c>
      <c r="G252" s="311">
        <f ca="1">$G$178</f>
        <v>3.7</v>
      </c>
      <c r="H252" s="308"/>
      <c r="I252" s="2">
        <f ca="1">ROUND(G252*$C252,0)</f>
        <v>57953</v>
      </c>
      <c r="J252" s="2"/>
      <c r="K252" s="311" t="e">
        <f ca="1">$K$178</f>
        <v>#REF!</v>
      </c>
      <c r="L252" s="308"/>
      <c r="M252" s="2" t="e">
        <f ca="1">ROUND(K252*$C252,0)</f>
        <v>#REF!</v>
      </c>
      <c r="N252" s="2"/>
      <c r="O252" s="311" t="e">
        <f ca="1">$O$178</f>
        <v>#DIV/0!</v>
      </c>
      <c r="P252" s="308"/>
      <c r="Q252" s="2" t="e">
        <f ca="1">ROUND(O252*$C252,0)</f>
        <v>#DIV/0!</v>
      </c>
      <c r="R252" s="2"/>
      <c r="S252" s="311" t="e">
        <f ca="1">$S$178</f>
        <v>#DIV/0!</v>
      </c>
      <c r="T252" s="308"/>
      <c r="U252" s="2" t="e">
        <f ca="1">ROUND(S252*$C252,0)</f>
        <v>#DIV/0!</v>
      </c>
      <c r="V252" s="20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 hidden="1">
      <c r="A253" s="1" t="s">
        <v>387</v>
      </c>
      <c r="B253" s="304"/>
      <c r="C253" s="304">
        <f>'Rate Design Work eff 10-14-16'!C252</f>
        <v>12838882.284157982</v>
      </c>
      <c r="D253" s="284">
        <f>'Rate Design Work eff 10-14-16'!D252</f>
        <v>10.449</v>
      </c>
      <c r="E253" s="308" t="s">
        <v>364</v>
      </c>
      <c r="F253" s="2">
        <f>ROUND(D253*C253/100,0)</f>
        <v>1341535</v>
      </c>
      <c r="G253" s="284">
        <f ca="1">$G$179</f>
        <v>10.628</v>
      </c>
      <c r="H253" s="308" t="s">
        <v>364</v>
      </c>
      <c r="I253" s="2">
        <f ca="1">ROUND(G253*$C253/100,0)</f>
        <v>1364516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 hidden="1">
      <c r="A254" s="1" t="s">
        <v>388</v>
      </c>
      <c r="B254" s="304"/>
      <c r="C254" s="304">
        <f>'Rate Design Work eff 10-14-16'!C253</f>
        <v>6928716.389879657</v>
      </c>
      <c r="D254" s="284">
        <f>'Rate Design Work eff 10-14-16'!D253</f>
        <v>7.218</v>
      </c>
      <c r="E254" s="308" t="s">
        <v>364</v>
      </c>
      <c r="F254" s="2">
        <f>ROUND(D254*C254/100,0)</f>
        <v>500115</v>
      </c>
      <c r="G254" s="284">
        <f ca="1">$G$180</f>
        <v>7.3410000000000002</v>
      </c>
      <c r="H254" s="308" t="s">
        <v>364</v>
      </c>
      <c r="I254" s="2">
        <f ca="1">ROUND(G254*$C254/100,0)</f>
        <v>508637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 hidden="1">
      <c r="A255" s="1" t="s">
        <v>389</v>
      </c>
      <c r="B255" s="304"/>
      <c r="C255" s="304">
        <f>'Rate Design Work eff 10-14-16'!C254</f>
        <v>1198686.3021607364</v>
      </c>
      <c r="D255" s="284">
        <f>'Rate Design Work eff 10-14-16'!D254</f>
        <v>6.218</v>
      </c>
      <c r="E255" s="308" t="s">
        <v>364</v>
      </c>
      <c r="F255" s="2">
        <f>ROUND(D255*C255/100,0)</f>
        <v>74534</v>
      </c>
      <c r="G255" s="284">
        <f ca="1">$G$181</f>
        <v>6.3240000000000007</v>
      </c>
      <c r="H255" s="308" t="s">
        <v>364</v>
      </c>
      <c r="I255" s="2">
        <f ca="1">ROUND(G255*$C255/100,0)</f>
        <v>75805</v>
      </c>
      <c r="J255" s="2"/>
      <c r="K255" s="284" t="e">
        <f ca="1">$K$181</f>
        <v>#REF!</v>
      </c>
      <c r="L255" s="308" t="s">
        <v>364</v>
      </c>
      <c r="M255" s="2" t="e">
        <f ca="1">ROUND(K255*$C255/100,0)</f>
        <v>#REF!</v>
      </c>
      <c r="N255" s="2"/>
      <c r="O255" s="284" t="e">
        <f ca="1">$O$181</f>
        <v>#DIV/0!</v>
      </c>
      <c r="P255" s="308" t="s">
        <v>364</v>
      </c>
      <c r="Q255" s="2" t="e">
        <f ca="1">ROUND(O255*$C255/100,0)</f>
        <v>#DIV/0!</v>
      </c>
      <c r="R255" s="2"/>
      <c r="S255" s="284" t="e">
        <f ca="1">$S$181</f>
        <v>#DIV/0!</v>
      </c>
      <c r="T255" s="308" t="s">
        <v>364</v>
      </c>
      <c r="U255" s="2" t="e">
        <f ca="1">ROUND(S255*$C255/100,0)</f>
        <v>#DIV/0!</v>
      </c>
      <c r="V255" s="458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hidden="1">
      <c r="A256" s="1" t="s">
        <v>390</v>
      </c>
      <c r="B256" s="21"/>
      <c r="C256" s="304">
        <f>'Rate Design Work eff 10-14-16'!C255</f>
        <v>84.1666666666667</v>
      </c>
      <c r="D256" s="315">
        <f>'Rate Design Work eff 10-14-16'!D255</f>
        <v>56</v>
      </c>
      <c r="E256" s="308" t="s">
        <v>364</v>
      </c>
      <c r="F256" s="2">
        <f>ROUND(D256*C256/100,0)</f>
        <v>47</v>
      </c>
      <c r="G256" s="315">
        <f ca="1">$G$182</f>
        <v>57</v>
      </c>
      <c r="H256" s="308" t="s">
        <v>364</v>
      </c>
      <c r="I256" s="2">
        <f ca="1">ROUND(G256*$C256/100,0)</f>
        <v>48</v>
      </c>
      <c r="J256" s="2"/>
      <c r="K256" s="315" t="str">
        <f>$K$182</f>
        <v xml:space="preserve"> </v>
      </c>
      <c r="L256" s="308" t="s">
        <v>364</v>
      </c>
      <c r="M256" s="2">
        <f>ROUND(K256*$C256/100,0)</f>
        <v>0</v>
      </c>
      <c r="N256" s="2"/>
      <c r="O256" s="315" t="e">
        <f>$O$182</f>
        <v>#DIV/0!</v>
      </c>
      <c r="P256" s="308" t="s">
        <v>364</v>
      </c>
      <c r="Q256" s="2" t="e">
        <f>ROUND(O256*$C256/100,0)</f>
        <v>#DIV/0!</v>
      </c>
      <c r="R256" s="2"/>
      <c r="S256" s="315" t="e">
        <f>$S$182</f>
        <v>#DIV/0!</v>
      </c>
      <c r="T256" s="308" t="s">
        <v>364</v>
      </c>
      <c r="U256" s="2" t="e">
        <f>ROUND(S256*$C256/100,0)</f>
        <v>#DIV/0!</v>
      </c>
      <c r="V256" s="20"/>
      <c r="W256" s="74"/>
      <c r="X256" s="74"/>
      <c r="Y256" s="74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R256" s="84"/>
    </row>
    <row r="257" spans="1:44" s="1118" customFormat="1" hidden="1">
      <c r="A257" s="968" t="s">
        <v>888</v>
      </c>
      <c r="C257" s="1122">
        <f>C253</f>
        <v>12838882.284157982</v>
      </c>
      <c r="D257" s="254">
        <f>'Rate Design Work eff 10-14-16'!D256</f>
        <v>0</v>
      </c>
      <c r="E257" s="1119"/>
      <c r="F257" s="1123"/>
      <c r="G257" s="1128">
        <f>G183</f>
        <v>0</v>
      </c>
      <c r="H257" s="972" t="s">
        <v>364</v>
      </c>
      <c r="I257" s="1123">
        <f t="shared" ref="I257:I259" si="54">ROUND(G257*$C257/100,0)</f>
        <v>0</v>
      </c>
      <c r="J257" s="1123"/>
      <c r="K257" s="1128" t="str">
        <f>K183</f>
        <v xml:space="preserve"> </v>
      </c>
      <c r="L257" s="972" t="s">
        <v>364</v>
      </c>
      <c r="M257" s="1123">
        <f t="shared" ref="M257:M259" si="55">ROUND(K257*$C257/100,0)</f>
        <v>0</v>
      </c>
      <c r="N257" s="1123"/>
      <c r="O257" s="1128" t="str">
        <f>O183</f>
        <v xml:space="preserve"> </v>
      </c>
      <c r="P257" s="972" t="s">
        <v>364</v>
      </c>
      <c r="Q257" s="1123">
        <f t="shared" ref="Q257:Q259" si="56">ROUND(O257*$C257/100,0)</f>
        <v>0</v>
      </c>
      <c r="R257" s="1123"/>
      <c r="S257" s="1128">
        <f>S183</f>
        <v>0</v>
      </c>
      <c r="T257" s="972" t="s">
        <v>364</v>
      </c>
      <c r="U257" s="1123">
        <f t="shared" ref="U257:U259" si="57">ROUND(S257*$C257/100,0)</f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889</v>
      </c>
      <c r="C258" s="1122">
        <f>C254</f>
        <v>6928716.389879657</v>
      </c>
      <c r="D258" s="254">
        <f>'Rate Design Work eff 10-14-16'!D257</f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54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55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56"/>
        <v>0</v>
      </c>
      <c r="R258" s="1123"/>
      <c r="S258" s="1128">
        <f>S184</f>
        <v>0</v>
      </c>
      <c r="T258" s="972" t="s">
        <v>364</v>
      </c>
      <c r="U258" s="1123">
        <f t="shared" si="57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 s="1118" customFormat="1" hidden="1">
      <c r="A259" s="968" t="s">
        <v>890</v>
      </c>
      <c r="C259" s="1122">
        <f>C255</f>
        <v>1198686.3021607364</v>
      </c>
      <c r="D259" s="254">
        <f>'Rate Design Work eff 10-14-16'!D258</f>
        <v>0</v>
      </c>
      <c r="E259" s="1119"/>
      <c r="F259" s="1123"/>
      <c r="G259" s="1128">
        <f>G185</f>
        <v>0</v>
      </c>
      <c r="H259" s="972" t="s">
        <v>364</v>
      </c>
      <c r="I259" s="1123">
        <f t="shared" si="54"/>
        <v>0</v>
      </c>
      <c r="J259" s="1123"/>
      <c r="K259" s="1128" t="str">
        <f>K185</f>
        <v xml:space="preserve"> </v>
      </c>
      <c r="L259" s="972" t="s">
        <v>364</v>
      </c>
      <c r="M259" s="1123">
        <f t="shared" si="55"/>
        <v>0</v>
      </c>
      <c r="N259" s="1123"/>
      <c r="O259" s="1128" t="str">
        <f>O185</f>
        <v xml:space="preserve"> </v>
      </c>
      <c r="P259" s="972" t="s">
        <v>364</v>
      </c>
      <c r="Q259" s="1123">
        <f t="shared" si="56"/>
        <v>0</v>
      </c>
      <c r="R259" s="1123"/>
      <c r="S259" s="1128">
        <f>S185</f>
        <v>0</v>
      </c>
      <c r="T259" s="972" t="s">
        <v>364</v>
      </c>
      <c r="U259" s="1123">
        <f t="shared" si="57"/>
        <v>0</v>
      </c>
      <c r="W259" s="784"/>
      <c r="Z259" s="1125"/>
      <c r="AA259" s="1125"/>
      <c r="AF259" s="1119"/>
      <c r="AG259" s="1119"/>
      <c r="AH259" s="1119"/>
      <c r="AI259" s="1119"/>
      <c r="AJ259" s="1119"/>
      <c r="AK259" s="1119"/>
      <c r="AL259" s="1119"/>
      <c r="AM259" s="1119"/>
      <c r="AN259" s="1119"/>
      <c r="AO259" s="1119"/>
      <c r="AP259" s="1119"/>
      <c r="AR259" s="1124"/>
    </row>
    <row r="260" spans="1:44" hidden="1">
      <c r="A260" s="316" t="s">
        <v>391</v>
      </c>
      <c r="B260" s="21"/>
      <c r="C260" s="304"/>
      <c r="D260" s="317">
        <f>'Rate Design Work eff 10-14-16'!D259</f>
        <v>-0.01</v>
      </c>
      <c r="E260" s="308"/>
      <c r="F260" s="2"/>
      <c r="G260" s="317">
        <v>-0.01</v>
      </c>
      <c r="H260" s="308"/>
      <c r="I260" s="2"/>
      <c r="J260" s="2"/>
      <c r="K260" s="317">
        <v>-0.01</v>
      </c>
      <c r="L260" s="308"/>
      <c r="M260" s="2"/>
      <c r="N260" s="2"/>
      <c r="O260" s="317">
        <v>-0.01</v>
      </c>
      <c r="P260" s="308"/>
      <c r="Q260" s="2"/>
      <c r="R260" s="2"/>
      <c r="S260" s="317">
        <v>-0.01</v>
      </c>
      <c r="T260" s="308"/>
      <c r="U260" s="2"/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 hidden="1">
      <c r="A261" s="1" t="s">
        <v>380</v>
      </c>
      <c r="B261" s="1"/>
      <c r="C261" s="304">
        <v>0</v>
      </c>
      <c r="D261" s="319">
        <f>'Rate Design Work eff 10-14-16'!D260</f>
        <v>9.6</v>
      </c>
      <c r="E261" s="306"/>
      <c r="F261" s="2">
        <f>-ROUND(D261*$C261/100,0)</f>
        <v>0</v>
      </c>
      <c r="G261" s="319">
        <f ca="1">G248</f>
        <v>9.76</v>
      </c>
      <c r="H261" s="306"/>
      <c r="I261" s="2">
        <f ca="1">-ROUND(G261*$C261/100,0)</f>
        <v>0</v>
      </c>
      <c r="J261" s="2"/>
      <c r="K261" s="319">
        <f ca="1">K248</f>
        <v>9.76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 hidden="1">
      <c r="A262" s="1" t="s">
        <v>381</v>
      </c>
      <c r="B262" s="1"/>
      <c r="C262" s="304">
        <v>9</v>
      </c>
      <c r="D262" s="319">
        <f>'Rate Design Work eff 10-14-16'!D261</f>
        <v>14.3</v>
      </c>
      <c r="E262" s="306"/>
      <c r="F262" s="2">
        <f t="shared" ref="F262:F264" si="58">-ROUND(D262*$C262/100,0)</f>
        <v>-1</v>
      </c>
      <c r="G262" s="319">
        <f ca="1">G249</f>
        <v>14.54</v>
      </c>
      <c r="H262" s="306"/>
      <c r="I262" s="2">
        <f ca="1">-ROUND(G262*$C262/100,0)</f>
        <v>-1</v>
      </c>
      <c r="J262" s="2"/>
      <c r="K262" s="319">
        <f ca="1">K249</f>
        <v>14.54</v>
      </c>
      <c r="L262" s="306"/>
      <c r="M262" s="2">
        <f ca="1">-ROUND(K262*$C262/100,0)</f>
        <v>-1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 hidden="1">
      <c r="A263" s="1" t="s">
        <v>392</v>
      </c>
      <c r="B263" s="1"/>
      <c r="C263" s="304">
        <v>0</v>
      </c>
      <c r="D263" s="319">
        <f>'Rate Design Work eff 10-14-16'!D262</f>
        <v>1</v>
      </c>
      <c r="E263" s="306"/>
      <c r="F263" s="2">
        <f t="shared" si="58"/>
        <v>0</v>
      </c>
      <c r="G263" s="319">
        <f ca="1">G250</f>
        <v>1.02</v>
      </c>
      <c r="H263" s="306"/>
      <c r="I263" s="2">
        <f ca="1">-ROUND(G263*$C263/100,0)</f>
        <v>0</v>
      </c>
      <c r="J263" s="2"/>
      <c r="K263" s="319">
        <f ca="1">K250</f>
        <v>1.02</v>
      </c>
      <c r="L263" s="306"/>
      <c r="M263" s="2">
        <f ca="1">-ROUND(K263*$C263/100,0)</f>
        <v>0</v>
      </c>
      <c r="N263" s="2"/>
      <c r="O263" s="319" t="str">
        <f>O250</f>
        <v xml:space="preserve"> </v>
      </c>
      <c r="P263" s="306"/>
      <c r="Q263" s="2">
        <f>-ROUND(O263*$C263/100,0)</f>
        <v>0</v>
      </c>
      <c r="R263" s="2"/>
      <c r="S263" s="319" t="str">
        <f>S250</f>
        <v xml:space="preserve"> </v>
      </c>
      <c r="T263" s="306"/>
      <c r="U263" s="2">
        <f>-ROUND(S263*$C263/100,0)</f>
        <v>0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 hidden="1">
      <c r="A264" s="1" t="s">
        <v>403</v>
      </c>
      <c r="B264" s="1"/>
      <c r="C264" s="304">
        <f>0</f>
        <v>0</v>
      </c>
      <c r="D264" s="319">
        <f>'Rate Design Work eff 10-14-16'!D263</f>
        <v>3.64</v>
      </c>
      <c r="E264" s="308"/>
      <c r="F264" s="2">
        <f t="shared" si="58"/>
        <v>0</v>
      </c>
      <c r="G264" s="319">
        <f ca="1">G252</f>
        <v>3.7</v>
      </c>
      <c r="H264" s="308"/>
      <c r="I264" s="2">
        <f ca="1">-ROUND(G264*$C264/100,0)</f>
        <v>0</v>
      </c>
      <c r="J264" s="2"/>
      <c r="K264" s="319" t="e">
        <f ca="1">K252</f>
        <v>#REF!</v>
      </c>
      <c r="L264" s="308"/>
      <c r="M264" s="2" t="e">
        <f ca="1">-ROUND(K264*$C264/100,0)</f>
        <v>#REF!</v>
      </c>
      <c r="N264" s="2"/>
      <c r="O264" s="319" t="e">
        <f ca="1">O252</f>
        <v>#DIV/0!</v>
      </c>
      <c r="P264" s="308"/>
      <c r="Q264" s="2" t="e">
        <f ca="1">-ROUND(O264*$C264/100,0)</f>
        <v>#DIV/0!</v>
      </c>
      <c r="R264" s="2"/>
      <c r="S264" s="319" t="e">
        <f ca="1">S252</f>
        <v>#DIV/0!</v>
      </c>
      <c r="T264" s="308"/>
      <c r="U264" s="2" t="e">
        <f ca="1">-ROUND(S264*$C264/100,0)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 hidden="1">
      <c r="A265" s="1" t="s">
        <v>395</v>
      </c>
      <c r="B265" s="1"/>
      <c r="C265" s="304">
        <v>0</v>
      </c>
      <c r="D265" s="320">
        <f>'Rate Design Work eff 10-14-16'!D264</f>
        <v>10.449</v>
      </c>
      <c r="E265" s="308" t="s">
        <v>364</v>
      </c>
      <c r="F265" s="2">
        <f>ROUND(D265*$C265/100*D260,0)</f>
        <v>0</v>
      </c>
      <c r="G265" s="320">
        <f ca="1">G253</f>
        <v>10.628</v>
      </c>
      <c r="H265" s="308" t="s">
        <v>364</v>
      </c>
      <c r="I265" s="2">
        <f ca="1">ROUND(G265*$C265/100*G260,0)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ROUND(K265*$C265/100*K260,0)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ROUND(O265*$C265/100*O260,0)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ROUND(S265*$C265/100*S260,0)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 hidden="1">
      <c r="A266" s="1" t="s">
        <v>388</v>
      </c>
      <c r="B266" s="1"/>
      <c r="C266" s="304">
        <v>0</v>
      </c>
      <c r="D266" s="320">
        <f>'Rate Design Work eff 10-14-16'!D265</f>
        <v>7.218</v>
      </c>
      <c r="E266" s="308" t="s">
        <v>364</v>
      </c>
      <c r="F266" s="2">
        <f>ROUND(D266*$C266/100*D260,0)</f>
        <v>0</v>
      </c>
      <c r="G266" s="320">
        <f ca="1">G254</f>
        <v>7.3410000000000002</v>
      </c>
      <c r="H266" s="308" t="s">
        <v>364</v>
      </c>
      <c r="I266" s="2">
        <f ca="1">ROUND(G266*$C266/100*G260,0)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ROUND(K266*$C266/100*K260,0)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ROUND(O266*$C266/100*O260,0)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ROUND(S266*$C266/100*S260,0)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 hidden="1">
      <c r="A267" s="1" t="s">
        <v>389</v>
      </c>
      <c r="B267" s="1"/>
      <c r="C267" s="304">
        <v>0</v>
      </c>
      <c r="D267" s="320">
        <f>'Rate Design Work eff 10-14-16'!D266</f>
        <v>6.218</v>
      </c>
      <c r="E267" s="308" t="s">
        <v>364</v>
      </c>
      <c r="F267" s="2">
        <f>ROUND(D267*$C267/100*D260,0)</f>
        <v>0</v>
      </c>
      <c r="G267" s="320">
        <f ca="1">G255</f>
        <v>6.3240000000000007</v>
      </c>
      <c r="H267" s="308" t="s">
        <v>364</v>
      </c>
      <c r="I267" s="2">
        <f ca="1">ROUND(G267*$C267/100*G260,0)</f>
        <v>0</v>
      </c>
      <c r="J267" s="2"/>
      <c r="K267" s="320" t="e">
        <f ca="1">K255</f>
        <v>#REF!</v>
      </c>
      <c r="L267" s="308" t="s">
        <v>364</v>
      </c>
      <c r="M267" s="2" t="e">
        <f ca="1">ROUND(K267*$C267/100*K260,0)</f>
        <v>#REF!</v>
      </c>
      <c r="N267" s="2"/>
      <c r="O267" s="320" t="e">
        <f ca="1">O255</f>
        <v>#DIV/0!</v>
      </c>
      <c r="P267" s="308" t="s">
        <v>364</v>
      </c>
      <c r="Q267" s="2" t="e">
        <f ca="1">ROUND(O267*$C267/100*O260,0)</f>
        <v>#DIV/0!</v>
      </c>
      <c r="R267" s="2"/>
      <c r="S267" s="320" t="e">
        <f ca="1">S255</f>
        <v>#DIV/0!</v>
      </c>
      <c r="T267" s="308" t="s">
        <v>364</v>
      </c>
      <c r="U267" s="2" t="e">
        <f ca="1">ROUND(S267*$C267/100*S260,0)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 hidden="1">
      <c r="A268" s="1" t="s">
        <v>390</v>
      </c>
      <c r="B268" s="1"/>
      <c r="C268" s="304">
        <v>0</v>
      </c>
      <c r="D268" s="321">
        <f>'Rate Design Work eff 10-14-16'!D267</f>
        <v>56</v>
      </c>
      <c r="E268" s="308" t="s">
        <v>364</v>
      </c>
      <c r="F268" s="2">
        <f>ROUND(D268*$C268/100*D260,0)</f>
        <v>0</v>
      </c>
      <c r="G268" s="321">
        <f ca="1">G256</f>
        <v>57</v>
      </c>
      <c r="H268" s="308" t="s">
        <v>364</v>
      </c>
      <c r="I268" s="2">
        <f ca="1">ROUND(G268*$C268/100*G260,0)</f>
        <v>0</v>
      </c>
      <c r="J268" s="2"/>
      <c r="K268" s="321" t="str">
        <f>K256</f>
        <v xml:space="preserve"> </v>
      </c>
      <c r="L268" s="308" t="s">
        <v>364</v>
      </c>
      <c r="M268" s="2">
        <f>ROUND(K268*$C268/100*K260,0)</f>
        <v>0</v>
      </c>
      <c r="N268" s="2"/>
      <c r="O268" s="321" t="e">
        <f>O256</f>
        <v>#DIV/0!</v>
      </c>
      <c r="P268" s="308" t="s">
        <v>364</v>
      </c>
      <c r="Q268" s="2" t="e">
        <f>ROUND(O268*$C268/100*O260,0)</f>
        <v>#DIV/0!</v>
      </c>
      <c r="R268" s="2"/>
      <c r="S268" s="321" t="e">
        <f>S256</f>
        <v>#DIV/0!</v>
      </c>
      <c r="T268" s="308" t="s">
        <v>364</v>
      </c>
      <c r="U268" s="2" t="e">
        <f>ROUND(S268*$C268/100*S260,0)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 hidden="1">
      <c r="A269" s="1" t="s">
        <v>397</v>
      </c>
      <c r="B269" s="1"/>
      <c r="C269" s="304">
        <v>0</v>
      </c>
      <c r="D269" s="322">
        <f>'Rate Design Work eff 10-14-16'!D268</f>
        <v>60</v>
      </c>
      <c r="E269" s="308"/>
      <c r="F269" s="2">
        <f>ROUND(D269*C269,0)</f>
        <v>0</v>
      </c>
      <c r="G269" s="322">
        <f>$G$198</f>
        <v>60</v>
      </c>
      <c r="H269" s="308"/>
      <c r="I269" s="2">
        <f>ROUND(G269*$C269,0)</f>
        <v>0</v>
      </c>
      <c r="J269" s="2"/>
      <c r="K269" s="322" t="str">
        <f>$K$198</f>
        <v xml:space="preserve"> </v>
      </c>
      <c r="L269" s="308"/>
      <c r="M269" s="2">
        <f>ROUND(K269*$C269,0)</f>
        <v>0</v>
      </c>
      <c r="N269" s="2"/>
      <c r="O269" s="322" t="e">
        <f>$O$198</f>
        <v>#DIV/0!</v>
      </c>
      <c r="P269" s="308"/>
      <c r="Q269" s="2" t="e">
        <f>ROUND(O269*$C269,0)</f>
        <v>#DIV/0!</v>
      </c>
      <c r="R269" s="2"/>
      <c r="S269" s="322" t="e">
        <f>$S$198</f>
        <v>#DIV/0!</v>
      </c>
      <c r="T269" s="308"/>
      <c r="U269" s="2" t="e">
        <f>ROUND(S269*$C269,0)</f>
        <v>#DIV/0!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hidden="1">
      <c r="A270" s="1" t="s">
        <v>398</v>
      </c>
      <c r="B270" s="1"/>
      <c r="C270" s="304">
        <v>0</v>
      </c>
      <c r="D270" s="324">
        <f>'Rate Design Work eff 10-14-16'!D269</f>
        <v>-30</v>
      </c>
      <c r="E270" s="308" t="s">
        <v>364</v>
      </c>
      <c r="F270" s="2">
        <f>ROUND(D270*C270/100,0)</f>
        <v>0</v>
      </c>
      <c r="G270" s="324">
        <f>$G$199</f>
        <v>-30</v>
      </c>
      <c r="H270" s="308" t="s">
        <v>364</v>
      </c>
      <c r="I270" s="2">
        <f>ROUND(G270*$C270/100,0)</f>
        <v>0</v>
      </c>
      <c r="J270" s="2"/>
      <c r="K270" s="324">
        <f>$K$199</f>
        <v>-30</v>
      </c>
      <c r="L270" s="308" t="s">
        <v>364</v>
      </c>
      <c r="M270" s="2">
        <f>ROUND(K270*$C270/100,0)</f>
        <v>0</v>
      </c>
      <c r="N270" s="2"/>
      <c r="O270" s="324" t="str">
        <f>$O$199</f>
        <v xml:space="preserve"> </v>
      </c>
      <c r="P270" s="308" t="s">
        <v>364</v>
      </c>
      <c r="Q270" s="2">
        <f>ROUND(O270*$C270/100,0)</f>
        <v>0</v>
      </c>
      <c r="R270" s="2"/>
      <c r="S270" s="324" t="str">
        <f>$S$199</f>
        <v xml:space="preserve"> </v>
      </c>
      <c r="T270" s="308" t="s">
        <v>364</v>
      </c>
      <c r="U270" s="2">
        <f>ROUND(S270*$C270/100,0)</f>
        <v>0</v>
      </c>
      <c r="V270" s="20"/>
      <c r="W270" s="74"/>
      <c r="X270" s="74"/>
      <c r="Y270" s="74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R270" s="84"/>
    </row>
    <row r="271" spans="1:44" s="1118" customFormat="1" hidden="1">
      <c r="A271" s="968" t="s">
        <v>888</v>
      </c>
      <c r="C271" s="1122">
        <f>C253</f>
        <v>12838882.284157982</v>
      </c>
      <c r="D271" s="254">
        <f>'Rate Design Work eff 10-14-16'!D270</f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ROUND(G271*$C271/100*G260,0)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ROUND(K271*$C271/100*K260,0)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ROUND(O271*$C271/100*O260,0)</f>
        <v>0</v>
      </c>
      <c r="R271" s="1123"/>
      <c r="S271" s="1128">
        <f>S183</f>
        <v>0</v>
      </c>
      <c r="T271" s="972" t="s">
        <v>364</v>
      </c>
      <c r="U271" s="1123">
        <f>ROUND(S271*$C271/100*S260,0)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889</v>
      </c>
      <c r="C272" s="1122">
        <f>C254</f>
        <v>6928716.389879657</v>
      </c>
      <c r="D272" s="254">
        <f>'Rate Design Work eff 10-14-16'!D271</f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ROUND(G272*$C272/100*G260,0)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ROUND(K272*$C272/100*K260,0)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ROUND(O272*$C272/100*O260,0)</f>
        <v>0</v>
      </c>
      <c r="R272" s="1123"/>
      <c r="S272" s="1128">
        <f>S184</f>
        <v>0</v>
      </c>
      <c r="T272" s="972" t="s">
        <v>364</v>
      </c>
      <c r="U272" s="1123">
        <f>ROUND(S272*$C272/100*S260,0)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 s="1118" customFormat="1" hidden="1">
      <c r="A273" s="968" t="s">
        <v>890</v>
      </c>
      <c r="C273" s="1122">
        <f>C255</f>
        <v>1198686.3021607364</v>
      </c>
      <c r="D273" s="254">
        <f>'Rate Design Work eff 10-14-16'!D272</f>
        <v>0</v>
      </c>
      <c r="E273" s="1119"/>
      <c r="F273" s="1123"/>
      <c r="G273" s="1128">
        <f>G185</f>
        <v>0</v>
      </c>
      <c r="H273" s="972" t="s">
        <v>364</v>
      </c>
      <c r="I273" s="1123">
        <f>ROUND(G273*$C273/100*G260,0)</f>
        <v>0</v>
      </c>
      <c r="J273" s="1123"/>
      <c r="K273" s="1128" t="str">
        <f>K185</f>
        <v xml:space="preserve"> </v>
      </c>
      <c r="L273" s="972" t="s">
        <v>364</v>
      </c>
      <c r="M273" s="1123">
        <f>ROUND(K273*$C273/100*K260,0)</f>
        <v>0</v>
      </c>
      <c r="N273" s="1123"/>
      <c r="O273" s="1128" t="str">
        <f>O185</f>
        <v xml:space="preserve"> </v>
      </c>
      <c r="P273" s="972" t="s">
        <v>364</v>
      </c>
      <c r="Q273" s="1123">
        <f>ROUND(O273*$C273/100*O260,0)</f>
        <v>0</v>
      </c>
      <c r="R273" s="1123"/>
      <c r="S273" s="1128">
        <f>S185</f>
        <v>0</v>
      </c>
      <c r="T273" s="972" t="s">
        <v>364</v>
      </c>
      <c r="U273" s="1123">
        <f>ROUND(S273*$C273/100*S260,0)</f>
        <v>0</v>
      </c>
      <c r="W273" s="784"/>
      <c r="Z273" s="1125"/>
      <c r="AA273" s="1125"/>
      <c r="AF273" s="1119"/>
      <c r="AG273" s="1119"/>
      <c r="AH273" s="1119"/>
      <c r="AI273" s="1119"/>
      <c r="AJ273" s="1119"/>
      <c r="AK273" s="1119"/>
      <c r="AL273" s="1119"/>
      <c r="AM273" s="1119"/>
      <c r="AN273" s="1119"/>
      <c r="AO273" s="1119"/>
      <c r="AP273" s="1119"/>
      <c r="AR273" s="1124"/>
    </row>
    <row r="274" spans="1:44" hidden="1">
      <c r="A274" s="1" t="s">
        <v>371</v>
      </c>
      <c r="B274" s="292"/>
      <c r="C274" s="304">
        <f>SUM(C253:C255)</f>
        <v>20966284.976198375</v>
      </c>
      <c r="D274" s="315"/>
      <c r="E274" s="308"/>
      <c r="F274" s="2">
        <f>SUM(F248:F270)</f>
        <v>2406458</v>
      </c>
      <c r="G274" s="315"/>
      <c r="H274" s="308"/>
      <c r="I274" s="2">
        <f ca="1">SUM(I248:I273)</f>
        <v>2447470</v>
      </c>
      <c r="J274" s="2"/>
      <c r="K274" s="315"/>
      <c r="L274" s="308"/>
      <c r="M274" s="2" t="e">
        <f ca="1">SUM(M248:M273)</f>
        <v>#REF!</v>
      </c>
      <c r="N274" s="2"/>
      <c r="O274" s="315"/>
      <c r="P274" s="308"/>
      <c r="Q274" s="2" t="e">
        <f ca="1">SUM(Q248:Q273)</f>
        <v>#DIV/0!</v>
      </c>
      <c r="R274" s="2"/>
      <c r="S274" s="315"/>
      <c r="T274" s="308"/>
      <c r="U274" s="2" t="e">
        <f ca="1">SUM(U248:U273)</f>
        <v>#DIV/0!</v>
      </c>
      <c r="V274" s="401"/>
      <c r="W274" s="74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idden="1">
      <c r="A275" s="1" t="s">
        <v>353</v>
      </c>
      <c r="B275" s="1"/>
      <c r="C275" s="334">
        <f>'Table 2'!H18</f>
        <v>278028.18415744783</v>
      </c>
      <c r="D275" s="294"/>
      <c r="E275" s="294"/>
      <c r="F275" s="326">
        <f>'Table 3'!E18</f>
        <v>35708.181559390563</v>
      </c>
      <c r="G275" s="294"/>
      <c r="H275" s="294"/>
      <c r="I275" s="326">
        <f>F275</f>
        <v>35708.181559390563</v>
      </c>
      <c r="J275" s="307"/>
      <c r="K275" s="294"/>
      <c r="L275" s="294"/>
      <c r="M275" s="326" t="e">
        <f ca="1">M204/I204*I275</f>
        <v>#DIV/0!</v>
      </c>
      <c r="N275" s="307"/>
      <c r="O275" s="294"/>
      <c r="P275" s="294"/>
      <c r="Q275" s="326" t="e">
        <f ca="1">Q204/I204*I275</f>
        <v>#DIV/0!</v>
      </c>
      <c r="R275" s="307"/>
      <c r="S275" s="294"/>
      <c r="T275" s="294"/>
      <c r="U275" s="326" t="e">
        <f ca="1">U204/I204*I275</f>
        <v>#DIV/0!</v>
      </c>
      <c r="V275" s="429"/>
      <c r="W275" s="272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hidden="1" thickBot="1">
      <c r="A276" s="1" t="s">
        <v>372</v>
      </c>
      <c r="B276" s="1"/>
      <c r="C276" s="296">
        <f>SUM(C274:C275)</f>
        <v>21244313.160355821</v>
      </c>
      <c r="D276" s="327"/>
      <c r="E276" s="330"/>
      <c r="F276" s="329">
        <f>F274+F275</f>
        <v>2442166.1815593904</v>
      </c>
      <c r="G276" s="327"/>
      <c r="H276" s="330"/>
      <c r="I276" s="329">
        <f ca="1">I274+I275</f>
        <v>2483178.1815593904</v>
      </c>
      <c r="J276" s="307"/>
      <c r="K276" s="327"/>
      <c r="L276" s="330"/>
      <c r="M276" s="329" t="e">
        <f ca="1">M274+M275</f>
        <v>#REF!</v>
      </c>
      <c r="N276" s="329"/>
      <c r="O276" s="327"/>
      <c r="P276" s="330"/>
      <c r="Q276" s="329" t="e">
        <f ca="1">Q274+Q275</f>
        <v>#DIV/0!</v>
      </c>
      <c r="R276" s="329"/>
      <c r="S276" s="327"/>
      <c r="T276" s="330"/>
      <c r="U276" s="329" t="e">
        <f ca="1">U274+U275</f>
        <v>#DIV/0!</v>
      </c>
      <c r="V276" s="396"/>
      <c r="W276" s="455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 ht="16.5" hidden="1" thickTop="1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 hidden="1">
      <c r="A278" s="1"/>
      <c r="B278" s="1"/>
      <c r="C278" s="21"/>
      <c r="D278" s="322"/>
      <c r="E278" s="1"/>
      <c r="F278" s="2"/>
      <c r="G278" s="322"/>
      <c r="H278" s="1"/>
      <c r="I278" s="2" t="s">
        <v>31</v>
      </c>
      <c r="J278" s="2"/>
      <c r="K278" s="322"/>
      <c r="L278" s="1"/>
      <c r="M278" s="2" t="s">
        <v>31</v>
      </c>
      <c r="N278" s="2"/>
      <c r="O278" s="322"/>
      <c r="P278" s="1"/>
      <c r="Q278" s="2" t="s">
        <v>31</v>
      </c>
      <c r="R278" s="2"/>
      <c r="S278" s="322"/>
      <c r="T278" s="1"/>
      <c r="U278" s="2" t="s">
        <v>31</v>
      </c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 hidden="1">
      <c r="A279" s="278" t="s">
        <v>377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 hidden="1">
      <c r="A280" s="1" t="s">
        <v>401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 hidden="1">
      <c r="A281" s="333" t="s">
        <v>402</v>
      </c>
      <c r="B281" s="1"/>
      <c r="C281" s="21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 hidden="1">
      <c r="A282" s="1" t="s">
        <v>383</v>
      </c>
      <c r="B282" s="1"/>
      <c r="C282" s="304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 hidden="1">
      <c r="A283" s="1" t="s">
        <v>380</v>
      </c>
      <c r="B283" s="1"/>
      <c r="C283" s="304">
        <f>'Rate Design Work eff 10-14-16'!C282</f>
        <v>121803.19999998537</v>
      </c>
      <c r="D283" s="283">
        <f>'Rate Design Work eff 10-14-16'!D282</f>
        <v>9.6</v>
      </c>
      <c r="E283" s="308"/>
      <c r="F283" s="2">
        <f>ROUND(D283*$C283,0)</f>
        <v>1169311</v>
      </c>
      <c r="G283" s="283">
        <f ca="1">$G$173</f>
        <v>9.76</v>
      </c>
      <c r="H283" s="308"/>
      <c r="I283" s="2">
        <f ca="1">ROUND(G283*$C283,0)</f>
        <v>1188799</v>
      </c>
      <c r="J283" s="2"/>
      <c r="K283" s="283">
        <f ca="1">$K$173</f>
        <v>9.76</v>
      </c>
      <c r="L283" s="308"/>
      <c r="M283" s="2">
        <f ca="1">ROUND(K283*$C283,0)</f>
        <v>1188799</v>
      </c>
      <c r="N283" s="2"/>
      <c r="O283" s="283" t="str">
        <f>$O$173</f>
        <v xml:space="preserve"> </v>
      </c>
      <c r="P283" s="308"/>
      <c r="Q283" s="2">
        <f>ROUND(O283*$C283,0)</f>
        <v>0</v>
      </c>
      <c r="R283" s="2"/>
      <c r="S283" s="283" t="str">
        <f>$S$173</f>
        <v xml:space="preserve"> </v>
      </c>
      <c r="T283" s="308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 hidden="1">
      <c r="A284" s="1" t="s">
        <v>381</v>
      </c>
      <c r="B284" s="1"/>
      <c r="C284" s="304">
        <f>'Rate Design Work eff 10-14-16'!C283</f>
        <v>58310.700000000717</v>
      </c>
      <c r="D284" s="283">
        <f>'Rate Design Work eff 10-14-16'!D283</f>
        <v>14.3</v>
      </c>
      <c r="E284" s="310"/>
      <c r="F284" s="2">
        <f t="shared" ref="F284:F285" si="59">ROUND(D284*$C284,0)</f>
        <v>833843</v>
      </c>
      <c r="G284" s="283">
        <f ca="1">$G$174</f>
        <v>14.54</v>
      </c>
      <c r="H284" s="310"/>
      <c r="I284" s="2">
        <f ca="1">ROUND(G284*$C284,0)</f>
        <v>847838</v>
      </c>
      <c r="J284" s="2"/>
      <c r="K284" s="283">
        <f ca="1">$K$174</f>
        <v>14.54</v>
      </c>
      <c r="L284" s="310"/>
      <c r="M284" s="2">
        <f ca="1">ROUND(K284*$C284,0)</f>
        <v>847838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 hidden="1">
      <c r="A285" s="1" t="s">
        <v>382</v>
      </c>
      <c r="B285" s="1"/>
      <c r="C285" s="304">
        <f>'Rate Design Work eff 10-14-16'!C284</f>
        <v>966505</v>
      </c>
      <c r="D285" s="283">
        <f>'Rate Design Work eff 10-14-16'!D284</f>
        <v>1</v>
      </c>
      <c r="E285" s="310"/>
      <c r="F285" s="2">
        <f t="shared" si="59"/>
        <v>966505</v>
      </c>
      <c r="G285" s="283">
        <f ca="1">$G$175</f>
        <v>1.02</v>
      </c>
      <c r="H285" s="310"/>
      <c r="I285" s="2">
        <f ca="1">ROUND(G285*$C285,0)</f>
        <v>985835</v>
      </c>
      <c r="J285" s="2"/>
      <c r="K285" s="283">
        <f ca="1">$K$175</f>
        <v>1.02</v>
      </c>
      <c r="L285" s="310"/>
      <c r="M285" s="2">
        <f ca="1">ROUND(K285*$C285,0)</f>
        <v>985835</v>
      </c>
      <c r="N285" s="2"/>
      <c r="O285" s="283" t="str">
        <f>$O$175</f>
        <v xml:space="preserve"> </v>
      </c>
      <c r="P285" s="310"/>
      <c r="Q285" s="2">
        <f>ROUND(O285*$C285,0)</f>
        <v>0</v>
      </c>
      <c r="R285" s="2"/>
      <c r="S285" s="283" t="str">
        <f>$S$175</f>
        <v xml:space="preserve"> </v>
      </c>
      <c r="T285" s="310"/>
      <c r="U285" s="2">
        <f>ROUND(S285*$C285,0)</f>
        <v>0</v>
      </c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 hidden="1">
      <c r="A286" s="1" t="s">
        <v>384</v>
      </c>
      <c r="B286" s="1"/>
      <c r="C286" s="304">
        <f>SUM(C283:C284)</f>
        <v>180113.89999998608</v>
      </c>
      <c r="D286" s="283"/>
      <c r="E286" s="308"/>
      <c r="F286" s="2"/>
      <c r="G286" s="283"/>
      <c r="H286" s="308"/>
      <c r="I286" s="2"/>
      <c r="J286" s="2"/>
      <c r="K286" s="283"/>
      <c r="L286" s="308"/>
      <c r="M286" s="2"/>
      <c r="N286" s="2"/>
      <c r="O286" s="283"/>
      <c r="P286" s="308"/>
      <c r="Q286" s="2"/>
      <c r="R286" s="2"/>
      <c r="S286" s="283"/>
      <c r="T286" s="308"/>
      <c r="U286" s="2"/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 hidden="1">
      <c r="A287" s="1" t="s">
        <v>385</v>
      </c>
      <c r="B287" s="1"/>
      <c r="C287" s="304">
        <f>'Rate Design Work eff 10-14-16'!C286</f>
        <v>782383</v>
      </c>
      <c r="D287" s="311">
        <f>'Rate Design Work eff 10-14-16'!D286</f>
        <v>3.64</v>
      </c>
      <c r="E287" s="308"/>
      <c r="F287" s="2">
        <f>ROUND(D287*C287,0)</f>
        <v>2847874</v>
      </c>
      <c r="G287" s="311">
        <f ca="1">$G$178</f>
        <v>3.7</v>
      </c>
      <c r="H287" s="308"/>
      <c r="I287" s="2">
        <f ca="1">ROUND(G287*$C287,0)</f>
        <v>2894817</v>
      </c>
      <c r="J287" s="2"/>
      <c r="K287" s="311" t="e">
        <f ca="1">$K$178</f>
        <v>#REF!</v>
      </c>
      <c r="L287" s="308"/>
      <c r="M287" s="2" t="e">
        <f ca="1">ROUND(K287*$C287,0)</f>
        <v>#REF!</v>
      </c>
      <c r="N287" s="2"/>
      <c r="O287" s="311" t="e">
        <f ca="1">$O$178</f>
        <v>#DIV/0!</v>
      </c>
      <c r="P287" s="308"/>
      <c r="Q287" s="2" t="e">
        <f ca="1">ROUND(O287*$C287,0)</f>
        <v>#DIV/0!</v>
      </c>
      <c r="R287" s="2"/>
      <c r="S287" s="311" t="e">
        <f ca="1">$S$178</f>
        <v>#DIV/0!</v>
      </c>
      <c r="T287" s="308"/>
      <c r="U287" s="2" t="e">
        <f ca="1">ROUND(S287*$C287,0)</f>
        <v>#DIV/0!</v>
      </c>
      <c r="V287" s="20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 hidden="1">
      <c r="A288" s="1" t="s">
        <v>387</v>
      </c>
      <c r="B288" s="304"/>
      <c r="C288" s="304">
        <f>'Rate Design Work eff 10-14-16'!C287</f>
        <v>113594338.50038823</v>
      </c>
      <c r="D288" s="284">
        <f>'Rate Design Work eff 10-14-16'!D287</f>
        <v>10.449</v>
      </c>
      <c r="E288" s="308" t="s">
        <v>364</v>
      </c>
      <c r="F288" s="2">
        <f>ROUND(D288*C288/100,0)</f>
        <v>11869472</v>
      </c>
      <c r="G288" s="284">
        <f ca="1">$G$179</f>
        <v>10.628</v>
      </c>
      <c r="H288" s="308" t="s">
        <v>364</v>
      </c>
      <c r="I288" s="2">
        <f ca="1">ROUND(G288*$C288/100,0)</f>
        <v>12072806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 hidden="1">
      <c r="A289" s="1" t="s">
        <v>388</v>
      </c>
      <c r="B289" s="304"/>
      <c r="C289" s="304">
        <f>'Rate Design Work eff 10-14-16'!C288</f>
        <v>264972441.64191934</v>
      </c>
      <c r="D289" s="284">
        <f>'Rate Design Work eff 10-14-16'!D288</f>
        <v>7.218</v>
      </c>
      <c r="E289" s="308" t="s">
        <v>364</v>
      </c>
      <c r="F289" s="2">
        <f>ROUND(D289*C289/100,0)</f>
        <v>19125711</v>
      </c>
      <c r="G289" s="284">
        <f ca="1">$G$180</f>
        <v>7.3410000000000002</v>
      </c>
      <c r="H289" s="308" t="s">
        <v>364</v>
      </c>
      <c r="I289" s="2">
        <f ca="1">ROUND(G289*$C289/100,0)</f>
        <v>19451627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 hidden="1">
      <c r="A290" s="1" t="s">
        <v>389</v>
      </c>
      <c r="B290" s="304"/>
      <c r="C290" s="304">
        <f>'Rate Design Work eff 10-14-16'!C289</f>
        <v>114038405.0634262</v>
      </c>
      <c r="D290" s="284">
        <f>'Rate Design Work eff 10-14-16'!D289</f>
        <v>6.218</v>
      </c>
      <c r="E290" s="308" t="s">
        <v>364</v>
      </c>
      <c r="F290" s="2">
        <f>ROUND(D290*C290/100,0)</f>
        <v>7090908</v>
      </c>
      <c r="G290" s="284">
        <f ca="1">$G$181</f>
        <v>6.3240000000000007</v>
      </c>
      <c r="H290" s="308" t="s">
        <v>364</v>
      </c>
      <c r="I290" s="2">
        <f ca="1">ROUND(G290*$C290/100,0)</f>
        <v>7211789</v>
      </c>
      <c r="J290" s="2"/>
      <c r="K290" s="284" t="e">
        <f ca="1">$K$181</f>
        <v>#REF!</v>
      </c>
      <c r="L290" s="308" t="s">
        <v>364</v>
      </c>
      <c r="M290" s="2" t="e">
        <f ca="1">ROUND(K290*$C290/100,0)</f>
        <v>#REF!</v>
      </c>
      <c r="N290" s="2"/>
      <c r="O290" s="284" t="e">
        <f ca="1">$O$181</f>
        <v>#DIV/0!</v>
      </c>
      <c r="P290" s="308" t="s">
        <v>364</v>
      </c>
      <c r="Q290" s="2" t="e">
        <f ca="1">ROUND(O290*$C290/100,0)</f>
        <v>#DIV/0!</v>
      </c>
      <c r="R290" s="2"/>
      <c r="S290" s="284" t="e">
        <f ca="1">$S$181</f>
        <v>#DIV/0!</v>
      </c>
      <c r="T290" s="308" t="s">
        <v>364</v>
      </c>
      <c r="U290" s="2" t="e">
        <f ca="1">ROUND(S290*$C290/100,0)</f>
        <v>#DIV/0!</v>
      </c>
      <c r="V290" s="458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hidden="1">
      <c r="A291" s="1" t="s">
        <v>390</v>
      </c>
      <c r="B291" s="21"/>
      <c r="C291" s="304">
        <f>'Rate Design Work eff 10-14-16'!C290</f>
        <v>107329.06666666651</v>
      </c>
      <c r="D291" s="315">
        <f>'Rate Design Work eff 10-14-16'!D290</f>
        <v>56</v>
      </c>
      <c r="E291" s="308" t="s">
        <v>364</v>
      </c>
      <c r="F291" s="2">
        <f>ROUND(D291*C291/100,0)</f>
        <v>60104</v>
      </c>
      <c r="G291" s="315">
        <f ca="1">$G$182</f>
        <v>57</v>
      </c>
      <c r="H291" s="308" t="s">
        <v>364</v>
      </c>
      <c r="I291" s="2">
        <f ca="1">ROUND(G291*$C291/100,0)</f>
        <v>61178</v>
      </c>
      <c r="J291" s="2"/>
      <c r="K291" s="315" t="str">
        <f>$K$182</f>
        <v xml:space="preserve"> </v>
      </c>
      <c r="L291" s="308" t="s">
        <v>364</v>
      </c>
      <c r="M291" s="2">
        <f>ROUND(K291*$C291/100,0)</f>
        <v>0</v>
      </c>
      <c r="N291" s="2"/>
      <c r="O291" s="315" t="e">
        <f>$O$182</f>
        <v>#DIV/0!</v>
      </c>
      <c r="P291" s="308" t="s">
        <v>364</v>
      </c>
      <c r="Q291" s="2" t="e">
        <f>ROUND(O291*$C291/100,0)</f>
        <v>#DIV/0!</v>
      </c>
      <c r="R291" s="2"/>
      <c r="S291" s="315" t="e">
        <f>$S$182</f>
        <v>#DIV/0!</v>
      </c>
      <c r="T291" s="308" t="s">
        <v>364</v>
      </c>
      <c r="U291" s="2" t="e">
        <f>ROUND(S291*$C291/100,0)</f>
        <v>#DIV/0!</v>
      </c>
      <c r="V291" s="20"/>
      <c r="W291" s="74"/>
      <c r="X291" s="74"/>
      <c r="Y291" s="74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R291" s="84"/>
    </row>
    <row r="292" spans="1:44" s="1118" customFormat="1" hidden="1">
      <c r="A292" s="968" t="s">
        <v>888</v>
      </c>
      <c r="C292" s="1122">
        <f>C288</f>
        <v>113594338.50038823</v>
      </c>
      <c r="D292" s="254">
        <f>'Rate Design Work eff 10-14-16'!D291</f>
        <v>0</v>
      </c>
      <c r="E292" s="1119"/>
      <c r="F292" s="1123"/>
      <c r="G292" s="1128">
        <f>G183</f>
        <v>0</v>
      </c>
      <c r="H292" s="972" t="s">
        <v>364</v>
      </c>
      <c r="I292" s="1123">
        <f t="shared" ref="I292:I294" si="60">ROUND(G292*$C292/100,0)</f>
        <v>0</v>
      </c>
      <c r="J292" s="1123"/>
      <c r="K292" s="1128" t="str">
        <f>K183</f>
        <v xml:space="preserve"> </v>
      </c>
      <c r="L292" s="972" t="s">
        <v>364</v>
      </c>
      <c r="M292" s="1123">
        <f t="shared" ref="M292:M294" si="61">ROUND(K292*$C292/100,0)</f>
        <v>0</v>
      </c>
      <c r="N292" s="1123"/>
      <c r="O292" s="1128" t="str">
        <f>O183</f>
        <v xml:space="preserve"> </v>
      </c>
      <c r="P292" s="972" t="s">
        <v>364</v>
      </c>
      <c r="Q292" s="1123">
        <f t="shared" ref="Q292:Q294" si="62">ROUND(O292*$C292/100,0)</f>
        <v>0</v>
      </c>
      <c r="R292" s="1123"/>
      <c r="S292" s="1128">
        <f>S183</f>
        <v>0</v>
      </c>
      <c r="T292" s="972" t="s">
        <v>364</v>
      </c>
      <c r="U292" s="1123">
        <f t="shared" ref="U292:U294" si="63">ROUND(S292*$C292/100,0)</f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889</v>
      </c>
      <c r="C293" s="1122">
        <f>C289</f>
        <v>264972441.64191934</v>
      </c>
      <c r="D293" s="254">
        <f>'Rate Design Work eff 10-14-16'!D292</f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0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1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62"/>
        <v>0</v>
      </c>
      <c r="R293" s="1123"/>
      <c r="S293" s="1128">
        <f>S184</f>
        <v>0</v>
      </c>
      <c r="T293" s="972" t="s">
        <v>364</v>
      </c>
      <c r="U293" s="1123">
        <f t="shared" si="63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 s="1118" customFormat="1" hidden="1">
      <c r="A294" s="968" t="s">
        <v>890</v>
      </c>
      <c r="C294" s="1122">
        <f>C290</f>
        <v>114038405.0634262</v>
      </c>
      <c r="D294" s="254">
        <f>'Rate Design Work eff 10-14-16'!D293</f>
        <v>0</v>
      </c>
      <c r="E294" s="1119"/>
      <c r="F294" s="1123"/>
      <c r="G294" s="1128">
        <f>G185</f>
        <v>0</v>
      </c>
      <c r="H294" s="972" t="s">
        <v>364</v>
      </c>
      <c r="I294" s="1123">
        <f t="shared" si="60"/>
        <v>0</v>
      </c>
      <c r="J294" s="1123"/>
      <c r="K294" s="1128" t="str">
        <f>K185</f>
        <v xml:space="preserve"> </v>
      </c>
      <c r="L294" s="972" t="s">
        <v>364</v>
      </c>
      <c r="M294" s="1123">
        <f t="shared" si="61"/>
        <v>0</v>
      </c>
      <c r="N294" s="1123"/>
      <c r="O294" s="1128" t="str">
        <f>O185</f>
        <v xml:space="preserve"> </v>
      </c>
      <c r="P294" s="972" t="s">
        <v>364</v>
      </c>
      <c r="Q294" s="1123">
        <f t="shared" si="62"/>
        <v>0</v>
      </c>
      <c r="R294" s="1123"/>
      <c r="S294" s="1128">
        <f>S185</f>
        <v>0</v>
      </c>
      <c r="T294" s="972" t="s">
        <v>364</v>
      </c>
      <c r="U294" s="1123">
        <f t="shared" si="63"/>
        <v>0</v>
      </c>
      <c r="W294" s="784"/>
      <c r="Z294" s="1125"/>
      <c r="AA294" s="1125"/>
      <c r="AF294" s="1119"/>
      <c r="AG294" s="1119"/>
      <c r="AH294" s="1119"/>
      <c r="AI294" s="1119"/>
      <c r="AJ294" s="1119"/>
      <c r="AK294" s="1119"/>
      <c r="AL294" s="1119"/>
      <c r="AM294" s="1119"/>
      <c r="AN294" s="1119"/>
      <c r="AO294" s="1119"/>
      <c r="AP294" s="1119"/>
      <c r="AR294" s="1124"/>
    </row>
    <row r="295" spans="1:44" hidden="1">
      <c r="A295" s="316" t="s">
        <v>391</v>
      </c>
      <c r="B295" s="21"/>
      <c r="C295" s="304"/>
      <c r="D295" s="317">
        <f>'Rate Design Work eff 10-14-16'!D294</f>
        <v>-0.01</v>
      </c>
      <c r="E295" s="308"/>
      <c r="F295" s="2"/>
      <c r="G295" s="317">
        <v>-0.01</v>
      </c>
      <c r="H295" s="308"/>
      <c r="I295" s="2"/>
      <c r="J295" s="2"/>
      <c r="K295" s="317">
        <v>-0.01</v>
      </c>
      <c r="L295" s="308"/>
      <c r="M295" s="2"/>
      <c r="N295" s="2"/>
      <c r="O295" s="317">
        <v>-0.01</v>
      </c>
      <c r="P295" s="308"/>
      <c r="Q295" s="2"/>
      <c r="R295" s="2"/>
      <c r="S295" s="317">
        <v>-0.01</v>
      </c>
      <c r="T295" s="308"/>
      <c r="U295" s="2"/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 hidden="1">
      <c r="A296" s="1" t="s">
        <v>380</v>
      </c>
      <c r="B296" s="1"/>
      <c r="C296" s="304">
        <f>'Rate Design Work eff 10-14-16'!C295</f>
        <v>74.633333333333297</v>
      </c>
      <c r="D296" s="319">
        <f>'Rate Design Work eff 10-14-16'!D295</f>
        <v>9.6</v>
      </c>
      <c r="E296" s="306"/>
      <c r="F296" s="2">
        <f>-ROUND(D296*$C296/100,0)</f>
        <v>-7</v>
      </c>
      <c r="G296" s="319">
        <f ca="1">G283</f>
        <v>9.76</v>
      </c>
      <c r="H296" s="306"/>
      <c r="I296" s="2">
        <f ca="1">-ROUND(G296*$C296/100,0)</f>
        <v>-7</v>
      </c>
      <c r="J296" s="2"/>
      <c r="K296" s="319">
        <f ca="1">K283</f>
        <v>9.76</v>
      </c>
      <c r="L296" s="306"/>
      <c r="M296" s="2">
        <f ca="1">-ROUND(K296*$C296/100,0)</f>
        <v>-7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 hidden="1">
      <c r="A297" s="1" t="s">
        <v>381</v>
      </c>
      <c r="B297" s="1"/>
      <c r="C297" s="304">
        <f>'Rate Design Work eff 10-14-16'!C296</f>
        <v>71.933333333333309</v>
      </c>
      <c r="D297" s="319">
        <f>'Rate Design Work eff 10-14-16'!D296</f>
        <v>14.3</v>
      </c>
      <c r="E297" s="306"/>
      <c r="F297" s="2">
        <f t="shared" ref="F297:F299" si="64">-ROUND(D297*$C297/100,0)</f>
        <v>-10</v>
      </c>
      <c r="G297" s="319">
        <f ca="1">G284</f>
        <v>14.54</v>
      </c>
      <c r="H297" s="306"/>
      <c r="I297" s="2">
        <f ca="1">-ROUND(G297*$C297/100,0)</f>
        <v>-10</v>
      </c>
      <c r="J297" s="2"/>
      <c r="K297" s="319">
        <f ca="1">K284</f>
        <v>14.54</v>
      </c>
      <c r="L297" s="306"/>
      <c r="M297" s="2">
        <f ca="1">-ROUND(K297*$C297/100,0)</f>
        <v>-10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 hidden="1">
      <c r="A298" s="1" t="s">
        <v>392</v>
      </c>
      <c r="B298" s="1"/>
      <c r="C298" s="304">
        <f>'Rate Design Work eff 10-14-16'!C297</f>
        <v>1618</v>
      </c>
      <c r="D298" s="319">
        <f>'Rate Design Work eff 10-14-16'!D297</f>
        <v>1</v>
      </c>
      <c r="E298" s="306"/>
      <c r="F298" s="2">
        <f t="shared" si="64"/>
        <v>-16</v>
      </c>
      <c r="G298" s="319">
        <f ca="1">G285</f>
        <v>1.02</v>
      </c>
      <c r="H298" s="306"/>
      <c r="I298" s="2">
        <f ca="1">-ROUND(G298*$C298/100,0)</f>
        <v>-17</v>
      </c>
      <c r="J298" s="2"/>
      <c r="K298" s="319">
        <f ca="1">K285</f>
        <v>1.02</v>
      </c>
      <c r="L298" s="306"/>
      <c r="M298" s="2">
        <f ca="1">-ROUND(K298*$C298/100,0)</f>
        <v>-17</v>
      </c>
      <c r="N298" s="2"/>
      <c r="O298" s="319" t="str">
        <f>O285</f>
        <v xml:space="preserve"> </v>
      </c>
      <c r="P298" s="306"/>
      <c r="Q298" s="2">
        <f>-ROUND(O298*$C298/100,0)</f>
        <v>0</v>
      </c>
      <c r="R298" s="2"/>
      <c r="S298" s="319" t="str">
        <f>S285</f>
        <v xml:space="preserve"> </v>
      </c>
      <c r="T298" s="306"/>
      <c r="U298" s="2">
        <f>-ROUND(S298*$C298/100,0)</f>
        <v>0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 hidden="1">
      <c r="A299" s="1" t="s">
        <v>403</v>
      </c>
      <c r="B299" s="1"/>
      <c r="C299" s="304">
        <f>'Rate Design Work eff 10-14-16'!C298</f>
        <v>765</v>
      </c>
      <c r="D299" s="319">
        <f>'Rate Design Work eff 10-14-16'!D298</f>
        <v>3.64</v>
      </c>
      <c r="E299" s="308"/>
      <c r="F299" s="2">
        <f t="shared" si="64"/>
        <v>-28</v>
      </c>
      <c r="G299" s="319">
        <f ca="1">G287</f>
        <v>3.7</v>
      </c>
      <c r="H299" s="308"/>
      <c r="I299" s="2">
        <f ca="1">-ROUND(G299*$C299/100,0)</f>
        <v>-28</v>
      </c>
      <c r="J299" s="2"/>
      <c r="K299" s="319" t="e">
        <f ca="1">K287</f>
        <v>#REF!</v>
      </c>
      <c r="L299" s="308"/>
      <c r="M299" s="2" t="e">
        <f ca="1">-ROUND(K299*$C299/100,0)</f>
        <v>#REF!</v>
      </c>
      <c r="N299" s="2"/>
      <c r="O299" s="319" t="e">
        <f ca="1">O287</f>
        <v>#DIV/0!</v>
      </c>
      <c r="P299" s="308"/>
      <c r="Q299" s="2" t="e">
        <f ca="1">-ROUND(O299*$C299/100,0)</f>
        <v>#DIV/0!</v>
      </c>
      <c r="R299" s="2"/>
      <c r="S299" s="319" t="e">
        <f ca="1">S287</f>
        <v>#DIV/0!</v>
      </c>
      <c r="T299" s="308"/>
      <c r="U299" s="2" t="e">
        <f ca="1">-ROUND(S299*$C299/100,0)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 hidden="1">
      <c r="A300" s="1" t="s">
        <v>395</v>
      </c>
      <c r="B300" s="1"/>
      <c r="C300" s="304">
        <f>'Rate Design Work eff 10-14-16'!C299</f>
        <v>108585.6666666666</v>
      </c>
      <c r="D300" s="320">
        <f>'Rate Design Work eff 10-14-16'!D299</f>
        <v>10.449</v>
      </c>
      <c r="E300" s="308" t="s">
        <v>364</v>
      </c>
      <c r="F300" s="2">
        <f>ROUND(D300*$C300/100*D295,0)</f>
        <v>-113</v>
      </c>
      <c r="G300" s="320">
        <f ca="1">G288</f>
        <v>10.628</v>
      </c>
      <c r="H300" s="308" t="s">
        <v>364</v>
      </c>
      <c r="I300" s="2">
        <f ca="1">ROUND(G300*$C300/100*G295,0)</f>
        <v>-115</v>
      </c>
      <c r="J300" s="2"/>
      <c r="K300" s="320" t="e">
        <f ca="1">K288</f>
        <v>#REF!</v>
      </c>
      <c r="L300" s="308" t="s">
        <v>364</v>
      </c>
      <c r="M300" s="2" t="e">
        <f ca="1">ROUND(K300*$C300/100*K295,0)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ROUND(O300*$C300/100*O295,0)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ROUND(S300*$C300/100*S295,0)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 hidden="1">
      <c r="A301" s="1" t="s">
        <v>388</v>
      </c>
      <c r="B301" s="1"/>
      <c r="C301" s="304">
        <f>'Rate Design Work eff 10-14-16'!C300</f>
        <v>461939.33333333366</v>
      </c>
      <c r="D301" s="320">
        <f>'Rate Design Work eff 10-14-16'!D300</f>
        <v>7.218</v>
      </c>
      <c r="E301" s="308" t="s">
        <v>364</v>
      </c>
      <c r="F301" s="2">
        <f>ROUND(D301*$C301/100*D295,0)</f>
        <v>-333</v>
      </c>
      <c r="G301" s="320">
        <f ca="1">G289</f>
        <v>7.3410000000000002</v>
      </c>
      <c r="H301" s="308" t="s">
        <v>364</v>
      </c>
      <c r="I301" s="2">
        <f ca="1">ROUND(G301*$C301/100*G295,0)</f>
        <v>-339</v>
      </c>
      <c r="J301" s="2"/>
      <c r="K301" s="320" t="e">
        <f ca="1">K289</f>
        <v>#REF!</v>
      </c>
      <c r="L301" s="308" t="s">
        <v>364</v>
      </c>
      <c r="M301" s="2" t="e">
        <f ca="1">ROUND(K301*$C301/100*K295,0)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ROUND(O301*$C301/100*O295,0)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ROUND(S301*$C301/100*S295,0)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 hidden="1">
      <c r="A302" s="1" t="s">
        <v>389</v>
      </c>
      <c r="B302" s="1"/>
      <c r="C302" s="304">
        <f>'Rate Design Work eff 10-14-16'!C301</f>
        <v>701665</v>
      </c>
      <c r="D302" s="320">
        <f>'Rate Design Work eff 10-14-16'!D301</f>
        <v>6.218</v>
      </c>
      <c r="E302" s="308" t="s">
        <v>364</v>
      </c>
      <c r="F302" s="2">
        <f>ROUND(D302*$C302/100*D295,0)</f>
        <v>-436</v>
      </c>
      <c r="G302" s="320">
        <f ca="1">G290</f>
        <v>6.3240000000000007</v>
      </c>
      <c r="H302" s="308" t="s">
        <v>364</v>
      </c>
      <c r="I302" s="2">
        <f ca="1">ROUND(G302*$C302/100*G295,0)</f>
        <v>-444</v>
      </c>
      <c r="J302" s="2"/>
      <c r="K302" s="320" t="e">
        <f ca="1">K290</f>
        <v>#REF!</v>
      </c>
      <c r="L302" s="308" t="s">
        <v>364</v>
      </c>
      <c r="M302" s="2" t="e">
        <f ca="1">ROUND(K302*$C302/100*K295,0)</f>
        <v>#REF!</v>
      </c>
      <c r="N302" s="2"/>
      <c r="O302" s="320" t="e">
        <f ca="1">O290</f>
        <v>#DIV/0!</v>
      </c>
      <c r="P302" s="308" t="s">
        <v>364</v>
      </c>
      <c r="Q302" s="2" t="e">
        <f ca="1">ROUND(O302*$C302/100*O295,0)</f>
        <v>#DIV/0!</v>
      </c>
      <c r="R302" s="2"/>
      <c r="S302" s="320" t="e">
        <f ca="1">S290</f>
        <v>#DIV/0!</v>
      </c>
      <c r="T302" s="308" t="s">
        <v>364</v>
      </c>
      <c r="U302" s="2" t="e">
        <f ca="1">ROUND(S302*$C302/100*S295,0)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 hidden="1">
      <c r="A303" s="1" t="s">
        <v>390</v>
      </c>
      <c r="B303" s="1"/>
      <c r="C303" s="304">
        <f>'Rate Design Work eff 10-14-16'!C302</f>
        <v>913.93333333333339</v>
      </c>
      <c r="D303" s="321">
        <f>'Rate Design Work eff 10-14-16'!D302</f>
        <v>56</v>
      </c>
      <c r="E303" s="308" t="s">
        <v>364</v>
      </c>
      <c r="F303" s="2">
        <f>ROUND(D303*$C303/100*D295,0)</f>
        <v>-5</v>
      </c>
      <c r="G303" s="321">
        <f ca="1">G291</f>
        <v>57</v>
      </c>
      <c r="H303" s="308" t="s">
        <v>364</v>
      </c>
      <c r="I303" s="2">
        <f ca="1">ROUND(G303*$C303/100*G295,0)</f>
        <v>-5</v>
      </c>
      <c r="J303" s="2"/>
      <c r="K303" s="321" t="str">
        <f>K291</f>
        <v xml:space="preserve"> </v>
      </c>
      <c r="L303" s="308" t="s">
        <v>364</v>
      </c>
      <c r="M303" s="2">
        <f>ROUND(K303*$C303/100*K295,0)</f>
        <v>0</v>
      </c>
      <c r="N303" s="2"/>
      <c r="O303" s="321" t="e">
        <f>O291</f>
        <v>#DIV/0!</v>
      </c>
      <c r="P303" s="308" t="s">
        <v>364</v>
      </c>
      <c r="Q303" s="2" t="e">
        <f>ROUND(O303*$C303/100*O295,0)</f>
        <v>#DIV/0!</v>
      </c>
      <c r="R303" s="2"/>
      <c r="S303" s="321" t="e">
        <f>S291</f>
        <v>#DIV/0!</v>
      </c>
      <c r="T303" s="308" t="s">
        <v>364</v>
      </c>
      <c r="U303" s="2" t="e">
        <f>ROUND(S303*$C303/100*S295,0)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 hidden="1">
      <c r="A304" s="1" t="s">
        <v>397</v>
      </c>
      <c r="B304" s="1"/>
      <c r="C304" s="304">
        <f>'Rate Design Work eff 10-14-16'!C303</f>
        <v>122.5333333333333</v>
      </c>
      <c r="D304" s="322">
        <f>'Rate Design Work eff 10-14-16'!D303</f>
        <v>60</v>
      </c>
      <c r="E304" s="308"/>
      <c r="F304" s="2">
        <f>ROUND(D304*C304,0)</f>
        <v>7352</v>
      </c>
      <c r="G304" s="322">
        <f>$G$198</f>
        <v>60</v>
      </c>
      <c r="H304" s="308"/>
      <c r="I304" s="2">
        <f>ROUND(G304*$C304,0)</f>
        <v>7352</v>
      </c>
      <c r="J304" s="2"/>
      <c r="K304" s="322" t="str">
        <f>$K$198</f>
        <v xml:space="preserve"> </v>
      </c>
      <c r="L304" s="308"/>
      <c r="M304" s="2">
        <f>ROUND(K304*$C304,0)</f>
        <v>0</v>
      </c>
      <c r="N304" s="2"/>
      <c r="O304" s="322" t="e">
        <f>$O$198</f>
        <v>#DIV/0!</v>
      </c>
      <c r="P304" s="308"/>
      <c r="Q304" s="2" t="e">
        <f>ROUND(O304*$C304,0)</f>
        <v>#DIV/0!</v>
      </c>
      <c r="R304" s="2"/>
      <c r="S304" s="322" t="e">
        <f>$S$198</f>
        <v>#DIV/0!</v>
      </c>
      <c r="T304" s="308"/>
      <c r="U304" s="2" t="e">
        <f>ROUND(S304*$C304,0)</f>
        <v>#DIV/0!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hidden="1">
      <c r="A305" s="1" t="s">
        <v>398</v>
      </c>
      <c r="B305" s="1"/>
      <c r="C305" s="304">
        <f>'Rate Design Work eff 10-14-16'!C304</f>
        <v>166.29999999999998</v>
      </c>
      <c r="D305" s="324">
        <f>'Rate Design Work eff 10-14-16'!D304</f>
        <v>-30</v>
      </c>
      <c r="E305" s="308" t="s">
        <v>364</v>
      </c>
      <c r="F305" s="2">
        <f>ROUND(D305*C305/100,0)</f>
        <v>-50</v>
      </c>
      <c r="G305" s="324">
        <f>$G$199</f>
        <v>-30</v>
      </c>
      <c r="H305" s="308" t="s">
        <v>364</v>
      </c>
      <c r="I305" s="2">
        <f>ROUND(G305*$C305/100,0)</f>
        <v>-50</v>
      </c>
      <c r="J305" s="2"/>
      <c r="K305" s="324">
        <f>$K$199</f>
        <v>-30</v>
      </c>
      <c r="L305" s="308" t="s">
        <v>364</v>
      </c>
      <c r="M305" s="2">
        <f>ROUND(K305*$C305/100,0)</f>
        <v>-50</v>
      </c>
      <c r="N305" s="2"/>
      <c r="O305" s="324" t="str">
        <f>$O$199</f>
        <v xml:space="preserve"> </v>
      </c>
      <c r="P305" s="308" t="s">
        <v>364</v>
      </c>
      <c r="Q305" s="2">
        <f>ROUND(O305*$C305/100,0)</f>
        <v>0</v>
      </c>
      <c r="R305" s="2"/>
      <c r="S305" s="324" t="str">
        <f>$S$199</f>
        <v xml:space="preserve"> </v>
      </c>
      <c r="T305" s="308" t="s">
        <v>364</v>
      </c>
      <c r="U305" s="2">
        <f>ROUND(S305*$C305/100,0)</f>
        <v>0</v>
      </c>
      <c r="V305" s="20"/>
      <c r="W305" s="74"/>
      <c r="X305" s="74"/>
      <c r="Y305" s="74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R305" s="84"/>
    </row>
    <row r="306" spans="1:44" s="1118" customFormat="1" hidden="1">
      <c r="A306" s="968" t="s">
        <v>888</v>
      </c>
      <c r="C306" s="1122">
        <f>C300</f>
        <v>108585.6666666666</v>
      </c>
      <c r="D306" s="254">
        <f>'Rate Design Work eff 10-14-16'!D305</f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ROUND(G306*$C306/100*G295,0)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ROUND(K306*$C306/100*K295,0)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ROUND(O306*$C306/100*O295,0)</f>
        <v>0</v>
      </c>
      <c r="R306" s="1123"/>
      <c r="S306" s="1128">
        <f>S183</f>
        <v>0</v>
      </c>
      <c r="T306" s="972" t="s">
        <v>364</v>
      </c>
      <c r="U306" s="1123">
        <f>ROUND(S306*$C306/100*S295,0)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889</v>
      </c>
      <c r="C307" s="1122">
        <f>C301</f>
        <v>461939.33333333366</v>
      </c>
      <c r="D307" s="254">
        <f>'Rate Design Work eff 10-14-16'!D306</f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ROUND(G307*$C307/100*G295,0)</f>
        <v>0</v>
      </c>
      <c r="J307" s="1123"/>
      <c r="K307" s="1128" t="str">
        <f>K184</f>
        <v xml:space="preserve"> </v>
      </c>
      <c r="L307" s="972" t="s">
        <v>364</v>
      </c>
      <c r="M307" s="1123">
        <f>ROUND(K307*$C307/100*K295,0)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ROUND(O307*$C307/100*O295,0)</f>
        <v>0</v>
      </c>
      <c r="R307" s="1123"/>
      <c r="S307" s="1128">
        <f>S184</f>
        <v>0</v>
      </c>
      <c r="T307" s="972" t="s">
        <v>364</v>
      </c>
      <c r="U307" s="1123">
        <f>ROUND(S307*$C307/100*S295,0)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 s="1118" customFormat="1" hidden="1">
      <c r="A308" s="968" t="s">
        <v>890</v>
      </c>
      <c r="C308" s="1122">
        <f>C302</f>
        <v>701665</v>
      </c>
      <c r="D308" s="254">
        <f>'Rate Design Work eff 10-14-16'!D307</f>
        <v>0</v>
      </c>
      <c r="E308" s="1119"/>
      <c r="F308" s="1123"/>
      <c r="G308" s="1128">
        <f>G185</f>
        <v>0</v>
      </c>
      <c r="H308" s="972" t="s">
        <v>364</v>
      </c>
      <c r="I308" s="1123">
        <f>ROUND(G308*$C308/100*G295,0)</f>
        <v>0</v>
      </c>
      <c r="J308" s="1123"/>
      <c r="K308" s="1128" t="str">
        <f>K185</f>
        <v xml:space="preserve"> </v>
      </c>
      <c r="L308" s="972" t="s">
        <v>364</v>
      </c>
      <c r="M308" s="1123">
        <f ca="1">ROUND(K308*$C308/100*K297*K295,0)</f>
        <v>0</v>
      </c>
      <c r="N308" s="1123"/>
      <c r="O308" s="1128" t="str">
        <f>O185</f>
        <v xml:space="preserve"> </v>
      </c>
      <c r="P308" s="972" t="s">
        <v>364</v>
      </c>
      <c r="Q308" s="1123">
        <f>ROUND(O308*$C308/100*O297*O295,0)</f>
        <v>0</v>
      </c>
      <c r="R308" s="1123"/>
      <c r="S308" s="1128">
        <f>S185</f>
        <v>0</v>
      </c>
      <c r="T308" s="972" t="s">
        <v>364</v>
      </c>
      <c r="U308" s="1123">
        <f>ROUND(S308*$C308/100*S295,0)</f>
        <v>0</v>
      </c>
      <c r="W308" s="784"/>
      <c r="Z308" s="1125"/>
      <c r="AA308" s="1125"/>
      <c r="AF308" s="1119"/>
      <c r="AG308" s="1119"/>
      <c r="AH308" s="1119"/>
      <c r="AI308" s="1119"/>
      <c r="AJ308" s="1119"/>
      <c r="AK308" s="1119"/>
      <c r="AL308" s="1119"/>
      <c r="AM308" s="1119"/>
      <c r="AN308" s="1119"/>
      <c r="AO308" s="1119"/>
      <c r="AP308" s="1119"/>
      <c r="AR308" s="1124"/>
    </row>
    <row r="309" spans="1:44" hidden="1">
      <c r="A309" s="1" t="s">
        <v>371</v>
      </c>
      <c r="B309" s="292"/>
      <c r="C309" s="304">
        <f>SUM(C288:C290)</f>
        <v>492605185.20573378</v>
      </c>
      <c r="D309" s="315"/>
      <c r="E309" s="308"/>
      <c r="F309" s="2">
        <f>SUM(F283:F305)</f>
        <v>43970082</v>
      </c>
      <c r="G309" s="315"/>
      <c r="H309" s="308"/>
      <c r="I309" s="2">
        <f ca="1">SUM(I283:I308)</f>
        <v>44721026</v>
      </c>
      <c r="J309" s="2"/>
      <c r="K309" s="315"/>
      <c r="L309" s="308"/>
      <c r="M309" s="2" t="e">
        <f ca="1">SUM(M283:M308)</f>
        <v>#REF!</v>
      </c>
      <c r="N309" s="2"/>
      <c r="O309" s="315"/>
      <c r="P309" s="308"/>
      <c r="Q309" s="2" t="e">
        <f ca="1">SUM(Q283:Q308)</f>
        <v>#DIV/0!</v>
      </c>
      <c r="R309" s="2"/>
      <c r="S309" s="315"/>
      <c r="T309" s="308"/>
      <c r="U309" s="2" t="e">
        <f ca="1">SUM(U283:U308)</f>
        <v>#DIV/0!</v>
      </c>
      <c r="V309" s="401"/>
      <c r="W309" s="74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idden="1">
      <c r="A310" s="1" t="s">
        <v>353</v>
      </c>
      <c r="B310" s="1"/>
      <c r="C310" s="334">
        <f>'Table 2'!H41</f>
        <v>3477825.992467748</v>
      </c>
      <c r="D310" s="294"/>
      <c r="E310" s="294"/>
      <c r="F310" s="326">
        <f>'Table 3'!E41</f>
        <v>355356.90214655403</v>
      </c>
      <c r="G310" s="294"/>
      <c r="H310" s="294"/>
      <c r="I310" s="326">
        <f>F310</f>
        <v>355356.90214655403</v>
      </c>
      <c r="J310" s="307"/>
      <c r="K310" s="294"/>
      <c r="L310" s="294"/>
      <c r="M310" s="326" t="e">
        <f ca="1">M204/I204*I310</f>
        <v>#DIV/0!</v>
      </c>
      <c r="N310" s="307"/>
      <c r="O310" s="294"/>
      <c r="P310" s="294"/>
      <c r="Q310" s="326" t="e">
        <f ca="1">Q204/I204*I310</f>
        <v>#DIV/0!</v>
      </c>
      <c r="R310" s="307"/>
      <c r="S310" s="294"/>
      <c r="T310" s="294"/>
      <c r="U310" s="326" t="e">
        <f ca="1">U204/I204*I310</f>
        <v>#DIV/0!</v>
      </c>
      <c r="V310" s="429"/>
      <c r="W310" s="272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hidden="1" thickBot="1">
      <c r="A311" s="1" t="s">
        <v>372</v>
      </c>
      <c r="B311" s="1"/>
      <c r="C311" s="296">
        <f>SUM(C309:C310)</f>
        <v>496083011.19820154</v>
      </c>
      <c r="D311" s="327"/>
      <c r="E311" s="330"/>
      <c r="F311" s="329">
        <f>F309+F310</f>
        <v>44325438.902146555</v>
      </c>
      <c r="G311" s="327"/>
      <c r="H311" s="330"/>
      <c r="I311" s="329">
        <f ca="1">I309+I310</f>
        <v>45076382.902146555</v>
      </c>
      <c r="J311" s="307"/>
      <c r="K311" s="327"/>
      <c r="L311" s="330"/>
      <c r="M311" s="329" t="e">
        <f ca="1">M309+M310</f>
        <v>#REF!</v>
      </c>
      <c r="N311" s="329"/>
      <c r="O311" s="327"/>
      <c r="P311" s="330"/>
      <c r="Q311" s="329" t="e">
        <f ca="1">Q309+Q310</f>
        <v>#DIV/0!</v>
      </c>
      <c r="R311" s="329"/>
      <c r="S311" s="327"/>
      <c r="T311" s="330"/>
      <c r="U311" s="329" t="e">
        <f ca="1">U309+U310</f>
        <v>#DIV/0!</v>
      </c>
      <c r="V311" s="396"/>
      <c r="W311" s="455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 ht="16.5" hidden="1" thickTop="1">
      <c r="A312" s="1"/>
      <c r="B312" s="1"/>
      <c r="C312" s="21"/>
      <c r="D312" s="322"/>
      <c r="E312" s="1"/>
      <c r="F312" s="2"/>
      <c r="G312" s="322"/>
      <c r="H312" s="1"/>
      <c r="I312" s="2" t="s">
        <v>31</v>
      </c>
      <c r="J312" s="2"/>
      <c r="K312" s="322"/>
      <c r="L312" s="1"/>
      <c r="M312" s="2" t="s">
        <v>31</v>
      </c>
      <c r="N312" s="2"/>
      <c r="O312" s="322"/>
      <c r="P312" s="1"/>
      <c r="Q312" s="2" t="s">
        <v>31</v>
      </c>
      <c r="R312" s="2"/>
      <c r="S312" s="322"/>
      <c r="T312" s="1"/>
      <c r="U312" s="2" t="s">
        <v>31</v>
      </c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 hidden="1">
      <c r="A313" s="278" t="s">
        <v>377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 hidden="1">
      <c r="A314" s="1" t="s">
        <v>404</v>
      </c>
      <c r="B314" s="1"/>
      <c r="C314" s="2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 hidden="1">
      <c r="A316" s="1" t="s">
        <v>383</v>
      </c>
      <c r="B316" s="1"/>
      <c r="C316" s="304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 hidden="1">
      <c r="A317" s="1" t="s">
        <v>380</v>
      </c>
      <c r="B317" s="1"/>
      <c r="C317" s="304">
        <f>'Rate Design Work eff 10-14-16'!C316</f>
        <v>1659.4666666666701</v>
      </c>
      <c r="D317" s="283">
        <f>'Rate Design Work eff 10-14-16'!D316</f>
        <v>9.6</v>
      </c>
      <c r="E317" s="308"/>
      <c r="F317" s="2">
        <f>ROUND(D317*$C317,0)</f>
        <v>15931</v>
      </c>
      <c r="G317" s="283">
        <f ca="1">$G$173</f>
        <v>9.76</v>
      </c>
      <c r="H317" s="308"/>
      <c r="I317" s="2">
        <f ca="1">ROUND(G317*$C317,0)</f>
        <v>16196</v>
      </c>
      <c r="J317" s="2"/>
      <c r="K317" s="283">
        <f ca="1">$K$173</f>
        <v>9.76</v>
      </c>
      <c r="L317" s="308"/>
      <c r="M317" s="2">
        <f ca="1">ROUND(K317*$C317,0)</f>
        <v>16196</v>
      </c>
      <c r="N317" s="2"/>
      <c r="O317" s="283" t="str">
        <f>$O$173</f>
        <v xml:space="preserve"> </v>
      </c>
      <c r="P317" s="308"/>
      <c r="Q317" s="2">
        <f>ROUND(O317*$C317,0)</f>
        <v>0</v>
      </c>
      <c r="R317" s="2"/>
      <c r="S317" s="283" t="str">
        <f>$S$173</f>
        <v xml:space="preserve"> </v>
      </c>
      <c r="T317" s="308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 hidden="1">
      <c r="A318" s="1" t="s">
        <v>381</v>
      </c>
      <c r="B318" s="1"/>
      <c r="C318" s="304">
        <f>'Rate Design Work eff 10-14-16'!C317</f>
        <v>2898.2333333333399</v>
      </c>
      <c r="D318" s="283">
        <f>'Rate Design Work eff 10-14-16'!D317</f>
        <v>14.3</v>
      </c>
      <c r="E318" s="310"/>
      <c r="F318" s="2">
        <f t="shared" ref="F318:F319" si="65">ROUND(D318*$C318,0)</f>
        <v>41445</v>
      </c>
      <c r="G318" s="283">
        <f ca="1">$G$174</f>
        <v>14.54</v>
      </c>
      <c r="H318" s="310"/>
      <c r="I318" s="2">
        <f ca="1">ROUND(G318*$C318,0)</f>
        <v>42140</v>
      </c>
      <c r="J318" s="2"/>
      <c r="K318" s="283">
        <f ca="1">$K$174</f>
        <v>14.54</v>
      </c>
      <c r="L318" s="310"/>
      <c r="M318" s="2">
        <f ca="1">ROUND(K318*$C318,0)</f>
        <v>42140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 hidden="1">
      <c r="A319" s="1" t="s">
        <v>382</v>
      </c>
      <c r="B319" s="1"/>
      <c r="C319" s="304">
        <f>'Rate Design Work eff 10-14-16'!C318</f>
        <v>47405</v>
      </c>
      <c r="D319" s="283">
        <f>'Rate Design Work eff 10-14-16'!D318</f>
        <v>1</v>
      </c>
      <c r="E319" s="310"/>
      <c r="F319" s="2">
        <f t="shared" si="65"/>
        <v>47405</v>
      </c>
      <c r="G319" s="283">
        <f ca="1">$G$175</f>
        <v>1.02</v>
      </c>
      <c r="H319" s="310"/>
      <c r="I319" s="2">
        <f ca="1">ROUND(G319*$C319,0)</f>
        <v>48353</v>
      </c>
      <c r="J319" s="2"/>
      <c r="K319" s="283">
        <f ca="1">$K$175</f>
        <v>1.02</v>
      </c>
      <c r="L319" s="310"/>
      <c r="M319" s="2">
        <f ca="1">ROUND(K319*$C319,0)</f>
        <v>48353</v>
      </c>
      <c r="N319" s="2"/>
      <c r="O319" s="283" t="str">
        <f>$O$175</f>
        <v xml:space="preserve"> </v>
      </c>
      <c r="P319" s="310"/>
      <c r="Q319" s="2">
        <f>ROUND(O319*$C319,0)</f>
        <v>0</v>
      </c>
      <c r="R319" s="2"/>
      <c r="S319" s="283" t="str">
        <f>$S$175</f>
        <v xml:space="preserve"> </v>
      </c>
      <c r="T319" s="310"/>
      <c r="U319" s="2">
        <f>ROUND(S319*$C319,0)</f>
        <v>0</v>
      </c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 hidden="1">
      <c r="A320" s="1" t="s">
        <v>384</v>
      </c>
      <c r="B320" s="1"/>
      <c r="C320" s="304">
        <f>SUM(C317:C318)</f>
        <v>4557.7000000000098</v>
      </c>
      <c r="D320" s="283"/>
      <c r="E320" s="308"/>
      <c r="F320" s="2"/>
      <c r="G320" s="283"/>
      <c r="H320" s="308"/>
      <c r="I320" s="2"/>
      <c r="J320" s="2"/>
      <c r="K320" s="283"/>
      <c r="L320" s="308"/>
      <c r="M320" s="2"/>
      <c r="N320" s="2"/>
      <c r="O320" s="283"/>
      <c r="P320" s="308"/>
      <c r="Q320" s="2"/>
      <c r="R320" s="2"/>
      <c r="S320" s="283"/>
      <c r="T320" s="308"/>
      <c r="U320" s="2"/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 hidden="1">
      <c r="A321" s="1" t="s">
        <v>385</v>
      </c>
      <c r="B321" s="1"/>
      <c r="C321" s="304">
        <f>'Rate Design Work eff 10-14-16'!C320</f>
        <v>37943</v>
      </c>
      <c r="D321" s="311">
        <f>'Rate Design Work eff 10-14-16'!D320</f>
        <v>3.64</v>
      </c>
      <c r="E321" s="308"/>
      <c r="F321" s="2">
        <f>ROUND(D321*C321,0)</f>
        <v>138113</v>
      </c>
      <c r="G321" s="311">
        <f ca="1">$G$178</f>
        <v>3.7</v>
      </c>
      <c r="H321" s="308"/>
      <c r="I321" s="2">
        <f ca="1">ROUND(G321*$C321,0)</f>
        <v>140389</v>
      </c>
      <c r="J321" s="2"/>
      <c r="K321" s="311" t="e">
        <f ca="1">$K$178</f>
        <v>#REF!</v>
      </c>
      <c r="L321" s="308"/>
      <c r="M321" s="2" t="e">
        <f ca="1">ROUND(K321*$C321,0)</f>
        <v>#REF!</v>
      </c>
      <c r="N321" s="2"/>
      <c r="O321" s="311" t="e">
        <f ca="1">$O$178</f>
        <v>#DIV/0!</v>
      </c>
      <c r="P321" s="308"/>
      <c r="Q321" s="2" t="e">
        <f ca="1">ROUND(O321*$C321,0)</f>
        <v>#DIV/0!</v>
      </c>
      <c r="R321" s="2"/>
      <c r="S321" s="311" t="e">
        <f ca="1">$S$178</f>
        <v>#DIV/0!</v>
      </c>
      <c r="T321" s="308"/>
      <c r="U321" s="2" t="e">
        <f ca="1">ROUND(S321*$C321,0)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 hidden="1">
      <c r="A322" s="1" t="s">
        <v>387</v>
      </c>
      <c r="B322" s="1"/>
      <c r="C322" s="304">
        <f>'Rate Design Work eff 10-14-16'!C321</f>
        <v>3121618.3333333335</v>
      </c>
      <c r="D322" s="284">
        <f>'Rate Design Work eff 10-14-16'!D321</f>
        <v>10.449</v>
      </c>
      <c r="E322" s="308" t="s">
        <v>364</v>
      </c>
      <c r="F322" s="2">
        <f>ROUND(D322*C322/100,0)</f>
        <v>326178</v>
      </c>
      <c r="G322" s="284">
        <f ca="1">$G$179</f>
        <v>10.628</v>
      </c>
      <c r="H322" s="308" t="s">
        <v>364</v>
      </c>
      <c r="I322" s="2">
        <f ca="1">ROUND(G322*$C322/100,0)</f>
        <v>331766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 hidden="1">
      <c r="A323" s="1" t="s">
        <v>388</v>
      </c>
      <c r="B323" s="1"/>
      <c r="C323" s="304">
        <f>'Rate Design Work eff 10-14-16'!C322</f>
        <v>9404351.6666666642</v>
      </c>
      <c r="D323" s="284">
        <f>'Rate Design Work eff 10-14-16'!D322</f>
        <v>7.218</v>
      </c>
      <c r="E323" s="308" t="s">
        <v>364</v>
      </c>
      <c r="F323" s="2">
        <f>ROUND(D323*C323/100,0)</f>
        <v>678806</v>
      </c>
      <c r="G323" s="284">
        <f ca="1">$G$180</f>
        <v>7.3410000000000002</v>
      </c>
      <c r="H323" s="308" t="s">
        <v>364</v>
      </c>
      <c r="I323" s="2">
        <f ca="1">ROUND(G323*$C323/100,0)</f>
        <v>690373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 hidden="1">
      <c r="A324" s="1" t="s">
        <v>389</v>
      </c>
      <c r="B324" s="1"/>
      <c r="C324" s="304">
        <f>'Rate Design Work eff 10-14-16'!C323</f>
        <v>4754181.0000000019</v>
      </c>
      <c r="D324" s="284">
        <f>'Rate Design Work eff 10-14-16'!D323</f>
        <v>6.218</v>
      </c>
      <c r="E324" s="308" t="s">
        <v>364</v>
      </c>
      <c r="F324" s="2">
        <f>ROUND(D324*C324/100,0)</f>
        <v>295615</v>
      </c>
      <c r="G324" s="284">
        <f ca="1">$G$181</f>
        <v>6.3240000000000007</v>
      </c>
      <c r="H324" s="308" t="s">
        <v>364</v>
      </c>
      <c r="I324" s="2">
        <f ca="1">ROUND(G324*$C324/100,0)</f>
        <v>300654</v>
      </c>
      <c r="J324" s="2"/>
      <c r="K324" s="284" t="e">
        <f ca="1">$K$181</f>
        <v>#REF!</v>
      </c>
      <c r="L324" s="308" t="s">
        <v>364</v>
      </c>
      <c r="M324" s="2" t="e">
        <f ca="1">ROUND(K324*$C324/100,0)</f>
        <v>#REF!</v>
      </c>
      <c r="N324" s="2"/>
      <c r="O324" s="284" t="e">
        <f ca="1">$O$181</f>
        <v>#DIV/0!</v>
      </c>
      <c r="P324" s="308" t="s">
        <v>364</v>
      </c>
      <c r="Q324" s="2" t="e">
        <f ca="1">ROUND(O324*$C324/100,0)</f>
        <v>#DIV/0!</v>
      </c>
      <c r="R324" s="2"/>
      <c r="S324" s="284" t="e">
        <f ca="1">$S$181</f>
        <v>#DIV/0!</v>
      </c>
      <c r="T324" s="308" t="s">
        <v>364</v>
      </c>
      <c r="U324" s="2" t="e">
        <f ca="1"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hidden="1">
      <c r="A325" s="1" t="s">
        <v>390</v>
      </c>
      <c r="B325" s="1"/>
      <c r="C325" s="304">
        <f>'Rate Design Work eff 10-14-16'!C324</f>
        <v>13463.333333333332</v>
      </c>
      <c r="D325" s="315">
        <f>'Rate Design Work eff 10-14-16'!D324</f>
        <v>56</v>
      </c>
      <c r="E325" s="308" t="s">
        <v>364</v>
      </c>
      <c r="F325" s="2">
        <f>ROUND(D325*C325/100,0)</f>
        <v>7539</v>
      </c>
      <c r="G325" s="315">
        <f ca="1">$G$182</f>
        <v>57</v>
      </c>
      <c r="H325" s="308" t="s">
        <v>364</v>
      </c>
      <c r="I325" s="2">
        <f ca="1">ROUND(G325*$C325/100,0)</f>
        <v>7674</v>
      </c>
      <c r="J325" s="2"/>
      <c r="K325" s="315" t="str">
        <f>$K$182</f>
        <v xml:space="preserve"> </v>
      </c>
      <c r="L325" s="308" t="s">
        <v>364</v>
      </c>
      <c r="M325" s="2">
        <f>ROUND(K325*$C325/100,0)</f>
        <v>0</v>
      </c>
      <c r="N325" s="2"/>
      <c r="O325" s="315" t="e">
        <f>$O$182</f>
        <v>#DIV/0!</v>
      </c>
      <c r="P325" s="308" t="s">
        <v>364</v>
      </c>
      <c r="Q325" s="2" t="e">
        <f>ROUND(O325*$C325/100,0)</f>
        <v>#DIV/0!</v>
      </c>
      <c r="R325" s="2"/>
      <c r="S325" s="315" t="e">
        <f>$S$182</f>
        <v>#DIV/0!</v>
      </c>
      <c r="T325" s="308" t="s">
        <v>364</v>
      </c>
      <c r="U325" s="2" t="e">
        <f>ROUND(S325*$C325/100,0)</f>
        <v>#DIV/0!</v>
      </c>
      <c r="V325" s="20"/>
      <c r="W325" s="74"/>
      <c r="X325" s="74"/>
      <c r="Y325" s="74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R325" s="84"/>
    </row>
    <row r="326" spans="1:44" s="1118" customFormat="1" hidden="1">
      <c r="A326" s="968" t="s">
        <v>888</v>
      </c>
      <c r="C326" s="1122">
        <f>C322</f>
        <v>3121618.3333333335</v>
      </c>
      <c r="D326" s="254">
        <f>'Rate Design Work eff 10-14-16'!D325</f>
        <v>0</v>
      </c>
      <c r="E326" s="1119"/>
      <c r="F326" s="1123"/>
      <c r="G326" s="1128">
        <f>G183</f>
        <v>0</v>
      </c>
      <c r="H326" s="972" t="s">
        <v>364</v>
      </c>
      <c r="I326" s="1123">
        <f t="shared" ref="I326:I328" si="66">ROUND(G326*$C326/100,0)</f>
        <v>0</v>
      </c>
      <c r="J326" s="1123"/>
      <c r="K326" s="1128" t="str">
        <f>K183</f>
        <v xml:space="preserve"> </v>
      </c>
      <c r="L326" s="972" t="s">
        <v>364</v>
      </c>
      <c r="M326" s="1123">
        <f t="shared" ref="M326:M328" si="67">ROUND(K326*$C326/100,0)</f>
        <v>0</v>
      </c>
      <c r="N326" s="1123"/>
      <c r="O326" s="1128" t="str">
        <f>O183</f>
        <v xml:space="preserve"> </v>
      </c>
      <c r="P326" s="972" t="s">
        <v>364</v>
      </c>
      <c r="Q326" s="1123">
        <f t="shared" ref="Q326:Q328" si="68">ROUND(O326*$C326/100,0)</f>
        <v>0</v>
      </c>
      <c r="R326" s="1123"/>
      <c r="S326" s="1128">
        <f>S183</f>
        <v>0</v>
      </c>
      <c r="T326" s="972" t="s">
        <v>364</v>
      </c>
      <c r="U326" s="1123">
        <f t="shared" ref="U326:U328" si="69">ROUND(S326*$C326/100,0)</f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889</v>
      </c>
      <c r="C327" s="1122">
        <f>C323</f>
        <v>9404351.6666666642</v>
      </c>
      <c r="D327" s="254">
        <f>'Rate Design Work eff 10-14-16'!D326</f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66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67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68"/>
        <v>0</v>
      </c>
      <c r="R327" s="1123"/>
      <c r="S327" s="1128">
        <f>S184</f>
        <v>0</v>
      </c>
      <c r="T327" s="972" t="s">
        <v>364</v>
      </c>
      <c r="U327" s="1123">
        <f t="shared" si="69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 s="1118" customFormat="1" hidden="1">
      <c r="A328" s="968" t="s">
        <v>890</v>
      </c>
      <c r="C328" s="1122">
        <f>C324</f>
        <v>4754181.0000000019</v>
      </c>
      <c r="D328" s="254">
        <f>'Rate Design Work eff 10-14-16'!D327</f>
        <v>0</v>
      </c>
      <c r="E328" s="1119"/>
      <c r="F328" s="1123"/>
      <c r="G328" s="1128">
        <f>G185</f>
        <v>0</v>
      </c>
      <c r="H328" s="972" t="s">
        <v>364</v>
      </c>
      <c r="I328" s="1123">
        <f t="shared" si="66"/>
        <v>0</v>
      </c>
      <c r="J328" s="1123"/>
      <c r="K328" s="1128" t="str">
        <f>K185</f>
        <v xml:space="preserve"> </v>
      </c>
      <c r="L328" s="972" t="s">
        <v>364</v>
      </c>
      <c r="M328" s="1123">
        <f t="shared" si="67"/>
        <v>0</v>
      </c>
      <c r="N328" s="1123"/>
      <c r="O328" s="1128" t="str">
        <f>O185</f>
        <v xml:space="preserve"> </v>
      </c>
      <c r="P328" s="972" t="s">
        <v>364</v>
      </c>
      <c r="Q328" s="1123">
        <f t="shared" si="68"/>
        <v>0</v>
      </c>
      <c r="R328" s="1123"/>
      <c r="S328" s="1128">
        <f>S185</f>
        <v>0</v>
      </c>
      <c r="T328" s="972" t="s">
        <v>364</v>
      </c>
      <c r="U328" s="1123">
        <f t="shared" si="69"/>
        <v>0</v>
      </c>
      <c r="W328" s="784"/>
      <c r="Z328" s="1125"/>
      <c r="AA328" s="1125"/>
      <c r="AF328" s="1119"/>
      <c r="AG328" s="1119"/>
      <c r="AH328" s="1119"/>
      <c r="AI328" s="1119"/>
      <c r="AJ328" s="1119"/>
      <c r="AK328" s="1119"/>
      <c r="AL328" s="1119"/>
      <c r="AM328" s="1119"/>
      <c r="AN328" s="1119"/>
      <c r="AO328" s="1119"/>
      <c r="AP328" s="1119"/>
      <c r="AR328" s="1124"/>
    </row>
    <row r="329" spans="1:44" hidden="1">
      <c r="A329" s="316" t="s">
        <v>391</v>
      </c>
      <c r="B329" s="1"/>
      <c r="C329" s="304"/>
      <c r="D329" s="317">
        <f>'Rate Design Work eff 10-14-16'!D328</f>
        <v>-0.01</v>
      </c>
      <c r="E329" s="308"/>
      <c r="F329" s="2"/>
      <c r="G329" s="317">
        <v>-0.01</v>
      </c>
      <c r="H329" s="308"/>
      <c r="I329" s="2"/>
      <c r="J329" s="2"/>
      <c r="K329" s="317">
        <v>-0.01</v>
      </c>
      <c r="L329" s="308"/>
      <c r="M329" s="2"/>
      <c r="N329" s="2"/>
      <c r="O329" s="317">
        <v>-0.01</v>
      </c>
      <c r="P329" s="308"/>
      <c r="Q329" s="2"/>
      <c r="R329" s="2"/>
      <c r="S329" s="317">
        <v>-0.01</v>
      </c>
      <c r="T329" s="308"/>
      <c r="U329" s="2"/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 hidden="1">
      <c r="A330" s="1" t="s">
        <v>380</v>
      </c>
      <c r="B330" s="1"/>
      <c r="C330" s="304">
        <f>'Rate Design Work eff 10-14-16'!C329</f>
        <v>0</v>
      </c>
      <c r="D330" s="319">
        <f>'Rate Design Work eff 10-14-16'!D329</f>
        <v>9.6</v>
      </c>
      <c r="E330" s="306"/>
      <c r="F330" s="2">
        <f>-ROUND(D330*$C330/100,0)</f>
        <v>0</v>
      </c>
      <c r="G330" s="319">
        <f ca="1">G317</f>
        <v>9.76</v>
      </c>
      <c r="H330" s="306"/>
      <c r="I330" s="2">
        <f ca="1">-ROUND(G330*$C330/100,0)</f>
        <v>0</v>
      </c>
      <c r="J330" s="2"/>
      <c r="K330" s="319">
        <f ca="1">K317</f>
        <v>9.76</v>
      </c>
      <c r="L330" s="306"/>
      <c r="M330" s="2">
        <f ca="1">-ROUND(K330*$C330/100,0)</f>
        <v>0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 hidden="1">
      <c r="A331" s="1" t="s">
        <v>381</v>
      </c>
      <c r="B331" s="1"/>
      <c r="C331" s="304">
        <f>'Rate Design Work eff 10-14-16'!C330</f>
        <v>7.8666666666666698</v>
      </c>
      <c r="D331" s="319">
        <f>'Rate Design Work eff 10-14-16'!D330</f>
        <v>14.3</v>
      </c>
      <c r="E331" s="306"/>
      <c r="F331" s="2">
        <f t="shared" ref="F331:F333" si="70">-ROUND(D331*$C331/100,0)</f>
        <v>-1</v>
      </c>
      <c r="G331" s="319">
        <f ca="1">G318</f>
        <v>14.54</v>
      </c>
      <c r="H331" s="306"/>
      <c r="I331" s="2">
        <f ca="1">-ROUND(G331*$C331/100,0)</f>
        <v>-1</v>
      </c>
      <c r="J331" s="2"/>
      <c r="K331" s="319">
        <f ca="1">K318</f>
        <v>14.54</v>
      </c>
      <c r="L331" s="306"/>
      <c r="M331" s="2">
        <f ca="1">-ROUND(K331*$C331/100,0)</f>
        <v>-1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 hidden="1">
      <c r="A332" s="1" t="s">
        <v>392</v>
      </c>
      <c r="B332" s="1"/>
      <c r="C332" s="304">
        <f>'Rate Design Work eff 10-14-16'!C331</f>
        <v>543</v>
      </c>
      <c r="D332" s="319">
        <f>'Rate Design Work eff 10-14-16'!D331</f>
        <v>1</v>
      </c>
      <c r="E332" s="306"/>
      <c r="F332" s="2">
        <f t="shared" si="70"/>
        <v>-5</v>
      </c>
      <c r="G332" s="319">
        <f ca="1">G319</f>
        <v>1.02</v>
      </c>
      <c r="H332" s="306"/>
      <c r="I332" s="2">
        <f ca="1">-ROUND(G332*$C332/100,0)</f>
        <v>-6</v>
      </c>
      <c r="J332" s="2"/>
      <c r="K332" s="319">
        <f ca="1">K319</f>
        <v>1.02</v>
      </c>
      <c r="L332" s="306"/>
      <c r="M332" s="2">
        <f ca="1">-ROUND(K332*$C332/100,0)</f>
        <v>-6</v>
      </c>
      <c r="N332" s="2"/>
      <c r="O332" s="319" t="str">
        <f>O319</f>
        <v xml:space="preserve"> </v>
      </c>
      <c r="P332" s="306"/>
      <c r="Q332" s="2">
        <f>-ROUND(O332*$C332/100,0)</f>
        <v>0</v>
      </c>
      <c r="R332" s="2"/>
      <c r="S332" s="319" t="str">
        <f>S319</f>
        <v xml:space="preserve"> </v>
      </c>
      <c r="T332" s="306"/>
      <c r="U332" s="2">
        <f>-ROUND(S332*$C332/100,0)</f>
        <v>0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 hidden="1">
      <c r="A333" s="1" t="s">
        <v>393</v>
      </c>
      <c r="B333" s="1"/>
      <c r="C333" s="304">
        <f>'Rate Design Work eff 10-14-16'!C332</f>
        <v>722</v>
      </c>
      <c r="D333" s="319">
        <f>'Rate Design Work eff 10-14-16'!D332</f>
        <v>3.64</v>
      </c>
      <c r="E333" s="308"/>
      <c r="F333" s="2">
        <f t="shared" si="70"/>
        <v>-26</v>
      </c>
      <c r="G333" s="319">
        <f ca="1">G321</f>
        <v>3.7</v>
      </c>
      <c r="H333" s="308"/>
      <c r="I333" s="2">
        <f ca="1">-ROUND(G333*$C333/100,0)</f>
        <v>-27</v>
      </c>
      <c r="J333" s="2"/>
      <c r="K333" s="319" t="e">
        <f ca="1">K321</f>
        <v>#REF!</v>
      </c>
      <c r="L333" s="308"/>
      <c r="M333" s="2" t="e">
        <f ca="1">-ROUND(K333*$C333/100,0)</f>
        <v>#REF!</v>
      </c>
      <c r="N333" s="2"/>
      <c r="O333" s="319" t="e">
        <f ca="1">O321</f>
        <v>#DIV/0!</v>
      </c>
      <c r="P333" s="308"/>
      <c r="Q333" s="2" t="e">
        <f ca="1">-ROUND(O333*$C333/100,0)</f>
        <v>#DIV/0!</v>
      </c>
      <c r="R333" s="2"/>
      <c r="S333" s="319" t="e">
        <f ca="1">S321</f>
        <v>#DIV/0!</v>
      </c>
      <c r="T333" s="308"/>
      <c r="U333" s="2" t="e">
        <f ca="1">-ROUND(S333*$C333/100,0)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 hidden="1">
      <c r="A334" s="1" t="s">
        <v>395</v>
      </c>
      <c r="B334" s="1"/>
      <c r="C334" s="304">
        <f>'Rate Design Work eff 10-14-16'!C333</f>
        <v>7866.6666666666697</v>
      </c>
      <c r="D334" s="320">
        <f>'Rate Design Work eff 10-14-16'!D333</f>
        <v>10.449</v>
      </c>
      <c r="E334" s="308" t="s">
        <v>364</v>
      </c>
      <c r="F334" s="2">
        <f>ROUND(D334*$C334/100*D329,0)</f>
        <v>-8</v>
      </c>
      <c r="G334" s="320">
        <f ca="1">G322</f>
        <v>10.628</v>
      </c>
      <c r="H334" s="308" t="s">
        <v>364</v>
      </c>
      <c r="I334" s="2">
        <f ca="1">ROUND(G334*$C334/100*G329,0)</f>
        <v>-8</v>
      </c>
      <c r="J334" s="2"/>
      <c r="K334" s="320" t="e">
        <f ca="1">K322</f>
        <v>#REF!</v>
      </c>
      <c r="L334" s="308" t="s">
        <v>364</v>
      </c>
      <c r="M334" s="2" t="e">
        <f ca="1">ROUND(K334*$C334/100*K329,0)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ROUND(O334*$C334/100*O329,0)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ROUND(S334*$C334/100*S329,0)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 hidden="1">
      <c r="A335" s="1" t="s">
        <v>388</v>
      </c>
      <c r="B335" s="1"/>
      <c r="C335" s="304">
        <f>'Rate Design Work eff 10-14-16'!C334</f>
        <v>62933.333333333299</v>
      </c>
      <c r="D335" s="320">
        <f>'Rate Design Work eff 10-14-16'!D334</f>
        <v>7.218</v>
      </c>
      <c r="E335" s="308" t="s">
        <v>364</v>
      </c>
      <c r="F335" s="2">
        <f>ROUND(D335*$C335/100*D329,0)</f>
        <v>-45</v>
      </c>
      <c r="G335" s="320">
        <f ca="1">G323</f>
        <v>7.3410000000000002</v>
      </c>
      <c r="H335" s="308" t="s">
        <v>364</v>
      </c>
      <c r="I335" s="2">
        <f ca="1">ROUND(G335*$C335/100*G329,0)</f>
        <v>-46</v>
      </c>
      <c r="J335" s="2"/>
      <c r="K335" s="320" t="e">
        <f ca="1">K323</f>
        <v>#REF!</v>
      </c>
      <c r="L335" s="308" t="s">
        <v>364</v>
      </c>
      <c r="M335" s="2" t="e">
        <f ca="1">ROUND(K335*$C335/100*K329,0)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ROUND(O335*$C335/100*O329,0)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ROUND(S335*$C335/100*S329,0)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 hidden="1">
      <c r="A336" s="1" t="s">
        <v>389</v>
      </c>
      <c r="B336" s="1"/>
      <c r="C336" s="304">
        <f>'Rate Design Work eff 10-14-16'!C335</f>
        <v>232200.00000000003</v>
      </c>
      <c r="D336" s="320">
        <f>'Rate Design Work eff 10-14-16'!D335</f>
        <v>6.218</v>
      </c>
      <c r="E336" s="308" t="s">
        <v>364</v>
      </c>
      <c r="F336" s="2">
        <f>ROUND(D336*$C336/100*D329,0)</f>
        <v>-144</v>
      </c>
      <c r="G336" s="320">
        <f ca="1">G324</f>
        <v>6.3240000000000007</v>
      </c>
      <c r="H336" s="308" t="s">
        <v>364</v>
      </c>
      <c r="I336" s="2">
        <f ca="1">ROUND(G336*$C336/100*G329,0)</f>
        <v>-147</v>
      </c>
      <c r="J336" s="2"/>
      <c r="K336" s="320" t="e">
        <f ca="1">K324</f>
        <v>#REF!</v>
      </c>
      <c r="L336" s="308" t="s">
        <v>364</v>
      </c>
      <c r="M336" s="2" t="e">
        <f ca="1">ROUND(K336*$C336/100*K329,0)</f>
        <v>#REF!</v>
      </c>
      <c r="N336" s="2"/>
      <c r="O336" s="320" t="e">
        <f ca="1">O324</f>
        <v>#DIV/0!</v>
      </c>
      <c r="P336" s="308" t="s">
        <v>364</v>
      </c>
      <c r="Q336" s="2" t="e">
        <f ca="1">ROUND(O336*$C336/100*O329,0)</f>
        <v>#DIV/0!</v>
      </c>
      <c r="R336" s="2"/>
      <c r="S336" s="320" t="e">
        <f ca="1">S324</f>
        <v>#DIV/0!</v>
      </c>
      <c r="T336" s="308" t="s">
        <v>364</v>
      </c>
      <c r="U336" s="2" t="e">
        <f ca="1">ROUND(S336*$C336/100*S329,0)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 hidden="1">
      <c r="A337" s="1" t="s">
        <v>390</v>
      </c>
      <c r="B337" s="1"/>
      <c r="C337" s="304">
        <f>'Rate Design Work eff 10-14-16'!C336</f>
        <v>475.4</v>
      </c>
      <c r="D337" s="321">
        <f>'Rate Design Work eff 10-14-16'!D336</f>
        <v>56</v>
      </c>
      <c r="E337" s="308" t="s">
        <v>364</v>
      </c>
      <c r="F337" s="2">
        <f>ROUND(D337*$C337/100*D329,0)</f>
        <v>-3</v>
      </c>
      <c r="G337" s="321">
        <f ca="1">G325</f>
        <v>57</v>
      </c>
      <c r="H337" s="308" t="s">
        <v>364</v>
      </c>
      <c r="I337" s="2">
        <f ca="1">ROUND(G337*$C337/100*G329,0)</f>
        <v>-3</v>
      </c>
      <c r="J337" s="2"/>
      <c r="K337" s="321" t="str">
        <f>K325</f>
        <v xml:space="preserve"> </v>
      </c>
      <c r="L337" s="308" t="s">
        <v>364</v>
      </c>
      <c r="M337" s="2">
        <f>ROUND(K337*$C337/100*K329,0)</f>
        <v>0</v>
      </c>
      <c r="N337" s="2"/>
      <c r="O337" s="321" t="e">
        <f>O325</f>
        <v>#DIV/0!</v>
      </c>
      <c r="P337" s="308" t="s">
        <v>364</v>
      </c>
      <c r="Q337" s="2" t="e">
        <f>ROUND(O337*$C337/100*O329,0)</f>
        <v>#DIV/0!</v>
      </c>
      <c r="R337" s="2"/>
      <c r="S337" s="321" t="e">
        <f>S325</f>
        <v>#DIV/0!</v>
      </c>
      <c r="T337" s="308" t="s">
        <v>364</v>
      </c>
      <c r="U337" s="2" t="e">
        <f>ROUND(S337*$C337/100*S329,0)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 hidden="1">
      <c r="A338" s="1" t="s">
        <v>397</v>
      </c>
      <c r="B338" s="1"/>
      <c r="C338" s="304">
        <f>'Rate Design Work eff 10-14-16'!C337</f>
        <v>7.8666666666666698</v>
      </c>
      <c r="D338" s="322">
        <f>'Rate Design Work eff 10-14-16'!D337</f>
        <v>60</v>
      </c>
      <c r="E338" s="308"/>
      <c r="F338" s="2">
        <f>ROUND(D338*C338,0)</f>
        <v>472</v>
      </c>
      <c r="G338" s="322">
        <f>$G$198</f>
        <v>60</v>
      </c>
      <c r="H338" s="308"/>
      <c r="I338" s="2">
        <f>ROUND(G338*$C338,0)</f>
        <v>472</v>
      </c>
      <c r="J338" s="2"/>
      <c r="K338" s="322" t="str">
        <f>$K$198</f>
        <v xml:space="preserve"> </v>
      </c>
      <c r="L338" s="308"/>
      <c r="M338" s="2">
        <f>ROUND(K338*$C338,0)</f>
        <v>0</v>
      </c>
      <c r="N338" s="2"/>
      <c r="O338" s="322" t="e">
        <f>$O$198</f>
        <v>#DIV/0!</v>
      </c>
      <c r="P338" s="308"/>
      <c r="Q338" s="2" t="e">
        <f>ROUND(O338*$C338,0)</f>
        <v>#DIV/0!</v>
      </c>
      <c r="R338" s="2"/>
      <c r="S338" s="322" t="e">
        <f>$S$198</f>
        <v>#DIV/0!</v>
      </c>
      <c r="T338" s="308"/>
      <c r="U338" s="2" t="e">
        <f>ROUND(S338*$C338,0)</f>
        <v>#DIV/0!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hidden="1">
      <c r="A339" s="1" t="s">
        <v>398</v>
      </c>
      <c r="B339" s="1"/>
      <c r="C339" s="304">
        <f>'Rate Design Work eff 10-14-16'!C338</f>
        <v>543</v>
      </c>
      <c r="D339" s="324">
        <f>'Rate Design Work eff 10-14-16'!D338</f>
        <v>-30</v>
      </c>
      <c r="E339" s="308" t="s">
        <v>364</v>
      </c>
      <c r="F339" s="2">
        <f>ROUND(D339*C339/100,0)</f>
        <v>-163</v>
      </c>
      <c r="G339" s="324">
        <f>$G$199</f>
        <v>-30</v>
      </c>
      <c r="H339" s="308" t="s">
        <v>364</v>
      </c>
      <c r="I339" s="2">
        <f>ROUND(G339*$C339/100,0)</f>
        <v>-163</v>
      </c>
      <c r="J339" s="2"/>
      <c r="K339" s="324">
        <f>$K$199</f>
        <v>-30</v>
      </c>
      <c r="L339" s="308" t="s">
        <v>364</v>
      </c>
      <c r="M339" s="2">
        <f>ROUND(K339*$C339/100,0)</f>
        <v>-163</v>
      </c>
      <c r="N339" s="2"/>
      <c r="O339" s="324" t="str">
        <f>$O$199</f>
        <v xml:space="preserve"> </v>
      </c>
      <c r="P339" s="308" t="s">
        <v>364</v>
      </c>
      <c r="Q339" s="2">
        <f>ROUND(O339*$C339/100,0)</f>
        <v>0</v>
      </c>
      <c r="R339" s="2"/>
      <c r="S339" s="324" t="str">
        <f>$S$199</f>
        <v xml:space="preserve"> </v>
      </c>
      <c r="T339" s="308" t="s">
        <v>364</v>
      </c>
      <c r="U339" s="2">
        <f>ROUND(S339*$C339/100,0)</f>
        <v>0</v>
      </c>
      <c r="V339" s="20"/>
      <c r="W339" s="74"/>
      <c r="X339" s="74"/>
      <c r="Y339" s="74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R339" s="84"/>
    </row>
    <row r="340" spans="1:44" s="1118" customFormat="1" hidden="1">
      <c r="A340" s="968" t="s">
        <v>888</v>
      </c>
      <c r="C340" s="1122">
        <f>C334</f>
        <v>7866.6666666666697</v>
      </c>
      <c r="D340" s="254">
        <f>'Rate Design Work eff 10-14-16'!D339</f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ROUND(G340*$C340/100*G329,0)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ROUND(K340*$C340/100*K329,0)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ROUND(O340*$C340/100*O329,0)</f>
        <v>0</v>
      </c>
      <c r="R340" s="1123"/>
      <c r="S340" s="1128">
        <f>S183</f>
        <v>0</v>
      </c>
      <c r="T340" s="972" t="s">
        <v>364</v>
      </c>
      <c r="U340" s="1123">
        <f>ROUND(S340*$C340/100*S329,0)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889</v>
      </c>
      <c r="C341" s="1122">
        <f>C335</f>
        <v>62933.333333333299</v>
      </c>
      <c r="D341" s="254">
        <f>'Rate Design Work eff 10-14-16'!D340</f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ROUND(G341*$C341/100*G329,0)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ROUND(K341*$C341/100*K329,0)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ROUND(O341*$C341/100*O329,0)</f>
        <v>0</v>
      </c>
      <c r="R341" s="1123"/>
      <c r="S341" s="1128">
        <f>S184</f>
        <v>0</v>
      </c>
      <c r="T341" s="972" t="s">
        <v>364</v>
      </c>
      <c r="U341" s="1123">
        <f>ROUND(S341*$C341/100*S329,0)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 s="1118" customFormat="1" hidden="1">
      <c r="A342" s="968" t="s">
        <v>890</v>
      </c>
      <c r="C342" s="1122">
        <f>C336</f>
        <v>232200.00000000003</v>
      </c>
      <c r="D342" s="254">
        <f>'Rate Design Work eff 10-14-16'!D341</f>
        <v>0</v>
      </c>
      <c r="E342" s="1119"/>
      <c r="F342" s="1123"/>
      <c r="G342" s="1128">
        <f>G185</f>
        <v>0</v>
      </c>
      <c r="H342" s="972" t="s">
        <v>364</v>
      </c>
      <c r="I342" s="1123">
        <f>ROUND(G342*$C342/100*G329,0)</f>
        <v>0</v>
      </c>
      <c r="J342" s="1123"/>
      <c r="K342" s="1128" t="str">
        <f>K185</f>
        <v xml:space="preserve"> </v>
      </c>
      <c r="L342" s="972" t="s">
        <v>364</v>
      </c>
      <c r="M342" s="1123">
        <f>ROUND(K342*$C342/100*K329,0)</f>
        <v>0</v>
      </c>
      <c r="N342" s="1123"/>
      <c r="O342" s="1128" t="str">
        <f>O185</f>
        <v xml:space="preserve"> </v>
      </c>
      <c r="P342" s="972" t="s">
        <v>364</v>
      </c>
      <c r="Q342" s="1123">
        <f>ROUND(O342*$C342/100*O329,0)</f>
        <v>0</v>
      </c>
      <c r="R342" s="1123"/>
      <c r="S342" s="1128">
        <f>S185</f>
        <v>0</v>
      </c>
      <c r="T342" s="972" t="s">
        <v>364</v>
      </c>
      <c r="U342" s="1123">
        <f>ROUND(S342*$C342/100*S329,0)</f>
        <v>0</v>
      </c>
      <c r="W342" s="784"/>
      <c r="Z342" s="1125"/>
      <c r="AA342" s="1125"/>
      <c r="AF342" s="1119"/>
      <c r="AG342" s="1119"/>
      <c r="AH342" s="1119"/>
      <c r="AI342" s="1119"/>
      <c r="AJ342" s="1119"/>
      <c r="AK342" s="1119"/>
      <c r="AL342" s="1119"/>
      <c r="AM342" s="1119"/>
      <c r="AN342" s="1119"/>
      <c r="AO342" s="1119"/>
      <c r="AP342" s="1119"/>
      <c r="AR342" s="1124"/>
    </row>
    <row r="343" spans="1:44" hidden="1">
      <c r="A343" s="1" t="s">
        <v>371</v>
      </c>
      <c r="B343" s="1"/>
      <c r="C343" s="304">
        <f>SUM(C322:C324)</f>
        <v>17280151</v>
      </c>
      <c r="D343" s="315"/>
      <c r="E343" s="308"/>
      <c r="F343" s="2">
        <f>SUM(F317:F339)</f>
        <v>1551109</v>
      </c>
      <c r="G343" s="315"/>
      <c r="H343" s="308"/>
      <c r="I343" s="2">
        <f ca="1">SUM(I317:I342)</f>
        <v>1577616</v>
      </c>
      <c r="J343" s="2"/>
      <c r="K343" s="315"/>
      <c r="L343" s="308"/>
      <c r="M343" s="2" t="e">
        <f ca="1">SUM(M317:M342)</f>
        <v>#REF!</v>
      </c>
      <c r="N343" s="2"/>
      <c r="O343" s="315"/>
      <c r="P343" s="308"/>
      <c r="Q343" s="2" t="e">
        <f ca="1">SUM(Q317:Q342)</f>
        <v>#DIV/0!</v>
      </c>
      <c r="R343" s="2"/>
      <c r="S343" s="315"/>
      <c r="T343" s="308"/>
      <c r="U343" s="2" t="e">
        <f ca="1">SUM(U317:U342)</f>
        <v>#DIV/0!</v>
      </c>
      <c r="V343" s="20"/>
      <c r="W343" s="74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idden="1">
      <c r="A344" s="1" t="s">
        <v>353</v>
      </c>
      <c r="B344" s="1"/>
      <c r="C344" s="334">
        <f ca="1">'Table 2'!H71</f>
        <v>53727.522773253761</v>
      </c>
      <c r="D344" s="294"/>
      <c r="E344" s="294"/>
      <c r="F344" s="326">
        <f ca="1">'Table 3'!E71</f>
        <v>4976.1641860674354</v>
      </c>
      <c r="G344" s="294"/>
      <c r="H344" s="294"/>
      <c r="I344" s="326">
        <f ca="1">F344</f>
        <v>4976.1641860674354</v>
      </c>
      <c r="J344" s="307"/>
      <c r="K344" s="294"/>
      <c r="L344" s="294"/>
      <c r="M344" s="326" t="e">
        <f ca="1">M204/I204*I344</f>
        <v>#DIV/0!</v>
      </c>
      <c r="N344" s="307"/>
      <c r="O344" s="294"/>
      <c r="P344" s="294"/>
      <c r="Q344" s="326" t="e">
        <f ca="1">Q204/I204*I344</f>
        <v>#DIV/0!</v>
      </c>
      <c r="R344" s="307"/>
      <c r="S344" s="294"/>
      <c r="T344" s="294"/>
      <c r="U344" s="326" t="e">
        <f ca="1">U204/I204*I344</f>
        <v>#DIV/0!</v>
      </c>
      <c r="V344" s="429"/>
      <c r="W344" s="272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hidden="1" thickBot="1">
      <c r="A345" s="1" t="s">
        <v>372</v>
      </c>
      <c r="B345" s="1"/>
      <c r="C345" s="296">
        <f ca="1">SUM(C343:C344)</f>
        <v>17333878.522773255</v>
      </c>
      <c r="D345" s="327"/>
      <c r="E345" s="330"/>
      <c r="F345" s="329">
        <f ca="1">F343+F344</f>
        <v>1556085.1641860674</v>
      </c>
      <c r="G345" s="327"/>
      <c r="H345" s="330"/>
      <c r="I345" s="329">
        <f ca="1">I343+I344</f>
        <v>1582592.1641860674</v>
      </c>
      <c r="J345" s="307"/>
      <c r="K345" s="327"/>
      <c r="L345" s="330"/>
      <c r="M345" s="329" t="e">
        <f ca="1">M343+M344</f>
        <v>#REF!</v>
      </c>
      <c r="N345" s="329"/>
      <c r="O345" s="327"/>
      <c r="P345" s="330"/>
      <c r="Q345" s="329" t="e">
        <f ca="1">Q343+Q344</f>
        <v>#DIV/0!</v>
      </c>
      <c r="R345" s="329"/>
      <c r="S345" s="327"/>
      <c r="T345" s="330"/>
      <c r="U345" s="329" t="e">
        <f ca="1">U343+U344</f>
        <v>#DIV/0!</v>
      </c>
      <c r="V345" s="396"/>
      <c r="W345" s="455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 ht="16.5" hidden="1" thickTop="1">
      <c r="A346" s="1"/>
      <c r="B346" s="1"/>
      <c r="C346" s="335"/>
      <c r="D346" s="336"/>
      <c r="E346" s="23"/>
      <c r="F346" s="307"/>
      <c r="G346" s="336"/>
      <c r="H346" s="23"/>
      <c r="I346" s="307"/>
      <c r="J346" s="307"/>
      <c r="K346" s="336"/>
      <c r="L346" s="23"/>
      <c r="M346" s="307"/>
      <c r="N346" s="307"/>
      <c r="O346" s="336"/>
      <c r="P346" s="23"/>
      <c r="Q346" s="307"/>
      <c r="R346" s="307"/>
      <c r="S346" s="336"/>
      <c r="T346" s="23"/>
      <c r="U346" s="307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 hidden="1">
      <c r="A347" s="278" t="s">
        <v>405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 hidden="1">
      <c r="A348" s="1" t="s">
        <v>400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 hidden="1">
      <c r="A350" s="1" t="s">
        <v>383</v>
      </c>
      <c r="B350" s="1"/>
      <c r="C350" s="304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 hidden="1">
      <c r="A351" s="1" t="s">
        <v>406</v>
      </c>
      <c r="B351" s="1"/>
      <c r="C351" s="304">
        <f>C386+C421</f>
        <v>4499.0963483023515</v>
      </c>
      <c r="D351" s="283">
        <f>'Rate Design Work eff 10-14-16'!D350</f>
        <v>9.6</v>
      </c>
      <c r="E351" s="308"/>
      <c r="F351" s="2">
        <f>ROUND(D351*$C351,0)</f>
        <v>43191</v>
      </c>
      <c r="G351" s="283">
        <f ca="1">$G$173</f>
        <v>9.76</v>
      </c>
      <c r="H351" s="308"/>
      <c r="I351" s="2">
        <f ca="1">I386+I421</f>
        <v>43912</v>
      </c>
      <c r="J351" s="2"/>
      <c r="K351" s="283">
        <f ca="1">$K$173</f>
        <v>9.76</v>
      </c>
      <c r="L351" s="308"/>
      <c r="M351" s="2">
        <f ca="1">M386+M421</f>
        <v>43912</v>
      </c>
      <c r="N351" s="2"/>
      <c r="O351" s="283" t="str">
        <f>$O$173</f>
        <v xml:space="preserve"> </v>
      </c>
      <c r="P351" s="308"/>
      <c r="Q351" s="2">
        <f>Q386+Q421</f>
        <v>0</v>
      </c>
      <c r="R351" s="2"/>
      <c r="S351" s="283" t="str">
        <f>$S$173</f>
        <v xml:space="preserve"> </v>
      </c>
      <c r="T351" s="308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 hidden="1">
      <c r="A352" s="1" t="s">
        <v>381</v>
      </c>
      <c r="B352" s="1"/>
      <c r="C352" s="304">
        <f>C387+C422</f>
        <v>0</v>
      </c>
      <c r="D352" s="283">
        <f>'Rate Design Work eff 10-14-16'!D351</f>
        <v>14.3</v>
      </c>
      <c r="E352" s="310"/>
      <c r="F352" s="2">
        <f t="shared" ref="F352:F353" si="71">ROUND(D352*$C352,0)</f>
        <v>0</v>
      </c>
      <c r="G352" s="283">
        <f ca="1">$G$174</f>
        <v>14.54</v>
      </c>
      <c r="H352" s="310"/>
      <c r="I352" s="2">
        <f ca="1">I387+I422</f>
        <v>0</v>
      </c>
      <c r="J352" s="2"/>
      <c r="K352" s="283">
        <f ca="1">$K$174</f>
        <v>14.54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 hidden="1">
      <c r="A353" s="1" t="s">
        <v>382</v>
      </c>
      <c r="B353" s="1"/>
      <c r="C353" s="304">
        <f>C388+C423</f>
        <v>0</v>
      </c>
      <c r="D353" s="283">
        <f>'Rate Design Work eff 10-14-16'!D352</f>
        <v>1</v>
      </c>
      <c r="E353" s="310"/>
      <c r="F353" s="2">
        <f t="shared" si="71"/>
        <v>0</v>
      </c>
      <c r="G353" s="283">
        <f ca="1">$G$175</f>
        <v>1.02</v>
      </c>
      <c r="H353" s="310"/>
      <c r="I353" s="2">
        <f ca="1">I388+I423</f>
        <v>0</v>
      </c>
      <c r="J353" s="2"/>
      <c r="K353" s="283">
        <f ca="1">$K$175</f>
        <v>1.02</v>
      </c>
      <c r="L353" s="310"/>
      <c r="M353" s="2">
        <f ca="1">M388+M423</f>
        <v>0</v>
      </c>
      <c r="N353" s="2"/>
      <c r="O353" s="283" t="str">
        <f>$O$175</f>
        <v xml:space="preserve"> </v>
      </c>
      <c r="P353" s="310"/>
      <c r="Q353" s="2">
        <f>Q388+Q423</f>
        <v>0</v>
      </c>
      <c r="R353" s="2"/>
      <c r="S353" s="283" t="str">
        <f>$S$175</f>
        <v xml:space="preserve"> </v>
      </c>
      <c r="T353" s="310"/>
      <c r="U353" s="2">
        <f>U388+U423</f>
        <v>0</v>
      </c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 hidden="1">
      <c r="A354" s="1" t="s">
        <v>384</v>
      </c>
      <c r="B354" s="1"/>
      <c r="C354" s="304">
        <f>SUM(C351:C352)</f>
        <v>4499.0963483023515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 hidden="1">
      <c r="A355" s="1" t="s">
        <v>352</v>
      </c>
      <c r="B355" s="1"/>
      <c r="C355" s="304">
        <f t="shared" ref="C355:C360" si="72">C390+C425</f>
        <v>1449.1000000000033</v>
      </c>
      <c r="D355" s="283"/>
      <c r="E355" s="308"/>
      <c r="F355" s="2"/>
      <c r="G355" s="283"/>
      <c r="H355" s="308"/>
      <c r="I355" s="2"/>
      <c r="J355" s="2"/>
      <c r="K355" s="283"/>
      <c r="L355" s="308"/>
      <c r="M355" s="2"/>
      <c r="N355" s="2"/>
      <c r="O355" s="283"/>
      <c r="P355" s="308"/>
      <c r="Q355" s="2"/>
      <c r="R355" s="2"/>
      <c r="S355" s="283"/>
      <c r="T355" s="308"/>
      <c r="U355" s="2"/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 hidden="1">
      <c r="A356" s="1" t="s">
        <v>385</v>
      </c>
      <c r="B356" s="1"/>
      <c r="C356" s="304">
        <f t="shared" si="72"/>
        <v>0</v>
      </c>
      <c r="D356" s="311">
        <f>'Rate Design Work eff 10-14-16'!D355</f>
        <v>3.64</v>
      </c>
      <c r="E356" s="308"/>
      <c r="F356" s="2">
        <f>ROUND(D356*C356,0)</f>
        <v>0</v>
      </c>
      <c r="G356" s="311">
        <f ca="1">$G$178</f>
        <v>3.7</v>
      </c>
      <c r="H356" s="308"/>
      <c r="I356" s="2">
        <f ca="1">I391+I426</f>
        <v>0</v>
      </c>
      <c r="J356" s="2"/>
      <c r="K356" s="311" t="e">
        <f ca="1">$K$178</f>
        <v>#REF!</v>
      </c>
      <c r="L356" s="308"/>
      <c r="M356" s="2" t="e">
        <f ca="1">M391+M426</f>
        <v>#REF!</v>
      </c>
      <c r="N356" s="2"/>
      <c r="O356" s="311" t="e">
        <f ca="1">$O$178</f>
        <v>#DIV/0!</v>
      </c>
      <c r="P356" s="308"/>
      <c r="Q356" s="2" t="e">
        <f ca="1">Q391+Q426</f>
        <v>#DIV/0!</v>
      </c>
      <c r="R356" s="2"/>
      <c r="S356" s="311" t="e">
        <f ca="1">$S$178</f>
        <v>#DIV/0!</v>
      </c>
      <c r="T356" s="308"/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 hidden="1">
      <c r="A357" s="1" t="s">
        <v>387</v>
      </c>
      <c r="B357" s="1"/>
      <c r="C357" s="304">
        <f t="shared" si="72"/>
        <v>1238906.7942953119</v>
      </c>
      <c r="D357" s="284">
        <f>'Rate Design Work eff 10-14-16'!D356</f>
        <v>10.449</v>
      </c>
      <c r="E357" s="308" t="s">
        <v>364</v>
      </c>
      <c r="F357" s="2">
        <f>ROUND(D357*C357/100,0)</f>
        <v>129453</v>
      </c>
      <c r="G357" s="284">
        <f ca="1">$G$179</f>
        <v>10.628</v>
      </c>
      <c r="H357" s="308" t="s">
        <v>364</v>
      </c>
      <c r="I357" s="2">
        <f ca="1">I392+I427</f>
        <v>131671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 hidden="1">
      <c r="A358" s="1" t="s">
        <v>388</v>
      </c>
      <c r="B358" s="1"/>
      <c r="C358" s="304">
        <f t="shared" si="72"/>
        <v>64875</v>
      </c>
      <c r="D358" s="284">
        <f>'Rate Design Work eff 10-14-16'!D357</f>
        <v>7.218</v>
      </c>
      <c r="E358" s="308" t="s">
        <v>364</v>
      </c>
      <c r="F358" s="2">
        <f>ROUND(D358*C358/100,0)</f>
        <v>4683</v>
      </c>
      <c r="G358" s="284">
        <f ca="1">$G$180</f>
        <v>7.3410000000000002</v>
      </c>
      <c r="H358" s="308" t="s">
        <v>364</v>
      </c>
      <c r="I358" s="2">
        <f ca="1">I393+I428</f>
        <v>4762</v>
      </c>
      <c r="J358" s="2"/>
      <c r="K358" s="284" t="e">
        <f ca="1">$K$180</f>
        <v>#REF!</v>
      </c>
      <c r="L358" s="308" t="s">
        <v>364</v>
      </c>
      <c r="M358" s="2" t="e">
        <f ca="1">M393+M428</f>
        <v>#REF!</v>
      </c>
      <c r="N358" s="2"/>
      <c r="O358" s="284" t="e">
        <f ca="1">$O$180</f>
        <v>#DIV/0!</v>
      </c>
      <c r="P358" s="308" t="s">
        <v>364</v>
      </c>
      <c r="Q358" s="2" t="e">
        <f ca="1">Q393+Q428</f>
        <v>#DIV/0!</v>
      </c>
      <c r="R358" s="2"/>
      <c r="S358" s="284" t="e">
        <f ca="1">$S$180</f>
        <v>#DIV/0!</v>
      </c>
      <c r="T358" s="308" t="s">
        <v>364</v>
      </c>
      <c r="U358" s="2" t="e">
        <f ca="1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 hidden="1">
      <c r="A359" s="1" t="s">
        <v>389</v>
      </c>
      <c r="B359" s="1"/>
      <c r="C359" s="304">
        <f t="shared" si="72"/>
        <v>0</v>
      </c>
      <c r="D359" s="284">
        <f>'Rate Design Work eff 10-14-16'!D358</f>
        <v>6.218</v>
      </c>
      <c r="E359" s="308" t="s">
        <v>364</v>
      </c>
      <c r="F359" s="2">
        <f>ROUND(D359*C359/100,0)</f>
        <v>0</v>
      </c>
      <c r="G359" s="284">
        <f ca="1">$G$181</f>
        <v>6.3240000000000007</v>
      </c>
      <c r="H359" s="308" t="s">
        <v>364</v>
      </c>
      <c r="I359" s="2">
        <f t="shared" ref="I359:I362" ca="1" si="73">I394+I429</f>
        <v>0</v>
      </c>
      <c r="J359" s="2"/>
      <c r="K359" s="284" t="e">
        <f ca="1">$K$181</f>
        <v>#REF!</v>
      </c>
      <c r="L359" s="308" t="s">
        <v>364</v>
      </c>
      <c r="M359" s="2" t="e">
        <f t="shared" ref="M359:M363" ca="1" si="74">M394+M429</f>
        <v>#REF!</v>
      </c>
      <c r="N359" s="2"/>
      <c r="O359" s="284" t="e">
        <f ca="1">$O$181</f>
        <v>#DIV/0!</v>
      </c>
      <c r="P359" s="308" t="s">
        <v>364</v>
      </c>
      <c r="Q359" s="2" t="e">
        <f t="shared" ref="Q359:Q363" ca="1" si="75">Q394+Q429</f>
        <v>#DIV/0!</v>
      </c>
      <c r="R359" s="2"/>
      <c r="S359" s="284" t="e">
        <f ca="1">$S$181</f>
        <v>#DIV/0!</v>
      </c>
      <c r="T359" s="308" t="s">
        <v>364</v>
      </c>
      <c r="U359" s="2" t="e">
        <f t="shared" ref="U359:U362" ca="1" si="76">U394+U429</f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hidden="1">
      <c r="A360" s="1" t="s">
        <v>390</v>
      </c>
      <c r="B360" s="1"/>
      <c r="C360" s="304">
        <f t="shared" si="72"/>
        <v>0</v>
      </c>
      <c r="D360" s="315">
        <f>'Rate Design Work eff 10-14-16'!D359</f>
        <v>56</v>
      </c>
      <c r="E360" s="308" t="s">
        <v>364</v>
      </c>
      <c r="F360" s="2">
        <f>ROUND(D360*C360/100,0)</f>
        <v>0</v>
      </c>
      <c r="G360" s="315">
        <f ca="1">$G$182</f>
        <v>57</v>
      </c>
      <c r="H360" s="308" t="s">
        <v>364</v>
      </c>
      <c r="I360" s="2">
        <f t="shared" ca="1" si="73"/>
        <v>0</v>
      </c>
      <c r="J360" s="2"/>
      <c r="K360" s="315" t="str">
        <f>$K$182</f>
        <v xml:space="preserve"> </v>
      </c>
      <c r="L360" s="308" t="s">
        <v>364</v>
      </c>
      <c r="M360" s="2">
        <f t="shared" si="74"/>
        <v>0</v>
      </c>
      <c r="N360" s="2"/>
      <c r="O360" s="315" t="e">
        <f>$O$182</f>
        <v>#DIV/0!</v>
      </c>
      <c r="P360" s="308" t="s">
        <v>364</v>
      </c>
      <c r="Q360" s="2" t="e">
        <f t="shared" si="75"/>
        <v>#DIV/0!</v>
      </c>
      <c r="R360" s="2"/>
      <c r="S360" s="315" t="e">
        <f>$S$182</f>
        <v>#DIV/0!</v>
      </c>
      <c r="T360" s="308" t="s">
        <v>364</v>
      </c>
      <c r="U360" s="2" t="e">
        <f t="shared" si="76"/>
        <v>#DIV/0!</v>
      </c>
      <c r="V360" s="20"/>
      <c r="W360" s="74"/>
      <c r="X360" s="74"/>
      <c r="Y360" s="74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R360" s="84"/>
    </row>
    <row r="361" spans="1:44" s="1118" customFormat="1" hidden="1">
      <c r="A361" s="968" t="s">
        <v>888</v>
      </c>
      <c r="C361" s="987">
        <f>C402+C443</f>
        <v>0</v>
      </c>
      <c r="D361" s="254">
        <f>'Rate Design Work eff 10-14-16'!D360</f>
        <v>0</v>
      </c>
      <c r="E361" s="1119"/>
      <c r="F361" s="1123"/>
      <c r="G361" s="1128">
        <f>G183</f>
        <v>0</v>
      </c>
      <c r="H361" s="972" t="s">
        <v>364</v>
      </c>
      <c r="I361" s="2">
        <f t="shared" si="73"/>
        <v>0</v>
      </c>
      <c r="J361" s="2"/>
      <c r="K361" s="1128" t="str">
        <f>K183</f>
        <v xml:space="preserve"> </v>
      </c>
      <c r="L361" s="972" t="s">
        <v>364</v>
      </c>
      <c r="M361" s="2">
        <f t="shared" si="74"/>
        <v>0</v>
      </c>
      <c r="N361" s="2"/>
      <c r="O361" s="1128" t="str">
        <f>O183</f>
        <v xml:space="preserve"> </v>
      </c>
      <c r="P361" s="972" t="s">
        <v>364</v>
      </c>
      <c r="Q361" s="2">
        <f t="shared" si="75"/>
        <v>0</v>
      </c>
      <c r="R361" s="2"/>
      <c r="S361" s="1128">
        <f>S183</f>
        <v>0</v>
      </c>
      <c r="T361" s="972" t="s">
        <v>364</v>
      </c>
      <c r="U361" s="2">
        <f t="shared" si="76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889</v>
      </c>
      <c r="C362" s="987">
        <f>C403+C444</f>
        <v>0</v>
      </c>
      <c r="D362" s="254">
        <f>'Rate Design Work eff 10-14-16'!D361</f>
        <v>0</v>
      </c>
      <c r="E362" s="1119"/>
      <c r="F362" s="1123"/>
      <c r="G362" s="1128">
        <f>G184</f>
        <v>0</v>
      </c>
      <c r="H362" s="972" t="s">
        <v>364</v>
      </c>
      <c r="I362" s="2">
        <f t="shared" si="73"/>
        <v>0</v>
      </c>
      <c r="J362" s="2"/>
      <c r="K362" s="1128" t="str">
        <f>K184</f>
        <v xml:space="preserve"> </v>
      </c>
      <c r="L362" s="972" t="s">
        <v>364</v>
      </c>
      <c r="M362" s="2">
        <f t="shared" si="74"/>
        <v>0</v>
      </c>
      <c r="N362" s="2"/>
      <c r="O362" s="1128" t="str">
        <f>O184</f>
        <v xml:space="preserve"> </v>
      </c>
      <c r="P362" s="972" t="s">
        <v>364</v>
      </c>
      <c r="Q362" s="2">
        <f t="shared" si="75"/>
        <v>0</v>
      </c>
      <c r="R362" s="2"/>
      <c r="S362" s="1128">
        <f>S184</f>
        <v>0</v>
      </c>
      <c r="T362" s="972" t="s">
        <v>364</v>
      </c>
      <c r="U362" s="2">
        <f t="shared" si="76"/>
        <v>0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 s="1118" customFormat="1" hidden="1">
      <c r="A363" s="968" t="s">
        <v>890</v>
      </c>
      <c r="C363" s="987">
        <f>C404+C448</f>
        <v>33312</v>
      </c>
      <c r="D363" s="254">
        <f>'Rate Design Work eff 10-14-16'!D362</f>
        <v>0</v>
      </c>
      <c r="E363" s="1119"/>
      <c r="F363" s="1123"/>
      <c r="G363" s="1128">
        <f>G185</f>
        <v>0</v>
      </c>
      <c r="H363" s="972" t="s">
        <v>364</v>
      </c>
      <c r="I363" s="1123">
        <f ca="1">I404+I448</f>
        <v>8572</v>
      </c>
      <c r="J363" s="1123"/>
      <c r="K363" s="1128" t="str">
        <f>K185</f>
        <v xml:space="preserve"> </v>
      </c>
      <c r="L363" s="972" t="s">
        <v>364</v>
      </c>
      <c r="M363" s="2">
        <f t="shared" si="74"/>
        <v>0</v>
      </c>
      <c r="N363" s="1123"/>
      <c r="O363" s="1128" t="str">
        <f>O185</f>
        <v xml:space="preserve"> </v>
      </c>
      <c r="P363" s="972" t="s">
        <v>364</v>
      </c>
      <c r="Q363" s="2">
        <f t="shared" si="75"/>
        <v>0</v>
      </c>
      <c r="R363" s="1123"/>
      <c r="S363" s="1128">
        <f>S185</f>
        <v>0</v>
      </c>
      <c r="T363" s="972" t="s">
        <v>364</v>
      </c>
      <c r="U363" s="1123" t="e">
        <f ca="1">U404+U448</f>
        <v>#DIV/0!</v>
      </c>
      <c r="W363" s="784"/>
      <c r="Z363" s="1125"/>
      <c r="AA363" s="1125"/>
      <c r="AF363" s="1119"/>
      <c r="AG363" s="1119"/>
      <c r="AH363" s="1119"/>
      <c r="AI363" s="1119"/>
      <c r="AJ363" s="1119"/>
      <c r="AK363" s="1119"/>
      <c r="AL363" s="1119"/>
      <c r="AM363" s="1119"/>
      <c r="AN363" s="1119"/>
      <c r="AO363" s="1119"/>
      <c r="AP363" s="1119"/>
      <c r="AR363" s="1124"/>
    </row>
    <row r="364" spans="1:44" hidden="1">
      <c r="A364" s="316" t="s">
        <v>391</v>
      </c>
      <c r="B364" s="1"/>
      <c r="C364" s="304"/>
      <c r="D364" s="317">
        <f>'Rate Design Work eff 10-14-16'!D363</f>
        <v>-0.01</v>
      </c>
      <c r="E364" s="308"/>
      <c r="F364" s="2"/>
      <c r="G364" s="317">
        <v>-0.01</v>
      </c>
      <c r="H364" s="308"/>
      <c r="I364" s="2"/>
      <c r="J364" s="2"/>
      <c r="K364" s="317">
        <v>-0.01</v>
      </c>
      <c r="L364" s="308"/>
      <c r="M364" s="2"/>
      <c r="N364" s="2"/>
      <c r="O364" s="317">
        <v>-0.01</v>
      </c>
      <c r="P364" s="308"/>
      <c r="Q364" s="2"/>
      <c r="R364" s="2"/>
      <c r="S364" s="317">
        <v>-0.01</v>
      </c>
      <c r="T364" s="308"/>
      <c r="U364" s="2"/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 hidden="1">
      <c r="A365" s="1" t="s">
        <v>380</v>
      </c>
      <c r="B365" s="1"/>
      <c r="C365" s="304">
        <v>0</v>
      </c>
      <c r="D365" s="319">
        <f>'Rate Design Work eff 10-14-16'!D364</f>
        <v>9.6</v>
      </c>
      <c r="E365" s="306"/>
      <c r="F365" s="2">
        <f>-ROUND(D365*$C365/100,0)</f>
        <v>0</v>
      </c>
      <c r="G365" s="319">
        <f ca="1">G351</f>
        <v>9.76</v>
      </c>
      <c r="H365" s="306"/>
      <c r="I365" s="2">
        <f t="shared" ref="I365:I378" ca="1" si="77">I400+I435</f>
        <v>0</v>
      </c>
      <c r="J365" s="2"/>
      <c r="K365" s="319">
        <f ca="1">K351</f>
        <v>9.76</v>
      </c>
      <c r="L365" s="306"/>
      <c r="M365" s="2">
        <f t="shared" ref="M365:M378" ca="1" si="78">M400+M435</f>
        <v>0</v>
      </c>
      <c r="N365" s="2"/>
      <c r="O365" s="319" t="str">
        <f>O351</f>
        <v xml:space="preserve"> </v>
      </c>
      <c r="P365" s="306"/>
      <c r="Q365" s="2">
        <f t="shared" ref="Q365:Q378" si="79">Q400+Q435</f>
        <v>0</v>
      </c>
      <c r="R365" s="2"/>
      <c r="S365" s="319" t="str">
        <f>S351</f>
        <v xml:space="preserve"> </v>
      </c>
      <c r="T365" s="306"/>
      <c r="U365" s="2">
        <f t="shared" ref="U365:U378" si="80">U400+U435</f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 hidden="1">
      <c r="A366" s="1" t="s">
        <v>381</v>
      </c>
      <c r="B366" s="1"/>
      <c r="C366" s="304">
        <v>0</v>
      </c>
      <c r="D366" s="319">
        <f>'Rate Design Work eff 10-14-16'!D365</f>
        <v>14.3</v>
      </c>
      <c r="E366" s="306"/>
      <c r="F366" s="2">
        <f t="shared" ref="F366:F368" si="81">-ROUND(D366*$C366/100,0)</f>
        <v>0</v>
      </c>
      <c r="G366" s="319">
        <f ca="1">G352</f>
        <v>14.54</v>
      </c>
      <c r="H366" s="306"/>
      <c r="I366" s="2">
        <f t="shared" ca="1" si="77"/>
        <v>0</v>
      </c>
      <c r="J366" s="2"/>
      <c r="K366" s="319">
        <f ca="1">K352</f>
        <v>14.54</v>
      </c>
      <c r="L366" s="306"/>
      <c r="M366" s="2">
        <f t="shared" ca="1" si="78"/>
        <v>0</v>
      </c>
      <c r="N366" s="2"/>
      <c r="O366" s="319" t="str">
        <f>O352</f>
        <v xml:space="preserve"> </v>
      </c>
      <c r="P366" s="306"/>
      <c r="Q366" s="2">
        <f t="shared" si="79"/>
        <v>0</v>
      </c>
      <c r="R366" s="2"/>
      <c r="S366" s="319" t="str">
        <f>S352</f>
        <v xml:space="preserve"> </v>
      </c>
      <c r="T366" s="306"/>
      <c r="U366" s="2">
        <f t="shared" si="80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 hidden="1">
      <c r="A367" s="1" t="s">
        <v>392</v>
      </c>
      <c r="B367" s="1"/>
      <c r="C367" s="304">
        <v>0</v>
      </c>
      <c r="D367" s="319">
        <f>'Rate Design Work eff 10-14-16'!D366</f>
        <v>1</v>
      </c>
      <c r="E367" s="306"/>
      <c r="F367" s="2">
        <f t="shared" si="81"/>
        <v>0</v>
      </c>
      <c r="G367" s="319">
        <f ca="1">G353</f>
        <v>1.02</v>
      </c>
      <c r="H367" s="306"/>
      <c r="I367" s="2">
        <f t="shared" ca="1" si="77"/>
        <v>0</v>
      </c>
      <c r="J367" s="2"/>
      <c r="K367" s="319">
        <f ca="1">K353</f>
        <v>1.02</v>
      </c>
      <c r="L367" s="306"/>
      <c r="M367" s="2">
        <f t="shared" ca="1" si="78"/>
        <v>0</v>
      </c>
      <c r="N367" s="2"/>
      <c r="O367" s="319" t="str">
        <f>O353</f>
        <v xml:space="preserve"> </v>
      </c>
      <c r="P367" s="306"/>
      <c r="Q367" s="2">
        <f t="shared" si="79"/>
        <v>0</v>
      </c>
      <c r="R367" s="2"/>
      <c r="S367" s="319" t="str">
        <f>S353</f>
        <v xml:space="preserve"> </v>
      </c>
      <c r="T367" s="306"/>
      <c r="U367" s="2">
        <f t="shared" si="80"/>
        <v>0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 hidden="1">
      <c r="A368" s="1" t="s">
        <v>393</v>
      </c>
      <c r="B368" s="1"/>
      <c r="C368" s="304">
        <v>0</v>
      </c>
      <c r="D368" s="319">
        <f>'Rate Design Work eff 10-14-16'!D367</f>
        <v>3.64</v>
      </c>
      <c r="E368" s="308"/>
      <c r="F368" s="2">
        <f t="shared" si="81"/>
        <v>0</v>
      </c>
      <c r="G368" s="319">
        <f ca="1">G356</f>
        <v>3.7</v>
      </c>
      <c r="H368" s="308"/>
      <c r="I368" s="2">
        <f t="shared" ca="1" si="77"/>
        <v>0</v>
      </c>
      <c r="J368" s="2"/>
      <c r="K368" s="319" t="e">
        <f ca="1">K356</f>
        <v>#REF!</v>
      </c>
      <c r="L368" s="308"/>
      <c r="M368" s="2" t="e">
        <f t="shared" ca="1" si="78"/>
        <v>#REF!</v>
      </c>
      <c r="N368" s="2"/>
      <c r="O368" s="319" t="e">
        <f ca="1">O356</f>
        <v>#DIV/0!</v>
      </c>
      <c r="P368" s="308"/>
      <c r="Q368" s="2" t="e">
        <f t="shared" ca="1" si="79"/>
        <v>#DIV/0!</v>
      </c>
      <c r="R368" s="2"/>
      <c r="S368" s="319" t="e">
        <f ca="1">S356</f>
        <v>#DIV/0!</v>
      </c>
      <c r="T368" s="308"/>
      <c r="U368" s="2" t="e">
        <f t="shared" ca="1" si="80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 hidden="1">
      <c r="A369" s="1" t="s">
        <v>395</v>
      </c>
      <c r="B369" s="1"/>
      <c r="C369" s="304">
        <v>0</v>
      </c>
      <c r="D369" s="320">
        <f>'Rate Design Work eff 10-14-16'!D368</f>
        <v>10.449</v>
      </c>
      <c r="E369" s="308" t="s">
        <v>364</v>
      </c>
      <c r="F369" s="2">
        <f>ROUND(D369*$C369/100*D364,0)</f>
        <v>0</v>
      </c>
      <c r="G369" s="320">
        <f ca="1">G357</f>
        <v>10.628</v>
      </c>
      <c r="H369" s="308" t="s">
        <v>364</v>
      </c>
      <c r="I369" s="2">
        <f t="shared" ca="1" si="77"/>
        <v>0</v>
      </c>
      <c r="J369" s="2"/>
      <c r="K369" s="320" t="e">
        <f ca="1">K357</f>
        <v>#REF!</v>
      </c>
      <c r="L369" s="308" t="s">
        <v>364</v>
      </c>
      <c r="M369" s="2" t="e">
        <f t="shared" ca="1" si="78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79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0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 hidden="1">
      <c r="A370" s="1" t="s">
        <v>388</v>
      </c>
      <c r="B370" s="1"/>
      <c r="C370" s="304">
        <v>0</v>
      </c>
      <c r="D370" s="320">
        <f>'Rate Design Work eff 10-14-16'!D369</f>
        <v>7.218</v>
      </c>
      <c r="E370" s="308" t="s">
        <v>364</v>
      </c>
      <c r="F370" s="2">
        <f>ROUND(D370*$C370/100*D364,0)</f>
        <v>0</v>
      </c>
      <c r="G370" s="320">
        <f ca="1">G358</f>
        <v>7.3410000000000002</v>
      </c>
      <c r="H370" s="308" t="s">
        <v>364</v>
      </c>
      <c r="I370" s="2">
        <f t="shared" ca="1" si="77"/>
        <v>0</v>
      </c>
      <c r="J370" s="2"/>
      <c r="K370" s="320" t="e">
        <f ca="1">K358</f>
        <v>#REF!</v>
      </c>
      <c r="L370" s="308" t="s">
        <v>364</v>
      </c>
      <c r="M370" s="2" t="e">
        <f t="shared" ca="1" si="78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79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0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 hidden="1">
      <c r="A371" s="1" t="s">
        <v>389</v>
      </c>
      <c r="B371" s="1"/>
      <c r="C371" s="304">
        <v>0</v>
      </c>
      <c r="D371" s="320">
        <f>'Rate Design Work eff 10-14-16'!D370</f>
        <v>6.218</v>
      </c>
      <c r="E371" s="308" t="s">
        <v>364</v>
      </c>
      <c r="F371" s="2">
        <f>ROUND(D371*$C371/100*D364,0)</f>
        <v>0</v>
      </c>
      <c r="G371" s="320">
        <f ca="1">G359</f>
        <v>6.3240000000000007</v>
      </c>
      <c r="H371" s="308" t="s">
        <v>364</v>
      </c>
      <c r="I371" s="2">
        <f t="shared" ca="1" si="77"/>
        <v>0</v>
      </c>
      <c r="J371" s="2"/>
      <c r="K371" s="320" t="e">
        <f ca="1">K359</f>
        <v>#REF!</v>
      </c>
      <c r="L371" s="308" t="s">
        <v>364</v>
      </c>
      <c r="M371" s="2" t="e">
        <f t="shared" ca="1" si="78"/>
        <v>#REF!</v>
      </c>
      <c r="N371" s="2"/>
      <c r="O371" s="320" t="e">
        <f ca="1">O359</f>
        <v>#DIV/0!</v>
      </c>
      <c r="P371" s="308" t="s">
        <v>364</v>
      </c>
      <c r="Q371" s="2" t="e">
        <f t="shared" ca="1" si="79"/>
        <v>#DIV/0!</v>
      </c>
      <c r="R371" s="2"/>
      <c r="S371" s="320" t="e">
        <f ca="1">S359</f>
        <v>#DIV/0!</v>
      </c>
      <c r="T371" s="308" t="s">
        <v>364</v>
      </c>
      <c r="U371" s="2" t="e">
        <f t="shared" ca="1" si="80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 hidden="1">
      <c r="A372" s="1" t="s">
        <v>390</v>
      </c>
      <c r="B372" s="1"/>
      <c r="C372" s="304">
        <v>0</v>
      </c>
      <c r="D372" s="321">
        <f>'Rate Design Work eff 10-14-16'!D371</f>
        <v>56</v>
      </c>
      <c r="E372" s="308" t="s">
        <v>364</v>
      </c>
      <c r="F372" s="2">
        <f>ROUND(D372*$C372/100*D364,0)</f>
        <v>0</v>
      </c>
      <c r="G372" s="321">
        <f ca="1">G360</f>
        <v>57</v>
      </c>
      <c r="H372" s="308" t="s">
        <v>364</v>
      </c>
      <c r="I372" s="2">
        <f t="shared" ca="1" si="77"/>
        <v>0</v>
      </c>
      <c r="J372" s="2"/>
      <c r="K372" s="321" t="str">
        <f>K360</f>
        <v xml:space="preserve"> </v>
      </c>
      <c r="L372" s="308" t="s">
        <v>364</v>
      </c>
      <c r="M372" s="2">
        <f t="shared" si="78"/>
        <v>0</v>
      </c>
      <c r="N372" s="2"/>
      <c r="O372" s="321" t="e">
        <f>O360</f>
        <v>#DIV/0!</v>
      </c>
      <c r="P372" s="308" t="s">
        <v>364</v>
      </c>
      <c r="Q372" s="2" t="e">
        <f t="shared" si="79"/>
        <v>#DIV/0!</v>
      </c>
      <c r="R372" s="2"/>
      <c r="S372" s="321" t="e">
        <f>S360</f>
        <v>#DIV/0!</v>
      </c>
      <c r="T372" s="308" t="s">
        <v>364</v>
      </c>
      <c r="U372" s="2" t="e">
        <f t="shared" si="80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 hidden="1">
      <c r="A373" s="1" t="s">
        <v>397</v>
      </c>
      <c r="B373" s="1"/>
      <c r="C373" s="304">
        <v>0</v>
      </c>
      <c r="D373" s="322">
        <f>'Rate Design Work eff 10-14-16'!D372</f>
        <v>60</v>
      </c>
      <c r="E373" s="308"/>
      <c r="F373" s="2">
        <f>ROUND(D373*C373,0)</f>
        <v>0</v>
      </c>
      <c r="G373" s="322">
        <f>$G$198</f>
        <v>60</v>
      </c>
      <c r="H373" s="308"/>
      <c r="I373" s="2">
        <f t="shared" si="77"/>
        <v>0</v>
      </c>
      <c r="J373" s="2"/>
      <c r="K373" s="322" t="str">
        <f>$K$198</f>
        <v xml:space="preserve"> </v>
      </c>
      <c r="L373" s="308"/>
      <c r="M373" s="2">
        <f t="shared" si="78"/>
        <v>0</v>
      </c>
      <c r="N373" s="2"/>
      <c r="O373" s="322" t="e">
        <f>$O$198</f>
        <v>#DIV/0!</v>
      </c>
      <c r="P373" s="308"/>
      <c r="Q373" s="2" t="e">
        <f t="shared" si="79"/>
        <v>#DIV/0!</v>
      </c>
      <c r="R373" s="2"/>
      <c r="S373" s="322" t="e">
        <f>$S$198</f>
        <v>#DIV/0!</v>
      </c>
      <c r="T373" s="308"/>
      <c r="U373" s="2" t="e">
        <f t="shared" si="80"/>
        <v>#DIV/0!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hidden="1">
      <c r="A374" s="1" t="s">
        <v>398</v>
      </c>
      <c r="B374" s="1"/>
      <c r="C374" s="304">
        <v>0</v>
      </c>
      <c r="D374" s="324">
        <f>'Rate Design Work eff 10-14-16'!D373</f>
        <v>-30</v>
      </c>
      <c r="E374" s="308" t="s">
        <v>364</v>
      </c>
      <c r="F374" s="2">
        <f>ROUND(D374*C374/100,0)</f>
        <v>0</v>
      </c>
      <c r="G374" s="324">
        <f>$G$199</f>
        <v>-30</v>
      </c>
      <c r="H374" s="308" t="s">
        <v>364</v>
      </c>
      <c r="I374" s="2">
        <f t="shared" si="77"/>
        <v>0</v>
      </c>
      <c r="J374" s="2"/>
      <c r="K374" s="324">
        <f>$K$199</f>
        <v>-30</v>
      </c>
      <c r="L374" s="308" t="s">
        <v>364</v>
      </c>
      <c r="M374" s="2">
        <f t="shared" si="78"/>
        <v>0</v>
      </c>
      <c r="N374" s="2"/>
      <c r="O374" s="324" t="str">
        <f>$O$199</f>
        <v xml:space="preserve"> </v>
      </c>
      <c r="P374" s="308" t="s">
        <v>364</v>
      </c>
      <c r="Q374" s="2">
        <f t="shared" si="79"/>
        <v>0</v>
      </c>
      <c r="R374" s="2"/>
      <c r="S374" s="324" t="str">
        <f>$S$199</f>
        <v xml:space="preserve"> </v>
      </c>
      <c r="T374" s="308" t="s">
        <v>364</v>
      </c>
      <c r="U374" s="2">
        <f t="shared" si="80"/>
        <v>0</v>
      </c>
      <c r="V374" s="20"/>
      <c r="W374" s="74"/>
      <c r="X374" s="74"/>
      <c r="Y374" s="74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R374" s="84"/>
    </row>
    <row r="375" spans="1:44" s="1118" customFormat="1" hidden="1">
      <c r="A375" s="968" t="s">
        <v>888</v>
      </c>
      <c r="C375" s="987">
        <v>0</v>
      </c>
      <c r="D375" s="254">
        <f>'Rate Design Work eff 10-14-16'!D374</f>
        <v>0</v>
      </c>
      <c r="E375" s="1119"/>
      <c r="F375" s="1123"/>
      <c r="G375" s="1128">
        <f>G183</f>
        <v>0</v>
      </c>
      <c r="H375" s="972" t="s">
        <v>364</v>
      </c>
      <c r="I375" s="2">
        <f t="shared" si="77"/>
        <v>0</v>
      </c>
      <c r="J375" s="2"/>
      <c r="K375" s="1128" t="str">
        <f>K183</f>
        <v xml:space="preserve"> </v>
      </c>
      <c r="L375" s="972" t="s">
        <v>364</v>
      </c>
      <c r="M375" s="2">
        <f t="shared" si="78"/>
        <v>0</v>
      </c>
      <c r="N375" s="2"/>
      <c r="O375" s="1128" t="str">
        <f>O183</f>
        <v xml:space="preserve"> </v>
      </c>
      <c r="P375" s="972" t="s">
        <v>364</v>
      </c>
      <c r="Q375" s="2">
        <f t="shared" si="79"/>
        <v>0</v>
      </c>
      <c r="R375" s="2"/>
      <c r="S375" s="1128">
        <f>S183</f>
        <v>0</v>
      </c>
      <c r="T375" s="972" t="s">
        <v>364</v>
      </c>
      <c r="U375" s="2">
        <f t="shared" si="80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889</v>
      </c>
      <c r="C376" s="987">
        <v>0</v>
      </c>
      <c r="D376" s="254">
        <f>'Rate Design Work eff 10-14-16'!D375</f>
        <v>0</v>
      </c>
      <c r="E376" s="1119"/>
      <c r="F376" s="1123"/>
      <c r="G376" s="1128">
        <f>G184</f>
        <v>0</v>
      </c>
      <c r="H376" s="972" t="s">
        <v>364</v>
      </c>
      <c r="I376" s="2">
        <f t="shared" si="77"/>
        <v>0</v>
      </c>
      <c r="J376" s="2"/>
      <c r="K376" s="1128" t="str">
        <f>K184</f>
        <v xml:space="preserve"> </v>
      </c>
      <c r="L376" s="972" t="s">
        <v>364</v>
      </c>
      <c r="M376" s="2">
        <f t="shared" si="78"/>
        <v>0</v>
      </c>
      <c r="N376" s="2"/>
      <c r="O376" s="1128" t="str">
        <f>O184</f>
        <v xml:space="preserve"> </v>
      </c>
      <c r="P376" s="972" t="s">
        <v>364</v>
      </c>
      <c r="Q376" s="2">
        <f t="shared" si="79"/>
        <v>0</v>
      </c>
      <c r="R376" s="2"/>
      <c r="S376" s="1128">
        <f>S184</f>
        <v>0</v>
      </c>
      <c r="T376" s="972" t="s">
        <v>364</v>
      </c>
      <c r="U376" s="2">
        <f t="shared" si="80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 s="1118" customFormat="1" hidden="1">
      <c r="A377" s="968" t="s">
        <v>890</v>
      </c>
      <c r="C377" s="987">
        <v>0</v>
      </c>
      <c r="D377" s="254">
        <f>'Rate Design Work eff 10-14-16'!D376</f>
        <v>0</v>
      </c>
      <c r="E377" s="1119"/>
      <c r="F377" s="1123"/>
      <c r="G377" s="1128">
        <f>G185</f>
        <v>0</v>
      </c>
      <c r="H377" s="972" t="s">
        <v>364</v>
      </c>
      <c r="I377" s="2">
        <f t="shared" si="77"/>
        <v>0</v>
      </c>
      <c r="J377" s="2"/>
      <c r="K377" s="1128" t="str">
        <f>K185</f>
        <v xml:space="preserve"> </v>
      </c>
      <c r="L377" s="972" t="s">
        <v>364</v>
      </c>
      <c r="M377" s="2">
        <f t="shared" si="78"/>
        <v>0</v>
      </c>
      <c r="N377" s="2"/>
      <c r="O377" s="1128" t="str">
        <f>O185</f>
        <v xml:space="preserve"> </v>
      </c>
      <c r="P377" s="972" t="s">
        <v>364</v>
      </c>
      <c r="Q377" s="2">
        <f t="shared" si="79"/>
        <v>0</v>
      </c>
      <c r="R377" s="2"/>
      <c r="S377" s="1128">
        <f>S185</f>
        <v>0</v>
      </c>
      <c r="T377" s="972" t="s">
        <v>364</v>
      </c>
      <c r="U377" s="2">
        <f t="shared" si="80"/>
        <v>0</v>
      </c>
      <c r="W377" s="784"/>
      <c r="Z377" s="1125"/>
      <c r="AA377" s="1125"/>
      <c r="AF377" s="1119"/>
      <c r="AG377" s="1119"/>
      <c r="AH377" s="1119"/>
      <c r="AI377" s="1119"/>
      <c r="AJ377" s="1119"/>
      <c r="AK377" s="1119"/>
      <c r="AL377" s="1119"/>
      <c r="AM377" s="1119"/>
      <c r="AN377" s="1119"/>
      <c r="AO377" s="1119"/>
      <c r="AP377" s="1119"/>
      <c r="AR377" s="1124"/>
    </row>
    <row r="378" spans="1:44" hidden="1">
      <c r="A378" s="1" t="s">
        <v>371</v>
      </c>
      <c r="B378" s="1"/>
      <c r="C378" s="304">
        <f>C413+C448</f>
        <v>1303781.7942953119</v>
      </c>
      <c r="D378" s="315"/>
      <c r="E378" s="308"/>
      <c r="F378" s="2">
        <f>F413+F448</f>
        <v>177328</v>
      </c>
      <c r="G378" s="315"/>
      <c r="H378" s="308"/>
      <c r="I378" s="2">
        <f t="shared" ca="1" si="77"/>
        <v>180345</v>
      </c>
      <c r="J378" s="2"/>
      <c r="K378" s="315"/>
      <c r="L378" s="308"/>
      <c r="M378" s="2" t="e">
        <f t="shared" ca="1" si="78"/>
        <v>#REF!</v>
      </c>
      <c r="N378" s="2"/>
      <c r="O378" s="315"/>
      <c r="P378" s="308"/>
      <c r="Q378" s="2" t="e">
        <f t="shared" ca="1" si="79"/>
        <v>#DIV/0!</v>
      </c>
      <c r="R378" s="2"/>
      <c r="S378" s="315"/>
      <c r="T378" s="308"/>
      <c r="U378" s="2" t="e">
        <f t="shared" ca="1" si="80"/>
        <v>#DIV/0!</v>
      </c>
      <c r="V378" s="20"/>
      <c r="W378" s="74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idden="1">
      <c r="A379" s="1" t="s">
        <v>353</v>
      </c>
      <c r="B379" s="1"/>
      <c r="C379" s="325">
        <f ca="1">C414+C449</f>
        <v>8866.1474847682257</v>
      </c>
      <c r="D379" s="294"/>
      <c r="E379" s="294"/>
      <c r="F379" s="326">
        <f ca="1">F414+F449</f>
        <v>1349.4416224178776</v>
      </c>
      <c r="G379" s="294"/>
      <c r="H379" s="294"/>
      <c r="I379" s="326">
        <f ca="1">F379</f>
        <v>1349.4416224178776</v>
      </c>
      <c r="J379" s="307"/>
      <c r="K379" s="294"/>
      <c r="L379" s="294"/>
      <c r="M379" s="326" t="e">
        <f ca="1">M204/I204*I379</f>
        <v>#DIV/0!</v>
      </c>
      <c r="N379" s="307"/>
      <c r="O379" s="294"/>
      <c r="P379" s="294"/>
      <c r="Q379" s="326" t="e">
        <f ca="1">Q204/I204*I379</f>
        <v>#DIV/0!</v>
      </c>
      <c r="R379" s="307"/>
      <c r="S379" s="294"/>
      <c r="T379" s="294"/>
      <c r="U379" s="326" t="e">
        <f ca="1">U204/I204*I379</f>
        <v>#DIV/0!</v>
      </c>
      <c r="V379" s="429"/>
      <c r="W379" s="272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hidden="1" thickBot="1">
      <c r="A380" s="1" t="s">
        <v>372</v>
      </c>
      <c r="B380" s="1"/>
      <c r="C380" s="296">
        <f ca="1">SUM(C378:C379)</f>
        <v>1312647.9417800801</v>
      </c>
      <c r="D380" s="327"/>
      <c r="E380" s="330"/>
      <c r="F380" s="329">
        <f ca="1">F378+F379</f>
        <v>178677.44162241789</v>
      </c>
      <c r="G380" s="327"/>
      <c r="H380" s="330"/>
      <c r="I380" s="329">
        <f ca="1">I378+I379</f>
        <v>181694.44162241789</v>
      </c>
      <c r="J380" s="307"/>
      <c r="K380" s="327"/>
      <c r="L380" s="330"/>
      <c r="M380" s="329" t="e">
        <f ca="1">M378+M379</f>
        <v>#REF!</v>
      </c>
      <c r="N380" s="329"/>
      <c r="O380" s="327"/>
      <c r="P380" s="330"/>
      <c r="Q380" s="329" t="e">
        <f ca="1">Q378+Q379</f>
        <v>#DIV/0!</v>
      </c>
      <c r="R380" s="329"/>
      <c r="S380" s="327"/>
      <c r="T380" s="330"/>
      <c r="U380" s="329" t="e">
        <f ca="1">U378+U379</f>
        <v>#DIV/0!</v>
      </c>
      <c r="V380" s="396"/>
      <c r="W380" s="455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 ht="16.5" hidden="1" thickTop="1">
      <c r="A381" s="1"/>
      <c r="B381" s="1"/>
      <c r="C381" s="21"/>
      <c r="D381" s="322"/>
      <c r="E381" s="1"/>
      <c r="F381" s="2"/>
      <c r="G381" s="322"/>
      <c r="H381" s="1"/>
      <c r="I381" s="2" t="s">
        <v>31</v>
      </c>
      <c r="J381" s="2"/>
      <c r="K381" s="322"/>
      <c r="L381" s="1"/>
      <c r="M381" s="2" t="s">
        <v>31</v>
      </c>
      <c r="N381" s="2"/>
      <c r="O381" s="322"/>
      <c r="P381" s="1"/>
      <c r="Q381" s="2" t="s">
        <v>31</v>
      </c>
      <c r="R381" s="2"/>
      <c r="S381" s="322"/>
      <c r="T381" s="1"/>
      <c r="U381" s="2" t="s">
        <v>31</v>
      </c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 hidden="1">
      <c r="A382" s="278" t="s">
        <v>405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 hidden="1">
      <c r="A383" s="1" t="s">
        <v>401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 hidden="1">
      <c r="A385" s="1" t="s">
        <v>383</v>
      </c>
      <c r="B385" s="1"/>
      <c r="C385" s="304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 hidden="1">
      <c r="A386" s="1" t="s">
        <v>406</v>
      </c>
      <c r="B386" s="1"/>
      <c r="C386" s="304">
        <f>'Rate Design Work eff 10-14-16'!C385</f>
        <v>3983.5574873188079</v>
      </c>
      <c r="D386" s="283">
        <f>'Rate Design Work eff 10-14-16'!D385</f>
        <v>9.6</v>
      </c>
      <c r="E386" s="308"/>
      <c r="F386" s="2">
        <f>ROUND(D386*$C386,0)</f>
        <v>38242</v>
      </c>
      <c r="G386" s="283">
        <f ca="1">$G$173</f>
        <v>9.76</v>
      </c>
      <c r="H386" s="308"/>
      <c r="I386" s="2">
        <f ca="1">ROUND(G386*$C386,0)</f>
        <v>38880</v>
      </c>
      <c r="J386" s="2"/>
      <c r="K386" s="283">
        <f ca="1">$K$173</f>
        <v>9.76</v>
      </c>
      <c r="L386" s="308"/>
      <c r="M386" s="2">
        <f ca="1">ROUND(K386*$C386,0)</f>
        <v>38880</v>
      </c>
      <c r="N386" s="2"/>
      <c r="O386" s="283" t="str">
        <f>$O$173</f>
        <v xml:space="preserve"> </v>
      </c>
      <c r="P386" s="308"/>
      <c r="Q386" s="2">
        <f>ROUND(O386*$C386,0)</f>
        <v>0</v>
      </c>
      <c r="R386" s="2"/>
      <c r="S386" s="283" t="str">
        <f>$S$173</f>
        <v xml:space="preserve"> </v>
      </c>
      <c r="T386" s="308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 hidden="1">
      <c r="A387" s="1" t="s">
        <v>381</v>
      </c>
      <c r="B387" s="1"/>
      <c r="C387" s="304">
        <f>'Rate Design Work eff 10-14-16'!C386</f>
        <v>0</v>
      </c>
      <c r="D387" s="283">
        <f>'Rate Design Work eff 10-14-16'!D386</f>
        <v>14.3</v>
      </c>
      <c r="E387" s="310"/>
      <c r="F387" s="2">
        <f t="shared" ref="F387:F388" si="82">ROUND(D387*$C387,0)</f>
        <v>0</v>
      </c>
      <c r="G387" s="283">
        <f ca="1">$G$174</f>
        <v>14.54</v>
      </c>
      <c r="H387" s="310"/>
      <c r="I387" s="2">
        <f ca="1">ROUND(G387*$C387,0)</f>
        <v>0</v>
      </c>
      <c r="J387" s="2"/>
      <c r="K387" s="283">
        <f ca="1">$K$174</f>
        <v>14.54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 hidden="1">
      <c r="A388" s="1" t="s">
        <v>382</v>
      </c>
      <c r="B388" s="1"/>
      <c r="C388" s="304">
        <f>'Rate Design Work eff 10-14-16'!C387</f>
        <v>0</v>
      </c>
      <c r="D388" s="283">
        <f>'Rate Design Work eff 10-14-16'!D387</f>
        <v>1</v>
      </c>
      <c r="E388" s="310"/>
      <c r="F388" s="2">
        <f t="shared" si="82"/>
        <v>0</v>
      </c>
      <c r="G388" s="283">
        <f ca="1">$G$175</f>
        <v>1.02</v>
      </c>
      <c r="H388" s="310"/>
      <c r="I388" s="2">
        <f ca="1">ROUND(G388*$C388,0)</f>
        <v>0</v>
      </c>
      <c r="J388" s="2"/>
      <c r="K388" s="283">
        <f ca="1">$K$175</f>
        <v>1.02</v>
      </c>
      <c r="L388" s="310"/>
      <c r="M388" s="2">
        <f ca="1">ROUND(K388*$C388,0)</f>
        <v>0</v>
      </c>
      <c r="N388" s="2"/>
      <c r="O388" s="283" t="str">
        <f>$O$175</f>
        <v xml:space="preserve"> </v>
      </c>
      <c r="P388" s="310"/>
      <c r="Q388" s="2">
        <f>ROUND(O388*$C388,0)</f>
        <v>0</v>
      </c>
      <c r="R388" s="2"/>
      <c r="S388" s="283" t="str">
        <f>$S$175</f>
        <v xml:space="preserve"> </v>
      </c>
      <c r="T388" s="310"/>
      <c r="U388" s="2">
        <f>ROUND(S388*$C388,0)</f>
        <v>0</v>
      </c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 hidden="1">
      <c r="A389" s="1" t="s">
        <v>384</v>
      </c>
      <c r="B389" s="1"/>
      <c r="C389" s="304">
        <f>SUM(C386:C387)</f>
        <v>3983.5574873188079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 hidden="1">
      <c r="A390" s="1" t="s">
        <v>352</v>
      </c>
      <c r="B390" s="1"/>
      <c r="C390" s="304">
        <f>'Rate Design Work eff 10-14-16'!C389</f>
        <v>1401.1000000000033</v>
      </c>
      <c r="D390" s="283"/>
      <c r="E390" s="308"/>
      <c r="F390" s="2"/>
      <c r="G390" s="283"/>
      <c r="H390" s="308"/>
      <c r="I390" s="2"/>
      <c r="J390" s="2"/>
      <c r="K390" s="283"/>
      <c r="L390" s="308"/>
      <c r="M390" s="2"/>
      <c r="N390" s="2"/>
      <c r="O390" s="283"/>
      <c r="P390" s="308"/>
      <c r="Q390" s="2"/>
      <c r="R390" s="2"/>
      <c r="S390" s="283"/>
      <c r="T390" s="308"/>
      <c r="U390" s="2"/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 hidden="1">
      <c r="A391" s="1" t="s">
        <v>385</v>
      </c>
      <c r="B391" s="1"/>
      <c r="C391" s="304">
        <f>'Rate Design Work eff 10-14-16'!C390</f>
        <v>0</v>
      </c>
      <c r="D391" s="311">
        <f>'Rate Design Work eff 10-14-16'!D390</f>
        <v>3.64</v>
      </c>
      <c r="E391" s="308"/>
      <c r="F391" s="2">
        <f>ROUND(D391*C391,0)</f>
        <v>0</v>
      </c>
      <c r="G391" s="311">
        <f ca="1">$G$178</f>
        <v>3.7</v>
      </c>
      <c r="H391" s="308"/>
      <c r="I391" s="2">
        <f ca="1">ROUND(G391*$C391,0)</f>
        <v>0</v>
      </c>
      <c r="J391" s="2"/>
      <c r="K391" s="311" t="e">
        <f ca="1">$K$178</f>
        <v>#REF!</v>
      </c>
      <c r="L391" s="308"/>
      <c r="M391" s="2" t="e">
        <f ca="1">ROUND(K391*$C391,0)</f>
        <v>#REF!</v>
      </c>
      <c r="N391" s="2"/>
      <c r="O391" s="311" t="e">
        <f ca="1">$O$178</f>
        <v>#DIV/0!</v>
      </c>
      <c r="P391" s="308"/>
      <c r="Q391" s="2" t="e">
        <f ca="1">ROUND(O391*$C391,0)</f>
        <v>#DIV/0!</v>
      </c>
      <c r="R391" s="2"/>
      <c r="S391" s="311" t="e">
        <f ca="1">$S$178</f>
        <v>#DIV/0!</v>
      </c>
      <c r="T391" s="308"/>
      <c r="U391" s="2" t="e">
        <f ca="1">ROUND(S391*$C391,0)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 hidden="1">
      <c r="A392" s="1" t="s">
        <v>387</v>
      </c>
      <c r="B392" s="1"/>
      <c r="C392" s="304">
        <f>'Rate Design Work eff 10-14-16'!C391</f>
        <v>1205594.7942953119</v>
      </c>
      <c r="D392" s="284">
        <f>'Rate Design Work eff 10-14-16'!D391</f>
        <v>10.449</v>
      </c>
      <c r="E392" s="308" t="s">
        <v>364</v>
      </c>
      <c r="F392" s="2">
        <f>ROUND(D392*C392/100,0)</f>
        <v>125973</v>
      </c>
      <c r="G392" s="284">
        <f ca="1">$G$179</f>
        <v>10.628</v>
      </c>
      <c r="H392" s="308" t="s">
        <v>364</v>
      </c>
      <c r="I392" s="2">
        <f ca="1">ROUND(G392*$C392/100,0)</f>
        <v>128131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 hidden="1">
      <c r="A393" s="1" t="s">
        <v>388</v>
      </c>
      <c r="B393" s="21"/>
      <c r="C393" s="304">
        <f>'Rate Design Work eff 10-14-16'!C392</f>
        <v>64875</v>
      </c>
      <c r="D393" s="284">
        <f>'Rate Design Work eff 10-14-16'!D392</f>
        <v>7.218</v>
      </c>
      <c r="E393" s="308" t="s">
        <v>364</v>
      </c>
      <c r="F393" s="2">
        <f>ROUND(D393*C393/100,0)</f>
        <v>4683</v>
      </c>
      <c r="G393" s="284">
        <f ca="1">$G$180</f>
        <v>7.3410000000000002</v>
      </c>
      <c r="H393" s="308" t="s">
        <v>364</v>
      </c>
      <c r="I393" s="2">
        <f ca="1">ROUND(G393*$C393/100,0)</f>
        <v>4762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 hidden="1">
      <c r="A394" s="1" t="s">
        <v>389</v>
      </c>
      <c r="B394" s="1"/>
      <c r="C394" s="304">
        <f>'Rate Design Work eff 10-14-16'!C393</f>
        <v>0</v>
      </c>
      <c r="D394" s="284">
        <f>'Rate Design Work eff 10-14-16'!D393</f>
        <v>6.218</v>
      </c>
      <c r="E394" s="308" t="s">
        <v>364</v>
      </c>
      <c r="F394" s="2">
        <f>ROUND(D394*C394/100,0)</f>
        <v>0</v>
      </c>
      <c r="G394" s="284">
        <f ca="1">$G$181</f>
        <v>6.3240000000000007</v>
      </c>
      <c r="H394" s="308" t="s">
        <v>364</v>
      </c>
      <c r="I394" s="2">
        <f ca="1">ROUND(G394*$C394/100,0)</f>
        <v>0</v>
      </c>
      <c r="J394" s="2"/>
      <c r="K394" s="284" t="e">
        <f ca="1">$K$181</f>
        <v>#REF!</v>
      </c>
      <c r="L394" s="308" t="s">
        <v>364</v>
      </c>
      <c r="M394" s="2" t="e">
        <f ca="1">ROUND(K394*$C394/100,0)</f>
        <v>#REF!</v>
      </c>
      <c r="N394" s="2"/>
      <c r="O394" s="284" t="e">
        <f ca="1">$O$181</f>
        <v>#DIV/0!</v>
      </c>
      <c r="P394" s="308" t="s">
        <v>364</v>
      </c>
      <c r="Q394" s="2" t="e">
        <f ca="1">ROUND(O394*$C394/100,0)</f>
        <v>#DIV/0!</v>
      </c>
      <c r="R394" s="2"/>
      <c r="S394" s="284" t="e">
        <f ca="1">$S$181</f>
        <v>#DIV/0!</v>
      </c>
      <c r="T394" s="308" t="s">
        <v>364</v>
      </c>
      <c r="U394" s="2" t="e">
        <f ca="1"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hidden="1">
      <c r="A395" s="1" t="s">
        <v>390</v>
      </c>
      <c r="B395" s="1"/>
      <c r="C395" s="304">
        <f>'Rate Design Work eff 10-14-16'!C394</f>
        <v>0</v>
      </c>
      <c r="D395" s="315">
        <f>'Rate Design Work eff 10-14-16'!D394</f>
        <v>56</v>
      </c>
      <c r="E395" s="308" t="s">
        <v>364</v>
      </c>
      <c r="F395" s="2">
        <f>ROUND(D395*C395/100,0)</f>
        <v>0</v>
      </c>
      <c r="G395" s="315">
        <f ca="1">$G$182</f>
        <v>57</v>
      </c>
      <c r="H395" s="308" t="s">
        <v>364</v>
      </c>
      <c r="I395" s="2">
        <f ca="1">ROUND(G395*$C395/100,0)</f>
        <v>0</v>
      </c>
      <c r="J395" s="2"/>
      <c r="K395" s="315" t="str">
        <f>$K$182</f>
        <v xml:space="preserve"> </v>
      </c>
      <c r="L395" s="308" t="s">
        <v>364</v>
      </c>
      <c r="M395" s="2">
        <f>ROUND(K395*$C395/100,0)</f>
        <v>0</v>
      </c>
      <c r="N395" s="2"/>
      <c r="O395" s="315" t="e">
        <f>$O$182</f>
        <v>#DIV/0!</v>
      </c>
      <c r="P395" s="308" t="s">
        <v>364</v>
      </c>
      <c r="Q395" s="2" t="e">
        <f>ROUND(O395*$C395/100,0)</f>
        <v>#DIV/0!</v>
      </c>
      <c r="R395" s="2"/>
      <c r="S395" s="315" t="e">
        <f>$S$182</f>
        <v>#DIV/0!</v>
      </c>
      <c r="T395" s="308" t="s">
        <v>364</v>
      </c>
      <c r="U395" s="2" t="e">
        <f>ROUND(S395*$C395/100,0)</f>
        <v>#DIV/0!</v>
      </c>
      <c r="V395" s="20"/>
      <c r="W395" s="74"/>
      <c r="X395" s="74"/>
      <c r="Y395" s="74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R395" s="84"/>
    </row>
    <row r="396" spans="1:44" s="1118" customFormat="1" hidden="1">
      <c r="A396" s="968" t="s">
        <v>888</v>
      </c>
      <c r="C396" s="1122">
        <f>C392</f>
        <v>1205594.7942953119</v>
      </c>
      <c r="D396" s="254">
        <f>'Rate Design Work eff 10-14-16'!D395</f>
        <v>0</v>
      </c>
      <c r="E396" s="1119"/>
      <c r="F396" s="1123"/>
      <c r="G396" s="1128">
        <f>G183</f>
        <v>0</v>
      </c>
      <c r="H396" s="972" t="s">
        <v>364</v>
      </c>
      <c r="I396" s="1123">
        <f t="shared" ref="I396:I398" si="83">ROUND(G396*$C396/100,0)</f>
        <v>0</v>
      </c>
      <c r="J396" s="1123"/>
      <c r="K396" s="1128" t="str">
        <f>K183</f>
        <v xml:space="preserve"> </v>
      </c>
      <c r="L396" s="972" t="s">
        <v>364</v>
      </c>
      <c r="M396" s="1123">
        <f t="shared" ref="M396:M398" si="84">ROUND(K396*$C396/100,0)</f>
        <v>0</v>
      </c>
      <c r="N396" s="1123"/>
      <c r="O396" s="1128" t="str">
        <f>O183</f>
        <v xml:space="preserve"> </v>
      </c>
      <c r="P396" s="972" t="s">
        <v>364</v>
      </c>
      <c r="Q396" s="1123">
        <f t="shared" ref="Q396:Q398" si="85">ROUND(O396*$C396/100,0)</f>
        <v>0</v>
      </c>
      <c r="R396" s="1123"/>
      <c r="S396" s="1128">
        <f>S183</f>
        <v>0</v>
      </c>
      <c r="T396" s="972" t="s">
        <v>364</v>
      </c>
      <c r="U396" s="1123">
        <f t="shared" ref="U396:U398" si="86">ROUND(S396*$C396/100,0)</f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889</v>
      </c>
      <c r="C397" s="1122">
        <f>C393</f>
        <v>64875</v>
      </c>
      <c r="D397" s="254">
        <f>'Rate Design Work eff 10-14-16'!D396</f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83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84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85"/>
        <v>0</v>
      </c>
      <c r="R397" s="1123"/>
      <c r="S397" s="1128">
        <f>S184</f>
        <v>0</v>
      </c>
      <c r="T397" s="972" t="s">
        <v>364</v>
      </c>
      <c r="U397" s="1123">
        <f t="shared" si="86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 s="1118" customFormat="1" hidden="1">
      <c r="A398" s="968" t="s">
        <v>890</v>
      </c>
      <c r="C398" s="1122">
        <f>C394</f>
        <v>0</v>
      </c>
      <c r="D398" s="254">
        <f>'Rate Design Work eff 10-14-16'!D397</f>
        <v>0</v>
      </c>
      <c r="E398" s="1119"/>
      <c r="F398" s="1123"/>
      <c r="G398" s="1128">
        <f>G185</f>
        <v>0</v>
      </c>
      <c r="H398" s="972" t="s">
        <v>364</v>
      </c>
      <c r="I398" s="1123">
        <f t="shared" si="83"/>
        <v>0</v>
      </c>
      <c r="J398" s="1123"/>
      <c r="K398" s="1128" t="str">
        <f>K185</f>
        <v xml:space="preserve"> </v>
      </c>
      <c r="L398" s="972" t="s">
        <v>364</v>
      </c>
      <c r="M398" s="1123">
        <f t="shared" si="84"/>
        <v>0</v>
      </c>
      <c r="N398" s="1123"/>
      <c r="O398" s="1128" t="str">
        <f>O185</f>
        <v xml:space="preserve"> </v>
      </c>
      <c r="P398" s="972" t="s">
        <v>364</v>
      </c>
      <c r="Q398" s="1123">
        <f t="shared" si="85"/>
        <v>0</v>
      </c>
      <c r="R398" s="1123"/>
      <c r="S398" s="1128">
        <f>S185</f>
        <v>0</v>
      </c>
      <c r="T398" s="972" t="s">
        <v>364</v>
      </c>
      <c r="U398" s="1123">
        <f t="shared" si="86"/>
        <v>0</v>
      </c>
      <c r="W398" s="784"/>
      <c r="Z398" s="1125"/>
      <c r="AA398" s="1125"/>
      <c r="AF398" s="1119"/>
      <c r="AG398" s="1119"/>
      <c r="AH398" s="1119"/>
      <c r="AI398" s="1119"/>
      <c r="AJ398" s="1119"/>
      <c r="AK398" s="1119"/>
      <c r="AL398" s="1119"/>
      <c r="AM398" s="1119"/>
      <c r="AN398" s="1119"/>
      <c r="AO398" s="1119"/>
      <c r="AP398" s="1119"/>
      <c r="AR398" s="1124"/>
    </row>
    <row r="399" spans="1:44" hidden="1">
      <c r="A399" s="316" t="s">
        <v>391</v>
      </c>
      <c r="B399" s="1"/>
      <c r="C399" s="304"/>
      <c r="D399" s="317">
        <f>'Rate Design Work eff 10-14-16'!D398</f>
        <v>-0.01</v>
      </c>
      <c r="E399" s="308"/>
      <c r="F399" s="2"/>
      <c r="G399" s="317">
        <v>-0.01</v>
      </c>
      <c r="H399" s="308"/>
      <c r="I399" s="2"/>
      <c r="J399" s="2"/>
      <c r="K399" s="317">
        <v>-0.01</v>
      </c>
      <c r="L399" s="308"/>
      <c r="M399" s="2"/>
      <c r="N399" s="2"/>
      <c r="O399" s="317">
        <v>-0.01</v>
      </c>
      <c r="P399" s="308"/>
      <c r="Q399" s="2"/>
      <c r="R399" s="2"/>
      <c r="S399" s="317">
        <v>-0.01</v>
      </c>
      <c r="T399" s="308"/>
      <c r="U399" s="2"/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 hidden="1">
      <c r="A400" s="1" t="s">
        <v>380</v>
      </c>
      <c r="B400" s="1"/>
      <c r="C400" s="304">
        <f>'Rate Design Work eff 10-14-16'!C399</f>
        <v>0</v>
      </c>
      <c r="D400" s="319">
        <f>'Rate Design Work eff 10-14-16'!D399</f>
        <v>9.6</v>
      </c>
      <c r="E400" s="306"/>
      <c r="F400" s="2">
        <f>-ROUND(D400*$C400/100,0)</f>
        <v>0</v>
      </c>
      <c r="G400" s="319">
        <f ca="1">G386</f>
        <v>9.76</v>
      </c>
      <c r="H400" s="306"/>
      <c r="I400" s="2">
        <f ca="1">-ROUND(G400*$C400/100,0)</f>
        <v>0</v>
      </c>
      <c r="J400" s="2"/>
      <c r="K400" s="319">
        <f ca="1">K386</f>
        <v>9.76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 hidden="1">
      <c r="A401" s="1" t="s">
        <v>381</v>
      </c>
      <c r="B401" s="1"/>
      <c r="C401" s="304">
        <f>'Rate Design Work eff 10-14-16'!C400</f>
        <v>0</v>
      </c>
      <c r="D401" s="319">
        <f>'Rate Design Work eff 10-14-16'!D400</f>
        <v>14.3</v>
      </c>
      <c r="E401" s="306"/>
      <c r="F401" s="2">
        <f t="shared" ref="F401:F403" si="87">-ROUND(D401*$C401/100,0)</f>
        <v>0</v>
      </c>
      <c r="G401" s="319">
        <f ca="1">G387</f>
        <v>14.54</v>
      </c>
      <c r="H401" s="306"/>
      <c r="I401" s="2">
        <f ca="1">-ROUND(G401*$C401/100,0)</f>
        <v>0</v>
      </c>
      <c r="J401" s="2"/>
      <c r="K401" s="319">
        <f ca="1">K387</f>
        <v>14.54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 hidden="1">
      <c r="A402" s="1" t="s">
        <v>392</v>
      </c>
      <c r="B402" s="1"/>
      <c r="C402" s="304">
        <f>'Rate Design Work eff 10-14-16'!C401</f>
        <v>0</v>
      </c>
      <c r="D402" s="319">
        <f>'Rate Design Work eff 10-14-16'!D401</f>
        <v>1</v>
      </c>
      <c r="E402" s="306"/>
      <c r="F402" s="2">
        <f t="shared" si="87"/>
        <v>0</v>
      </c>
      <c r="G402" s="319">
        <f ca="1">G388</f>
        <v>1.02</v>
      </c>
      <c r="H402" s="306"/>
      <c r="I402" s="2">
        <f ca="1">-ROUND(G402*$C402/100,0)</f>
        <v>0</v>
      </c>
      <c r="J402" s="2"/>
      <c r="K402" s="319">
        <f ca="1">K388</f>
        <v>1.02</v>
      </c>
      <c r="L402" s="306"/>
      <c r="M402" s="2">
        <f ca="1">-ROUND(K402*$C402/100,0)</f>
        <v>0</v>
      </c>
      <c r="N402" s="2"/>
      <c r="O402" s="319" t="str">
        <f>O388</f>
        <v xml:space="preserve"> </v>
      </c>
      <c r="P402" s="306"/>
      <c r="Q402" s="2">
        <f>-ROUND(O402*$C402/100,0)</f>
        <v>0</v>
      </c>
      <c r="R402" s="2"/>
      <c r="S402" s="319" t="str">
        <f>S388</f>
        <v xml:space="preserve"> </v>
      </c>
      <c r="T402" s="306"/>
      <c r="U402" s="2">
        <f>-ROUND(S402*$C402/100,0)</f>
        <v>0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 hidden="1">
      <c r="A403" s="1" t="s">
        <v>393</v>
      </c>
      <c r="B403" s="1"/>
      <c r="C403" s="304">
        <f>'Rate Design Work eff 10-14-16'!C402</f>
        <v>0</v>
      </c>
      <c r="D403" s="319">
        <f>'Rate Design Work eff 10-14-16'!D402</f>
        <v>3.64</v>
      </c>
      <c r="E403" s="308"/>
      <c r="F403" s="2">
        <f t="shared" si="87"/>
        <v>0</v>
      </c>
      <c r="G403" s="319">
        <f ca="1">G391</f>
        <v>3.7</v>
      </c>
      <c r="H403" s="308"/>
      <c r="I403" s="2">
        <f ca="1">-ROUND(G403*$C403/100,0)</f>
        <v>0</v>
      </c>
      <c r="J403" s="2"/>
      <c r="K403" s="319" t="e">
        <f ca="1">K391</f>
        <v>#REF!</v>
      </c>
      <c r="L403" s="308"/>
      <c r="M403" s="2" t="e">
        <f ca="1">-ROUND(K403*$C403/100,0)</f>
        <v>#REF!</v>
      </c>
      <c r="N403" s="2"/>
      <c r="O403" s="319" t="e">
        <f ca="1">O391</f>
        <v>#DIV/0!</v>
      </c>
      <c r="P403" s="308"/>
      <c r="Q403" s="2" t="e">
        <f ca="1">-ROUND(O403*$C403/100,0)</f>
        <v>#DIV/0!</v>
      </c>
      <c r="R403" s="2"/>
      <c r="S403" s="319" t="e">
        <f ca="1">S391</f>
        <v>#DIV/0!</v>
      </c>
      <c r="T403" s="308"/>
      <c r="U403" s="2" t="e">
        <f ca="1">-ROUND(S403*$C403/100,0)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 hidden="1">
      <c r="A404" s="1" t="s">
        <v>395</v>
      </c>
      <c r="B404" s="1"/>
      <c r="C404" s="304">
        <f>'Rate Design Work eff 10-14-16'!C403</f>
        <v>0</v>
      </c>
      <c r="D404" s="320">
        <f>'Rate Design Work eff 10-14-16'!D403</f>
        <v>10.449</v>
      </c>
      <c r="E404" s="308" t="s">
        <v>364</v>
      </c>
      <c r="F404" s="2">
        <f>ROUND(D404*$C404/100*D399,0)</f>
        <v>0</v>
      </c>
      <c r="G404" s="320">
        <f ca="1">G392</f>
        <v>10.628</v>
      </c>
      <c r="H404" s="308" t="s">
        <v>364</v>
      </c>
      <c r="I404" s="2">
        <f ca="1">ROUND(G404*$C404/100*G399,0)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ROUND(K404*$C404/100*K399,0)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ROUND(O404*$C404/100*O399,0)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ROUND(S404*$C404/100*S399,0)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 hidden="1">
      <c r="A405" s="1" t="s">
        <v>388</v>
      </c>
      <c r="B405" s="1"/>
      <c r="C405" s="304">
        <f>'Rate Design Work eff 10-14-16'!C404</f>
        <v>0</v>
      </c>
      <c r="D405" s="320">
        <f>'Rate Design Work eff 10-14-16'!D404</f>
        <v>7.218</v>
      </c>
      <c r="E405" s="308" t="s">
        <v>364</v>
      </c>
      <c r="F405" s="2">
        <f>ROUND(D405*$C405/100*D399,0)</f>
        <v>0</v>
      </c>
      <c r="G405" s="320">
        <f ca="1">G393</f>
        <v>7.3410000000000002</v>
      </c>
      <c r="H405" s="308" t="s">
        <v>364</v>
      </c>
      <c r="I405" s="2">
        <f ca="1">ROUND(G405*$C405/100*G399,0)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ROUND(K405*$C405/100*K399,0)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ROUND(O405*$C405/100*O399,0)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ROUND(S405*$C405/100*S399,0)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 hidden="1">
      <c r="A406" s="1" t="s">
        <v>389</v>
      </c>
      <c r="B406" s="1"/>
      <c r="C406" s="304">
        <f>'Rate Design Work eff 10-14-16'!C405</f>
        <v>0</v>
      </c>
      <c r="D406" s="320">
        <f>'Rate Design Work eff 10-14-16'!D405</f>
        <v>6.218</v>
      </c>
      <c r="E406" s="308" t="s">
        <v>364</v>
      </c>
      <c r="F406" s="2">
        <f>ROUND(D406*$C406/100*D399,0)</f>
        <v>0</v>
      </c>
      <c r="G406" s="320">
        <f ca="1">G394</f>
        <v>6.3240000000000007</v>
      </c>
      <c r="H406" s="308" t="s">
        <v>364</v>
      </c>
      <c r="I406" s="2">
        <f ca="1">ROUND(G406*$C406/100*G399,0)</f>
        <v>0</v>
      </c>
      <c r="J406" s="2"/>
      <c r="K406" s="320" t="e">
        <f ca="1">K394</f>
        <v>#REF!</v>
      </c>
      <c r="L406" s="308" t="s">
        <v>364</v>
      </c>
      <c r="M406" s="2" t="e">
        <f ca="1">ROUND(K406*$C406/100*K399,0)</f>
        <v>#REF!</v>
      </c>
      <c r="N406" s="2"/>
      <c r="O406" s="320" t="e">
        <f ca="1">O394</f>
        <v>#DIV/0!</v>
      </c>
      <c r="P406" s="308" t="s">
        <v>364</v>
      </c>
      <c r="Q406" s="2" t="e">
        <f ca="1">ROUND(O406*$C406/100*O399,0)</f>
        <v>#DIV/0!</v>
      </c>
      <c r="R406" s="2"/>
      <c r="S406" s="320" t="e">
        <f ca="1">S394</f>
        <v>#DIV/0!</v>
      </c>
      <c r="T406" s="308" t="s">
        <v>364</v>
      </c>
      <c r="U406" s="2" t="e">
        <f ca="1">ROUND(S406*$C406/100*S399,0)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 hidden="1">
      <c r="A407" s="1" t="s">
        <v>390</v>
      </c>
      <c r="B407" s="1"/>
      <c r="C407" s="304">
        <f>'Rate Design Work eff 10-14-16'!C406</f>
        <v>0</v>
      </c>
      <c r="D407" s="321">
        <f>'Rate Design Work eff 10-14-16'!D406</f>
        <v>56</v>
      </c>
      <c r="E407" s="308" t="s">
        <v>364</v>
      </c>
      <c r="F407" s="2">
        <f>ROUND(D407*$C407/100*D399,0)</f>
        <v>0</v>
      </c>
      <c r="G407" s="321">
        <f ca="1">G395</f>
        <v>57</v>
      </c>
      <c r="H407" s="308" t="s">
        <v>364</v>
      </c>
      <c r="I407" s="2">
        <f ca="1">ROUND(G407*$C407/100*G399,0)</f>
        <v>0</v>
      </c>
      <c r="J407" s="2"/>
      <c r="K407" s="321" t="str">
        <f>K395</f>
        <v xml:space="preserve"> </v>
      </c>
      <c r="L407" s="308" t="s">
        <v>364</v>
      </c>
      <c r="M407" s="2">
        <f>ROUND(K407*$C407/100*K399,0)</f>
        <v>0</v>
      </c>
      <c r="N407" s="2"/>
      <c r="O407" s="321" t="e">
        <f>O395</f>
        <v>#DIV/0!</v>
      </c>
      <c r="P407" s="308" t="s">
        <v>364</v>
      </c>
      <c r="Q407" s="2" t="e">
        <f>ROUND(O407*$C407/100*O399,0)</f>
        <v>#DIV/0!</v>
      </c>
      <c r="R407" s="2"/>
      <c r="S407" s="321" t="e">
        <f>S395</f>
        <v>#DIV/0!</v>
      </c>
      <c r="T407" s="308" t="s">
        <v>364</v>
      </c>
      <c r="U407" s="2" t="e">
        <f>ROUND(S407*$C407/100*S399,0)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 hidden="1">
      <c r="A408" s="1" t="s">
        <v>397</v>
      </c>
      <c r="B408" s="1"/>
      <c r="C408" s="304">
        <f>'Rate Design Work eff 10-14-16'!C407</f>
        <v>0</v>
      </c>
      <c r="D408" s="322">
        <f>'Rate Design Work eff 10-14-16'!D407</f>
        <v>60</v>
      </c>
      <c r="E408" s="308"/>
      <c r="F408" s="2">
        <f>ROUND(D408*C408,0)</f>
        <v>0</v>
      </c>
      <c r="G408" s="322">
        <f>$G$198</f>
        <v>60</v>
      </c>
      <c r="H408" s="308"/>
      <c r="I408" s="2">
        <f>ROUND(G408*$C408,0)</f>
        <v>0</v>
      </c>
      <c r="J408" s="2"/>
      <c r="K408" s="322" t="str">
        <f>$K$198</f>
        <v xml:space="preserve"> </v>
      </c>
      <c r="L408" s="308"/>
      <c r="M408" s="2">
        <f>ROUND(K408*$C408,0)</f>
        <v>0</v>
      </c>
      <c r="N408" s="2"/>
      <c r="O408" s="322" t="e">
        <f>$O$198</f>
        <v>#DIV/0!</v>
      </c>
      <c r="P408" s="308"/>
      <c r="Q408" s="2" t="e">
        <f>ROUND(O408*$C408,0)</f>
        <v>#DIV/0!</v>
      </c>
      <c r="R408" s="2"/>
      <c r="S408" s="322" t="e">
        <f>$S$198</f>
        <v>#DIV/0!</v>
      </c>
      <c r="T408" s="308"/>
      <c r="U408" s="2" t="e">
        <f>ROUND(S408*$C408,0)</f>
        <v>#DIV/0!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hidden="1">
      <c r="A409" s="1" t="s">
        <v>398</v>
      </c>
      <c r="B409" s="1"/>
      <c r="C409" s="304">
        <f>'Rate Design Work eff 10-14-16'!C408</f>
        <v>0</v>
      </c>
      <c r="D409" s="324">
        <f>'Rate Design Work eff 10-14-16'!D408</f>
        <v>-30</v>
      </c>
      <c r="E409" s="308" t="s">
        <v>364</v>
      </c>
      <c r="F409" s="2">
        <f>ROUND(D409*C409/100,0)</f>
        <v>0</v>
      </c>
      <c r="G409" s="324">
        <f>$G$199</f>
        <v>-30</v>
      </c>
      <c r="H409" s="308" t="s">
        <v>364</v>
      </c>
      <c r="I409" s="2">
        <f>ROUND(G409*$C409/100,0)</f>
        <v>0</v>
      </c>
      <c r="J409" s="2"/>
      <c r="K409" s="324">
        <f>$K$199</f>
        <v>-30</v>
      </c>
      <c r="L409" s="308" t="s">
        <v>364</v>
      </c>
      <c r="M409" s="2">
        <f>ROUND(K409*$C409/100,0)</f>
        <v>0</v>
      </c>
      <c r="N409" s="2"/>
      <c r="O409" s="324" t="str">
        <f>$O$199</f>
        <v xml:space="preserve"> </v>
      </c>
      <c r="P409" s="308" t="s">
        <v>364</v>
      </c>
      <c r="Q409" s="2">
        <f>ROUND(O409*$C409/100,0)</f>
        <v>0</v>
      </c>
      <c r="R409" s="2"/>
      <c r="S409" s="324" t="str">
        <f>$S$199</f>
        <v xml:space="preserve"> </v>
      </c>
      <c r="T409" s="308" t="s">
        <v>364</v>
      </c>
      <c r="U409" s="2">
        <f>ROUND(S409*$C409/100,0)</f>
        <v>0</v>
      </c>
      <c r="V409" s="20"/>
      <c r="W409" s="74"/>
      <c r="X409" s="74"/>
      <c r="Y409" s="74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R409" s="84"/>
    </row>
    <row r="410" spans="1:44" s="1118" customFormat="1" hidden="1">
      <c r="A410" s="968" t="s">
        <v>888</v>
      </c>
      <c r="C410" s="1122">
        <f>C404</f>
        <v>0</v>
      </c>
      <c r="D410" s="254">
        <f>'Rate Design Work eff 10-14-16'!D409</f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ROUND(G410*$C410/100*G399,0)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ROUND(K410*$C410/100*K399,0)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ROUND(O410*$C410/100*O399,0)</f>
        <v>0</v>
      </c>
      <c r="R410" s="2"/>
      <c r="S410" s="1128">
        <f>S183</f>
        <v>0</v>
      </c>
      <c r="T410" s="972" t="s">
        <v>364</v>
      </c>
      <c r="U410" s="2">
        <f>ROUND(S410*$C410/100*S399,0)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889</v>
      </c>
      <c r="C411" s="1122">
        <f>C405</f>
        <v>0</v>
      </c>
      <c r="D411" s="254">
        <f>'Rate Design Work eff 10-14-16'!D410</f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ROUND(G411*$C411/100*G399,0)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ROUND(K411*$C411/100*K399,0)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ROUND(O411*$C411/100*O399,0)</f>
        <v>0</v>
      </c>
      <c r="R411" s="2"/>
      <c r="S411" s="1128">
        <f>S184</f>
        <v>0</v>
      </c>
      <c r="T411" s="972" t="s">
        <v>364</v>
      </c>
      <c r="U411" s="2">
        <f>ROUND(S411*$C411/100*S399,0)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 s="1118" customFormat="1" hidden="1">
      <c r="A412" s="968" t="s">
        <v>890</v>
      </c>
      <c r="C412" s="1122">
        <f>C406</f>
        <v>0</v>
      </c>
      <c r="D412" s="254">
        <f>'Rate Design Work eff 10-14-16'!D411</f>
        <v>0</v>
      </c>
      <c r="E412" s="1119"/>
      <c r="F412" s="1123"/>
      <c r="G412" s="1128">
        <f>G185</f>
        <v>0</v>
      </c>
      <c r="H412" s="972" t="s">
        <v>364</v>
      </c>
      <c r="I412" s="2">
        <f>ROUND(G412*$C412/100*G399,0)</f>
        <v>0</v>
      </c>
      <c r="J412" s="2"/>
      <c r="K412" s="1128" t="str">
        <f>K185</f>
        <v xml:space="preserve"> </v>
      </c>
      <c r="L412" s="972" t="s">
        <v>364</v>
      </c>
      <c r="M412" s="2">
        <f>ROUND(K412*$C412/100*K399,0)</f>
        <v>0</v>
      </c>
      <c r="N412" s="2"/>
      <c r="O412" s="1128" t="str">
        <f>O185</f>
        <v xml:space="preserve"> </v>
      </c>
      <c r="P412" s="972" t="s">
        <v>364</v>
      </c>
      <c r="Q412" s="2">
        <f>ROUND(O412*$C412/100*O399,0)</f>
        <v>0</v>
      </c>
      <c r="R412" s="2"/>
      <c r="S412" s="1128">
        <f>S185</f>
        <v>0</v>
      </c>
      <c r="T412" s="972" t="s">
        <v>364</v>
      </c>
      <c r="U412" s="2">
        <f>ROUND(S412*$C412/100*S399,0)</f>
        <v>0</v>
      </c>
      <c r="W412" s="784"/>
      <c r="Z412" s="1125"/>
      <c r="AA412" s="1125"/>
      <c r="AF412" s="1119"/>
      <c r="AG412" s="1119"/>
      <c r="AH412" s="1119"/>
      <c r="AI412" s="1119"/>
      <c r="AJ412" s="1119"/>
      <c r="AK412" s="1119"/>
      <c r="AL412" s="1119"/>
      <c r="AM412" s="1119"/>
      <c r="AN412" s="1119"/>
      <c r="AO412" s="1119"/>
      <c r="AP412" s="1119"/>
      <c r="AR412" s="1124"/>
    </row>
    <row r="413" spans="1:44" hidden="1">
      <c r="A413" s="1" t="s">
        <v>371</v>
      </c>
      <c r="B413" s="1"/>
      <c r="C413" s="304">
        <f>SUM(C392:C394)</f>
        <v>1270469.7942953119</v>
      </c>
      <c r="D413" s="315"/>
      <c r="E413" s="308"/>
      <c r="F413" s="2">
        <f>SUM(F386:F409)</f>
        <v>168898</v>
      </c>
      <c r="G413" s="315"/>
      <c r="H413" s="308"/>
      <c r="I413" s="2">
        <f ca="1">SUM(I386:I412)</f>
        <v>171773</v>
      </c>
      <c r="J413" s="2"/>
      <c r="K413" s="315"/>
      <c r="L413" s="308"/>
      <c r="M413" s="2" t="e">
        <f ca="1">SUM(M386:M412)</f>
        <v>#REF!</v>
      </c>
      <c r="N413" s="2"/>
      <c r="O413" s="315"/>
      <c r="P413" s="308"/>
      <c r="Q413" s="2" t="e">
        <f ca="1">SUM(Q386:Q412)</f>
        <v>#DIV/0!</v>
      </c>
      <c r="R413" s="2"/>
      <c r="S413" s="315"/>
      <c r="T413" s="308"/>
      <c r="U413" s="2" t="e">
        <f ca="1">SUM(U386:U412)</f>
        <v>#DIV/0!</v>
      </c>
      <c r="V413" s="20"/>
      <c r="W413" s="74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idden="1">
      <c r="A414" s="1" t="s">
        <v>353</v>
      </c>
      <c r="B414" s="1"/>
      <c r="C414" s="334">
        <f>'Table 2'!H42</f>
        <v>8762.5736653830463</v>
      </c>
      <c r="D414" s="294"/>
      <c r="E414" s="294"/>
      <c r="F414" s="326">
        <f>'Table 3'!E42</f>
        <v>1323.3384329358348</v>
      </c>
      <c r="G414" s="294"/>
      <c r="H414" s="294"/>
      <c r="I414" s="326">
        <f>F414</f>
        <v>1323.3384329358348</v>
      </c>
      <c r="J414" s="307"/>
      <c r="K414" s="294"/>
      <c r="L414" s="294"/>
      <c r="M414" s="326" t="e">
        <f ca="1">M204/I204*I414</f>
        <v>#DIV/0!</v>
      </c>
      <c r="N414" s="307"/>
      <c r="O414" s="294"/>
      <c r="P414" s="294"/>
      <c r="Q414" s="326" t="e">
        <f ca="1">Q204/I204*I414</f>
        <v>#DIV/0!</v>
      </c>
      <c r="R414" s="307"/>
      <c r="S414" s="294"/>
      <c r="T414" s="294"/>
      <c r="U414" s="326" t="e">
        <f ca="1">U204/I204*I414</f>
        <v>#DIV/0!</v>
      </c>
      <c r="V414" s="429"/>
      <c r="W414" s="272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hidden="1" thickBot="1">
      <c r="A415" s="1" t="s">
        <v>372</v>
      </c>
      <c r="B415" s="1"/>
      <c r="C415" s="296">
        <f>SUM(C413:C414)</f>
        <v>1279232.3679606949</v>
      </c>
      <c r="D415" s="327"/>
      <c r="E415" s="330"/>
      <c r="F415" s="329">
        <f>F413+F414</f>
        <v>170221.33843293582</v>
      </c>
      <c r="G415" s="327"/>
      <c r="H415" s="330"/>
      <c r="I415" s="329">
        <f ca="1">I413+I414</f>
        <v>173096.33843293582</v>
      </c>
      <c r="J415" s="307"/>
      <c r="K415" s="327"/>
      <c r="L415" s="330"/>
      <c r="M415" s="329" t="e">
        <f ca="1">M413+M414</f>
        <v>#REF!</v>
      </c>
      <c r="N415" s="329"/>
      <c r="O415" s="327"/>
      <c r="P415" s="330"/>
      <c r="Q415" s="329" t="e">
        <f ca="1">Q413+Q414</f>
        <v>#DIV/0!</v>
      </c>
      <c r="R415" s="329"/>
      <c r="S415" s="327"/>
      <c r="T415" s="330"/>
      <c r="U415" s="329" t="e">
        <f ca="1">U413+U414</f>
        <v>#DIV/0!</v>
      </c>
      <c r="V415" s="396"/>
      <c r="W415" s="455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 ht="16.5" hidden="1" thickTop="1">
      <c r="A416" s="1"/>
      <c r="B416" s="1"/>
      <c r="C416" s="21"/>
      <c r="D416" s="322"/>
      <c r="E416" s="1"/>
      <c r="F416" s="2"/>
      <c r="G416" s="322"/>
      <c r="H416" s="1"/>
      <c r="I416" s="2" t="s">
        <v>31</v>
      </c>
      <c r="J416" s="2"/>
      <c r="K416" s="322"/>
      <c r="L416" s="1"/>
      <c r="M416" s="2" t="s">
        <v>31</v>
      </c>
      <c r="N416" s="2"/>
      <c r="O416" s="322"/>
      <c r="P416" s="1"/>
      <c r="Q416" s="2" t="s">
        <v>31</v>
      </c>
      <c r="R416" s="2"/>
      <c r="S416" s="322"/>
      <c r="T416" s="1"/>
      <c r="U416" s="2" t="s">
        <v>31</v>
      </c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 hidden="1">
      <c r="A417" s="278" t="s">
        <v>405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 hidden="1">
      <c r="A418" s="1" t="s">
        <v>404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 hidden="1">
      <c r="A420" s="1" t="s">
        <v>383</v>
      </c>
      <c r="B420" s="1"/>
      <c r="C420" s="304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 hidden="1">
      <c r="A421" s="1" t="s">
        <v>406</v>
      </c>
      <c r="B421" s="1"/>
      <c r="C421" s="304">
        <f>'Rate Design Work eff 10-14-16'!C420</f>
        <v>515.53886098354405</v>
      </c>
      <c r="D421" s="283">
        <f>'Rate Design Work eff 10-14-16'!D420</f>
        <v>9.6</v>
      </c>
      <c r="E421" s="308"/>
      <c r="F421" s="2">
        <f>ROUND(D421*$C421,0)</f>
        <v>4949</v>
      </c>
      <c r="G421" s="283">
        <f ca="1">$G$173</f>
        <v>9.76</v>
      </c>
      <c r="H421" s="308"/>
      <c r="I421" s="2">
        <f ca="1">ROUND(G421*$C421,0)</f>
        <v>5032</v>
      </c>
      <c r="J421" s="2"/>
      <c r="K421" s="283">
        <f ca="1">$K$173</f>
        <v>9.76</v>
      </c>
      <c r="L421" s="308"/>
      <c r="M421" s="2">
        <f ca="1">ROUND(K421*$C421,0)</f>
        <v>5032</v>
      </c>
      <c r="N421" s="2"/>
      <c r="O421" s="283" t="str">
        <f>$O$173</f>
        <v xml:space="preserve"> </v>
      </c>
      <c r="P421" s="308"/>
      <c r="Q421" s="2">
        <f>ROUND(O421*$C421,0)</f>
        <v>0</v>
      </c>
      <c r="R421" s="2"/>
      <c r="S421" s="283" t="str">
        <f>$S$173</f>
        <v xml:space="preserve"> </v>
      </c>
      <c r="T421" s="308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 hidden="1">
      <c r="A422" s="1" t="s">
        <v>381</v>
      </c>
      <c r="B422" s="1"/>
      <c r="C422" s="304">
        <f>'Rate Design Work eff 10-14-16'!C421</f>
        <v>0</v>
      </c>
      <c r="D422" s="283">
        <f>'Rate Design Work eff 10-14-16'!D421</f>
        <v>14.3</v>
      </c>
      <c r="E422" s="310"/>
      <c r="F422" s="2">
        <f t="shared" ref="F422:F423" si="88">ROUND(D422*$C422,0)</f>
        <v>0</v>
      </c>
      <c r="G422" s="283">
        <f ca="1">$G$174</f>
        <v>14.54</v>
      </c>
      <c r="H422" s="310"/>
      <c r="I422" s="2">
        <f ca="1">ROUND(G422*$C422,0)</f>
        <v>0</v>
      </c>
      <c r="J422" s="2"/>
      <c r="K422" s="283">
        <f ca="1">$K$174</f>
        <v>14.54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 hidden="1">
      <c r="A423" s="1" t="s">
        <v>382</v>
      </c>
      <c r="B423" s="1"/>
      <c r="C423" s="304">
        <f>'Rate Design Work eff 10-14-16'!C422</f>
        <v>0</v>
      </c>
      <c r="D423" s="283">
        <f>'Rate Design Work eff 10-14-16'!D422</f>
        <v>1</v>
      </c>
      <c r="E423" s="310"/>
      <c r="F423" s="2">
        <f t="shared" si="88"/>
        <v>0</v>
      </c>
      <c r="G423" s="283">
        <f ca="1">$G$175</f>
        <v>1.02</v>
      </c>
      <c r="H423" s="310"/>
      <c r="I423" s="2">
        <f ca="1">ROUND(G423*$C423,0)</f>
        <v>0</v>
      </c>
      <c r="J423" s="2"/>
      <c r="K423" s="283">
        <f ca="1">$K$175</f>
        <v>1.02</v>
      </c>
      <c r="L423" s="310"/>
      <c r="M423" s="2">
        <f ca="1">ROUND(K423*$C423,0)</f>
        <v>0</v>
      </c>
      <c r="N423" s="2"/>
      <c r="O423" s="283" t="str">
        <f>$O$175</f>
        <v xml:space="preserve"> </v>
      </c>
      <c r="P423" s="310"/>
      <c r="Q423" s="2">
        <f>ROUND(O423*$C423,0)</f>
        <v>0</v>
      </c>
      <c r="R423" s="2"/>
      <c r="S423" s="283" t="str">
        <f>$S$175</f>
        <v xml:space="preserve"> </v>
      </c>
      <c r="T423" s="310"/>
      <c r="U423" s="2">
        <f>ROUND(S423*$C423,0)</f>
        <v>0</v>
      </c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 hidden="1">
      <c r="A424" s="1" t="s">
        <v>384</v>
      </c>
      <c r="B424" s="1"/>
      <c r="C424" s="304">
        <f>SUM(C421:C422)</f>
        <v>515.53886098354405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 hidden="1">
      <c r="A425" s="1" t="s">
        <v>352</v>
      </c>
      <c r="B425" s="1"/>
      <c r="C425" s="304">
        <f>'Rate Design Work eff 10-14-16'!C424</f>
        <v>48</v>
      </c>
      <c r="D425" s="283"/>
      <c r="E425" s="308"/>
      <c r="F425" s="2"/>
      <c r="G425" s="283"/>
      <c r="H425" s="308"/>
      <c r="I425" s="2"/>
      <c r="J425" s="2"/>
      <c r="K425" s="283"/>
      <c r="L425" s="308"/>
      <c r="M425" s="2"/>
      <c r="N425" s="2"/>
      <c r="O425" s="283"/>
      <c r="P425" s="308"/>
      <c r="Q425" s="2"/>
      <c r="R425" s="2"/>
      <c r="S425" s="283"/>
      <c r="T425" s="308"/>
      <c r="U425" s="2"/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 hidden="1">
      <c r="A426" s="1" t="s">
        <v>385</v>
      </c>
      <c r="B426" s="1"/>
      <c r="C426" s="304">
        <f>'Rate Design Work eff 10-14-16'!C425</f>
        <v>0</v>
      </c>
      <c r="D426" s="311">
        <f>'Rate Design Work eff 10-14-16'!D425</f>
        <v>3.64</v>
      </c>
      <c r="E426" s="308"/>
      <c r="F426" s="2">
        <f>ROUND(D426*C426,0)</f>
        <v>0</v>
      </c>
      <c r="G426" s="311">
        <f ca="1">$G$178</f>
        <v>3.7</v>
      </c>
      <c r="H426" s="308"/>
      <c r="I426" s="2">
        <f ca="1">ROUND(G426*$C426,0)</f>
        <v>0</v>
      </c>
      <c r="J426" s="2"/>
      <c r="K426" s="311" t="e">
        <f ca="1">$K$178</f>
        <v>#REF!</v>
      </c>
      <c r="L426" s="308"/>
      <c r="M426" s="2" t="e">
        <f ca="1">ROUND(K426*$C426,0)</f>
        <v>#REF!</v>
      </c>
      <c r="N426" s="2"/>
      <c r="O426" s="311" t="e">
        <f ca="1">$O$178</f>
        <v>#DIV/0!</v>
      </c>
      <c r="P426" s="308"/>
      <c r="Q426" s="2" t="e">
        <f ca="1">ROUND(O426*$C426,0)</f>
        <v>#DIV/0!</v>
      </c>
      <c r="R426" s="2"/>
      <c r="S426" s="311" t="e">
        <f ca="1">$S$178</f>
        <v>#DIV/0!</v>
      </c>
      <c r="T426" s="308"/>
      <c r="U426" s="2" t="e">
        <f ca="1">ROUND(S426*$C426,0)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 hidden="1">
      <c r="A427" s="1" t="s">
        <v>387</v>
      </c>
      <c r="B427" s="1"/>
      <c r="C427" s="304">
        <f>'Rate Design Work eff 10-14-16'!C426</f>
        <v>33312</v>
      </c>
      <c r="D427" s="284">
        <f>'Rate Design Work eff 10-14-16'!D426</f>
        <v>10.449</v>
      </c>
      <c r="E427" s="308" t="s">
        <v>364</v>
      </c>
      <c r="F427" s="2">
        <f>ROUND(D427*C427/100,0)</f>
        <v>3481</v>
      </c>
      <c r="G427" s="284">
        <f ca="1">$G$179</f>
        <v>10.628</v>
      </c>
      <c r="H427" s="308" t="s">
        <v>364</v>
      </c>
      <c r="I427" s="2">
        <f ca="1">ROUND(G427*$C427/100,0)</f>
        <v>3540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 hidden="1">
      <c r="A428" s="1" t="s">
        <v>388</v>
      </c>
      <c r="B428" s="1"/>
      <c r="C428" s="304">
        <f>'Rate Design Work eff 10-14-16'!C427</f>
        <v>0</v>
      </c>
      <c r="D428" s="284">
        <f>'Rate Design Work eff 10-14-16'!D427</f>
        <v>7.218</v>
      </c>
      <c r="E428" s="308" t="s">
        <v>364</v>
      </c>
      <c r="F428" s="2">
        <f>ROUND(D428*C428/100,0)</f>
        <v>0</v>
      </c>
      <c r="G428" s="284">
        <f ca="1">$G$180</f>
        <v>7.3410000000000002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 hidden="1">
      <c r="A429" s="1" t="s">
        <v>389</v>
      </c>
      <c r="B429" s="1"/>
      <c r="C429" s="304">
        <f>'Rate Design Work eff 10-14-16'!C428</f>
        <v>0</v>
      </c>
      <c r="D429" s="284">
        <f>'Rate Design Work eff 10-14-16'!D428</f>
        <v>6.218</v>
      </c>
      <c r="E429" s="308" t="s">
        <v>364</v>
      </c>
      <c r="F429" s="2">
        <f>ROUND(D429*C429/100,0)</f>
        <v>0</v>
      </c>
      <c r="G429" s="284">
        <f ca="1">$G$181</f>
        <v>6.3240000000000007</v>
      </c>
      <c r="H429" s="308" t="s">
        <v>364</v>
      </c>
      <c r="I429" s="2">
        <f ca="1">ROUND(G429*$C429/100,0)</f>
        <v>0</v>
      </c>
      <c r="J429" s="2"/>
      <c r="K429" s="284" t="e">
        <f ca="1">$K$181</f>
        <v>#REF!</v>
      </c>
      <c r="L429" s="308" t="s">
        <v>364</v>
      </c>
      <c r="M429" s="2" t="e">
        <f ca="1">ROUND(K429*$C429/100,0)</f>
        <v>#REF!</v>
      </c>
      <c r="N429" s="2"/>
      <c r="O429" s="284" t="e">
        <f ca="1">$O$181</f>
        <v>#DIV/0!</v>
      </c>
      <c r="P429" s="308" t="s">
        <v>364</v>
      </c>
      <c r="Q429" s="2" t="e">
        <f ca="1">ROUND(O429*$C429/100,0)</f>
        <v>#DIV/0!</v>
      </c>
      <c r="R429" s="2"/>
      <c r="S429" s="284" t="e">
        <f ca="1">$S$181</f>
        <v>#DIV/0!</v>
      </c>
      <c r="T429" s="308" t="s">
        <v>364</v>
      </c>
      <c r="U429" s="2" t="e">
        <f ca="1"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hidden="1">
      <c r="A430" s="1" t="s">
        <v>390</v>
      </c>
      <c r="B430" s="1"/>
      <c r="C430" s="304">
        <f>'Rate Design Work eff 10-14-16'!C429</f>
        <v>0</v>
      </c>
      <c r="D430" s="315">
        <f>'Rate Design Work eff 10-14-16'!D429</f>
        <v>56</v>
      </c>
      <c r="E430" s="308" t="s">
        <v>364</v>
      </c>
      <c r="F430" s="2">
        <f>ROUND(D430*C430/100,0)</f>
        <v>0</v>
      </c>
      <c r="G430" s="315">
        <f ca="1">$G$182</f>
        <v>57</v>
      </c>
      <c r="H430" s="308" t="s">
        <v>364</v>
      </c>
      <c r="I430" s="2">
        <f ca="1">ROUND(G430*$C430/100,0)</f>
        <v>0</v>
      </c>
      <c r="J430" s="2"/>
      <c r="K430" s="315" t="str">
        <f>$K$182</f>
        <v xml:space="preserve"> </v>
      </c>
      <c r="L430" s="308" t="s">
        <v>364</v>
      </c>
      <c r="M430" s="2">
        <f>ROUND(K430*$C430/100,0)</f>
        <v>0</v>
      </c>
      <c r="N430" s="2"/>
      <c r="O430" s="315" t="e">
        <f>$O$182</f>
        <v>#DIV/0!</v>
      </c>
      <c r="P430" s="308" t="s">
        <v>364</v>
      </c>
      <c r="Q430" s="2" t="e">
        <f>ROUND(O430*$C430/100,0)</f>
        <v>#DIV/0!</v>
      </c>
      <c r="R430" s="2"/>
      <c r="S430" s="315" t="e">
        <f>$S$182</f>
        <v>#DIV/0!</v>
      </c>
      <c r="T430" s="308" t="s">
        <v>364</v>
      </c>
      <c r="U430" s="2" t="e">
        <f>ROUND(S430*$C430/100,0)</f>
        <v>#DIV/0!</v>
      </c>
      <c r="V430" s="20"/>
      <c r="W430" s="74"/>
      <c r="X430" s="74"/>
      <c r="Y430" s="74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R430" s="84"/>
    </row>
    <row r="431" spans="1:44" s="1118" customFormat="1" hidden="1">
      <c r="A431" s="968" t="s">
        <v>888</v>
      </c>
      <c r="C431" s="1122">
        <f>C427</f>
        <v>33312</v>
      </c>
      <c r="D431" s="254">
        <f>'Rate Design Work eff 10-14-16'!D430</f>
        <v>0</v>
      </c>
      <c r="E431" s="1119"/>
      <c r="F431" s="1123"/>
      <c r="G431" s="1128">
        <f>G183</f>
        <v>0</v>
      </c>
      <c r="H431" s="972" t="s">
        <v>364</v>
      </c>
      <c r="I431" s="1123">
        <f t="shared" ref="I431:I433" si="89">ROUND(G431*$C431/100,0)</f>
        <v>0</v>
      </c>
      <c r="J431" s="1123"/>
      <c r="K431" s="1128" t="str">
        <f>K183</f>
        <v xml:space="preserve"> </v>
      </c>
      <c r="L431" s="972" t="s">
        <v>364</v>
      </c>
      <c r="M431" s="1123">
        <f t="shared" ref="M431:M433" si="90">ROUND(K431*$C431/100,0)</f>
        <v>0</v>
      </c>
      <c r="N431" s="1123"/>
      <c r="O431" s="1128" t="str">
        <f>O183</f>
        <v xml:space="preserve"> </v>
      </c>
      <c r="P431" s="972" t="s">
        <v>364</v>
      </c>
      <c r="Q431" s="1123">
        <f t="shared" ref="Q431:Q433" si="91">ROUND(O431*$C431/100,0)</f>
        <v>0</v>
      </c>
      <c r="R431" s="1123"/>
      <c r="S431" s="1128">
        <f>S183</f>
        <v>0</v>
      </c>
      <c r="T431" s="972" t="s">
        <v>364</v>
      </c>
      <c r="U431" s="1123">
        <f t="shared" ref="U431:U433" si="92">ROUND(S431*$C431/100,0)</f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889</v>
      </c>
      <c r="C432" s="1122">
        <f>C428</f>
        <v>0</v>
      </c>
      <c r="D432" s="254">
        <f>'Rate Design Work eff 10-14-16'!D431</f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89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0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1"/>
        <v>0</v>
      </c>
      <c r="R432" s="1123"/>
      <c r="S432" s="1128">
        <f>S184</f>
        <v>0</v>
      </c>
      <c r="T432" s="972" t="s">
        <v>364</v>
      </c>
      <c r="U432" s="1123">
        <f t="shared" si="92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 s="1118" customFormat="1" hidden="1">
      <c r="A433" s="968" t="s">
        <v>890</v>
      </c>
      <c r="C433" s="1122">
        <f>C429</f>
        <v>0</v>
      </c>
      <c r="D433" s="254">
        <f>'Rate Design Work eff 10-14-16'!D432</f>
        <v>0</v>
      </c>
      <c r="E433" s="1119"/>
      <c r="F433" s="1123"/>
      <c r="G433" s="1128">
        <f>G185</f>
        <v>0</v>
      </c>
      <c r="H433" s="972" t="s">
        <v>364</v>
      </c>
      <c r="I433" s="1123">
        <f t="shared" si="89"/>
        <v>0</v>
      </c>
      <c r="J433" s="1123"/>
      <c r="K433" s="1128" t="str">
        <f>K185</f>
        <v xml:space="preserve"> </v>
      </c>
      <c r="L433" s="972" t="s">
        <v>364</v>
      </c>
      <c r="M433" s="1123">
        <f t="shared" si="90"/>
        <v>0</v>
      </c>
      <c r="N433" s="1123"/>
      <c r="O433" s="1128" t="str">
        <f>O185</f>
        <v xml:space="preserve"> </v>
      </c>
      <c r="P433" s="972" t="s">
        <v>364</v>
      </c>
      <c r="Q433" s="1123">
        <f t="shared" si="91"/>
        <v>0</v>
      </c>
      <c r="R433" s="1123"/>
      <c r="S433" s="1128">
        <f>S185</f>
        <v>0</v>
      </c>
      <c r="T433" s="972" t="s">
        <v>364</v>
      </c>
      <c r="U433" s="1123">
        <f t="shared" si="92"/>
        <v>0</v>
      </c>
      <c r="W433" s="784"/>
      <c r="Z433" s="1125"/>
      <c r="AA433" s="1125"/>
      <c r="AF433" s="1119"/>
      <c r="AG433" s="1119"/>
      <c r="AH433" s="1119"/>
      <c r="AI433" s="1119"/>
      <c r="AJ433" s="1119"/>
      <c r="AK433" s="1119"/>
      <c r="AL433" s="1119"/>
      <c r="AM433" s="1119"/>
      <c r="AN433" s="1119"/>
      <c r="AO433" s="1119"/>
      <c r="AP433" s="1119"/>
      <c r="AR433" s="1124"/>
    </row>
    <row r="434" spans="1:44" hidden="1">
      <c r="A434" s="316" t="s">
        <v>391</v>
      </c>
      <c r="B434" s="1"/>
      <c r="C434" s="304"/>
      <c r="D434" s="317">
        <f>'Rate Design Work eff 10-14-16'!D433</f>
        <v>-0.01</v>
      </c>
      <c r="E434" s="308"/>
      <c r="F434" s="2"/>
      <c r="G434" s="317">
        <v>-0.01</v>
      </c>
      <c r="H434" s="308"/>
      <c r="I434" s="2"/>
      <c r="J434" s="2"/>
      <c r="K434" s="317">
        <v>-0.01</v>
      </c>
      <c r="L434" s="308"/>
      <c r="M434" s="2"/>
      <c r="N434" s="2"/>
      <c r="O434" s="317">
        <v>-0.01</v>
      </c>
      <c r="P434" s="308"/>
      <c r="Q434" s="2"/>
      <c r="R434" s="2"/>
      <c r="S434" s="317">
        <v>-0.01</v>
      </c>
      <c r="T434" s="308"/>
      <c r="U434" s="2"/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 hidden="1">
      <c r="A435" s="1" t="s">
        <v>380</v>
      </c>
      <c r="B435" s="1"/>
      <c r="C435" s="304">
        <v>0</v>
      </c>
      <c r="D435" s="319">
        <f>'Rate Design Work eff 10-14-16'!D434</f>
        <v>9.6</v>
      </c>
      <c r="E435" s="306"/>
      <c r="F435" s="2">
        <f>-ROUND(D435*$C435/100,0)</f>
        <v>0</v>
      </c>
      <c r="G435" s="319">
        <f ca="1">G421</f>
        <v>9.76</v>
      </c>
      <c r="H435" s="306"/>
      <c r="I435" s="2">
        <f ca="1">-ROUND(G435*$C435/100,0)</f>
        <v>0</v>
      </c>
      <c r="J435" s="2"/>
      <c r="K435" s="319">
        <f ca="1">K421</f>
        <v>9.76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 hidden="1">
      <c r="A436" s="1" t="s">
        <v>381</v>
      </c>
      <c r="B436" s="1"/>
      <c r="C436" s="304">
        <v>0</v>
      </c>
      <c r="D436" s="319">
        <f>'Rate Design Work eff 10-14-16'!D435</f>
        <v>14.3</v>
      </c>
      <c r="E436" s="306"/>
      <c r="F436" s="2">
        <f t="shared" ref="F436:F438" si="93">-ROUND(D436*$C436/100,0)</f>
        <v>0</v>
      </c>
      <c r="G436" s="319">
        <f ca="1">G422</f>
        <v>14.54</v>
      </c>
      <c r="H436" s="306"/>
      <c r="I436" s="2">
        <f ca="1">-ROUND(G436*$C436/100,0)</f>
        <v>0</v>
      </c>
      <c r="J436" s="2"/>
      <c r="K436" s="319">
        <f ca="1">K422</f>
        <v>14.54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 hidden="1">
      <c r="A437" s="1" t="s">
        <v>392</v>
      </c>
      <c r="B437" s="1"/>
      <c r="C437" s="304">
        <v>0</v>
      </c>
      <c r="D437" s="319">
        <f>'Rate Design Work eff 10-14-16'!D436</f>
        <v>1</v>
      </c>
      <c r="E437" s="306"/>
      <c r="F437" s="2">
        <f t="shared" si="93"/>
        <v>0</v>
      </c>
      <c r="G437" s="319">
        <f ca="1">G423</f>
        <v>1.02</v>
      </c>
      <c r="H437" s="306"/>
      <c r="I437" s="2">
        <f ca="1">-ROUND(G437*$C437/100,0)</f>
        <v>0</v>
      </c>
      <c r="J437" s="2"/>
      <c r="K437" s="319">
        <f ca="1">K423</f>
        <v>1.02</v>
      </c>
      <c r="L437" s="306"/>
      <c r="M437" s="2">
        <f ca="1">-ROUND(K437*$C437/100,0)</f>
        <v>0</v>
      </c>
      <c r="N437" s="2"/>
      <c r="O437" s="319" t="str">
        <f>O423</f>
        <v xml:space="preserve"> </v>
      </c>
      <c r="P437" s="306"/>
      <c r="Q437" s="2">
        <f>-ROUND(O437*$C437/100,0)</f>
        <v>0</v>
      </c>
      <c r="R437" s="2"/>
      <c r="S437" s="319" t="str">
        <f>S423</f>
        <v xml:space="preserve"> </v>
      </c>
      <c r="T437" s="306"/>
      <c r="U437" s="2">
        <f>-ROUND(S437*$C437/100,0)</f>
        <v>0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 hidden="1">
      <c r="A438" s="1" t="s">
        <v>393</v>
      </c>
      <c r="B438" s="1"/>
      <c r="C438" s="304">
        <v>0</v>
      </c>
      <c r="D438" s="319">
        <f>'Rate Design Work eff 10-14-16'!D437</f>
        <v>3.64</v>
      </c>
      <c r="E438" s="308"/>
      <c r="F438" s="2">
        <f t="shared" si="93"/>
        <v>0</v>
      </c>
      <c r="G438" s="319">
        <f ca="1">G426</f>
        <v>3.7</v>
      </c>
      <c r="H438" s="308"/>
      <c r="I438" s="2">
        <f ca="1">-ROUND(G438*$C438/100,0)</f>
        <v>0</v>
      </c>
      <c r="J438" s="2"/>
      <c r="K438" s="319" t="e">
        <f ca="1">K426</f>
        <v>#REF!</v>
      </c>
      <c r="L438" s="308"/>
      <c r="M438" s="2" t="e">
        <f ca="1">-ROUND(K438*$C438/100,0)</f>
        <v>#REF!</v>
      </c>
      <c r="N438" s="2"/>
      <c r="O438" s="319" t="e">
        <f ca="1">O426</f>
        <v>#DIV/0!</v>
      </c>
      <c r="P438" s="308"/>
      <c r="Q438" s="2" t="e">
        <f ca="1">-ROUND(O438*$C438/100,0)</f>
        <v>#DIV/0!</v>
      </c>
      <c r="R438" s="2"/>
      <c r="S438" s="319" t="e">
        <f ca="1">S426</f>
        <v>#DIV/0!</v>
      </c>
      <c r="T438" s="308"/>
      <c r="U438" s="2" t="e">
        <f ca="1">-ROUND(S438*$C438/100,0)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 hidden="1">
      <c r="A439" s="1" t="s">
        <v>395</v>
      </c>
      <c r="B439" s="1"/>
      <c r="C439" s="304">
        <v>0</v>
      </c>
      <c r="D439" s="320">
        <f>'Rate Design Work eff 10-14-16'!D438</f>
        <v>10.449</v>
      </c>
      <c r="E439" s="308" t="s">
        <v>364</v>
      </c>
      <c r="F439" s="2">
        <f>ROUND(D439*$C439/100*D434,0)</f>
        <v>0</v>
      </c>
      <c r="G439" s="320">
        <f ca="1">G427</f>
        <v>10.628</v>
      </c>
      <c r="H439" s="308" t="s">
        <v>364</v>
      </c>
      <c r="I439" s="2">
        <f ca="1">ROUND(G439*$C439/100*G434,0)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ROUND(K439*$C439/100*K434,0)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ROUND(O439*$C439/100*O434,0)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ROUND(S439*$C439/100*S434,0)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 hidden="1">
      <c r="A440" s="1" t="s">
        <v>388</v>
      </c>
      <c r="B440" s="1"/>
      <c r="C440" s="304">
        <v>0</v>
      </c>
      <c r="D440" s="320">
        <f>'Rate Design Work eff 10-14-16'!D439</f>
        <v>7.218</v>
      </c>
      <c r="E440" s="308" t="s">
        <v>364</v>
      </c>
      <c r="F440" s="2">
        <f>ROUND(D440*$C440/100*D434,0)</f>
        <v>0</v>
      </c>
      <c r="G440" s="320">
        <f ca="1">G428</f>
        <v>7.3410000000000002</v>
      </c>
      <c r="H440" s="308" t="s">
        <v>364</v>
      </c>
      <c r="I440" s="2">
        <f ca="1">ROUND(G440*$C440/100*G434,0)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ROUND(K440*$C440/100*K434,0)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ROUND(O440*$C440/100*O434,0)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ROUND(S440*$C440/100*S434,0)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 hidden="1">
      <c r="A441" s="1" t="s">
        <v>389</v>
      </c>
      <c r="B441" s="1"/>
      <c r="C441" s="304">
        <v>0</v>
      </c>
      <c r="D441" s="320">
        <f>'Rate Design Work eff 10-14-16'!D440</f>
        <v>6.218</v>
      </c>
      <c r="E441" s="308" t="s">
        <v>364</v>
      </c>
      <c r="F441" s="2">
        <f>ROUND(D441*$C441/100*D434,0)</f>
        <v>0</v>
      </c>
      <c r="G441" s="320">
        <f ca="1">G429</f>
        <v>6.3240000000000007</v>
      </c>
      <c r="H441" s="308" t="s">
        <v>364</v>
      </c>
      <c r="I441" s="2">
        <f ca="1">ROUND(G441*$C441/100*G434,0)</f>
        <v>0</v>
      </c>
      <c r="J441" s="2"/>
      <c r="K441" s="320" t="e">
        <f ca="1">K429</f>
        <v>#REF!</v>
      </c>
      <c r="L441" s="308" t="s">
        <v>364</v>
      </c>
      <c r="M441" s="2" t="e">
        <f ca="1">ROUND(K441*$C441/100*K434,0)</f>
        <v>#REF!</v>
      </c>
      <c r="N441" s="2"/>
      <c r="O441" s="320" t="e">
        <f ca="1">O429</f>
        <v>#DIV/0!</v>
      </c>
      <c r="P441" s="308" t="s">
        <v>364</v>
      </c>
      <c r="Q441" s="2" t="e">
        <f ca="1">ROUND(O441*$C441/100*O434,0)</f>
        <v>#DIV/0!</v>
      </c>
      <c r="R441" s="2"/>
      <c r="S441" s="320" t="e">
        <f ca="1">S429</f>
        <v>#DIV/0!</v>
      </c>
      <c r="T441" s="308" t="s">
        <v>364</v>
      </c>
      <c r="U441" s="2" t="e">
        <f ca="1">ROUND(S441*$C441/100*S434,0)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 hidden="1">
      <c r="A442" s="1" t="s">
        <v>390</v>
      </c>
      <c r="B442" s="1"/>
      <c r="C442" s="304">
        <v>0</v>
      </c>
      <c r="D442" s="321">
        <f>'Rate Design Work eff 10-14-16'!D441</f>
        <v>56</v>
      </c>
      <c r="E442" s="308" t="s">
        <v>364</v>
      </c>
      <c r="F442" s="2">
        <f>ROUND(D442*$C442/100*D434,0)</f>
        <v>0</v>
      </c>
      <c r="G442" s="321">
        <f ca="1">G430</f>
        <v>57</v>
      </c>
      <c r="H442" s="308" t="s">
        <v>364</v>
      </c>
      <c r="I442" s="2">
        <f ca="1">ROUND(G442*$C442/100*G434,0)</f>
        <v>0</v>
      </c>
      <c r="J442" s="2"/>
      <c r="K442" s="321" t="str">
        <f>K430</f>
        <v xml:space="preserve"> </v>
      </c>
      <c r="L442" s="308" t="s">
        <v>364</v>
      </c>
      <c r="M442" s="2">
        <f>ROUND(K442*$C442/100*K434,0)</f>
        <v>0</v>
      </c>
      <c r="N442" s="2"/>
      <c r="O442" s="321" t="e">
        <f>O430</f>
        <v>#DIV/0!</v>
      </c>
      <c r="P442" s="308" t="s">
        <v>364</v>
      </c>
      <c r="Q442" s="2" t="e">
        <f>ROUND(O442*$C442/100*O434,0)</f>
        <v>#DIV/0!</v>
      </c>
      <c r="R442" s="2"/>
      <c r="S442" s="321" t="e">
        <f>S430</f>
        <v>#DIV/0!</v>
      </c>
      <c r="T442" s="308" t="s">
        <v>364</v>
      </c>
      <c r="U442" s="2" t="e">
        <f>ROUND(S442*$C442/100*S434,0)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 hidden="1">
      <c r="A443" s="1" t="s">
        <v>397</v>
      </c>
      <c r="B443" s="1"/>
      <c r="C443" s="304">
        <v>0</v>
      </c>
      <c r="D443" s="322">
        <f>'Rate Design Work eff 10-14-16'!D442</f>
        <v>60</v>
      </c>
      <c r="E443" s="308"/>
      <c r="F443" s="2">
        <f>ROUND(D443*C443,0)</f>
        <v>0</v>
      </c>
      <c r="G443" s="322">
        <f>$G$198</f>
        <v>60</v>
      </c>
      <c r="H443" s="308"/>
      <c r="I443" s="2">
        <f>ROUND(G443*$C443,0)</f>
        <v>0</v>
      </c>
      <c r="J443" s="2"/>
      <c r="K443" s="322" t="str">
        <f>$K$198</f>
        <v xml:space="preserve"> </v>
      </c>
      <c r="L443" s="308"/>
      <c r="M443" s="2">
        <f>ROUND(K443*$C443,0)</f>
        <v>0</v>
      </c>
      <c r="N443" s="2"/>
      <c r="O443" s="322" t="e">
        <f>$O$198</f>
        <v>#DIV/0!</v>
      </c>
      <c r="P443" s="308"/>
      <c r="Q443" s="2" t="e">
        <f>ROUND(O443*$C443,0)</f>
        <v>#DIV/0!</v>
      </c>
      <c r="R443" s="2"/>
      <c r="S443" s="322" t="e">
        <f>$S$198</f>
        <v>#DIV/0!</v>
      </c>
      <c r="T443" s="308"/>
      <c r="U443" s="2" t="e">
        <f>ROUND(S443*$C443,0)</f>
        <v>#DIV/0!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hidden="1">
      <c r="A444" s="1" t="s">
        <v>398</v>
      </c>
      <c r="B444" s="1"/>
      <c r="C444" s="304">
        <v>0</v>
      </c>
      <c r="D444" s="324">
        <f>'Rate Design Work eff 10-14-16'!D443</f>
        <v>-30</v>
      </c>
      <c r="E444" s="308" t="s">
        <v>364</v>
      </c>
      <c r="F444" s="2">
        <f>ROUND(D444*C444/100,0)</f>
        <v>0</v>
      </c>
      <c r="G444" s="324">
        <f>$G$199</f>
        <v>-30</v>
      </c>
      <c r="H444" s="308" t="s">
        <v>364</v>
      </c>
      <c r="I444" s="2">
        <f>ROUND(G444*$C444/100,0)</f>
        <v>0</v>
      </c>
      <c r="J444" s="2"/>
      <c r="K444" s="324">
        <f>$K$199</f>
        <v>-30</v>
      </c>
      <c r="L444" s="308" t="s">
        <v>364</v>
      </c>
      <c r="M444" s="2">
        <f>ROUND(K444*$C444/100,0)</f>
        <v>0</v>
      </c>
      <c r="N444" s="2"/>
      <c r="O444" s="324" t="str">
        <f>$O$199</f>
        <v xml:space="preserve"> </v>
      </c>
      <c r="P444" s="308" t="s">
        <v>364</v>
      </c>
      <c r="Q444" s="2">
        <f>ROUND(O444*$C444/100,0)</f>
        <v>0</v>
      </c>
      <c r="R444" s="2"/>
      <c r="S444" s="324" t="str">
        <f>$S$199</f>
        <v xml:space="preserve"> </v>
      </c>
      <c r="T444" s="308" t="s">
        <v>364</v>
      </c>
      <c r="U444" s="2">
        <f>ROUND(S444*$C444/100,0)</f>
        <v>0</v>
      </c>
      <c r="V444" s="20"/>
      <c r="W444" s="74"/>
      <c r="X444" s="74"/>
      <c r="Y444" s="74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R444" s="84"/>
    </row>
    <row r="445" spans="1:44" s="1118" customFormat="1" hidden="1">
      <c r="A445" s="968" t="s">
        <v>888</v>
      </c>
      <c r="C445" s="1122">
        <f>C439</f>
        <v>0</v>
      </c>
      <c r="D445" s="254">
        <f>'Rate Design Work eff 10-14-16'!D444</f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ROUND(G445*$C445/100*G434,0)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ROUND(K445*$C445/100*K434,0)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ROUND(O445*$C445/100*O434,0)</f>
        <v>0</v>
      </c>
      <c r="R445" s="2"/>
      <c r="S445" s="1128">
        <f>S183</f>
        <v>0</v>
      </c>
      <c r="T445" s="972" t="s">
        <v>364</v>
      </c>
      <c r="U445" s="2">
        <f>ROUND(S445*$C445/100*S434,0)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889</v>
      </c>
      <c r="C446" s="1122">
        <f>C440</f>
        <v>0</v>
      </c>
      <c r="D446" s="254">
        <f>'Rate Design Work eff 10-14-16'!D445</f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ROUND(G446*$C446/100*G434,0)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ROUND(K446*$C446/100*K434,0)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ROUND(O446*$C446/100*O434,0)</f>
        <v>0</v>
      </c>
      <c r="R446" s="2"/>
      <c r="S446" s="1128">
        <f>S184</f>
        <v>0</v>
      </c>
      <c r="T446" s="972" t="s">
        <v>364</v>
      </c>
      <c r="U446" s="2">
        <f>ROUND(S446*$C446/100*S434,0)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 s="1118" customFormat="1" hidden="1">
      <c r="A447" s="968" t="s">
        <v>890</v>
      </c>
      <c r="C447" s="1122">
        <f>C441</f>
        <v>0</v>
      </c>
      <c r="D447" s="254">
        <f>'Rate Design Work eff 10-14-16'!D446</f>
        <v>0</v>
      </c>
      <c r="E447" s="1119"/>
      <c r="F447" s="1123"/>
      <c r="G447" s="1128">
        <f>G185</f>
        <v>0</v>
      </c>
      <c r="H447" s="972" t="s">
        <v>364</v>
      </c>
      <c r="I447" s="2">
        <f>ROUND(G447*$C447/100*G434,0)</f>
        <v>0</v>
      </c>
      <c r="J447" s="2"/>
      <c r="K447" s="1128" t="str">
        <f>K185</f>
        <v xml:space="preserve"> </v>
      </c>
      <c r="L447" s="972" t="s">
        <v>364</v>
      </c>
      <c r="M447" s="2">
        <f>ROUND(K447*$C447/100*K434,0)</f>
        <v>0</v>
      </c>
      <c r="N447" s="2"/>
      <c r="O447" s="1128" t="str">
        <f>O185</f>
        <v xml:space="preserve"> </v>
      </c>
      <c r="P447" s="972" t="s">
        <v>364</v>
      </c>
      <c r="Q447" s="2">
        <f>ROUND(O447*$C447/100*O434,0)</f>
        <v>0</v>
      </c>
      <c r="R447" s="2"/>
      <c r="S447" s="1128">
        <f>S185</f>
        <v>0</v>
      </c>
      <c r="T447" s="972" t="s">
        <v>364</v>
      </c>
      <c r="U447" s="2">
        <f>ROUND(S447*$C447/100*S434,0)</f>
        <v>0</v>
      </c>
      <c r="W447" s="784"/>
      <c r="Z447" s="1125"/>
      <c r="AA447" s="1125"/>
      <c r="AF447" s="1119"/>
      <c r="AG447" s="1119"/>
      <c r="AH447" s="1119"/>
      <c r="AI447" s="1119"/>
      <c r="AJ447" s="1119"/>
      <c r="AK447" s="1119"/>
      <c r="AL447" s="1119"/>
      <c r="AM447" s="1119"/>
      <c r="AN447" s="1119"/>
      <c r="AO447" s="1119"/>
      <c r="AP447" s="1119"/>
      <c r="AR447" s="1124"/>
    </row>
    <row r="448" spans="1:44" hidden="1">
      <c r="A448" s="1" t="s">
        <v>371</v>
      </c>
      <c r="B448" s="1"/>
      <c r="C448" s="304">
        <f>SUM(C427:C429)</f>
        <v>33312</v>
      </c>
      <c r="D448" s="315"/>
      <c r="E448" s="308"/>
      <c r="F448" s="2">
        <f>SUM(F421:F444)</f>
        <v>8430</v>
      </c>
      <c r="G448" s="315"/>
      <c r="H448" s="308"/>
      <c r="I448" s="2">
        <f ca="1">SUM(I421:I447)</f>
        <v>8572</v>
      </c>
      <c r="J448" s="2"/>
      <c r="K448" s="315"/>
      <c r="L448" s="308"/>
      <c r="M448" s="2" t="e">
        <f ca="1">SUM(M421:M447)</f>
        <v>#REF!</v>
      </c>
      <c r="N448" s="2"/>
      <c r="O448" s="315"/>
      <c r="P448" s="308"/>
      <c r="Q448" s="2" t="e">
        <f ca="1">SUM(Q421:Q447)</f>
        <v>#DIV/0!</v>
      </c>
      <c r="R448" s="2"/>
      <c r="S448" s="315"/>
      <c r="T448" s="308"/>
      <c r="U448" s="2" t="e">
        <f ca="1">SUM(U421:U447)</f>
        <v>#DIV/0!</v>
      </c>
      <c r="V448" s="20"/>
      <c r="W448" s="74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idden="1">
      <c r="A449" s="1" t="s">
        <v>353</v>
      </c>
      <c r="B449" s="1"/>
      <c r="C449" s="334">
        <f ca="1">'Table 2'!H72</f>
        <v>103.57381938517956</v>
      </c>
      <c r="D449" s="294"/>
      <c r="E449" s="294"/>
      <c r="F449" s="326">
        <f ca="1">'Table 3'!E72</f>
        <v>26.103189482042787</v>
      </c>
      <c r="G449" s="294"/>
      <c r="H449" s="294"/>
      <c r="I449" s="326">
        <f ca="1">F449</f>
        <v>26.103189482042787</v>
      </c>
      <c r="J449" s="307"/>
      <c r="K449" s="294"/>
      <c r="L449" s="294"/>
      <c r="M449" s="326" t="e">
        <f ca="1">M204/I204*I449</f>
        <v>#DIV/0!</v>
      </c>
      <c r="N449" s="307"/>
      <c r="O449" s="294"/>
      <c r="P449" s="294"/>
      <c r="Q449" s="326" t="e">
        <f ca="1">Q204/I204*I449</f>
        <v>#DIV/0!</v>
      </c>
      <c r="R449" s="307"/>
      <c r="S449" s="294"/>
      <c r="T449" s="294"/>
      <c r="U449" s="326" t="e">
        <f ca="1">U204/I204*I449</f>
        <v>#DIV/0!</v>
      </c>
      <c r="V449" s="429"/>
      <c r="W449" s="272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hidden="1" thickBot="1">
      <c r="A450" s="1" t="s">
        <v>372</v>
      </c>
      <c r="B450" s="1"/>
      <c r="C450" s="296">
        <f ca="1">SUM(C448:C449)</f>
        <v>33415.573819385179</v>
      </c>
      <c r="D450" s="327"/>
      <c r="E450" s="330"/>
      <c r="F450" s="329">
        <f ca="1">F448+F449</f>
        <v>8456.1031894820426</v>
      </c>
      <c r="G450" s="327"/>
      <c r="H450" s="330"/>
      <c r="I450" s="329">
        <f ca="1">I448+I449</f>
        <v>8598.1031894820426</v>
      </c>
      <c r="J450" s="307"/>
      <c r="K450" s="327"/>
      <c r="L450" s="330"/>
      <c r="M450" s="329" t="e">
        <f ca="1">M448+M449</f>
        <v>#REF!</v>
      </c>
      <c r="N450" s="329"/>
      <c r="O450" s="327"/>
      <c r="P450" s="330"/>
      <c r="Q450" s="329" t="e">
        <f ca="1">Q448+Q449</f>
        <v>#DIV/0!</v>
      </c>
      <c r="R450" s="329"/>
      <c r="S450" s="327"/>
      <c r="T450" s="330"/>
      <c r="U450" s="329" t="e">
        <f ca="1">U448+U449</f>
        <v>#DIV/0!</v>
      </c>
      <c r="V450" s="396"/>
      <c r="W450" s="455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 ht="16.5" hidden="1" thickTop="1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 hidden="1">
      <c r="A452" s="1"/>
      <c r="B452" s="1"/>
      <c r="C452" s="21"/>
      <c r="D452" s="322" t="s">
        <v>31</v>
      </c>
      <c r="E452" s="1"/>
      <c r="F452" s="2"/>
      <c r="G452" s="338" t="s">
        <v>31</v>
      </c>
      <c r="H452" s="1"/>
      <c r="I452" s="2" t="s">
        <v>31</v>
      </c>
      <c r="J452" s="2"/>
      <c r="K452" s="338" t="s">
        <v>31</v>
      </c>
      <c r="L452" s="1"/>
      <c r="M452" s="2" t="s">
        <v>31</v>
      </c>
      <c r="N452" s="2"/>
      <c r="O452" s="338" t="s">
        <v>31</v>
      </c>
      <c r="P452" s="1"/>
      <c r="Q452" s="2" t="s">
        <v>31</v>
      </c>
      <c r="R452" s="2"/>
      <c r="S452" s="338" t="s">
        <v>31</v>
      </c>
      <c r="T452" s="1"/>
      <c r="U452" s="2" t="s">
        <v>31</v>
      </c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 hidden="1">
      <c r="A453" s="278" t="s">
        <v>407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R453" s="84"/>
    </row>
    <row r="454" spans="1:44" hidden="1">
      <c r="A454" s="1" t="s">
        <v>400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 hidden="1">
      <c r="A455" s="1" t="s">
        <v>408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 hidden="1">
      <c r="A456" s="1" t="s">
        <v>383</v>
      </c>
      <c r="B456" s="1"/>
      <c r="C456" s="304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 hidden="1">
      <c r="A457" s="1" t="s">
        <v>380</v>
      </c>
      <c r="B457" s="1"/>
      <c r="C457" s="304">
        <f t="shared" ref="C457:C466" si="94">C492+C527</f>
        <v>2</v>
      </c>
      <c r="D457" s="283">
        <f>'Rate Design Work eff 10-14-16'!D456</f>
        <v>115.19999999999999</v>
      </c>
      <c r="E457" s="308"/>
      <c r="F457" s="2">
        <f>F492+F527</f>
        <v>230</v>
      </c>
      <c r="G457" s="283">
        <f ca="1">$G$169</f>
        <v>117.12</v>
      </c>
      <c r="H457" s="308"/>
      <c r="I457" s="2">
        <f ca="1">I492+I527</f>
        <v>234</v>
      </c>
      <c r="J457" s="2"/>
      <c r="K457" s="283">
        <f ca="1">$K$169</f>
        <v>117.12</v>
      </c>
      <c r="L457" s="308"/>
      <c r="M457" s="2">
        <f ca="1">M492+M527</f>
        <v>234</v>
      </c>
      <c r="N457" s="2"/>
      <c r="O457" s="283" t="str">
        <f>$O$169</f>
        <v xml:space="preserve"> </v>
      </c>
      <c r="P457" s="308"/>
      <c r="Q457" s="2">
        <f>Q492+Q527</f>
        <v>0</v>
      </c>
      <c r="R457" s="2"/>
      <c r="S457" s="283" t="str">
        <f>$S$169</f>
        <v xml:space="preserve"> </v>
      </c>
      <c r="T457" s="308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 hidden="1">
      <c r="A458" s="1" t="s">
        <v>381</v>
      </c>
      <c r="B458" s="1"/>
      <c r="C458" s="304">
        <f t="shared" si="94"/>
        <v>82.084931506849301</v>
      </c>
      <c r="D458" s="283">
        <f>'Rate Design Work eff 10-14-16'!D457</f>
        <v>171.60000000000002</v>
      </c>
      <c r="E458" s="310"/>
      <c r="F458" s="2">
        <f>F493+F528</f>
        <v>14086</v>
      </c>
      <c r="G458" s="283">
        <f ca="1">$G$170</f>
        <v>174.48</v>
      </c>
      <c r="H458" s="310"/>
      <c r="I458" s="2">
        <f ca="1">I493+I528</f>
        <v>14322</v>
      </c>
      <c r="J458" s="2"/>
      <c r="K458" s="283">
        <f ca="1">$K$170</f>
        <v>174.48</v>
      </c>
      <c r="L458" s="310"/>
      <c r="M458" s="2">
        <f ca="1">M493+M528</f>
        <v>14322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 hidden="1">
      <c r="A459" s="1" t="s">
        <v>382</v>
      </c>
      <c r="B459" s="1"/>
      <c r="C459" s="304">
        <f t="shared" si="94"/>
        <v>2770.9452054794501</v>
      </c>
      <c r="D459" s="283">
        <f>'Rate Design Work eff 10-14-16'!D458</f>
        <v>12</v>
      </c>
      <c r="E459" s="310"/>
      <c r="F459" s="2">
        <f>F494+F529</f>
        <v>33251</v>
      </c>
      <c r="G459" s="283">
        <f ca="1">$G$171</f>
        <v>12.24</v>
      </c>
      <c r="H459" s="310"/>
      <c r="I459" s="2">
        <f ca="1">I494+I529</f>
        <v>33916</v>
      </c>
      <c r="J459" s="2"/>
      <c r="K459" s="283">
        <f ca="1">$K$171</f>
        <v>12.24</v>
      </c>
      <c r="L459" s="310"/>
      <c r="M459" s="2">
        <f ca="1">M494+M529</f>
        <v>33916</v>
      </c>
      <c r="N459" s="2"/>
      <c r="O459" s="283" t="str">
        <f>$O$171</f>
        <v xml:space="preserve"> </v>
      </c>
      <c r="P459" s="310"/>
      <c r="Q459" s="2">
        <f>Q494+Q529</f>
        <v>0</v>
      </c>
      <c r="R459" s="2"/>
      <c r="S459" s="283" t="str">
        <f>$S$171</f>
        <v xml:space="preserve"> </v>
      </c>
      <c r="T459" s="310"/>
      <c r="U459" s="2">
        <f>U494+U529</f>
        <v>0</v>
      </c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 hidden="1">
      <c r="A460" s="1" t="s">
        <v>384</v>
      </c>
      <c r="B460" s="1"/>
      <c r="C460" s="304">
        <f t="shared" si="94"/>
        <v>84.084931506849301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 hidden="1">
      <c r="A461" s="1" t="s">
        <v>409</v>
      </c>
      <c r="B461" s="1"/>
      <c r="C461" s="304">
        <f t="shared" si="94"/>
        <v>979.36817460317491</v>
      </c>
      <c r="D461" s="283"/>
      <c r="E461" s="308"/>
      <c r="F461" s="2"/>
      <c r="G461" s="283"/>
      <c r="H461" s="308"/>
      <c r="I461" s="2"/>
      <c r="J461" s="2"/>
      <c r="K461" s="283"/>
      <c r="L461" s="308"/>
      <c r="M461" s="2"/>
      <c r="N461" s="2"/>
      <c r="O461" s="283"/>
      <c r="P461" s="308"/>
      <c r="Q461" s="2"/>
      <c r="R461" s="2"/>
      <c r="S461" s="283"/>
      <c r="T461" s="308"/>
      <c r="U461" s="2"/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 hidden="1">
      <c r="A462" s="1" t="s">
        <v>385</v>
      </c>
      <c r="B462" s="1"/>
      <c r="C462" s="304">
        <f t="shared" si="94"/>
        <v>8076.5367188213504</v>
      </c>
      <c r="D462" s="311">
        <f>'Rate Design Work eff 10-14-16'!D461</f>
        <v>3.64</v>
      </c>
      <c r="E462" s="308"/>
      <c r="F462" s="2">
        <f>F497+F532</f>
        <v>29399</v>
      </c>
      <c r="G462" s="311">
        <f ca="1">$G$178</f>
        <v>3.7</v>
      </c>
      <c r="H462" s="308"/>
      <c r="I462" s="2">
        <f ca="1">I497+I532</f>
        <v>29883</v>
      </c>
      <c r="J462" s="2"/>
      <c r="K462" s="311" t="e">
        <f ca="1">$K$178</f>
        <v>#REF!</v>
      </c>
      <c r="L462" s="308"/>
      <c r="M462" s="2" t="e">
        <f ca="1">M497+M532</f>
        <v>#REF!</v>
      </c>
      <c r="N462" s="2"/>
      <c r="O462" s="311" t="e">
        <f ca="1">$O$178</f>
        <v>#DIV/0!</v>
      </c>
      <c r="P462" s="308"/>
      <c r="Q462" s="2" t="e">
        <f ca="1">Q497+Q532</f>
        <v>#DIV/0!</v>
      </c>
      <c r="R462" s="2"/>
      <c r="S462" s="311" t="e">
        <f ca="1">$S$178</f>
        <v>#DIV/0!</v>
      </c>
      <c r="T462" s="308"/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 hidden="1">
      <c r="A463" s="1" t="s">
        <v>387</v>
      </c>
      <c r="B463" s="1"/>
      <c r="C463" s="304">
        <f t="shared" si="94"/>
        <v>158922</v>
      </c>
      <c r="D463" s="284">
        <f>'Rate Design Work eff 10-14-16'!D462</f>
        <v>10.449</v>
      </c>
      <c r="E463" s="308" t="s">
        <v>364</v>
      </c>
      <c r="F463" s="2">
        <f>F498+F533</f>
        <v>16606</v>
      </c>
      <c r="G463" s="284">
        <f ca="1">$G$179</f>
        <v>10.628</v>
      </c>
      <c r="H463" s="308" t="s">
        <v>364</v>
      </c>
      <c r="I463" s="2">
        <f ca="1">I498+I533</f>
        <v>16890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 hidden="1">
      <c r="A464" s="1" t="s">
        <v>388</v>
      </c>
      <c r="B464" s="1"/>
      <c r="C464" s="304">
        <f t="shared" si="94"/>
        <v>131844</v>
      </c>
      <c r="D464" s="284">
        <f>'Rate Design Work eff 10-14-16'!D463</f>
        <v>7.218</v>
      </c>
      <c r="E464" s="308" t="s">
        <v>364</v>
      </c>
      <c r="F464" s="2">
        <f>F499+F534</f>
        <v>9516</v>
      </c>
      <c r="G464" s="284">
        <f ca="1">$G$180</f>
        <v>7.3410000000000002</v>
      </c>
      <c r="H464" s="308" t="s">
        <v>364</v>
      </c>
      <c r="I464" s="2">
        <f ca="1">I499+I534</f>
        <v>9678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 hidden="1">
      <c r="A465" s="1" t="s">
        <v>389</v>
      </c>
      <c r="B465" s="1"/>
      <c r="C465" s="304">
        <f t="shared" si="94"/>
        <v>0</v>
      </c>
      <c r="D465" s="284">
        <f>'Rate Design Work eff 10-14-16'!D464</f>
        <v>6.218</v>
      </c>
      <c r="E465" s="308" t="s">
        <v>364</v>
      </c>
      <c r="F465" s="2">
        <f>F500+F535</f>
        <v>0</v>
      </c>
      <c r="G465" s="284">
        <f ca="1">$G$181</f>
        <v>6.3240000000000007</v>
      </c>
      <c r="H465" s="308" t="s">
        <v>364</v>
      </c>
      <c r="I465" s="2">
        <f ca="1">I500+I535</f>
        <v>0</v>
      </c>
      <c r="J465" s="2"/>
      <c r="K465" s="284" t="e">
        <f ca="1">$K$181</f>
        <v>#REF!</v>
      </c>
      <c r="L465" s="308" t="s">
        <v>364</v>
      </c>
      <c r="M465" s="2" t="e">
        <f ca="1">M500+M535</f>
        <v>#REF!</v>
      </c>
      <c r="N465" s="2"/>
      <c r="O465" s="284" t="e">
        <f ca="1">$O$181</f>
        <v>#DIV/0!</v>
      </c>
      <c r="P465" s="308" t="s">
        <v>364</v>
      </c>
      <c r="Q465" s="2" t="e">
        <f ca="1">Q500+Q535</f>
        <v>#DIV/0!</v>
      </c>
      <c r="R465" s="2"/>
      <c r="S465" s="284" t="e">
        <f ca="1">$S$181</f>
        <v>#DIV/0!</v>
      </c>
      <c r="T465" s="308" t="s">
        <v>364</v>
      </c>
      <c r="U465" s="2" t="e">
        <f ca="1"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hidden="1">
      <c r="A466" s="1" t="s">
        <v>390</v>
      </c>
      <c r="B466" s="1"/>
      <c r="C466" s="304">
        <f t="shared" si="94"/>
        <v>1569.0261904761901</v>
      </c>
      <c r="D466" s="315">
        <f>'Rate Design Work eff 10-14-16'!D465</f>
        <v>56</v>
      </c>
      <c r="E466" s="308" t="s">
        <v>364</v>
      </c>
      <c r="F466" s="2">
        <f>F501+F536</f>
        <v>879</v>
      </c>
      <c r="G466" s="315">
        <f ca="1">$G$182</f>
        <v>57</v>
      </c>
      <c r="H466" s="308" t="s">
        <v>364</v>
      </c>
      <c r="I466" s="2">
        <f ca="1">I501+I536</f>
        <v>894</v>
      </c>
      <c r="J466" s="2"/>
      <c r="K466" s="315" t="str">
        <f>$K$182</f>
        <v xml:space="preserve"> </v>
      </c>
      <c r="L466" s="308" t="s">
        <v>364</v>
      </c>
      <c r="M466" s="2">
        <f>M501+M536</f>
        <v>0</v>
      </c>
      <c r="N466" s="2"/>
      <c r="O466" s="315" t="e">
        <f>$O$182</f>
        <v>#DIV/0!</v>
      </c>
      <c r="P466" s="308" t="s">
        <v>364</v>
      </c>
      <c r="Q466" s="2" t="e">
        <f>Q501+Q536</f>
        <v>#DIV/0!</v>
      </c>
      <c r="R466" s="2"/>
      <c r="S466" s="315" t="e">
        <f>$S$182</f>
        <v>#DIV/0!</v>
      </c>
      <c r="T466" s="308" t="s">
        <v>364</v>
      </c>
      <c r="U466" s="2" t="e">
        <f>U501+U536</f>
        <v>#DIV/0!</v>
      </c>
      <c r="V466" s="20"/>
      <c r="W466" s="74"/>
      <c r="X466" s="74"/>
      <c r="Y466" s="74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</row>
    <row r="467" spans="1:44" s="1118" customFormat="1" hidden="1">
      <c r="A467" s="968" t="s">
        <v>888</v>
      </c>
      <c r="C467" s="987">
        <f>C463</f>
        <v>158922</v>
      </c>
      <c r="D467" s="254">
        <f>'Rate Design Work eff 10-14-16'!D466</f>
        <v>0</v>
      </c>
      <c r="E467" s="1119"/>
      <c r="F467" s="1123"/>
      <c r="G467" s="1128">
        <f>G183</f>
        <v>0</v>
      </c>
      <c r="H467" s="972" t="s">
        <v>364</v>
      </c>
      <c r="I467" s="2">
        <f t="shared" ref="I467:I469" si="95">I502+I537</f>
        <v>0</v>
      </c>
      <c r="J467" s="2"/>
      <c r="K467" s="1128" t="str">
        <f>K183</f>
        <v xml:space="preserve"> </v>
      </c>
      <c r="L467" s="972" t="s">
        <v>364</v>
      </c>
      <c r="M467" s="2">
        <f t="shared" ref="M467:M469" si="96">M502+M537</f>
        <v>0</v>
      </c>
      <c r="N467" s="2"/>
      <c r="O467" s="1128" t="str">
        <f>O183</f>
        <v xml:space="preserve"> </v>
      </c>
      <c r="P467" s="972" t="s">
        <v>364</v>
      </c>
      <c r="Q467" s="2">
        <f t="shared" ref="Q467:Q469" si="97">Q502+Q537</f>
        <v>0</v>
      </c>
      <c r="R467" s="2"/>
      <c r="S467" s="1128">
        <f>S183</f>
        <v>0</v>
      </c>
      <c r="T467" s="972" t="s">
        <v>364</v>
      </c>
      <c r="U467" s="2">
        <f t="shared" ref="U467:U469" si="98">U502+U537</f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889</v>
      </c>
      <c r="C468" s="987">
        <f t="shared" ref="C468:C469" si="99">C464</f>
        <v>131844</v>
      </c>
      <c r="D468" s="254">
        <f>'Rate Design Work eff 10-14-16'!D467</f>
        <v>0</v>
      </c>
      <c r="E468" s="1119"/>
      <c r="F468" s="1123"/>
      <c r="G468" s="1128">
        <f>G184</f>
        <v>0</v>
      </c>
      <c r="H468" s="972" t="s">
        <v>364</v>
      </c>
      <c r="I468" s="2">
        <f t="shared" si="95"/>
        <v>0</v>
      </c>
      <c r="J468" s="2"/>
      <c r="K468" s="1128" t="str">
        <f>K184</f>
        <v xml:space="preserve"> </v>
      </c>
      <c r="L468" s="972" t="s">
        <v>364</v>
      </c>
      <c r="M468" s="2">
        <f t="shared" si="96"/>
        <v>0</v>
      </c>
      <c r="N468" s="2"/>
      <c r="O468" s="1128" t="str">
        <f>O184</f>
        <v xml:space="preserve"> </v>
      </c>
      <c r="P468" s="972" t="s">
        <v>364</v>
      </c>
      <c r="Q468" s="2">
        <f t="shared" si="97"/>
        <v>0</v>
      </c>
      <c r="R468" s="2"/>
      <c r="S468" s="1128">
        <f>S184</f>
        <v>0</v>
      </c>
      <c r="T468" s="972" t="s">
        <v>364</v>
      </c>
      <c r="U468" s="2">
        <f t="shared" si="98"/>
        <v>0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 s="1118" customFormat="1" hidden="1">
      <c r="A469" s="968" t="s">
        <v>890</v>
      </c>
      <c r="C469" s="987">
        <f t="shared" si="99"/>
        <v>0</v>
      </c>
      <c r="D469" s="254">
        <f>'Rate Design Work eff 10-14-16'!D468</f>
        <v>0</v>
      </c>
      <c r="E469" s="1119"/>
      <c r="F469" s="1123"/>
      <c r="G469" s="1128">
        <f>G185</f>
        <v>0</v>
      </c>
      <c r="H469" s="972" t="s">
        <v>364</v>
      </c>
      <c r="I469" s="2">
        <f t="shared" si="95"/>
        <v>0</v>
      </c>
      <c r="J469" s="2"/>
      <c r="K469" s="1128" t="str">
        <f>K185</f>
        <v xml:space="preserve"> </v>
      </c>
      <c r="L469" s="972" t="s">
        <v>364</v>
      </c>
      <c r="M469" s="2">
        <f t="shared" si="96"/>
        <v>0</v>
      </c>
      <c r="N469" s="2"/>
      <c r="O469" s="1128" t="str">
        <f>O185</f>
        <v xml:space="preserve"> </v>
      </c>
      <c r="P469" s="972" t="s">
        <v>364</v>
      </c>
      <c r="Q469" s="2">
        <f t="shared" si="97"/>
        <v>0</v>
      </c>
      <c r="R469" s="2"/>
      <c r="S469" s="1128">
        <f>S185</f>
        <v>0</v>
      </c>
      <c r="T469" s="972" t="s">
        <v>364</v>
      </c>
      <c r="U469" s="2">
        <f t="shared" si="98"/>
        <v>0</v>
      </c>
      <c r="V469" s="968" t="s">
        <v>31</v>
      </c>
      <c r="W469" s="784"/>
      <c r="Z469" s="1125"/>
      <c r="AA469" s="1125"/>
      <c r="AF469" s="1119"/>
      <c r="AG469" s="1119"/>
      <c r="AH469" s="1119"/>
      <c r="AI469" s="1119"/>
      <c r="AJ469" s="1119"/>
      <c r="AK469" s="1119"/>
      <c r="AL469" s="1119"/>
      <c r="AM469" s="1119"/>
      <c r="AN469" s="1119"/>
      <c r="AO469" s="1119"/>
      <c r="AP469" s="1119"/>
      <c r="AR469" s="1124"/>
    </row>
    <row r="470" spans="1:44" hidden="1">
      <c r="A470" s="316" t="s">
        <v>391</v>
      </c>
      <c r="B470" s="1"/>
      <c r="C470" s="304"/>
      <c r="D470" s="317">
        <f>'Rate Design Work eff 10-14-16'!D469</f>
        <v>-0.01</v>
      </c>
      <c r="E470" s="308"/>
      <c r="F470" s="2"/>
      <c r="G470" s="317">
        <v>-0.01</v>
      </c>
      <c r="H470" s="308"/>
      <c r="I470" s="2"/>
      <c r="J470" s="2"/>
      <c r="K470" s="317">
        <v>-0.01</v>
      </c>
      <c r="L470" s="308"/>
      <c r="M470" s="2"/>
      <c r="N470" s="2"/>
      <c r="O470" s="317">
        <v>-0.01</v>
      </c>
      <c r="P470" s="308"/>
      <c r="Q470" s="2"/>
      <c r="R470" s="2"/>
      <c r="S470" s="317">
        <v>-0.01</v>
      </c>
      <c r="T470" s="308"/>
      <c r="U470" s="2"/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 hidden="1">
      <c r="A471" s="1" t="s">
        <v>380</v>
      </c>
      <c r="B471" s="1"/>
      <c r="C471" s="304">
        <v>0</v>
      </c>
      <c r="D471" s="319">
        <f>'Rate Design Work eff 10-14-16'!D470</f>
        <v>115.19999999999999</v>
      </c>
      <c r="E471" s="306"/>
      <c r="F471" s="2">
        <f t="shared" ref="F471:F480" si="100">F506+F541</f>
        <v>0</v>
      </c>
      <c r="G471" s="319">
        <f ca="1">G457</f>
        <v>117.12</v>
      </c>
      <c r="H471" s="306"/>
      <c r="I471" s="2">
        <f t="shared" ref="I471:I480" ca="1" si="101">I506+I541</f>
        <v>0</v>
      </c>
      <c r="J471" s="2"/>
      <c r="K471" s="319">
        <f ca="1">K457</f>
        <v>117.12</v>
      </c>
      <c r="L471" s="306"/>
      <c r="M471" s="2">
        <f t="shared" ref="M471:M480" ca="1" si="102">M506+M541</f>
        <v>0</v>
      </c>
      <c r="N471" s="2"/>
      <c r="O471" s="319" t="str">
        <f>O457</f>
        <v xml:space="preserve"> </v>
      </c>
      <c r="P471" s="306"/>
      <c r="Q471" s="2">
        <f t="shared" ref="Q471:Q480" si="103">Q506+Q541</f>
        <v>0</v>
      </c>
      <c r="R471" s="2"/>
      <c r="S471" s="319" t="str">
        <f>S457</f>
        <v xml:space="preserve"> </v>
      </c>
      <c r="T471" s="306"/>
      <c r="U471" s="2">
        <f t="shared" ref="U471:U480" si="104">U506+U541</f>
        <v>0</v>
      </c>
      <c r="V471" s="20"/>
      <c r="W471" s="74"/>
      <c r="X471" s="74"/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 hidden="1">
      <c r="A472" s="1" t="s">
        <v>381</v>
      </c>
      <c r="B472" s="1"/>
      <c r="C472" s="304">
        <v>0</v>
      </c>
      <c r="D472" s="319">
        <f>'Rate Design Work eff 10-14-16'!D471</f>
        <v>171.60000000000002</v>
      </c>
      <c r="E472" s="306"/>
      <c r="F472" s="2">
        <f t="shared" si="100"/>
        <v>0</v>
      </c>
      <c r="G472" s="319">
        <f ca="1">G458</f>
        <v>174.48</v>
      </c>
      <c r="H472" s="306"/>
      <c r="I472" s="2">
        <f t="shared" ca="1" si="101"/>
        <v>0</v>
      </c>
      <c r="J472" s="2"/>
      <c r="K472" s="319">
        <f ca="1">K458</f>
        <v>174.48</v>
      </c>
      <c r="L472" s="306"/>
      <c r="M472" s="2">
        <f t="shared" ca="1" si="102"/>
        <v>0</v>
      </c>
      <c r="N472" s="2"/>
      <c r="O472" s="319" t="str">
        <f>O458</f>
        <v xml:space="preserve"> </v>
      </c>
      <c r="P472" s="306"/>
      <c r="Q472" s="2">
        <f t="shared" si="103"/>
        <v>0</v>
      </c>
      <c r="R472" s="2"/>
      <c r="S472" s="319" t="str">
        <f>S458</f>
        <v xml:space="preserve"> </v>
      </c>
      <c r="T472" s="306"/>
      <c r="U472" s="2">
        <f t="shared" si="104"/>
        <v>0</v>
      </c>
      <c r="V472" s="20"/>
      <c r="W472" s="74"/>
      <c r="X472" s="32" t="s">
        <v>31</v>
      </c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 hidden="1">
      <c r="A473" s="1" t="s">
        <v>392</v>
      </c>
      <c r="B473" s="1"/>
      <c r="C473" s="304">
        <v>0</v>
      </c>
      <c r="D473" s="319">
        <f>'Rate Design Work eff 10-14-16'!D472</f>
        <v>12</v>
      </c>
      <c r="E473" s="306"/>
      <c r="F473" s="2">
        <f t="shared" si="100"/>
        <v>0</v>
      </c>
      <c r="G473" s="319">
        <f ca="1">G459</f>
        <v>12.24</v>
      </c>
      <c r="H473" s="306"/>
      <c r="I473" s="2">
        <f t="shared" ca="1" si="101"/>
        <v>0</v>
      </c>
      <c r="J473" s="2"/>
      <c r="K473" s="319">
        <f ca="1">K459</f>
        <v>12.24</v>
      </c>
      <c r="L473" s="306"/>
      <c r="M473" s="2">
        <f t="shared" ca="1" si="102"/>
        <v>0</v>
      </c>
      <c r="N473" s="2"/>
      <c r="O473" s="319" t="str">
        <f>O459</f>
        <v xml:space="preserve"> </v>
      </c>
      <c r="P473" s="306"/>
      <c r="Q473" s="2">
        <f t="shared" si="103"/>
        <v>0</v>
      </c>
      <c r="R473" s="2"/>
      <c r="S473" s="319" t="str">
        <f>S459</f>
        <v xml:space="preserve"> </v>
      </c>
      <c r="T473" s="306"/>
      <c r="U473" s="2">
        <f t="shared" si="104"/>
        <v>0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 hidden="1">
      <c r="A474" s="1" t="s">
        <v>393</v>
      </c>
      <c r="B474" s="1"/>
      <c r="C474" s="304">
        <v>0</v>
      </c>
      <c r="D474" s="319">
        <f>'Rate Design Work eff 10-14-16'!D473</f>
        <v>3.64</v>
      </c>
      <c r="E474" s="308"/>
      <c r="F474" s="2">
        <f t="shared" si="100"/>
        <v>0</v>
      </c>
      <c r="G474" s="319">
        <f ca="1">G462</f>
        <v>3.7</v>
      </c>
      <c r="H474" s="308"/>
      <c r="I474" s="2">
        <f t="shared" ca="1" si="101"/>
        <v>0</v>
      </c>
      <c r="J474" s="2"/>
      <c r="K474" s="319" t="e">
        <f ca="1">K462</f>
        <v>#REF!</v>
      </c>
      <c r="L474" s="308"/>
      <c r="M474" s="2" t="e">
        <f t="shared" ca="1" si="102"/>
        <v>#REF!</v>
      </c>
      <c r="N474" s="2"/>
      <c r="O474" s="319" t="e">
        <f ca="1">O462</f>
        <v>#DIV/0!</v>
      </c>
      <c r="P474" s="308"/>
      <c r="Q474" s="2" t="e">
        <f t="shared" ca="1" si="103"/>
        <v>#DIV/0!</v>
      </c>
      <c r="R474" s="2"/>
      <c r="S474" s="319" t="e">
        <f ca="1">S462</f>
        <v>#DIV/0!</v>
      </c>
      <c r="T474" s="308"/>
      <c r="U474" s="2" t="e">
        <f t="shared" ca="1" si="104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 hidden="1">
      <c r="A475" s="1" t="s">
        <v>395</v>
      </c>
      <c r="B475" s="1"/>
      <c r="C475" s="304">
        <v>0</v>
      </c>
      <c r="D475" s="320">
        <f>'Rate Design Work eff 10-14-16'!D474</f>
        <v>10.449</v>
      </c>
      <c r="E475" s="308" t="s">
        <v>364</v>
      </c>
      <c r="F475" s="2">
        <f t="shared" si="100"/>
        <v>0</v>
      </c>
      <c r="G475" s="320">
        <f ca="1">G463</f>
        <v>10.628</v>
      </c>
      <c r="H475" s="308" t="s">
        <v>364</v>
      </c>
      <c r="I475" s="2">
        <f t="shared" ca="1" si="101"/>
        <v>0</v>
      </c>
      <c r="J475" s="2"/>
      <c r="K475" s="320" t="e">
        <f ca="1">K463</f>
        <v>#REF!</v>
      </c>
      <c r="L475" s="308" t="s">
        <v>364</v>
      </c>
      <c r="M475" s="2" t="e">
        <f t="shared" ca="1" si="102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03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04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 hidden="1">
      <c r="A476" s="1" t="s">
        <v>388</v>
      </c>
      <c r="B476" s="1"/>
      <c r="C476" s="304">
        <v>0</v>
      </c>
      <c r="D476" s="320">
        <f>'Rate Design Work eff 10-14-16'!D475</f>
        <v>7.218</v>
      </c>
      <c r="E476" s="308" t="s">
        <v>364</v>
      </c>
      <c r="F476" s="2">
        <f t="shared" si="100"/>
        <v>0</v>
      </c>
      <c r="G476" s="320">
        <f ca="1">G464</f>
        <v>7.3410000000000002</v>
      </c>
      <c r="H476" s="308" t="s">
        <v>364</v>
      </c>
      <c r="I476" s="2">
        <f t="shared" ca="1" si="101"/>
        <v>0</v>
      </c>
      <c r="J476" s="2"/>
      <c r="K476" s="320" t="e">
        <f ca="1">K464</f>
        <v>#REF!</v>
      </c>
      <c r="L476" s="308" t="s">
        <v>364</v>
      </c>
      <c r="M476" s="2" t="e">
        <f t="shared" ca="1" si="102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03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04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 hidden="1">
      <c r="A477" s="1" t="s">
        <v>389</v>
      </c>
      <c r="B477" s="1"/>
      <c r="C477" s="304">
        <v>0</v>
      </c>
      <c r="D477" s="320">
        <f>'Rate Design Work eff 10-14-16'!D476</f>
        <v>6.218</v>
      </c>
      <c r="E477" s="308" t="s">
        <v>364</v>
      </c>
      <c r="F477" s="2">
        <f t="shared" si="100"/>
        <v>0</v>
      </c>
      <c r="G477" s="320">
        <f ca="1">G465</f>
        <v>6.3240000000000007</v>
      </c>
      <c r="H477" s="308" t="s">
        <v>364</v>
      </c>
      <c r="I477" s="2">
        <f t="shared" ca="1" si="101"/>
        <v>0</v>
      </c>
      <c r="J477" s="2"/>
      <c r="K477" s="320" t="e">
        <f ca="1">K465</f>
        <v>#REF!</v>
      </c>
      <c r="L477" s="308" t="s">
        <v>364</v>
      </c>
      <c r="M477" s="2" t="e">
        <f t="shared" ca="1" si="102"/>
        <v>#REF!</v>
      </c>
      <c r="N477" s="2"/>
      <c r="O477" s="320" t="e">
        <f ca="1">O465</f>
        <v>#DIV/0!</v>
      </c>
      <c r="P477" s="308" t="s">
        <v>364</v>
      </c>
      <c r="Q477" s="2" t="e">
        <f t="shared" ca="1" si="103"/>
        <v>#DIV/0!</v>
      </c>
      <c r="R477" s="2"/>
      <c r="S477" s="320" t="e">
        <f ca="1">S465</f>
        <v>#DIV/0!</v>
      </c>
      <c r="T477" s="308" t="s">
        <v>364</v>
      </c>
      <c r="U477" s="2" t="e">
        <f t="shared" ca="1" si="104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 hidden="1">
      <c r="A478" s="1" t="s">
        <v>390</v>
      </c>
      <c r="B478" s="1"/>
      <c r="C478" s="304">
        <v>0</v>
      </c>
      <c r="D478" s="321">
        <f>'Rate Design Work eff 10-14-16'!D477</f>
        <v>56</v>
      </c>
      <c r="E478" s="308" t="s">
        <v>364</v>
      </c>
      <c r="F478" s="2">
        <f t="shared" si="100"/>
        <v>0</v>
      </c>
      <c r="G478" s="321">
        <f ca="1">G466</f>
        <v>57</v>
      </c>
      <c r="H478" s="308" t="s">
        <v>364</v>
      </c>
      <c r="I478" s="2">
        <f t="shared" ca="1" si="101"/>
        <v>0</v>
      </c>
      <c r="J478" s="2"/>
      <c r="K478" s="321" t="str">
        <f>K466</f>
        <v xml:space="preserve"> </v>
      </c>
      <c r="L478" s="308" t="s">
        <v>364</v>
      </c>
      <c r="M478" s="2">
        <f t="shared" si="102"/>
        <v>0</v>
      </c>
      <c r="N478" s="2"/>
      <c r="O478" s="321" t="e">
        <f>O466</f>
        <v>#DIV/0!</v>
      </c>
      <c r="P478" s="308" t="s">
        <v>364</v>
      </c>
      <c r="Q478" s="2" t="e">
        <f t="shared" si="103"/>
        <v>#DIV/0!</v>
      </c>
      <c r="R478" s="2"/>
      <c r="S478" s="321" t="e">
        <f>S466</f>
        <v>#DIV/0!</v>
      </c>
      <c r="T478" s="308" t="s">
        <v>364</v>
      </c>
      <c r="U478" s="2" t="e">
        <f t="shared" si="104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 hidden="1">
      <c r="A479" s="1" t="s">
        <v>397</v>
      </c>
      <c r="B479" s="1"/>
      <c r="C479" s="304">
        <v>0</v>
      </c>
      <c r="D479" s="322">
        <f>'Rate Design Work eff 10-14-16'!D478</f>
        <v>60</v>
      </c>
      <c r="E479" s="308"/>
      <c r="F479" s="2">
        <f t="shared" si="100"/>
        <v>0</v>
      </c>
      <c r="G479" s="322">
        <f>$G$198</f>
        <v>60</v>
      </c>
      <c r="H479" s="308"/>
      <c r="I479" s="2">
        <f t="shared" si="101"/>
        <v>0</v>
      </c>
      <c r="J479" s="2"/>
      <c r="K479" s="322" t="str">
        <f>$K$198</f>
        <v xml:space="preserve"> </v>
      </c>
      <c r="L479" s="308"/>
      <c r="M479" s="2">
        <f t="shared" si="102"/>
        <v>0</v>
      </c>
      <c r="N479" s="2"/>
      <c r="O479" s="322" t="e">
        <f>$O$198</f>
        <v>#DIV/0!</v>
      </c>
      <c r="P479" s="308"/>
      <c r="Q479" s="2" t="e">
        <f t="shared" si="103"/>
        <v>#DIV/0!</v>
      </c>
      <c r="R479" s="2"/>
      <c r="S479" s="322" t="e">
        <f>$S$198</f>
        <v>#DIV/0!</v>
      </c>
      <c r="T479" s="308"/>
      <c r="U479" s="2" t="e">
        <f t="shared" si="104"/>
        <v>#DIV/0!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hidden="1">
      <c r="A480" s="1" t="s">
        <v>398</v>
      </c>
      <c r="B480" s="1"/>
      <c r="C480" s="304">
        <v>0</v>
      </c>
      <c r="D480" s="324">
        <f>'Rate Design Work eff 10-14-16'!D479</f>
        <v>-30</v>
      </c>
      <c r="E480" s="308" t="s">
        <v>364</v>
      </c>
      <c r="F480" s="2">
        <f t="shared" si="100"/>
        <v>0</v>
      </c>
      <c r="G480" s="324">
        <f>$G$199</f>
        <v>-30</v>
      </c>
      <c r="H480" s="308" t="s">
        <v>364</v>
      </c>
      <c r="I480" s="2">
        <f t="shared" si="101"/>
        <v>0</v>
      </c>
      <c r="J480" s="2"/>
      <c r="K480" s="324">
        <f>$K$199</f>
        <v>-30</v>
      </c>
      <c r="L480" s="308" t="s">
        <v>364</v>
      </c>
      <c r="M480" s="2">
        <f t="shared" si="102"/>
        <v>0</v>
      </c>
      <c r="N480" s="2"/>
      <c r="O480" s="324" t="str">
        <f>$O$199</f>
        <v xml:space="preserve"> </v>
      </c>
      <c r="P480" s="308" t="s">
        <v>364</v>
      </c>
      <c r="Q480" s="2">
        <f t="shared" si="103"/>
        <v>0</v>
      </c>
      <c r="R480" s="2"/>
      <c r="S480" s="324" t="str">
        <f>$S$199</f>
        <v xml:space="preserve"> </v>
      </c>
      <c r="T480" s="308" t="s">
        <v>364</v>
      </c>
      <c r="U480" s="2">
        <f t="shared" si="104"/>
        <v>0</v>
      </c>
      <c r="V480" s="20"/>
      <c r="W480" s="74"/>
      <c r="X480" s="74"/>
      <c r="Y480" s="74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</row>
    <row r="481" spans="1:44" s="1118" customFormat="1" hidden="1">
      <c r="A481" s="968" t="s">
        <v>888</v>
      </c>
      <c r="C481" s="1122">
        <f>C475</f>
        <v>0</v>
      </c>
      <c r="D481" s="254">
        <f>'Rate Design Work eff 10-14-16'!D480</f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889</v>
      </c>
      <c r="C482" s="1122">
        <f>C476</f>
        <v>0</v>
      </c>
      <c r="D482" s="254">
        <f>'Rate Design Work eff 10-14-16'!D481</f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 s="1118" customFormat="1" hidden="1">
      <c r="A483" s="968" t="s">
        <v>890</v>
      </c>
      <c r="C483" s="1122">
        <f>C477</f>
        <v>0</v>
      </c>
      <c r="D483" s="254">
        <f>'Rate Design Work eff 10-14-16'!D482</f>
        <v>0</v>
      </c>
      <c r="E483" s="1119"/>
      <c r="F483" s="1123"/>
      <c r="G483" s="1128">
        <f>G185</f>
        <v>0</v>
      </c>
      <c r="H483" s="972" t="s">
        <v>364</v>
      </c>
      <c r="I483" s="1123">
        <f ca="1">I524+I564</f>
        <v>0</v>
      </c>
      <c r="J483" s="1123"/>
      <c r="K483" s="1128" t="str">
        <f>K185</f>
        <v xml:space="preserve"> </v>
      </c>
      <c r="L483" s="972" t="s">
        <v>364</v>
      </c>
      <c r="M483" s="1123">
        <f ca="1">M524+M564</f>
        <v>0</v>
      </c>
      <c r="N483" s="1123"/>
      <c r="O483" s="1128" t="str">
        <f>O185</f>
        <v xml:space="preserve"> </v>
      </c>
      <c r="P483" s="972" t="s">
        <v>364</v>
      </c>
      <c r="Q483" s="1123">
        <f>Q524+Q564</f>
        <v>0</v>
      </c>
      <c r="R483" s="1123"/>
      <c r="S483" s="1128">
        <f>S185</f>
        <v>0</v>
      </c>
      <c r="T483" s="972" t="s">
        <v>364</v>
      </c>
      <c r="U483" s="1123">
        <f>U524+U564</f>
        <v>0</v>
      </c>
      <c r="W483" s="784"/>
      <c r="Z483" s="1125"/>
      <c r="AA483" s="1125"/>
      <c r="AF483" s="1119"/>
      <c r="AG483" s="1119"/>
      <c r="AH483" s="1119"/>
      <c r="AI483" s="1119"/>
      <c r="AJ483" s="1119"/>
      <c r="AK483" s="1119"/>
      <c r="AL483" s="1119"/>
      <c r="AM483" s="1119"/>
      <c r="AN483" s="1119"/>
      <c r="AO483" s="1119"/>
      <c r="AP483" s="1119"/>
      <c r="AR483" s="1124"/>
    </row>
    <row r="484" spans="1:44" hidden="1">
      <c r="A484" s="1" t="s">
        <v>371</v>
      </c>
      <c r="B484" s="1"/>
      <c r="C484" s="304">
        <f>C519+C554</f>
        <v>290766</v>
      </c>
      <c r="D484" s="309"/>
      <c r="E484" s="308"/>
      <c r="F484" s="2">
        <f>F519+F554</f>
        <v>103967</v>
      </c>
      <c r="G484" s="2"/>
      <c r="H484" s="308"/>
      <c r="I484" s="2">
        <f t="shared" ref="I484" ca="1" si="105">I519+I554</f>
        <v>105817</v>
      </c>
      <c r="J484" s="2"/>
      <c r="K484" s="2"/>
      <c r="L484" s="308"/>
      <c r="M484" s="2" t="e">
        <f t="shared" ref="M484" ca="1" si="106">M519+M554</f>
        <v>#REF!</v>
      </c>
      <c r="N484" s="2"/>
      <c r="O484" s="2"/>
      <c r="P484" s="308"/>
      <c r="Q484" s="2" t="e">
        <f t="shared" ref="Q484" ca="1" si="107">Q519+Q554</f>
        <v>#DIV/0!</v>
      </c>
      <c r="R484" s="2"/>
      <c r="S484" s="2"/>
      <c r="T484" s="308"/>
      <c r="U484" s="2" t="e">
        <f t="shared" ref="U484" ca="1" si="108">U519+U554</f>
        <v>#DIV/0!</v>
      </c>
      <c r="V484" s="20"/>
      <c r="W484" s="74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idden="1">
      <c r="A485" s="1" t="s">
        <v>353</v>
      </c>
      <c r="B485" s="1"/>
      <c r="C485" s="325">
        <f ca="1">C520+C555</f>
        <v>1983.5291043492841</v>
      </c>
      <c r="D485" s="294"/>
      <c r="E485" s="294"/>
      <c r="F485" s="326">
        <f ca="1">F520+F555</f>
        <v>790.20164473136481</v>
      </c>
      <c r="G485" s="294"/>
      <c r="H485" s="294"/>
      <c r="I485" s="326">
        <f ca="1">F485</f>
        <v>790.20164473136481</v>
      </c>
      <c r="J485" s="307"/>
      <c r="K485" s="294"/>
      <c r="L485" s="294"/>
      <c r="M485" s="326" t="e">
        <f ca="1">M204/I204*I485</f>
        <v>#DIV/0!</v>
      </c>
      <c r="N485" s="307"/>
      <c r="O485" s="294"/>
      <c r="P485" s="294"/>
      <c r="Q485" s="326" t="e">
        <f ca="1">Q204/I204*I485</f>
        <v>#DIV/0!</v>
      </c>
      <c r="R485" s="307"/>
      <c r="S485" s="294"/>
      <c r="T485" s="294"/>
      <c r="U485" s="326" t="e">
        <f ca="1">U204/I204*I485</f>
        <v>#DIV/0!</v>
      </c>
      <c r="V485" s="429"/>
      <c r="W485" s="272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hidden="1" thickBot="1">
      <c r="A486" s="1" t="s">
        <v>372</v>
      </c>
      <c r="B486" s="1"/>
      <c r="C486" s="296">
        <f ca="1">SUM(C484:C485)</f>
        <v>292749.52910434926</v>
      </c>
      <c r="D486" s="327"/>
      <c r="E486" s="330"/>
      <c r="F486" s="329">
        <f ca="1">F484+F485</f>
        <v>104757.20164473137</v>
      </c>
      <c r="G486" s="327"/>
      <c r="H486" s="330"/>
      <c r="I486" s="329">
        <f ca="1">I484+I485</f>
        <v>106607.20164473137</v>
      </c>
      <c r="J486" s="307"/>
      <c r="K486" s="327"/>
      <c r="L486" s="330"/>
      <c r="M486" s="329" t="e">
        <f ca="1">M484+M485</f>
        <v>#REF!</v>
      </c>
      <c r="N486" s="329"/>
      <c r="O486" s="327"/>
      <c r="P486" s="330"/>
      <c r="Q486" s="329" t="e">
        <f ca="1">Q484+Q485</f>
        <v>#DIV/0!</v>
      </c>
      <c r="R486" s="329"/>
      <c r="S486" s="327"/>
      <c r="T486" s="330"/>
      <c r="U486" s="329" t="e">
        <f ca="1">U484+U485</f>
        <v>#DIV/0!</v>
      </c>
      <c r="V486" s="396"/>
      <c r="W486" s="455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 ht="16.5" hidden="1" thickTop="1">
      <c r="A487" s="1"/>
      <c r="B487" s="1"/>
      <c r="C487" s="21"/>
      <c r="D487" s="322" t="s">
        <v>31</v>
      </c>
      <c r="E487" s="1"/>
      <c r="F487" s="2"/>
      <c r="G487" s="338" t="s">
        <v>31</v>
      </c>
      <c r="H487" s="1"/>
      <c r="I487" s="2" t="s">
        <v>31</v>
      </c>
      <c r="J487" s="2"/>
      <c r="K487" s="338" t="s">
        <v>31</v>
      </c>
      <c r="L487" s="1"/>
      <c r="M487" s="2" t="s">
        <v>31</v>
      </c>
      <c r="N487" s="2"/>
      <c r="O487" s="338" t="s">
        <v>31</v>
      </c>
      <c r="P487" s="1"/>
      <c r="Q487" s="2" t="s">
        <v>31</v>
      </c>
      <c r="R487" s="2"/>
      <c r="S487" s="338" t="s">
        <v>31</v>
      </c>
      <c r="T487" s="1"/>
      <c r="U487" s="2" t="s">
        <v>31</v>
      </c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 hidden="1">
      <c r="A488" s="278" t="s">
        <v>407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 hidden="1">
      <c r="A489" s="1" t="s">
        <v>401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 hidden="1">
      <c r="A490" s="1" t="s">
        <v>408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 hidden="1">
      <c r="A491" s="1" t="s">
        <v>383</v>
      </c>
      <c r="B491" s="1"/>
      <c r="C491" s="304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 hidden="1">
      <c r="A492" s="1" t="s">
        <v>380</v>
      </c>
      <c r="B492" s="1"/>
      <c r="C492" s="304">
        <f>'Rate Design Work eff 10-14-16'!C491</f>
        <v>2</v>
      </c>
      <c r="D492" s="283">
        <f>'Rate Design Work eff 10-14-16'!D491</f>
        <v>115.19999999999999</v>
      </c>
      <c r="E492" s="308"/>
      <c r="F492" s="2">
        <f>ROUND(D492*$C492,0)</f>
        <v>230</v>
      </c>
      <c r="G492" s="283">
        <f ca="1">$G$169</f>
        <v>117.12</v>
      </c>
      <c r="H492" s="308"/>
      <c r="I492" s="2">
        <f ca="1">ROUND(G492*$C492,0)</f>
        <v>234</v>
      </c>
      <c r="J492" s="2"/>
      <c r="K492" s="283">
        <f ca="1">$K$169</f>
        <v>117.12</v>
      </c>
      <c r="L492" s="308"/>
      <c r="M492" s="2">
        <f ca="1">ROUND(K492*$C492,0)</f>
        <v>234</v>
      </c>
      <c r="N492" s="2"/>
      <c r="O492" s="283" t="str">
        <f>$O$169</f>
        <v xml:space="preserve"> </v>
      </c>
      <c r="P492" s="308"/>
      <c r="Q492" s="2">
        <f>ROUND(O492*$C492,0)</f>
        <v>0</v>
      </c>
      <c r="R492" s="2"/>
      <c r="S492" s="283" t="str">
        <f>$S$169</f>
        <v xml:space="preserve"> </v>
      </c>
      <c r="T492" s="308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 hidden="1">
      <c r="A493" s="1" t="s">
        <v>381</v>
      </c>
      <c r="B493" s="1"/>
      <c r="C493" s="304">
        <f>'Rate Design Work eff 10-14-16'!C492</f>
        <v>81.084931506849301</v>
      </c>
      <c r="D493" s="283">
        <f>'Rate Design Work eff 10-14-16'!D492</f>
        <v>171.60000000000002</v>
      </c>
      <c r="E493" s="310"/>
      <c r="F493" s="2">
        <f t="shared" ref="F493:F494" si="109">ROUND(D493*$C493,0)</f>
        <v>13914</v>
      </c>
      <c r="G493" s="283">
        <f ca="1">$G$170</f>
        <v>174.48</v>
      </c>
      <c r="H493" s="310"/>
      <c r="I493" s="2">
        <f ca="1">ROUND(G493*$C493,0)</f>
        <v>14148</v>
      </c>
      <c r="J493" s="2"/>
      <c r="K493" s="283">
        <f ca="1">$K$170</f>
        <v>174.48</v>
      </c>
      <c r="L493" s="310"/>
      <c r="M493" s="2">
        <f ca="1">ROUND(K493*$C493,0)</f>
        <v>14148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 hidden="1">
      <c r="A494" s="1" t="s">
        <v>382</v>
      </c>
      <c r="B494" s="1"/>
      <c r="C494" s="304">
        <f>'Rate Design Work eff 10-14-16'!C493</f>
        <v>2711.9452054794501</v>
      </c>
      <c r="D494" s="283">
        <f>'Rate Design Work eff 10-14-16'!D493</f>
        <v>12</v>
      </c>
      <c r="E494" s="310"/>
      <c r="F494" s="2">
        <f t="shared" si="109"/>
        <v>32543</v>
      </c>
      <c r="G494" s="283">
        <f ca="1">$G$171</f>
        <v>12.24</v>
      </c>
      <c r="H494" s="310"/>
      <c r="I494" s="2">
        <f ca="1">ROUND(G494*$C494,0)</f>
        <v>33194</v>
      </c>
      <c r="J494" s="2"/>
      <c r="K494" s="283">
        <f ca="1">$K$171</f>
        <v>12.24</v>
      </c>
      <c r="L494" s="310"/>
      <c r="M494" s="2">
        <f ca="1">ROUND(K494*$C494,0)</f>
        <v>33194</v>
      </c>
      <c r="N494" s="2"/>
      <c r="O494" s="283" t="str">
        <f>$O$171</f>
        <v xml:space="preserve"> </v>
      </c>
      <c r="P494" s="310"/>
      <c r="Q494" s="2">
        <f>ROUND(O494*$C494,0)</f>
        <v>0</v>
      </c>
      <c r="R494" s="2"/>
      <c r="S494" s="283" t="str">
        <f>$S$171</f>
        <v xml:space="preserve"> </v>
      </c>
      <c r="T494" s="310"/>
      <c r="U494" s="2">
        <f>ROUND(S494*$C494,0)</f>
        <v>0</v>
      </c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 hidden="1">
      <c r="A495" s="1" t="s">
        <v>384</v>
      </c>
      <c r="B495" s="1"/>
      <c r="C495" s="304">
        <f>'Rate Design Work eff 10-14-16'!C494</f>
        <v>83.084931506849301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 hidden="1">
      <c r="A496" s="1" t="s">
        <v>409</v>
      </c>
      <c r="B496" s="1"/>
      <c r="C496" s="304">
        <f>'Rate Design Work eff 10-14-16'!C495</f>
        <v>967.71261904761934</v>
      </c>
      <c r="D496" s="283"/>
      <c r="E496" s="308"/>
      <c r="F496" s="2"/>
      <c r="G496" s="283"/>
      <c r="H496" s="308"/>
      <c r="I496" s="2"/>
      <c r="J496" s="2"/>
      <c r="K496" s="283"/>
      <c r="L496" s="308"/>
      <c r="M496" s="2"/>
      <c r="N496" s="2"/>
      <c r="O496" s="283"/>
      <c r="P496" s="308"/>
      <c r="Q496" s="2"/>
      <c r="R496" s="2"/>
      <c r="S496" s="283"/>
      <c r="T496" s="308"/>
      <c r="U496" s="2"/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 hidden="1">
      <c r="A497" s="1" t="s">
        <v>385</v>
      </c>
      <c r="B497" s="1"/>
      <c r="C497" s="304">
        <f>'Rate Design Work eff 10-14-16'!C496</f>
        <v>7906.5367188213504</v>
      </c>
      <c r="D497" s="311">
        <f>'Rate Design Work eff 10-14-16'!D496</f>
        <v>3.64</v>
      </c>
      <c r="E497" s="308"/>
      <c r="F497" s="2">
        <f>ROUND(D497*C497,0)</f>
        <v>28780</v>
      </c>
      <c r="G497" s="311">
        <f ca="1">$G$178</f>
        <v>3.7</v>
      </c>
      <c r="H497" s="308"/>
      <c r="I497" s="2">
        <f ca="1">ROUND(G497*$C497,0)</f>
        <v>29254</v>
      </c>
      <c r="J497" s="2"/>
      <c r="K497" s="311" t="e">
        <f ca="1">$K$178</f>
        <v>#REF!</v>
      </c>
      <c r="L497" s="308"/>
      <c r="M497" s="2" t="e">
        <f ca="1">ROUND(K497*$C497,0)</f>
        <v>#REF!</v>
      </c>
      <c r="N497" s="2"/>
      <c r="O497" s="311" t="e">
        <f ca="1">$O$178</f>
        <v>#DIV/0!</v>
      </c>
      <c r="P497" s="308"/>
      <c r="Q497" s="2" t="e">
        <f ca="1">ROUND(O497*$C497,0)</f>
        <v>#DIV/0!</v>
      </c>
      <c r="R497" s="2"/>
      <c r="S497" s="311" t="e">
        <f ca="1">$S$178</f>
        <v>#DIV/0!</v>
      </c>
      <c r="T497" s="308"/>
      <c r="U497" s="2" t="e">
        <f ca="1">ROUND(S497*$C497,0)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 hidden="1">
      <c r="A498" s="1" t="s">
        <v>387</v>
      </c>
      <c r="B498" s="1"/>
      <c r="C498" s="304">
        <f>'Rate Design Work eff 10-14-16'!C497</f>
        <v>154025</v>
      </c>
      <c r="D498" s="284">
        <f>'Rate Design Work eff 10-14-16'!D497</f>
        <v>10.449</v>
      </c>
      <c r="E498" s="308" t="s">
        <v>364</v>
      </c>
      <c r="F498" s="2">
        <f>ROUND(D498*C498/100,0)</f>
        <v>16094</v>
      </c>
      <c r="G498" s="284">
        <f ca="1">$G$179</f>
        <v>10.628</v>
      </c>
      <c r="H498" s="308" t="s">
        <v>364</v>
      </c>
      <c r="I498" s="2">
        <f ca="1">ROUND(G498*$C498/100,0)</f>
        <v>16370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 hidden="1">
      <c r="A499" s="1" t="s">
        <v>388</v>
      </c>
      <c r="B499" s="1"/>
      <c r="C499" s="304">
        <f>'Rate Design Work eff 10-14-16'!C498</f>
        <v>130955</v>
      </c>
      <c r="D499" s="284">
        <f>'Rate Design Work eff 10-14-16'!D498</f>
        <v>7.218</v>
      </c>
      <c r="E499" s="308" t="s">
        <v>364</v>
      </c>
      <c r="F499" s="2">
        <f>ROUND(D499*C499/100,0)</f>
        <v>9452</v>
      </c>
      <c r="G499" s="284">
        <f ca="1">$G$180</f>
        <v>7.3410000000000002</v>
      </c>
      <c r="H499" s="308" t="s">
        <v>364</v>
      </c>
      <c r="I499" s="2">
        <f ca="1">ROUND(G499*$C499/100,0)</f>
        <v>9613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 hidden="1">
      <c r="A500" s="1" t="s">
        <v>389</v>
      </c>
      <c r="B500" s="1"/>
      <c r="C500" s="304">
        <f>'Rate Design Work eff 10-14-16'!C499</f>
        <v>0</v>
      </c>
      <c r="D500" s="284">
        <f>'Rate Design Work eff 10-14-16'!D499</f>
        <v>6.218</v>
      </c>
      <c r="E500" s="308" t="s">
        <v>364</v>
      </c>
      <c r="F500" s="2">
        <f>ROUND(D500*C500/100,0)</f>
        <v>0</v>
      </c>
      <c r="G500" s="284">
        <f ca="1">$G$181</f>
        <v>6.3240000000000007</v>
      </c>
      <c r="H500" s="308" t="s">
        <v>364</v>
      </c>
      <c r="I500" s="2">
        <f ca="1">ROUND(G500*$C500/100,0)</f>
        <v>0</v>
      </c>
      <c r="J500" s="2"/>
      <c r="K500" s="284" t="e">
        <f ca="1">$K$181</f>
        <v>#REF!</v>
      </c>
      <c r="L500" s="308" t="s">
        <v>364</v>
      </c>
      <c r="M500" s="2" t="e">
        <f ca="1">ROUND(K500*$C500/100,0)</f>
        <v>#REF!</v>
      </c>
      <c r="N500" s="2"/>
      <c r="O500" s="284" t="e">
        <f ca="1">$O$181</f>
        <v>#DIV/0!</v>
      </c>
      <c r="P500" s="308" t="s">
        <v>364</v>
      </c>
      <c r="Q500" s="2" t="e">
        <f ca="1">ROUND(O500*$C500/100,0)</f>
        <v>#DIV/0!</v>
      </c>
      <c r="R500" s="2"/>
      <c r="S500" s="284" t="e">
        <f ca="1">$S$181</f>
        <v>#DIV/0!</v>
      </c>
      <c r="T500" s="308" t="s">
        <v>364</v>
      </c>
      <c r="U500" s="2" t="e">
        <f ca="1"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hidden="1">
      <c r="A501" s="1" t="s">
        <v>390</v>
      </c>
      <c r="B501" s="1"/>
      <c r="C501" s="304">
        <f>'Rate Design Work eff 10-14-16'!C500</f>
        <v>1569.0261904761901</v>
      </c>
      <c r="D501" s="315">
        <f>'Rate Design Work eff 10-14-16'!D500</f>
        <v>56</v>
      </c>
      <c r="E501" s="308" t="s">
        <v>364</v>
      </c>
      <c r="F501" s="2">
        <f>ROUND(D501*C501/100,0)</f>
        <v>879</v>
      </c>
      <c r="G501" s="315">
        <f ca="1">$G$182</f>
        <v>57</v>
      </c>
      <c r="H501" s="308" t="s">
        <v>364</v>
      </c>
      <c r="I501" s="2">
        <f ca="1">ROUND(G501*$C501/100,0)</f>
        <v>894</v>
      </c>
      <c r="J501" s="2"/>
      <c r="K501" s="315" t="str">
        <f>$K$182</f>
        <v xml:space="preserve"> </v>
      </c>
      <c r="L501" s="308" t="s">
        <v>364</v>
      </c>
      <c r="M501" s="2">
        <f>ROUND(K501*$C501/100,0)</f>
        <v>0</v>
      </c>
      <c r="N501" s="2"/>
      <c r="O501" s="315" t="e">
        <f>$O$182</f>
        <v>#DIV/0!</v>
      </c>
      <c r="P501" s="308" t="s">
        <v>364</v>
      </c>
      <c r="Q501" s="2" t="e">
        <f>ROUND(O501*$C501/100,0)</f>
        <v>#DIV/0!</v>
      </c>
      <c r="R501" s="2"/>
      <c r="S501" s="315" t="e">
        <f>$S$182</f>
        <v>#DIV/0!</v>
      </c>
      <c r="T501" s="308" t="s">
        <v>364</v>
      </c>
      <c r="U501" s="2" t="e">
        <f>ROUND(S501*$C501/100,0)</f>
        <v>#DIV/0!</v>
      </c>
      <c r="V501" s="20"/>
      <c r="W501" s="74"/>
      <c r="X501" s="74"/>
      <c r="Y501" s="74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</row>
    <row r="502" spans="1:44" s="1118" customFormat="1" hidden="1">
      <c r="A502" s="968" t="s">
        <v>888</v>
      </c>
      <c r="C502" s="1122">
        <f t="shared" ref="C502:C503" si="110">C498</f>
        <v>154025</v>
      </c>
      <c r="D502" s="254">
        <f>'Rate Design Work eff 10-14-16'!D501</f>
        <v>0</v>
      </c>
      <c r="E502" s="1119"/>
      <c r="F502" s="1123"/>
      <c r="G502" s="1128">
        <f>G183</f>
        <v>0</v>
      </c>
      <c r="H502" s="972" t="s">
        <v>364</v>
      </c>
      <c r="I502" s="1123">
        <f t="shared" ref="I502:I504" si="111">ROUND(G502*$C502/100,0)</f>
        <v>0</v>
      </c>
      <c r="J502" s="1123"/>
      <c r="K502" s="1128" t="str">
        <f>K183</f>
        <v xml:space="preserve"> </v>
      </c>
      <c r="L502" s="972" t="s">
        <v>364</v>
      </c>
      <c r="M502" s="1123">
        <f t="shared" ref="M502:M504" si="112">ROUND(K502*$C502/100,0)</f>
        <v>0</v>
      </c>
      <c r="N502" s="1123"/>
      <c r="O502" s="1128" t="str">
        <f>O183</f>
        <v xml:space="preserve"> </v>
      </c>
      <c r="P502" s="972" t="s">
        <v>364</v>
      </c>
      <c r="Q502" s="1123">
        <f t="shared" ref="Q502:Q504" si="113">ROUND(O502*$C502/100,0)</f>
        <v>0</v>
      </c>
      <c r="R502" s="1123"/>
      <c r="S502" s="1128">
        <f>S183</f>
        <v>0</v>
      </c>
      <c r="T502" s="972" t="s">
        <v>364</v>
      </c>
      <c r="U502" s="1123">
        <f t="shared" ref="U502:U504" si="114">ROUND(S502*$C502/100,0)</f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889</v>
      </c>
      <c r="C503" s="1122">
        <f t="shared" si="110"/>
        <v>130955</v>
      </c>
      <c r="D503" s="254">
        <f>'Rate Design Work eff 10-14-16'!D502</f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1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2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13"/>
        <v>0</v>
      </c>
      <c r="R503" s="1123"/>
      <c r="S503" s="1128">
        <f>S184</f>
        <v>0</v>
      </c>
      <c r="T503" s="972" t="s">
        <v>364</v>
      </c>
      <c r="U503" s="1123">
        <f t="shared" si="114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 s="1118" customFormat="1" hidden="1">
      <c r="A504" s="968" t="s">
        <v>890</v>
      </c>
      <c r="C504" s="1122">
        <f>C500</f>
        <v>0</v>
      </c>
      <c r="D504" s="254">
        <f>'Rate Design Work eff 10-14-16'!D503</f>
        <v>0</v>
      </c>
      <c r="E504" s="1119"/>
      <c r="F504" s="1123"/>
      <c r="G504" s="1128">
        <f>G185</f>
        <v>0</v>
      </c>
      <c r="H504" s="972" t="s">
        <v>364</v>
      </c>
      <c r="I504" s="1123">
        <f t="shared" si="111"/>
        <v>0</v>
      </c>
      <c r="J504" s="1123"/>
      <c r="K504" s="1128" t="str">
        <f>K185</f>
        <v xml:space="preserve"> </v>
      </c>
      <c r="L504" s="972" t="s">
        <v>364</v>
      </c>
      <c r="M504" s="1123">
        <f t="shared" si="112"/>
        <v>0</v>
      </c>
      <c r="N504" s="1123"/>
      <c r="O504" s="1128" t="str">
        <f>O185</f>
        <v xml:space="preserve"> </v>
      </c>
      <c r="P504" s="972" t="s">
        <v>364</v>
      </c>
      <c r="Q504" s="1123">
        <f t="shared" si="113"/>
        <v>0</v>
      </c>
      <c r="R504" s="1123"/>
      <c r="S504" s="1128">
        <f>S185</f>
        <v>0</v>
      </c>
      <c r="T504" s="972" t="s">
        <v>364</v>
      </c>
      <c r="U504" s="1123">
        <f t="shared" si="114"/>
        <v>0</v>
      </c>
      <c r="W504" s="784"/>
      <c r="Z504" s="1125"/>
      <c r="AA504" s="1125"/>
      <c r="AF504" s="1119"/>
      <c r="AG504" s="1119"/>
      <c r="AH504" s="1119"/>
      <c r="AI504" s="1119"/>
      <c r="AJ504" s="1119"/>
      <c r="AK504" s="1119"/>
      <c r="AL504" s="1119"/>
      <c r="AM504" s="1119"/>
      <c r="AN504" s="1119"/>
      <c r="AO504" s="1119"/>
      <c r="AP504" s="1119"/>
      <c r="AR504" s="1124"/>
    </row>
    <row r="505" spans="1:44" hidden="1">
      <c r="A505" s="316" t="s">
        <v>391</v>
      </c>
      <c r="B505" s="1"/>
      <c r="C505" s="304"/>
      <c r="D505" s="317">
        <f>'Rate Design Work eff 10-14-16'!D504</f>
        <v>-0.01</v>
      </c>
      <c r="E505" s="308"/>
      <c r="F505" s="2"/>
      <c r="G505" s="317">
        <v>-0.01</v>
      </c>
      <c r="H505" s="308"/>
      <c r="I505" s="2"/>
      <c r="J505" s="2"/>
      <c r="K505" s="317">
        <v>-0.01</v>
      </c>
      <c r="L505" s="308"/>
      <c r="M505" s="2"/>
      <c r="N505" s="2"/>
      <c r="O505" s="317">
        <v>-0.01</v>
      </c>
      <c r="P505" s="308"/>
      <c r="Q505" s="2"/>
      <c r="R505" s="2"/>
      <c r="S505" s="317">
        <v>-0.01</v>
      </c>
      <c r="T505" s="308"/>
      <c r="U505" s="2"/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 hidden="1">
      <c r="A506" s="1" t="s">
        <v>380</v>
      </c>
      <c r="B506" s="1"/>
      <c r="C506" s="304">
        <v>0</v>
      </c>
      <c r="D506" s="319">
        <f>'Rate Design Work eff 10-14-16'!D505</f>
        <v>115.19999999999999</v>
      </c>
      <c r="E506" s="306"/>
      <c r="F506" s="2">
        <f>-ROUND(D506*$C506/100,0)</f>
        <v>0</v>
      </c>
      <c r="G506" s="319">
        <f ca="1">G492</f>
        <v>117.12</v>
      </c>
      <c r="H506" s="306"/>
      <c r="I506" s="2">
        <f ca="1">-ROUND(G506*$C506/100,0)</f>
        <v>0</v>
      </c>
      <c r="J506" s="2"/>
      <c r="K506" s="319">
        <f ca="1">K492</f>
        <v>117.12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 hidden="1">
      <c r="A507" s="1" t="s">
        <v>381</v>
      </c>
      <c r="B507" s="1"/>
      <c r="C507" s="304">
        <v>0</v>
      </c>
      <c r="D507" s="319">
        <f>'Rate Design Work eff 10-14-16'!D506</f>
        <v>171.60000000000002</v>
      </c>
      <c r="E507" s="306"/>
      <c r="F507" s="2">
        <f t="shared" ref="F507:F509" si="115">-ROUND(D507*$C507/100,0)</f>
        <v>0</v>
      </c>
      <c r="G507" s="319">
        <f ca="1">G493</f>
        <v>174.48</v>
      </c>
      <c r="H507" s="306"/>
      <c r="I507" s="2">
        <f ca="1">-ROUND(G507*$C507/100,0)</f>
        <v>0</v>
      </c>
      <c r="J507" s="2"/>
      <c r="K507" s="319">
        <f ca="1">K493</f>
        <v>174.48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 hidden="1">
      <c r="A508" s="1" t="s">
        <v>392</v>
      </c>
      <c r="B508" s="1"/>
      <c r="C508" s="304">
        <v>0</v>
      </c>
      <c r="D508" s="319">
        <f>'Rate Design Work eff 10-14-16'!D507</f>
        <v>12</v>
      </c>
      <c r="E508" s="306"/>
      <c r="F508" s="2">
        <f t="shared" si="115"/>
        <v>0</v>
      </c>
      <c r="G508" s="319">
        <f ca="1">G494</f>
        <v>12.24</v>
      </c>
      <c r="H508" s="306"/>
      <c r="I508" s="2">
        <f ca="1">-ROUND(G508*$C508/100,0)</f>
        <v>0</v>
      </c>
      <c r="J508" s="2"/>
      <c r="K508" s="319">
        <f ca="1">K494</f>
        <v>12.24</v>
      </c>
      <c r="L508" s="306"/>
      <c r="M508" s="2">
        <f ca="1">-ROUND(K508*$C508/100,0)</f>
        <v>0</v>
      </c>
      <c r="N508" s="2"/>
      <c r="O508" s="319" t="str">
        <f>O494</f>
        <v xml:space="preserve"> </v>
      </c>
      <c r="P508" s="306"/>
      <c r="Q508" s="2">
        <f>-ROUND(O508*$C508/100,0)</f>
        <v>0</v>
      </c>
      <c r="R508" s="2"/>
      <c r="S508" s="319" t="str">
        <f>S494</f>
        <v xml:space="preserve"> </v>
      </c>
      <c r="T508" s="306"/>
      <c r="U508" s="2">
        <f>-ROUND(S508*$C508/100,0)</f>
        <v>0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 hidden="1">
      <c r="A509" s="1" t="s">
        <v>393</v>
      </c>
      <c r="B509" s="1"/>
      <c r="C509" s="304">
        <v>0</v>
      </c>
      <c r="D509" s="319">
        <f>'Rate Design Work eff 10-14-16'!D508</f>
        <v>3.64</v>
      </c>
      <c r="E509" s="308"/>
      <c r="F509" s="2">
        <f t="shared" si="115"/>
        <v>0</v>
      </c>
      <c r="G509" s="319">
        <f ca="1">G497</f>
        <v>3.7</v>
      </c>
      <c r="H509" s="308"/>
      <c r="I509" s="2">
        <f ca="1">-ROUND(G509*$C509/100,0)</f>
        <v>0</v>
      </c>
      <c r="J509" s="2"/>
      <c r="K509" s="319" t="e">
        <f ca="1">K497</f>
        <v>#REF!</v>
      </c>
      <c r="L509" s="308"/>
      <c r="M509" s="2" t="e">
        <f ca="1">-ROUND(K509*$C509/100,0)</f>
        <v>#REF!</v>
      </c>
      <c r="N509" s="2"/>
      <c r="O509" s="319" t="e">
        <f ca="1">O497</f>
        <v>#DIV/0!</v>
      </c>
      <c r="P509" s="308"/>
      <c r="Q509" s="2" t="e">
        <f ca="1">-ROUND(O509*$C509/100,0)</f>
        <v>#DIV/0!</v>
      </c>
      <c r="R509" s="2"/>
      <c r="S509" s="319" t="e">
        <f ca="1">S497</f>
        <v>#DIV/0!</v>
      </c>
      <c r="T509" s="308"/>
      <c r="U509" s="2" t="e">
        <f ca="1">-ROUND(S509*$C509/100,0)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 hidden="1">
      <c r="A510" s="1" t="s">
        <v>395</v>
      </c>
      <c r="B510" s="1"/>
      <c r="C510" s="304">
        <v>0</v>
      </c>
      <c r="D510" s="320">
        <f>'Rate Design Work eff 10-14-16'!D509</f>
        <v>10.449</v>
      </c>
      <c r="E510" s="308" t="s">
        <v>364</v>
      </c>
      <c r="F510" s="2">
        <f>ROUND(D510*$C510/100*D505,0)</f>
        <v>0</v>
      </c>
      <c r="G510" s="320">
        <f ca="1">G498</f>
        <v>10.628</v>
      </c>
      <c r="H510" s="308" t="s">
        <v>364</v>
      </c>
      <c r="I510" s="2">
        <f ca="1">ROUND(G510*$C510/100*G505,0)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ROUND(K510*$C510/100*K505,0)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ROUND(O510*$C510/100*O505,0)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ROUND(S510*$C510/100*S505,0)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 hidden="1">
      <c r="A511" s="1" t="s">
        <v>388</v>
      </c>
      <c r="B511" s="1"/>
      <c r="C511" s="304">
        <v>0</v>
      </c>
      <c r="D511" s="320">
        <f>'Rate Design Work eff 10-14-16'!D510</f>
        <v>7.218</v>
      </c>
      <c r="E511" s="308" t="s">
        <v>364</v>
      </c>
      <c r="F511" s="2">
        <f>ROUND(D511*$C511/100*D505,0)</f>
        <v>0</v>
      </c>
      <c r="G511" s="320">
        <f ca="1">G499</f>
        <v>7.3410000000000002</v>
      </c>
      <c r="H511" s="308" t="s">
        <v>364</v>
      </c>
      <c r="I511" s="2">
        <f ca="1">ROUND(G511*$C511/100*G505,0)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ROUND(K511*$C511/100*K505,0)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ROUND(O511*$C511/100*O505,0)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ROUND(S511*$C511/100*S505,0)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 hidden="1">
      <c r="A512" s="1" t="s">
        <v>389</v>
      </c>
      <c r="B512" s="1"/>
      <c r="C512" s="304">
        <v>0</v>
      </c>
      <c r="D512" s="320">
        <f>'Rate Design Work eff 10-14-16'!D511</f>
        <v>6.218</v>
      </c>
      <c r="E512" s="308" t="s">
        <v>364</v>
      </c>
      <c r="F512" s="2">
        <f>ROUND(D512*$C512/100*D505,0)</f>
        <v>0</v>
      </c>
      <c r="G512" s="320">
        <f ca="1">G500</f>
        <v>6.3240000000000007</v>
      </c>
      <c r="H512" s="308" t="s">
        <v>364</v>
      </c>
      <c r="I512" s="2">
        <f ca="1">ROUND(G512*$C512/100*G505,0)</f>
        <v>0</v>
      </c>
      <c r="J512" s="2"/>
      <c r="K512" s="320" t="e">
        <f ca="1">K500</f>
        <v>#REF!</v>
      </c>
      <c r="L512" s="308" t="s">
        <v>364</v>
      </c>
      <c r="M512" s="2" t="e">
        <f ca="1">ROUND(K512*$C512/100*K505,0)</f>
        <v>#REF!</v>
      </c>
      <c r="N512" s="2"/>
      <c r="O512" s="320" t="e">
        <f ca="1">O500</f>
        <v>#DIV/0!</v>
      </c>
      <c r="P512" s="308" t="s">
        <v>364</v>
      </c>
      <c r="Q512" s="2" t="e">
        <f ca="1">ROUND(O512*$C512/100*O505,0)</f>
        <v>#DIV/0!</v>
      </c>
      <c r="R512" s="2"/>
      <c r="S512" s="320" t="e">
        <f ca="1">S500</f>
        <v>#DIV/0!</v>
      </c>
      <c r="T512" s="308" t="s">
        <v>364</v>
      </c>
      <c r="U512" s="2" t="e">
        <f ca="1">ROUND(S512*$C512/100*S505,0)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 hidden="1">
      <c r="A513" s="1" t="s">
        <v>390</v>
      </c>
      <c r="B513" s="1"/>
      <c r="C513" s="304">
        <v>0</v>
      </c>
      <c r="D513" s="321">
        <f>'Rate Design Work eff 10-14-16'!D512</f>
        <v>56</v>
      </c>
      <c r="E513" s="308" t="s">
        <v>364</v>
      </c>
      <c r="F513" s="2">
        <f>ROUND(D513*$C513/100*D505,0)</f>
        <v>0</v>
      </c>
      <c r="G513" s="321">
        <f ca="1">G501</f>
        <v>57</v>
      </c>
      <c r="H513" s="308" t="s">
        <v>364</v>
      </c>
      <c r="I513" s="2">
        <f ca="1">ROUND(G513*$C513/100*G505,0)</f>
        <v>0</v>
      </c>
      <c r="J513" s="2"/>
      <c r="K513" s="321" t="str">
        <f>K501</f>
        <v xml:space="preserve"> </v>
      </c>
      <c r="L513" s="308" t="s">
        <v>364</v>
      </c>
      <c r="M513" s="2">
        <f>ROUND(K513*$C513/100*K505,0)</f>
        <v>0</v>
      </c>
      <c r="N513" s="2"/>
      <c r="O513" s="321" t="e">
        <f>O501</f>
        <v>#DIV/0!</v>
      </c>
      <c r="P513" s="308" t="s">
        <v>364</v>
      </c>
      <c r="Q513" s="2" t="e">
        <f>ROUND(O513*$C513/100*O505,0)</f>
        <v>#DIV/0!</v>
      </c>
      <c r="R513" s="2"/>
      <c r="S513" s="321" t="e">
        <f>S501</f>
        <v>#DIV/0!</v>
      </c>
      <c r="T513" s="308" t="s">
        <v>364</v>
      </c>
      <c r="U513" s="2" t="e">
        <f>ROUND(S513*$C513/100*S505,0)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 hidden="1">
      <c r="A514" s="1" t="s">
        <v>397</v>
      </c>
      <c r="B514" s="1"/>
      <c r="C514" s="304">
        <v>0</v>
      </c>
      <c r="D514" s="322">
        <f>'Rate Design Work eff 10-14-16'!D513</f>
        <v>60</v>
      </c>
      <c r="E514" s="308"/>
      <c r="F514" s="2">
        <f>ROUND(D514*C514,0)</f>
        <v>0</v>
      </c>
      <c r="G514" s="322">
        <f>$G$198</f>
        <v>60</v>
      </c>
      <c r="H514" s="308"/>
      <c r="I514" s="2">
        <f>ROUND(G514*$C514,0)</f>
        <v>0</v>
      </c>
      <c r="J514" s="2"/>
      <c r="K514" s="322" t="str">
        <f>$K$198</f>
        <v xml:space="preserve"> </v>
      </c>
      <c r="L514" s="308"/>
      <c r="M514" s="2">
        <f>ROUND(K514*$C514,0)</f>
        <v>0</v>
      </c>
      <c r="N514" s="2"/>
      <c r="O514" s="322" t="e">
        <f>$O$198</f>
        <v>#DIV/0!</v>
      </c>
      <c r="P514" s="308"/>
      <c r="Q514" s="2" t="e">
        <f>ROUND(O514*$C514,0)</f>
        <v>#DIV/0!</v>
      </c>
      <c r="R514" s="2"/>
      <c r="S514" s="322" t="e">
        <f>$S$198</f>
        <v>#DIV/0!</v>
      </c>
      <c r="T514" s="308"/>
      <c r="U514" s="2" t="e">
        <f>ROUND(S514*$C514,0)</f>
        <v>#DIV/0!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hidden="1">
      <c r="A515" s="1" t="s">
        <v>398</v>
      </c>
      <c r="B515" s="1"/>
      <c r="C515" s="304">
        <v>0</v>
      </c>
      <c r="D515" s="324">
        <f>'Rate Design Work eff 10-14-16'!D514</f>
        <v>-30</v>
      </c>
      <c r="E515" s="308" t="s">
        <v>364</v>
      </c>
      <c r="F515" s="2">
        <f>ROUND(D515*C515/100,0)</f>
        <v>0</v>
      </c>
      <c r="G515" s="324">
        <f>$G$199</f>
        <v>-30</v>
      </c>
      <c r="H515" s="308" t="s">
        <v>364</v>
      </c>
      <c r="I515" s="2">
        <f>ROUND(G515*$C515/100,0)</f>
        <v>0</v>
      </c>
      <c r="J515" s="2"/>
      <c r="K515" s="324">
        <f>$K$199</f>
        <v>-30</v>
      </c>
      <c r="L515" s="308" t="s">
        <v>364</v>
      </c>
      <c r="M515" s="2">
        <f>ROUND(K515*$C515/100,0)</f>
        <v>0</v>
      </c>
      <c r="N515" s="2"/>
      <c r="O515" s="324" t="str">
        <f>$O$199</f>
        <v xml:space="preserve"> </v>
      </c>
      <c r="P515" s="308" t="s">
        <v>364</v>
      </c>
      <c r="Q515" s="2">
        <f>ROUND(O515*$C515/100,0)</f>
        <v>0</v>
      </c>
      <c r="R515" s="2"/>
      <c r="S515" s="324" t="str">
        <f>$S$199</f>
        <v xml:space="preserve"> </v>
      </c>
      <c r="T515" s="308" t="s">
        <v>364</v>
      </c>
      <c r="U515" s="2">
        <f>ROUND(S515*$C515/100,0)</f>
        <v>0</v>
      </c>
      <c r="V515" s="20"/>
      <c r="W515" s="74"/>
      <c r="X515" s="74"/>
      <c r="Y515" s="74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</row>
    <row r="516" spans="1:44" s="1118" customFormat="1" hidden="1">
      <c r="A516" s="968" t="s">
        <v>888</v>
      </c>
      <c r="C516" s="1122">
        <f>C510</f>
        <v>0</v>
      </c>
      <c r="D516" s="254">
        <f>'Rate Design Work eff 10-14-16'!D515</f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ROUND(G516*$C516/100*G505,0)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ROUND(K516*$C516/100*K505,0)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ROUND(O516*$C516/100*O505,0)</f>
        <v>0</v>
      </c>
      <c r="R516" s="2"/>
      <c r="S516" s="1128">
        <f>S183</f>
        <v>0</v>
      </c>
      <c r="T516" s="972" t="s">
        <v>364</v>
      </c>
      <c r="U516" s="2">
        <f>ROUND(S516*$C516/100*S505,0)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889</v>
      </c>
      <c r="C517" s="1122">
        <f t="shared" ref="C517:C518" si="116">C511</f>
        <v>0</v>
      </c>
      <c r="D517" s="254">
        <f>'Rate Design Work eff 10-14-16'!D516</f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ROUND(G517*$C517/100*G505,0)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ROUND(K517*$C517/100*K505,0)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ROUND(O517*$C517/100*O505,0)</f>
        <v>0</v>
      </c>
      <c r="R517" s="2"/>
      <c r="S517" s="1128">
        <f>S184</f>
        <v>0</v>
      </c>
      <c r="T517" s="972" t="s">
        <v>364</v>
      </c>
      <c r="U517" s="2">
        <f>ROUND(S517*$C517/100*S505,0)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 s="1118" customFormat="1" hidden="1">
      <c r="A518" s="968" t="s">
        <v>890</v>
      </c>
      <c r="C518" s="1122">
        <f t="shared" si="116"/>
        <v>0</v>
      </c>
      <c r="D518" s="254">
        <f>'Rate Design Work eff 10-14-16'!D517</f>
        <v>0</v>
      </c>
      <c r="E518" s="1119"/>
      <c r="F518" s="1123"/>
      <c r="G518" s="1128">
        <f>G185</f>
        <v>0</v>
      </c>
      <c r="H518" s="972" t="s">
        <v>364</v>
      </c>
      <c r="I518" s="2">
        <f>ROUND(G518*$C518/100*G505,0)</f>
        <v>0</v>
      </c>
      <c r="J518" s="2"/>
      <c r="K518" s="1128" t="str">
        <f>K185</f>
        <v xml:space="preserve"> </v>
      </c>
      <c r="L518" s="972" t="s">
        <v>364</v>
      </c>
      <c r="M518" s="2">
        <f>ROUND(K518*$C518/100*K505,0)</f>
        <v>0</v>
      </c>
      <c r="N518" s="2"/>
      <c r="O518" s="1128" t="str">
        <f>O185</f>
        <v xml:space="preserve"> </v>
      </c>
      <c r="P518" s="972" t="s">
        <v>364</v>
      </c>
      <c r="Q518" s="2">
        <f>ROUND(O518*$C518/100*O505,0)</f>
        <v>0</v>
      </c>
      <c r="R518" s="2"/>
      <c r="S518" s="1128">
        <f>S185</f>
        <v>0</v>
      </c>
      <c r="T518" s="972" t="s">
        <v>364</v>
      </c>
      <c r="U518" s="2">
        <f>ROUND(S518*$C518/100*S505,0)</f>
        <v>0</v>
      </c>
      <c r="W518" s="784"/>
      <c r="Z518" s="1125"/>
      <c r="AA518" s="1125"/>
      <c r="AF518" s="1119"/>
      <c r="AG518" s="1119"/>
      <c r="AH518" s="1119"/>
      <c r="AI518" s="1119"/>
      <c r="AJ518" s="1119"/>
      <c r="AK518" s="1119"/>
      <c r="AL518" s="1119"/>
      <c r="AM518" s="1119"/>
      <c r="AN518" s="1119"/>
      <c r="AO518" s="1119"/>
      <c r="AP518" s="1119"/>
      <c r="AR518" s="1124"/>
    </row>
    <row r="519" spans="1:44" hidden="1">
      <c r="A519" s="1" t="s">
        <v>371</v>
      </c>
      <c r="B519" s="1"/>
      <c r="C519" s="304">
        <f>SUM(C498:C500)</f>
        <v>284980</v>
      </c>
      <c r="D519" s="315"/>
      <c r="E519" s="308"/>
      <c r="F519" s="2">
        <f>SUM(F492:F515)</f>
        <v>101892</v>
      </c>
      <c r="G519" s="315"/>
      <c r="H519" s="308"/>
      <c r="I519" s="2">
        <f ca="1">SUM(I492:I518)</f>
        <v>103707</v>
      </c>
      <c r="J519" s="2"/>
      <c r="K519" s="315"/>
      <c r="L519" s="308"/>
      <c r="M519" s="2" t="e">
        <f ca="1">SUM(M492:M518)</f>
        <v>#REF!</v>
      </c>
      <c r="N519" s="2"/>
      <c r="O519" s="315"/>
      <c r="P519" s="308"/>
      <c r="Q519" s="2" t="e">
        <f ca="1">SUM(Q492:Q518)</f>
        <v>#DIV/0!</v>
      </c>
      <c r="R519" s="2"/>
      <c r="S519" s="315"/>
      <c r="T519" s="308"/>
      <c r="U519" s="2" t="e">
        <f ca="1">SUM(U492:U518)</f>
        <v>#DIV/0!</v>
      </c>
      <c r="V519" s="20"/>
      <c r="W519" s="74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idden="1">
      <c r="A520" s="1" t="s">
        <v>353</v>
      </c>
      <c r="B520" s="1"/>
      <c r="C520" s="334">
        <f>'Table 2'!H43</f>
        <v>1965.5392472718752</v>
      </c>
      <c r="D520" s="294"/>
      <c r="E520" s="294"/>
      <c r="F520" s="326">
        <f>'Table 3'!E43</f>
        <v>783.73149966378082</v>
      </c>
      <c r="G520" s="294"/>
      <c r="H520" s="294"/>
      <c r="I520" s="326">
        <f>F520</f>
        <v>783.73149966378082</v>
      </c>
      <c r="J520" s="307"/>
      <c r="K520" s="294"/>
      <c r="L520" s="294"/>
      <c r="M520" s="326" t="e">
        <f ca="1">M204/I204*I520</f>
        <v>#DIV/0!</v>
      </c>
      <c r="N520" s="307"/>
      <c r="O520" s="294"/>
      <c r="P520" s="294"/>
      <c r="Q520" s="326" t="e">
        <f ca="1">Q204/I204*I520</f>
        <v>#DIV/0!</v>
      </c>
      <c r="R520" s="307"/>
      <c r="S520" s="294"/>
      <c r="T520" s="294"/>
      <c r="U520" s="326" t="e">
        <f ca="1">U204/I204*I520</f>
        <v>#DIV/0!</v>
      </c>
      <c r="V520" s="429"/>
      <c r="W520" s="272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hidden="1" thickBot="1">
      <c r="A521" s="1" t="s">
        <v>372</v>
      </c>
      <c r="B521" s="1"/>
      <c r="C521" s="296">
        <f>SUM(C519:C520)</f>
        <v>286945.5392472719</v>
      </c>
      <c r="D521" s="327"/>
      <c r="E521" s="330"/>
      <c r="F521" s="329">
        <f>F519+F520</f>
        <v>102675.73149966379</v>
      </c>
      <c r="G521" s="327"/>
      <c r="H521" s="330"/>
      <c r="I521" s="329">
        <f ca="1">I519+I520</f>
        <v>104490.73149966379</v>
      </c>
      <c r="J521" s="307"/>
      <c r="K521" s="327"/>
      <c r="L521" s="330"/>
      <c r="M521" s="329" t="e">
        <f ca="1">M519+M520</f>
        <v>#REF!</v>
      </c>
      <c r="N521" s="329"/>
      <c r="O521" s="327"/>
      <c r="P521" s="330"/>
      <c r="Q521" s="329" t="e">
        <f ca="1">Q519+Q520</f>
        <v>#DIV/0!</v>
      </c>
      <c r="R521" s="329"/>
      <c r="S521" s="327"/>
      <c r="T521" s="330"/>
      <c r="U521" s="329" t="e">
        <f ca="1">U519+U520</f>
        <v>#DIV/0!</v>
      </c>
      <c r="V521" s="396"/>
      <c r="W521" s="455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 ht="16.5" hidden="1" thickTop="1">
      <c r="A522" s="1"/>
      <c r="B522" s="1"/>
      <c r="C522" s="21"/>
      <c r="D522" s="322" t="s">
        <v>31</v>
      </c>
      <c r="E522" s="1"/>
      <c r="F522" s="2"/>
      <c r="G522" s="338" t="s">
        <v>31</v>
      </c>
      <c r="H522" s="1"/>
      <c r="I522" s="2" t="s">
        <v>31</v>
      </c>
      <c r="J522" s="2"/>
      <c r="K522" s="338" t="s">
        <v>31</v>
      </c>
      <c r="L522" s="1"/>
      <c r="M522" s="2" t="s">
        <v>31</v>
      </c>
      <c r="N522" s="2"/>
      <c r="O522" s="338" t="s">
        <v>31</v>
      </c>
      <c r="P522" s="1"/>
      <c r="Q522" s="2" t="s">
        <v>31</v>
      </c>
      <c r="R522" s="2"/>
      <c r="S522" s="338" t="s">
        <v>31</v>
      </c>
      <c r="T522" s="1"/>
      <c r="U522" s="2" t="s">
        <v>31</v>
      </c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 hidden="1">
      <c r="A523" s="278" t="s">
        <v>407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 hidden="1">
      <c r="A524" s="1" t="s">
        <v>404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 hidden="1">
      <c r="A525" s="1" t="s">
        <v>408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 hidden="1">
      <c r="A526" s="1" t="s">
        <v>383</v>
      </c>
      <c r="B526" s="1"/>
      <c r="C526" s="304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 hidden="1">
      <c r="A527" s="1" t="s">
        <v>380</v>
      </c>
      <c r="B527" s="1"/>
      <c r="C527" s="304">
        <f>'Rate Design Work eff 10-14-16'!C526</f>
        <v>0</v>
      </c>
      <c r="D527" s="283">
        <f>'Rate Design Work eff 10-14-16'!D526</f>
        <v>115.19999999999999</v>
      </c>
      <c r="E527" s="308"/>
      <c r="F527" s="2">
        <f>ROUND(D527*$C527,0)</f>
        <v>0</v>
      </c>
      <c r="G527" s="283">
        <f ca="1">$G$169</f>
        <v>117.12</v>
      </c>
      <c r="H527" s="308"/>
      <c r="I527" s="2">
        <f ca="1">ROUND(G527*$C527,0)</f>
        <v>0</v>
      </c>
      <c r="J527" s="2"/>
      <c r="K527" s="283">
        <f ca="1">$K$169</f>
        <v>117.12</v>
      </c>
      <c r="L527" s="308"/>
      <c r="M527" s="2">
        <f ca="1">ROUND(K527*$C527,0)</f>
        <v>0</v>
      </c>
      <c r="N527" s="2"/>
      <c r="O527" s="283" t="str">
        <f>$O$169</f>
        <v xml:space="preserve"> </v>
      </c>
      <c r="P527" s="308"/>
      <c r="Q527" s="2">
        <f>ROUND(O527*$C527,0)</f>
        <v>0</v>
      </c>
      <c r="R527" s="2"/>
      <c r="S527" s="283" t="str">
        <f>$S$169</f>
        <v xml:space="preserve"> </v>
      </c>
      <c r="T527" s="308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 hidden="1">
      <c r="A528" s="1" t="s">
        <v>381</v>
      </c>
      <c r="B528" s="1"/>
      <c r="C528" s="304">
        <f>'Rate Design Work eff 10-14-16'!C527</f>
        <v>1</v>
      </c>
      <c r="D528" s="283">
        <f>'Rate Design Work eff 10-14-16'!D527</f>
        <v>171.60000000000002</v>
      </c>
      <c r="E528" s="310"/>
      <c r="F528" s="2">
        <f t="shared" ref="F528:F529" si="117">ROUND(D528*$C528,0)</f>
        <v>172</v>
      </c>
      <c r="G528" s="283">
        <f ca="1">$G$170</f>
        <v>174.48</v>
      </c>
      <c r="H528" s="310"/>
      <c r="I528" s="2">
        <f ca="1">ROUND(G528*$C528,0)</f>
        <v>174</v>
      </c>
      <c r="J528" s="2"/>
      <c r="K528" s="283">
        <f ca="1">$K$170</f>
        <v>174.48</v>
      </c>
      <c r="L528" s="310"/>
      <c r="M528" s="2">
        <f ca="1">ROUND(K528*$C528,0)</f>
        <v>174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 hidden="1">
      <c r="A529" s="1" t="s">
        <v>382</v>
      </c>
      <c r="B529" s="1"/>
      <c r="C529" s="304">
        <f>'Rate Design Work eff 10-14-16'!C528</f>
        <v>59</v>
      </c>
      <c r="D529" s="283">
        <f>'Rate Design Work eff 10-14-16'!D528</f>
        <v>12</v>
      </c>
      <c r="E529" s="310"/>
      <c r="F529" s="2">
        <f t="shared" si="117"/>
        <v>708</v>
      </c>
      <c r="G529" s="283">
        <f ca="1">$G$171</f>
        <v>12.24</v>
      </c>
      <c r="H529" s="310"/>
      <c r="I529" s="2">
        <f ca="1">ROUND(G529*$C529,0)</f>
        <v>722</v>
      </c>
      <c r="J529" s="2"/>
      <c r="K529" s="283">
        <f ca="1">$K$171</f>
        <v>12.24</v>
      </c>
      <c r="L529" s="310"/>
      <c r="M529" s="2">
        <f ca="1">ROUND(K529*$C529,0)</f>
        <v>722</v>
      </c>
      <c r="N529" s="2"/>
      <c r="O529" s="283" t="str">
        <f>$O$171</f>
        <v xml:space="preserve"> </v>
      </c>
      <c r="P529" s="310"/>
      <c r="Q529" s="2">
        <f>ROUND(O529*$C529,0)</f>
        <v>0</v>
      </c>
      <c r="R529" s="2"/>
      <c r="S529" s="283" t="str">
        <f>$S$171</f>
        <v xml:space="preserve"> </v>
      </c>
      <c r="T529" s="310"/>
      <c r="U529" s="2">
        <f>ROUND(S529*$C529,0)</f>
        <v>0</v>
      </c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 hidden="1">
      <c r="A530" s="1" t="s">
        <v>384</v>
      </c>
      <c r="B530" s="1"/>
      <c r="C530" s="304">
        <f>SUM(C527:C528)</f>
        <v>1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 hidden="1">
      <c r="A531" s="1" t="s">
        <v>409</v>
      </c>
      <c r="B531" s="1"/>
      <c r="C531" s="304">
        <f>'Rate Design Work eff 10-14-16'!C530</f>
        <v>11.655555555555599</v>
      </c>
      <c r="D531" s="283"/>
      <c r="E531" s="308"/>
      <c r="F531" s="2"/>
      <c r="G531" s="283"/>
      <c r="H531" s="308"/>
      <c r="I531" s="2"/>
      <c r="J531" s="2"/>
      <c r="K531" s="283"/>
      <c r="L531" s="308"/>
      <c r="M531" s="2"/>
      <c r="N531" s="2"/>
      <c r="O531" s="283"/>
      <c r="P531" s="308"/>
      <c r="Q531" s="2"/>
      <c r="R531" s="2"/>
      <c r="S531" s="283"/>
      <c r="T531" s="308"/>
      <c r="U531" s="2"/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 hidden="1">
      <c r="A532" s="1" t="s">
        <v>385</v>
      </c>
      <c r="B532" s="1"/>
      <c r="C532" s="304">
        <f>'Rate Design Work eff 10-14-16'!C531</f>
        <v>170</v>
      </c>
      <c r="D532" s="311">
        <f>'Rate Design Work eff 10-14-16'!D531</f>
        <v>3.64</v>
      </c>
      <c r="E532" s="308"/>
      <c r="F532" s="2">
        <f>ROUND(D532*C532,0)</f>
        <v>619</v>
      </c>
      <c r="G532" s="311">
        <f ca="1">$G$178</f>
        <v>3.7</v>
      </c>
      <c r="H532" s="308"/>
      <c r="I532" s="2">
        <f ca="1">ROUND(G532*$C532,0)</f>
        <v>629</v>
      </c>
      <c r="J532" s="2"/>
      <c r="K532" s="311" t="e">
        <f ca="1">$K$178</f>
        <v>#REF!</v>
      </c>
      <c r="L532" s="308"/>
      <c r="M532" s="2" t="e">
        <f ca="1">ROUND(K532*$C532,0)</f>
        <v>#REF!</v>
      </c>
      <c r="N532" s="2"/>
      <c r="O532" s="311" t="e">
        <f ca="1">$O$178</f>
        <v>#DIV/0!</v>
      </c>
      <c r="P532" s="308"/>
      <c r="Q532" s="2" t="e">
        <f ca="1">ROUND(O532*$C532,0)</f>
        <v>#DIV/0!</v>
      </c>
      <c r="R532" s="2"/>
      <c r="S532" s="311" t="e">
        <f ca="1">$S$178</f>
        <v>#DIV/0!</v>
      </c>
      <c r="T532" s="308"/>
      <c r="U532" s="2" t="e">
        <f ca="1">ROUND(S532*$C532,0)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 hidden="1">
      <c r="A533" s="1" t="s">
        <v>387</v>
      </c>
      <c r="B533" s="1"/>
      <c r="C533" s="304">
        <f>'Rate Design Work eff 10-14-16'!C532</f>
        <v>4897</v>
      </c>
      <c r="D533" s="284">
        <f>'Rate Design Work eff 10-14-16'!D532</f>
        <v>10.449</v>
      </c>
      <c r="E533" s="308" t="s">
        <v>364</v>
      </c>
      <c r="F533" s="2">
        <f>ROUND(D533*C533/100,0)</f>
        <v>512</v>
      </c>
      <c r="G533" s="284">
        <f ca="1">$G$179</f>
        <v>10.628</v>
      </c>
      <c r="H533" s="308" t="s">
        <v>364</v>
      </c>
      <c r="I533" s="2">
        <f ca="1">ROUND(G533*$C533/100,0)</f>
        <v>520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 hidden="1">
      <c r="A534" s="1" t="s">
        <v>388</v>
      </c>
      <c r="B534" s="1"/>
      <c r="C534" s="304">
        <f>'Rate Design Work eff 10-14-16'!C533</f>
        <v>889</v>
      </c>
      <c r="D534" s="284">
        <f>'Rate Design Work eff 10-14-16'!D533</f>
        <v>7.218</v>
      </c>
      <c r="E534" s="308" t="s">
        <v>364</v>
      </c>
      <c r="F534" s="2">
        <f>ROUND(D534*C534/100,0)</f>
        <v>64</v>
      </c>
      <c r="G534" s="284">
        <f ca="1">$G$180</f>
        <v>7.3410000000000002</v>
      </c>
      <c r="H534" s="308" t="s">
        <v>364</v>
      </c>
      <c r="I534" s="2">
        <f ca="1">ROUND(G534*$C534/100,0)</f>
        <v>65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 hidden="1">
      <c r="A535" s="1" t="s">
        <v>389</v>
      </c>
      <c r="B535" s="1"/>
      <c r="C535" s="304">
        <f>'Rate Design Work eff 10-14-16'!C534</f>
        <v>0</v>
      </c>
      <c r="D535" s="284">
        <f>'Rate Design Work eff 10-14-16'!D534</f>
        <v>6.218</v>
      </c>
      <c r="E535" s="308" t="s">
        <v>364</v>
      </c>
      <c r="F535" s="2">
        <f>ROUND(D535*C535/100,0)</f>
        <v>0</v>
      </c>
      <c r="G535" s="284">
        <f ca="1">$G$181</f>
        <v>6.3240000000000007</v>
      </c>
      <c r="H535" s="308" t="s">
        <v>364</v>
      </c>
      <c r="I535" s="2">
        <f ca="1">ROUND(G535*$C535/100,0)</f>
        <v>0</v>
      </c>
      <c r="J535" s="2"/>
      <c r="K535" s="284" t="e">
        <f ca="1">$K$181</f>
        <v>#REF!</v>
      </c>
      <c r="L535" s="308" t="s">
        <v>364</v>
      </c>
      <c r="M535" s="2" t="e">
        <f ca="1">ROUND(K535*$C535/100,0)</f>
        <v>#REF!</v>
      </c>
      <c r="N535" s="2"/>
      <c r="O535" s="284" t="e">
        <f ca="1">$O$181</f>
        <v>#DIV/0!</v>
      </c>
      <c r="P535" s="308" t="s">
        <v>364</v>
      </c>
      <c r="Q535" s="2" t="e">
        <f ca="1">ROUND(O535*$C535/100,0)</f>
        <v>#DIV/0!</v>
      </c>
      <c r="R535" s="2"/>
      <c r="S535" s="284" t="e">
        <f ca="1">$S$181</f>
        <v>#DIV/0!</v>
      </c>
      <c r="T535" s="308" t="s">
        <v>364</v>
      </c>
      <c r="U535" s="2" t="e">
        <f ca="1"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hidden="1">
      <c r="A536" s="1" t="s">
        <v>390</v>
      </c>
      <c r="B536" s="1"/>
      <c r="C536" s="304">
        <f>'Rate Design Work eff 10-14-16'!C535</f>
        <v>0</v>
      </c>
      <c r="D536" s="315">
        <f>'Rate Design Work eff 10-14-16'!D535</f>
        <v>56</v>
      </c>
      <c r="E536" s="308" t="s">
        <v>364</v>
      </c>
      <c r="F536" s="2">
        <f>ROUND(D536*C536/100,0)</f>
        <v>0</v>
      </c>
      <c r="G536" s="315">
        <f ca="1">$G$182</f>
        <v>57</v>
      </c>
      <c r="H536" s="308" t="s">
        <v>364</v>
      </c>
      <c r="I536" s="2">
        <f ca="1">ROUND(G536*$C536/100,0)</f>
        <v>0</v>
      </c>
      <c r="J536" s="2"/>
      <c r="K536" s="315" t="str">
        <f>$K$182</f>
        <v xml:space="preserve"> </v>
      </c>
      <c r="L536" s="308" t="s">
        <v>364</v>
      </c>
      <c r="M536" s="2">
        <f>ROUND(K536*$C536/100,0)</f>
        <v>0</v>
      </c>
      <c r="N536" s="2"/>
      <c r="O536" s="315" t="e">
        <f>$O$182</f>
        <v>#DIV/0!</v>
      </c>
      <c r="P536" s="308" t="s">
        <v>364</v>
      </c>
      <c r="Q536" s="2" t="e">
        <f>ROUND(O536*$C536/100,0)</f>
        <v>#DIV/0!</v>
      </c>
      <c r="R536" s="2"/>
      <c r="S536" s="315" t="e">
        <f>$S$182</f>
        <v>#DIV/0!</v>
      </c>
      <c r="T536" s="308" t="s">
        <v>364</v>
      </c>
      <c r="U536" s="2" t="e">
        <f>ROUND(S536*$C536/100,0)</f>
        <v>#DIV/0!</v>
      </c>
      <c r="V536" s="20"/>
      <c r="W536" s="74"/>
      <c r="X536" s="74"/>
      <c r="Y536" s="74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</row>
    <row r="537" spans="1:44" s="1118" customFormat="1" hidden="1">
      <c r="A537" s="968" t="s">
        <v>888</v>
      </c>
      <c r="C537" s="1122">
        <f>C533</f>
        <v>4897</v>
      </c>
      <c r="D537" s="254">
        <f>'Rate Design Work eff 10-14-16'!D536</f>
        <v>0</v>
      </c>
      <c r="E537" s="1119"/>
      <c r="F537" s="1123"/>
      <c r="G537" s="1128">
        <f>G183</f>
        <v>0</v>
      </c>
      <c r="H537" s="972" t="s">
        <v>364</v>
      </c>
      <c r="I537" s="1123">
        <f t="shared" ref="I537:I539" si="118">ROUND(G537*$C537/100,0)</f>
        <v>0</v>
      </c>
      <c r="J537" s="1123"/>
      <c r="K537" s="1128" t="str">
        <f>K183</f>
        <v xml:space="preserve"> </v>
      </c>
      <c r="L537" s="972" t="s">
        <v>364</v>
      </c>
      <c r="M537" s="1123">
        <f t="shared" ref="M537:M539" si="119">ROUND(K537*$C537/100,0)</f>
        <v>0</v>
      </c>
      <c r="N537" s="1123"/>
      <c r="O537" s="1128" t="str">
        <f>O183</f>
        <v xml:space="preserve"> </v>
      </c>
      <c r="P537" s="972" t="s">
        <v>364</v>
      </c>
      <c r="Q537" s="1123">
        <f t="shared" ref="Q537:Q539" si="120">ROUND(O537*$C537/100,0)</f>
        <v>0</v>
      </c>
      <c r="R537" s="1123"/>
      <c r="S537" s="1128">
        <f>S183</f>
        <v>0</v>
      </c>
      <c r="T537" s="972" t="s">
        <v>364</v>
      </c>
      <c r="U537" s="1123">
        <f t="shared" ref="U537:U539" si="121">ROUND(S537*$C537/100,0)</f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889</v>
      </c>
      <c r="C538" s="1122">
        <f>C534</f>
        <v>889</v>
      </c>
      <c r="D538" s="254">
        <f>'Rate Design Work eff 10-14-16'!D537</f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18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19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0"/>
        <v>0</v>
      </c>
      <c r="R538" s="1123"/>
      <c r="S538" s="1128">
        <f>S184</f>
        <v>0</v>
      </c>
      <c r="T538" s="972" t="s">
        <v>364</v>
      </c>
      <c r="U538" s="1123">
        <f t="shared" si="121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 s="1118" customFormat="1" hidden="1">
      <c r="A539" s="968" t="s">
        <v>890</v>
      </c>
      <c r="C539" s="1122">
        <f>C535</f>
        <v>0</v>
      </c>
      <c r="D539" s="254">
        <f>'Rate Design Work eff 10-14-16'!D538</f>
        <v>0</v>
      </c>
      <c r="E539" s="1119"/>
      <c r="F539" s="1123"/>
      <c r="G539" s="1128">
        <f>G185</f>
        <v>0</v>
      </c>
      <c r="H539" s="972" t="s">
        <v>364</v>
      </c>
      <c r="I539" s="1123">
        <f t="shared" si="118"/>
        <v>0</v>
      </c>
      <c r="J539" s="1123"/>
      <c r="K539" s="1128" t="str">
        <f>K185</f>
        <v xml:space="preserve"> </v>
      </c>
      <c r="L539" s="972" t="s">
        <v>364</v>
      </c>
      <c r="M539" s="1123">
        <f t="shared" si="119"/>
        <v>0</v>
      </c>
      <c r="N539" s="1123"/>
      <c r="O539" s="1128" t="str">
        <f>O185</f>
        <v xml:space="preserve"> </v>
      </c>
      <c r="P539" s="972" t="s">
        <v>364</v>
      </c>
      <c r="Q539" s="1123">
        <f t="shared" si="120"/>
        <v>0</v>
      </c>
      <c r="R539" s="1123"/>
      <c r="S539" s="1128">
        <f>S185</f>
        <v>0</v>
      </c>
      <c r="T539" s="972" t="s">
        <v>364</v>
      </c>
      <c r="U539" s="1123">
        <f t="shared" si="121"/>
        <v>0</v>
      </c>
      <c r="W539" s="784"/>
      <c r="Z539" s="1125"/>
      <c r="AA539" s="1125"/>
      <c r="AF539" s="1119"/>
      <c r="AG539" s="1119"/>
      <c r="AH539" s="1119"/>
      <c r="AI539" s="1119"/>
      <c r="AJ539" s="1119"/>
      <c r="AK539" s="1119"/>
      <c r="AL539" s="1119"/>
      <c r="AM539" s="1119"/>
      <c r="AN539" s="1119"/>
      <c r="AO539" s="1119"/>
      <c r="AP539" s="1119"/>
      <c r="AR539" s="1124"/>
    </row>
    <row r="540" spans="1:44" hidden="1">
      <c r="A540" s="316" t="s">
        <v>391</v>
      </c>
      <c r="B540" s="1"/>
      <c r="C540" s="304"/>
      <c r="D540" s="317">
        <f>'Rate Design Work eff 10-14-16'!D539</f>
        <v>-0.01</v>
      </c>
      <c r="E540" s="308"/>
      <c r="F540" s="2"/>
      <c r="G540" s="317">
        <v>-0.01</v>
      </c>
      <c r="H540" s="308"/>
      <c r="I540" s="2"/>
      <c r="J540" s="2"/>
      <c r="K540" s="317">
        <v>-0.01</v>
      </c>
      <c r="L540" s="308"/>
      <c r="M540" s="2"/>
      <c r="N540" s="2"/>
      <c r="O540" s="317">
        <v>-0.01</v>
      </c>
      <c r="P540" s="308"/>
      <c r="Q540" s="2"/>
      <c r="R540" s="2"/>
      <c r="S540" s="317">
        <v>-0.01</v>
      </c>
      <c r="T540" s="308"/>
      <c r="U540" s="2"/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 hidden="1">
      <c r="A541" s="1" t="s">
        <v>380</v>
      </c>
      <c r="B541" s="1"/>
      <c r="C541" s="304">
        <v>0</v>
      </c>
      <c r="D541" s="319">
        <f>'Rate Design Work eff 10-14-16'!D540</f>
        <v>115.19999999999999</v>
      </c>
      <c r="E541" s="306"/>
      <c r="F541" s="2">
        <f>-ROUND(D541*$C541/100,0)</f>
        <v>0</v>
      </c>
      <c r="G541" s="319">
        <f ca="1">G527</f>
        <v>117.12</v>
      </c>
      <c r="H541" s="306"/>
      <c r="I541" s="2">
        <f ca="1">-ROUND(G541*$C541/100,0)</f>
        <v>0</v>
      </c>
      <c r="J541" s="2"/>
      <c r="K541" s="319">
        <f ca="1">K527</f>
        <v>117.12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 hidden="1">
      <c r="A542" s="1" t="s">
        <v>381</v>
      </c>
      <c r="B542" s="1"/>
      <c r="C542" s="304">
        <v>0</v>
      </c>
      <c r="D542" s="319">
        <f>'Rate Design Work eff 10-14-16'!D541</f>
        <v>171.60000000000002</v>
      </c>
      <c r="E542" s="306"/>
      <c r="F542" s="2">
        <f t="shared" ref="F542:F544" si="122">-ROUND(D542*$C542/100,0)</f>
        <v>0</v>
      </c>
      <c r="G542" s="319">
        <f ca="1">G528</f>
        <v>174.48</v>
      </c>
      <c r="H542" s="306"/>
      <c r="I542" s="2">
        <f ca="1">-ROUND(G542*$C542/100,0)</f>
        <v>0</v>
      </c>
      <c r="J542" s="2"/>
      <c r="K542" s="319">
        <f ca="1">K528</f>
        <v>174.48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 hidden="1">
      <c r="A543" s="1" t="s">
        <v>392</v>
      </c>
      <c r="B543" s="1"/>
      <c r="C543" s="304">
        <v>0</v>
      </c>
      <c r="D543" s="319">
        <f>'Rate Design Work eff 10-14-16'!D542</f>
        <v>12</v>
      </c>
      <c r="E543" s="306"/>
      <c r="F543" s="2">
        <f t="shared" si="122"/>
        <v>0</v>
      </c>
      <c r="G543" s="319">
        <f ca="1">G529</f>
        <v>12.24</v>
      </c>
      <c r="H543" s="306"/>
      <c r="I543" s="2">
        <f ca="1">-ROUND(G543*$C543/100,0)</f>
        <v>0</v>
      </c>
      <c r="J543" s="2"/>
      <c r="K543" s="319">
        <f ca="1">K529</f>
        <v>12.24</v>
      </c>
      <c r="L543" s="306"/>
      <c r="M543" s="2">
        <f ca="1">-ROUND(K543*$C543/100,0)</f>
        <v>0</v>
      </c>
      <c r="N543" s="2"/>
      <c r="O543" s="319" t="str">
        <f>O529</f>
        <v xml:space="preserve"> </v>
      </c>
      <c r="P543" s="306"/>
      <c r="Q543" s="2">
        <f>-ROUND(O543*$C543/100,0)</f>
        <v>0</v>
      </c>
      <c r="R543" s="2"/>
      <c r="S543" s="319" t="str">
        <f>S529</f>
        <v xml:space="preserve"> </v>
      </c>
      <c r="T543" s="306"/>
      <c r="U543" s="2">
        <f>-ROUND(S543*$C543/100,0)</f>
        <v>0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 hidden="1">
      <c r="A544" s="1" t="s">
        <v>393</v>
      </c>
      <c r="B544" s="1"/>
      <c r="C544" s="304">
        <v>0</v>
      </c>
      <c r="D544" s="319">
        <f>'Rate Design Work eff 10-14-16'!D543</f>
        <v>3.64</v>
      </c>
      <c r="E544" s="308"/>
      <c r="F544" s="2">
        <f t="shared" si="122"/>
        <v>0</v>
      </c>
      <c r="G544" s="319">
        <f ca="1">G532</f>
        <v>3.7</v>
      </c>
      <c r="H544" s="308"/>
      <c r="I544" s="2">
        <f ca="1">-ROUND(G544*$C544/100,0)</f>
        <v>0</v>
      </c>
      <c r="J544" s="2"/>
      <c r="K544" s="319" t="e">
        <f ca="1">K532</f>
        <v>#REF!</v>
      </c>
      <c r="L544" s="308"/>
      <c r="M544" s="2" t="e">
        <f ca="1">-ROUND(K544*$C544/100,0)</f>
        <v>#REF!</v>
      </c>
      <c r="N544" s="2"/>
      <c r="O544" s="319" t="e">
        <f ca="1">O532</f>
        <v>#DIV/0!</v>
      </c>
      <c r="P544" s="308"/>
      <c r="Q544" s="2" t="e">
        <f ca="1">-ROUND(O544*$C544/100,0)</f>
        <v>#DIV/0!</v>
      </c>
      <c r="R544" s="2"/>
      <c r="S544" s="319" t="e">
        <f ca="1">S532</f>
        <v>#DIV/0!</v>
      </c>
      <c r="T544" s="308"/>
      <c r="U544" s="2" t="e">
        <f ca="1">-ROUND(S544*$C544/100,0)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 hidden="1">
      <c r="A545" s="1" t="s">
        <v>395</v>
      </c>
      <c r="B545" s="1"/>
      <c r="C545" s="304">
        <v>0</v>
      </c>
      <c r="D545" s="320">
        <f>'Rate Design Work eff 10-14-16'!D544</f>
        <v>10.449</v>
      </c>
      <c r="E545" s="308" t="s">
        <v>364</v>
      </c>
      <c r="F545" s="2">
        <f>ROUND(D545*$C545/100*D540,0)</f>
        <v>0</v>
      </c>
      <c r="G545" s="320">
        <f ca="1">G533</f>
        <v>10.628</v>
      </c>
      <c r="H545" s="308" t="s">
        <v>364</v>
      </c>
      <c r="I545" s="2">
        <f ca="1">ROUND(G545*$C545/100*G540,0)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ROUND(K545*$C545/100*K540,0)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ROUND(O545*$C545/100*O540,0)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ROUND(S545*$C545/100*S540,0)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 hidden="1">
      <c r="A546" s="1" t="s">
        <v>388</v>
      </c>
      <c r="B546" s="1"/>
      <c r="C546" s="304">
        <v>0</v>
      </c>
      <c r="D546" s="320">
        <f>'Rate Design Work eff 10-14-16'!D545</f>
        <v>7.218</v>
      </c>
      <c r="E546" s="308" t="s">
        <v>364</v>
      </c>
      <c r="F546" s="2">
        <f>ROUND(D546*$C546/100*D540,0)</f>
        <v>0</v>
      </c>
      <c r="G546" s="320">
        <f ca="1">G534</f>
        <v>7.3410000000000002</v>
      </c>
      <c r="H546" s="308" t="s">
        <v>364</v>
      </c>
      <c r="I546" s="2">
        <f ca="1">ROUND(G546*$C546/100*G540,0)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ROUND(K546*$C546/100*K540,0)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ROUND(O546*$C546/100*O540,0)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ROUND(S546*$C546/100*S540,0)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 hidden="1">
      <c r="A547" s="1" t="s">
        <v>389</v>
      </c>
      <c r="B547" s="1"/>
      <c r="C547" s="304">
        <v>0</v>
      </c>
      <c r="D547" s="320">
        <f>'Rate Design Work eff 10-14-16'!D546</f>
        <v>6.218</v>
      </c>
      <c r="E547" s="308" t="s">
        <v>364</v>
      </c>
      <c r="F547" s="2">
        <f>ROUND(D547*$C547/100*D540,0)</f>
        <v>0</v>
      </c>
      <c r="G547" s="320">
        <f ca="1">G535</f>
        <v>6.3240000000000007</v>
      </c>
      <c r="H547" s="308" t="s">
        <v>364</v>
      </c>
      <c r="I547" s="2">
        <f ca="1">ROUND(G547*$C547/100*G540,0)</f>
        <v>0</v>
      </c>
      <c r="J547" s="2"/>
      <c r="K547" s="320" t="e">
        <f ca="1">K535</f>
        <v>#REF!</v>
      </c>
      <c r="L547" s="308" t="s">
        <v>364</v>
      </c>
      <c r="M547" s="2" t="e">
        <f ca="1">ROUND(K547*$C547/100*K540,0)</f>
        <v>#REF!</v>
      </c>
      <c r="N547" s="2"/>
      <c r="O547" s="320" t="e">
        <f ca="1">O535</f>
        <v>#DIV/0!</v>
      </c>
      <c r="P547" s="308" t="s">
        <v>364</v>
      </c>
      <c r="Q547" s="2" t="e">
        <f ca="1">ROUND(O547*$C547/100*O540,0)</f>
        <v>#DIV/0!</v>
      </c>
      <c r="R547" s="2"/>
      <c r="S547" s="320" t="e">
        <f ca="1">S535</f>
        <v>#DIV/0!</v>
      </c>
      <c r="T547" s="308" t="s">
        <v>364</v>
      </c>
      <c r="U547" s="2" t="e">
        <f ca="1">ROUND(S547*$C547/100*S540,0)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 hidden="1">
      <c r="A548" s="1" t="s">
        <v>390</v>
      </c>
      <c r="B548" s="1"/>
      <c r="C548" s="304">
        <v>0</v>
      </c>
      <c r="D548" s="321">
        <f>'Rate Design Work eff 10-14-16'!D547</f>
        <v>56</v>
      </c>
      <c r="E548" s="308" t="s">
        <v>364</v>
      </c>
      <c r="F548" s="2">
        <f>ROUND(D548*$C548/100*D540,0)</f>
        <v>0</v>
      </c>
      <c r="G548" s="321">
        <f ca="1">G536</f>
        <v>57</v>
      </c>
      <c r="H548" s="308" t="s">
        <v>364</v>
      </c>
      <c r="I548" s="2">
        <f ca="1">ROUND(G548*$C548/100*G540,0)</f>
        <v>0</v>
      </c>
      <c r="J548" s="2"/>
      <c r="K548" s="321" t="str">
        <f>K536</f>
        <v xml:space="preserve"> </v>
      </c>
      <c r="L548" s="308" t="s">
        <v>364</v>
      </c>
      <c r="M548" s="2">
        <f>ROUND(K548*$C548/100*K540,0)</f>
        <v>0</v>
      </c>
      <c r="N548" s="2"/>
      <c r="O548" s="321" t="e">
        <f>O536</f>
        <v>#DIV/0!</v>
      </c>
      <c r="P548" s="308" t="s">
        <v>364</v>
      </c>
      <c r="Q548" s="2" t="e">
        <f>ROUND(O548*$C548/100*O540,0)</f>
        <v>#DIV/0!</v>
      </c>
      <c r="R548" s="2"/>
      <c r="S548" s="321" t="e">
        <f>S536</f>
        <v>#DIV/0!</v>
      </c>
      <c r="T548" s="308" t="s">
        <v>364</v>
      </c>
      <c r="U548" s="2" t="e">
        <f>ROUND(S548*$C548/100*S540,0)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 hidden="1">
      <c r="A549" s="1" t="s">
        <v>397</v>
      </c>
      <c r="B549" s="1"/>
      <c r="C549" s="304">
        <v>0</v>
      </c>
      <c r="D549" s="322">
        <f>'Rate Design Work eff 10-14-16'!D548</f>
        <v>60</v>
      </c>
      <c r="E549" s="308"/>
      <c r="F549" s="2">
        <f>ROUND(D549*C549,0)</f>
        <v>0</v>
      </c>
      <c r="G549" s="322">
        <f>$G$198</f>
        <v>60</v>
      </c>
      <c r="H549" s="308"/>
      <c r="I549" s="2">
        <f>ROUND(G549*$C549,0)</f>
        <v>0</v>
      </c>
      <c r="J549" s="2"/>
      <c r="K549" s="322" t="str">
        <f>$K$198</f>
        <v xml:space="preserve"> </v>
      </c>
      <c r="L549" s="308"/>
      <c r="M549" s="2">
        <f>ROUND(K549*$C549,0)</f>
        <v>0</v>
      </c>
      <c r="N549" s="2"/>
      <c r="O549" s="322" t="e">
        <f>$O$198</f>
        <v>#DIV/0!</v>
      </c>
      <c r="P549" s="308"/>
      <c r="Q549" s="2" t="e">
        <f>ROUND(O549*$C549,0)</f>
        <v>#DIV/0!</v>
      </c>
      <c r="R549" s="2"/>
      <c r="S549" s="322" t="e">
        <f>$S$198</f>
        <v>#DIV/0!</v>
      </c>
      <c r="T549" s="308"/>
      <c r="U549" s="2" t="e">
        <f>ROUND(S549*$C549,0)</f>
        <v>#DIV/0!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hidden="1">
      <c r="A550" s="1" t="s">
        <v>398</v>
      </c>
      <c r="B550" s="1"/>
      <c r="C550" s="304">
        <v>0</v>
      </c>
      <c r="D550" s="324">
        <f>'Rate Design Work eff 10-14-16'!D549</f>
        <v>-30</v>
      </c>
      <c r="E550" s="308" t="s">
        <v>364</v>
      </c>
      <c r="F550" s="2">
        <f>ROUND(D550*C550/100,0)</f>
        <v>0</v>
      </c>
      <c r="G550" s="324">
        <f>$G$199</f>
        <v>-30</v>
      </c>
      <c r="H550" s="308" t="s">
        <v>364</v>
      </c>
      <c r="I550" s="2">
        <f>ROUND(G550*$C550/100,0)</f>
        <v>0</v>
      </c>
      <c r="J550" s="2"/>
      <c r="K550" s="324">
        <f>$K$199</f>
        <v>-30</v>
      </c>
      <c r="L550" s="308" t="s">
        <v>364</v>
      </c>
      <c r="M550" s="2">
        <f>ROUND(K550*$C550/100,0)</f>
        <v>0</v>
      </c>
      <c r="N550" s="2"/>
      <c r="O550" s="324" t="str">
        <f>$O$199</f>
        <v xml:space="preserve"> </v>
      </c>
      <c r="P550" s="308" t="s">
        <v>364</v>
      </c>
      <c r="Q550" s="2">
        <f>ROUND(O550*$C550/100,0)</f>
        <v>0</v>
      </c>
      <c r="R550" s="2"/>
      <c r="S550" s="324" t="str">
        <f>$S$199</f>
        <v xml:space="preserve"> </v>
      </c>
      <c r="T550" s="308" t="s">
        <v>364</v>
      </c>
      <c r="U550" s="2">
        <f>ROUND(S550*$C550/100,0)</f>
        <v>0</v>
      </c>
      <c r="V550" s="20"/>
      <c r="W550" s="74"/>
      <c r="X550" s="74"/>
      <c r="Y550" s="74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</row>
    <row r="551" spans="1:44" s="1118" customFormat="1" hidden="1">
      <c r="A551" s="968" t="s">
        <v>888</v>
      </c>
      <c r="C551" s="1122">
        <f>C545</f>
        <v>0</v>
      </c>
      <c r="D551" s="254">
        <f>'Rate Design Work eff 10-14-16'!D550</f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ROUND(G551*$C551/100*G540,0)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ROUND(K551*$C551/100*K540,0)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ROUND(O551*$C551/100*O540,0)</f>
        <v>0</v>
      </c>
      <c r="R551" s="2"/>
      <c r="S551" s="1128">
        <f>S183</f>
        <v>0</v>
      </c>
      <c r="T551" s="972" t="s">
        <v>364</v>
      </c>
      <c r="U551" s="2">
        <f>ROUND(S551*$C551/100*S540,0)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889</v>
      </c>
      <c r="C552" s="1122">
        <f>C546</f>
        <v>0</v>
      </c>
      <c r="D552" s="254">
        <f>'Rate Design Work eff 10-14-16'!D551</f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ROUND(G552*$C552/100*G540,0)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ROUND(K552*$C552/100*K540,0)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ROUND(O552*$C552/100*O540,0)</f>
        <v>0</v>
      </c>
      <c r="R552" s="2"/>
      <c r="S552" s="1128">
        <f>S184</f>
        <v>0</v>
      </c>
      <c r="T552" s="972" t="s">
        <v>364</v>
      </c>
      <c r="U552" s="2">
        <f>ROUND(S552*$C552/100*S540,0)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 s="1118" customFormat="1" hidden="1">
      <c r="A553" s="968" t="s">
        <v>890</v>
      </c>
      <c r="C553" s="1122">
        <f>C547</f>
        <v>0</v>
      </c>
      <c r="D553" s="254">
        <f>'Rate Design Work eff 10-14-16'!D552</f>
        <v>0</v>
      </c>
      <c r="E553" s="1119"/>
      <c r="F553" s="1123"/>
      <c r="G553" s="1128">
        <f>G185</f>
        <v>0</v>
      </c>
      <c r="H553" s="972" t="s">
        <v>364</v>
      </c>
      <c r="I553" s="2">
        <f>ROUND(G553*$C553/100*G540,0)</f>
        <v>0</v>
      </c>
      <c r="J553" s="2"/>
      <c r="K553" s="1128" t="str">
        <f>K185</f>
        <v xml:space="preserve"> </v>
      </c>
      <c r="L553" s="972" t="s">
        <v>364</v>
      </c>
      <c r="M553" s="2">
        <f>ROUND(K553*$C553/100*K540,0)</f>
        <v>0</v>
      </c>
      <c r="N553" s="2"/>
      <c r="O553" s="1128" t="str">
        <f>O185</f>
        <v xml:space="preserve"> </v>
      </c>
      <c r="P553" s="972" t="s">
        <v>364</v>
      </c>
      <c r="Q553" s="2">
        <f>ROUND(O553*$C553/100*O540,0)</f>
        <v>0</v>
      </c>
      <c r="R553" s="2"/>
      <c r="S553" s="1128">
        <f>S185</f>
        <v>0</v>
      </c>
      <c r="T553" s="972" t="s">
        <v>364</v>
      </c>
      <c r="U553" s="2">
        <f>ROUND(S553*$C553/100*S540,0)</f>
        <v>0</v>
      </c>
      <c r="W553" s="784"/>
      <c r="Z553" s="1125"/>
      <c r="AA553" s="1125"/>
      <c r="AF553" s="1119"/>
      <c r="AG553" s="1119"/>
      <c r="AH553" s="1119"/>
      <c r="AI553" s="1119"/>
      <c r="AJ553" s="1119"/>
      <c r="AK553" s="1119"/>
      <c r="AL553" s="1119"/>
      <c r="AM553" s="1119"/>
      <c r="AN553" s="1119"/>
      <c r="AO553" s="1119"/>
      <c r="AP553" s="1119"/>
      <c r="AR553" s="1124"/>
    </row>
    <row r="554" spans="1:44" hidden="1">
      <c r="A554" s="1" t="s">
        <v>371</v>
      </c>
      <c r="B554" s="1"/>
      <c r="C554" s="304">
        <f>SUM(C533:C535)</f>
        <v>5786</v>
      </c>
      <c r="D554" s="315"/>
      <c r="E554" s="308"/>
      <c r="F554" s="2">
        <f>SUM(F527:F550)</f>
        <v>2075</v>
      </c>
      <c r="G554" s="315"/>
      <c r="H554" s="308"/>
      <c r="I554" s="2">
        <f ca="1">SUM(I527:I553)</f>
        <v>2110</v>
      </c>
      <c r="J554" s="2"/>
      <c r="K554" s="315"/>
      <c r="L554" s="308"/>
      <c r="M554" s="2" t="e">
        <f ca="1">SUM(M527:M553)</f>
        <v>#REF!</v>
      </c>
      <c r="N554" s="2"/>
      <c r="O554" s="315"/>
      <c r="P554" s="308"/>
      <c r="Q554" s="2" t="e">
        <f ca="1">SUM(Q527:Q553)</f>
        <v>#DIV/0!</v>
      </c>
      <c r="R554" s="2"/>
      <c r="S554" s="315"/>
      <c r="T554" s="308"/>
      <c r="U554" s="2" t="e">
        <f ca="1">SUM(U527:U553)</f>
        <v>#DIV/0!</v>
      </c>
      <c r="V554" s="20"/>
      <c r="W554" s="74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idden="1">
      <c r="A555" s="1" t="s">
        <v>353</v>
      </c>
      <c r="B555" s="1"/>
      <c r="C555" s="334">
        <f ca="1">'Table 2'!H73</f>
        <v>17.989857077409003</v>
      </c>
      <c r="D555" s="294"/>
      <c r="E555" s="294"/>
      <c r="F555" s="326">
        <f ca="1">'Table 3'!E73</f>
        <v>6.4701450675839931</v>
      </c>
      <c r="G555" s="294"/>
      <c r="H555" s="294"/>
      <c r="I555" s="326">
        <f ca="1">F555</f>
        <v>6.4701450675839931</v>
      </c>
      <c r="J555" s="307"/>
      <c r="K555" s="294"/>
      <c r="L555" s="294"/>
      <c r="M555" s="326" t="e">
        <f ca="1">M204/I204*I555</f>
        <v>#DIV/0!</v>
      </c>
      <c r="N555" s="307"/>
      <c r="O555" s="294"/>
      <c r="P555" s="294"/>
      <c r="Q555" s="326" t="e">
        <f ca="1">Q204/I204*I555</f>
        <v>#DIV/0!</v>
      </c>
      <c r="R555" s="307"/>
      <c r="S555" s="294"/>
      <c r="T555" s="294"/>
      <c r="U555" s="326" t="e">
        <f ca="1">U204/I204*I555</f>
        <v>#DIV/0!</v>
      </c>
      <c r="V555" s="429"/>
      <c r="W555" s="272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hidden="1" thickBot="1">
      <c r="A556" s="1" t="s">
        <v>372</v>
      </c>
      <c r="B556" s="1"/>
      <c r="C556" s="296">
        <f ca="1">SUM(C554:C555)</f>
        <v>5803.9898570774094</v>
      </c>
      <c r="D556" s="327"/>
      <c r="E556" s="330"/>
      <c r="F556" s="329">
        <f ca="1">F554+F555</f>
        <v>2081.4701450675839</v>
      </c>
      <c r="G556" s="327"/>
      <c r="H556" s="330"/>
      <c r="I556" s="329">
        <f ca="1">I554+I555</f>
        <v>2116.4701450675839</v>
      </c>
      <c r="J556" s="307"/>
      <c r="K556" s="327"/>
      <c r="L556" s="330"/>
      <c r="M556" s="329" t="e">
        <f ca="1">M554+M555</f>
        <v>#REF!</v>
      </c>
      <c r="N556" s="329"/>
      <c r="O556" s="327"/>
      <c r="P556" s="330"/>
      <c r="Q556" s="329" t="e">
        <f ca="1">Q554+Q555</f>
        <v>#DIV/0!</v>
      </c>
      <c r="R556" s="329"/>
      <c r="S556" s="327"/>
      <c r="T556" s="330"/>
      <c r="U556" s="329" t="e">
        <f ca="1">U554+U555</f>
        <v>#DIV/0!</v>
      </c>
      <c r="V556" s="396"/>
      <c r="W556" s="455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 hidden="1">
      <c r="A557" s="1"/>
      <c r="B557" s="1"/>
      <c r="C557" s="21"/>
      <c r="D557" s="322" t="s">
        <v>31</v>
      </c>
      <c r="E557" s="1"/>
      <c r="F557" s="2"/>
      <c r="G557" s="338" t="s">
        <v>31</v>
      </c>
      <c r="H557" s="1"/>
      <c r="I557" s="2" t="s">
        <v>31</v>
      </c>
      <c r="J557" s="2"/>
      <c r="K557" s="338" t="s">
        <v>31</v>
      </c>
      <c r="L557" s="1"/>
      <c r="M557" s="2" t="s">
        <v>31</v>
      </c>
      <c r="N557" s="2"/>
      <c r="O557" s="338" t="s">
        <v>31</v>
      </c>
      <c r="P557" s="1"/>
      <c r="Q557" s="2" t="s">
        <v>31</v>
      </c>
      <c r="R557" s="2"/>
      <c r="S557" s="338" t="s">
        <v>31</v>
      </c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278" t="s">
        <v>410</v>
      </c>
      <c r="B558" s="1"/>
      <c r="C558" s="339"/>
      <c r="D558" s="2"/>
      <c r="E558" s="1"/>
      <c r="F558" s="1"/>
      <c r="G558" s="2"/>
      <c r="H558" s="1"/>
      <c r="I558" s="2" t="s">
        <v>31</v>
      </c>
      <c r="J558" s="2"/>
      <c r="K558" s="2"/>
      <c r="L558" s="1"/>
      <c r="M558" s="2" t="s">
        <v>31</v>
      </c>
      <c r="N558" s="2"/>
      <c r="O558" s="2"/>
      <c r="P558" s="1"/>
      <c r="Q558" s="2" t="s">
        <v>31</v>
      </c>
      <c r="R558" s="2"/>
      <c r="S558" s="2"/>
      <c r="T558" s="1"/>
      <c r="U558" s="2" t="s">
        <v>31</v>
      </c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 t="s">
        <v>325</v>
      </c>
      <c r="B559" s="1"/>
      <c r="C559" s="1" t="s">
        <v>31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383</v>
      </c>
      <c r="B561" s="1"/>
      <c r="C561" s="304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411</v>
      </c>
      <c r="B562" s="1"/>
      <c r="C562" s="304">
        <v>0</v>
      </c>
      <c r="D562" s="340">
        <f>'Rate Design Work eff 10-14-16'!D561</f>
        <v>259</v>
      </c>
      <c r="E562" s="308"/>
      <c r="F562" s="306">
        <f>ROUND(D562*$C562,0)</f>
        <v>0</v>
      </c>
      <c r="G562" s="340">
        <f ca="1">'Rate Design Work eff 10-14-16'!G561</f>
        <v>264</v>
      </c>
      <c r="H562" s="308"/>
      <c r="I562" s="306">
        <f ca="1">ROUND(G562*$C562,0)</f>
        <v>0</v>
      </c>
      <c r="J562" s="306"/>
      <c r="K562" s="340">
        <f ca="1">'Rate Design Work eff 10-14-16'!K561</f>
        <v>264</v>
      </c>
      <c r="L562" s="308"/>
      <c r="M562" s="306">
        <f ca="1">'Rate Design Work eff 10-14-16'!M561</f>
        <v>0</v>
      </c>
      <c r="N562" s="306"/>
      <c r="O562" s="340" t="str">
        <f>'Rate Design Work eff 10-14-16'!O561</f>
        <v xml:space="preserve"> </v>
      </c>
      <c r="P562" s="308"/>
      <c r="Q562" s="306">
        <f>'Rate Design Work eff 10-14-16'!Q561</f>
        <v>0</v>
      </c>
      <c r="R562" s="306"/>
      <c r="S562" s="340" t="str">
        <f>'Rate Design Work eff 10-14-16'!S561</f>
        <v xml:space="preserve"> </v>
      </c>
      <c r="T562" s="308"/>
      <c r="U562" s="306">
        <f>'Rate Design Work eff 10-14-16'!U561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412</v>
      </c>
      <c r="B563" s="1"/>
      <c r="C563" s="304">
        <v>0</v>
      </c>
      <c r="D563" s="340">
        <f>'Rate Design Work eff 10-14-16'!D562</f>
        <v>96</v>
      </c>
      <c r="E563" s="308"/>
      <c r="F563" s="306">
        <f>ROUND(D563*$C563,0)</f>
        <v>0</v>
      </c>
      <c r="G563" s="340">
        <f ca="1">'Rate Design Work eff 10-14-16'!G562</f>
        <v>98</v>
      </c>
      <c r="H563" s="308"/>
      <c r="I563" s="306">
        <f ca="1">ROUND(G563*$C563,0)</f>
        <v>0</v>
      </c>
      <c r="J563" s="306"/>
      <c r="K563" s="340">
        <f ca="1">'Rate Design Work eff 10-14-16'!K562</f>
        <v>98</v>
      </c>
      <c r="L563" s="308"/>
      <c r="M563" s="306">
        <f ca="1">'Rate Design Work eff 10-14-16'!M562</f>
        <v>0</v>
      </c>
      <c r="N563" s="306"/>
      <c r="O563" s="340" t="str">
        <f>'Rate Design Work eff 10-14-16'!O562</f>
        <v xml:space="preserve"> </v>
      </c>
      <c r="P563" s="308"/>
      <c r="Q563" s="306">
        <f>'Rate Design Work eff 10-14-16'!Q562</f>
        <v>0</v>
      </c>
      <c r="R563" s="306"/>
      <c r="S563" s="340" t="str">
        <f>'Rate Design Work eff 10-14-16'!S562</f>
        <v xml:space="preserve"> </v>
      </c>
      <c r="T563" s="308"/>
      <c r="U563" s="306">
        <f>'Rate Design Work eff 10-14-16'!U562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413</v>
      </c>
      <c r="B564" s="1"/>
      <c r="C564" s="304">
        <v>0</v>
      </c>
      <c r="D564" s="340">
        <f>'Rate Design Work eff 10-14-16'!D563</f>
        <v>192</v>
      </c>
      <c r="E564" s="310"/>
      <c r="F564" s="306">
        <f>ROUND(D564*$C564,0)</f>
        <v>0</v>
      </c>
      <c r="G564" s="340">
        <f ca="1">'Rate Design Work eff 10-14-16'!G563</f>
        <v>195</v>
      </c>
      <c r="H564" s="310"/>
      <c r="I564" s="306">
        <f ca="1">ROUND(G564*$C564,0)</f>
        <v>0</v>
      </c>
      <c r="J564" s="306"/>
      <c r="K564" s="340">
        <f ca="1">'Rate Design Work eff 10-14-16'!K563</f>
        <v>195</v>
      </c>
      <c r="L564" s="310"/>
      <c r="M564" s="306">
        <f ca="1">'Rate Design Work eff 10-14-16'!M563</f>
        <v>0</v>
      </c>
      <c r="N564" s="306"/>
      <c r="O564" s="340" t="str">
        <f>'Rate Design Work eff 10-14-16'!O563</f>
        <v xml:space="preserve"> </v>
      </c>
      <c r="P564" s="310"/>
      <c r="Q564" s="306">
        <f>'Rate Design Work eff 10-14-16'!Q563</f>
        <v>0</v>
      </c>
      <c r="R564" s="306"/>
      <c r="S564" s="340" t="str">
        <f>'Rate Design Work eff 10-14-16'!S563</f>
        <v xml:space="preserve"> </v>
      </c>
      <c r="T564" s="310"/>
      <c r="U564" s="306">
        <f>'Rate Design Work eff 10-14-16'!U563</f>
        <v>0</v>
      </c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384</v>
      </c>
      <c r="B565" s="1"/>
      <c r="C565" s="304">
        <f>SUM(C562:C564)</f>
        <v>0</v>
      </c>
      <c r="D565" s="340"/>
      <c r="E565" s="308"/>
      <c r="F565" s="306"/>
      <c r="G565" s="340"/>
      <c r="H565" s="308"/>
      <c r="I565" s="306"/>
      <c r="J565" s="306"/>
      <c r="K565" s="340"/>
      <c r="L565" s="308"/>
      <c r="M565" s="306"/>
      <c r="N565" s="306"/>
      <c r="O565" s="340"/>
      <c r="P565" s="308"/>
      <c r="Q565" s="306"/>
      <c r="R565" s="306"/>
      <c r="S565" s="340"/>
      <c r="T565" s="308"/>
      <c r="U565" s="306"/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412</v>
      </c>
      <c r="B566" s="1"/>
      <c r="C566" s="304">
        <v>0</v>
      </c>
      <c r="D566" s="340">
        <f>'Rate Design Work eff 10-14-16'!D565</f>
        <v>1.76</v>
      </c>
      <c r="E566" s="308" t="s">
        <v>31</v>
      </c>
      <c r="F566" s="306">
        <f>ROUND(D566*$C566,0)</f>
        <v>0</v>
      </c>
      <c r="G566" s="340">
        <f ca="1">'Rate Design Work eff 10-14-16'!G565</f>
        <v>1.79</v>
      </c>
      <c r="H566" s="308" t="s">
        <v>31</v>
      </c>
      <c r="I566" s="306">
        <f ca="1">ROUND(G566*$C566,0)</f>
        <v>0</v>
      </c>
      <c r="J566" s="306"/>
      <c r="K566" s="340">
        <f ca="1">'Rate Design Work eff 10-14-16'!K565</f>
        <v>1.79</v>
      </c>
      <c r="L566" s="308" t="s">
        <v>31</v>
      </c>
      <c r="M566" s="306">
        <f ca="1">'Rate Design Work eff 10-14-16'!M565</f>
        <v>0</v>
      </c>
      <c r="N566" s="306"/>
      <c r="O566" s="340" t="str">
        <f>'Rate Design Work eff 10-14-16'!O565</f>
        <v xml:space="preserve"> </v>
      </c>
      <c r="P566" s="308" t="s">
        <v>31</v>
      </c>
      <c r="Q566" s="306">
        <f>'Rate Design Work eff 10-14-16'!Q565</f>
        <v>0</v>
      </c>
      <c r="R566" s="306"/>
      <c r="S566" s="340" t="str">
        <f>'Rate Design Work eff 10-14-16'!S565</f>
        <v xml:space="preserve"> </v>
      </c>
      <c r="T566" s="308" t="s">
        <v>31</v>
      </c>
      <c r="U566" s="306">
        <f>'Rate Design Work eff 10-14-16'!U565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308" t="s">
        <v>413</v>
      </c>
      <c r="B567" s="1"/>
      <c r="C567" s="304">
        <v>0</v>
      </c>
      <c r="D567" s="340">
        <f>'Rate Design Work eff 10-14-16'!D566</f>
        <v>1.44</v>
      </c>
      <c r="E567" s="308" t="s">
        <v>31</v>
      </c>
      <c r="F567" s="306">
        <f>ROUND(D567*$C567,0)</f>
        <v>0</v>
      </c>
      <c r="G567" s="340">
        <f ca="1">'Rate Design Work eff 10-14-16'!G566</f>
        <v>1.46</v>
      </c>
      <c r="H567" s="308" t="s">
        <v>31</v>
      </c>
      <c r="I567" s="306">
        <f ca="1">ROUND(G567*$C567,0)</f>
        <v>0</v>
      </c>
      <c r="J567" s="306"/>
      <c r="K567" s="340">
        <f ca="1">'Rate Design Work eff 10-14-16'!K566</f>
        <v>1.46</v>
      </c>
      <c r="L567" s="308" t="s">
        <v>31</v>
      </c>
      <c r="M567" s="306">
        <f ca="1">'Rate Design Work eff 10-14-16'!M566</f>
        <v>0</v>
      </c>
      <c r="N567" s="306"/>
      <c r="O567" s="340" t="str">
        <f>'Rate Design Work eff 10-14-16'!O566</f>
        <v xml:space="preserve"> </v>
      </c>
      <c r="P567" s="308" t="s">
        <v>31</v>
      </c>
      <c r="Q567" s="306">
        <f>'Rate Design Work eff 10-14-16'!Q566</f>
        <v>0</v>
      </c>
      <c r="R567" s="306"/>
      <c r="S567" s="340" t="str">
        <f>'Rate Design Work eff 10-14-16'!S566</f>
        <v xml:space="preserve"> </v>
      </c>
      <c r="T567" s="308" t="s">
        <v>31</v>
      </c>
      <c r="U567" s="306">
        <f>'Rate Design Work eff 10-14-16'!U566</f>
        <v>0</v>
      </c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414</v>
      </c>
      <c r="B568" s="1"/>
      <c r="C568" s="304"/>
      <c r="D568" s="340"/>
      <c r="E568" s="308"/>
      <c r="F568" s="306"/>
      <c r="G568" s="340"/>
      <c r="H568" s="308"/>
      <c r="I568" s="306"/>
      <c r="J568" s="306"/>
      <c r="K568" s="340"/>
      <c r="L568" s="308"/>
      <c r="M568" s="306"/>
      <c r="N568" s="306"/>
      <c r="O568" s="340"/>
      <c r="P568" s="308"/>
      <c r="Q568" s="306"/>
      <c r="R568" s="306"/>
      <c r="S568" s="340"/>
      <c r="T568" s="308"/>
      <c r="U568" s="306"/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294" t="s">
        <v>415</v>
      </c>
      <c r="B569" s="1"/>
      <c r="C569" s="304">
        <v>0</v>
      </c>
      <c r="D569" s="340">
        <f>'Rate Design Work eff 10-14-16'!D568</f>
        <v>5.37</v>
      </c>
      <c r="E569" s="308"/>
      <c r="F569" s="306">
        <f>ROUND(D569*$C569,0)</f>
        <v>0</v>
      </c>
      <c r="G569" s="340">
        <f ca="1">'Rate Design Work eff 10-14-16'!G568</f>
        <v>5.47</v>
      </c>
      <c r="H569" s="308"/>
      <c r="I569" s="306">
        <f ca="1">ROUND(G569*$C569,0)</f>
        <v>0</v>
      </c>
      <c r="J569" s="306"/>
      <c r="K569" s="340" t="e">
        <f ca="1">'Rate Design Work eff 10-14-16'!K568</f>
        <v>#REF!</v>
      </c>
      <c r="L569" s="308"/>
      <c r="M569" s="306" t="e">
        <f ca="1">'Rate Design Work eff 10-14-16'!M568</f>
        <v>#REF!</v>
      </c>
      <c r="N569" s="306"/>
      <c r="O569" s="340">
        <f>'Rate Design Work eff 10-14-16'!O568</f>
        <v>0</v>
      </c>
      <c r="P569" s="308"/>
      <c r="Q569" s="306">
        <f>'Rate Design Work eff 10-14-16'!Q568</f>
        <v>0</v>
      </c>
      <c r="R569" s="306"/>
      <c r="S569" s="340">
        <f>'Rate Design Work eff 10-14-16'!S568</f>
        <v>0</v>
      </c>
      <c r="T569" s="308"/>
      <c r="U569" s="306">
        <f>'Rate Design Work eff 10-14-16'!U568</f>
        <v>0</v>
      </c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416</v>
      </c>
      <c r="B570" s="1"/>
      <c r="C570" s="304"/>
      <c r="D570" s="341"/>
      <c r="E570" s="306"/>
      <c r="F570" s="306"/>
      <c r="G570" s="341"/>
      <c r="H570" s="306"/>
      <c r="I570" s="306"/>
      <c r="J570" s="306"/>
      <c r="K570" s="341"/>
      <c r="L570" s="306"/>
      <c r="M570" s="306"/>
      <c r="N570" s="306"/>
      <c r="O570" s="341"/>
      <c r="P570" s="306"/>
      <c r="Q570" s="306"/>
      <c r="R570" s="306"/>
      <c r="S570" s="341"/>
      <c r="T570" s="306"/>
      <c r="U570" s="306"/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417</v>
      </c>
      <c r="B571" s="1"/>
      <c r="C571" s="304">
        <v>0</v>
      </c>
      <c r="D571" s="320">
        <f>'Rate Design Work eff 10-14-16'!D570</f>
        <v>5.6790000000000003</v>
      </c>
      <c r="E571" s="306" t="s">
        <v>364</v>
      </c>
      <c r="F571" s="306">
        <f>ROUND($C571*D571/100,0)</f>
        <v>0</v>
      </c>
      <c r="G571" s="320">
        <f ca="1">'Rate Design Work eff 10-14-16'!G570</f>
        <v>5.7730000000000006</v>
      </c>
      <c r="H571" s="306" t="s">
        <v>364</v>
      </c>
      <c r="I571" s="306">
        <f ca="1">ROUND($C571*G571/100,0)</f>
        <v>0</v>
      </c>
      <c r="J571" s="306"/>
      <c r="K571" s="320" t="str">
        <f>'Rate Design Work eff 10-14-16'!K570</f>
        <v xml:space="preserve"> </v>
      </c>
      <c r="L571" s="306" t="s">
        <v>364</v>
      </c>
      <c r="M571" s="306">
        <f>'Rate Design Work eff 10-14-16'!M570</f>
        <v>0</v>
      </c>
      <c r="N571" s="306"/>
      <c r="O571" s="320" t="e">
        <f ca="1">'Rate Design Work eff 10-14-16'!O570</f>
        <v>#REF!</v>
      </c>
      <c r="P571" s="306" t="s">
        <v>364</v>
      </c>
      <c r="Q571" s="306" t="e">
        <f ca="1">'Rate Design Work eff 10-14-16'!Q570</f>
        <v>#REF!</v>
      </c>
      <c r="R571" s="306"/>
      <c r="S571" s="320" t="e">
        <f ca="1">'Rate Design Work eff 10-14-16'!S570</f>
        <v>#REF!</v>
      </c>
      <c r="T571" s="306" t="s">
        <v>364</v>
      </c>
      <c r="U571" s="306" t="e">
        <f ca="1">'Rate Design Work eff 10-14-16'!U570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389</v>
      </c>
      <c r="B572" s="1"/>
      <c r="C572" s="304">
        <v>0</v>
      </c>
      <c r="D572" s="320">
        <f>'Rate Design Work eff 10-14-16'!D571</f>
        <v>5.2</v>
      </c>
      <c r="E572" s="306" t="s">
        <v>364</v>
      </c>
      <c r="F572" s="306">
        <f>ROUND($C572*D572/100,0)</f>
        <v>0</v>
      </c>
      <c r="G572" s="320">
        <f ca="1">'Rate Design Work eff 10-14-16'!G571</f>
        <v>5.2879999999999994</v>
      </c>
      <c r="H572" s="306" t="s">
        <v>364</v>
      </c>
      <c r="I572" s="306">
        <f ca="1">ROUND($C572*G572/100,0)</f>
        <v>0</v>
      </c>
      <c r="J572" s="306"/>
      <c r="K572" s="320" t="str">
        <f>'Rate Design Work eff 10-14-16'!K571</f>
        <v xml:space="preserve"> </v>
      </c>
      <c r="L572" s="306" t="s">
        <v>364</v>
      </c>
      <c r="M572" s="306">
        <f>'Rate Design Work eff 10-14-16'!M571</f>
        <v>0</v>
      </c>
      <c r="N572" s="306"/>
      <c r="O572" s="320" t="e">
        <f ca="1">'Rate Design Work eff 10-14-16'!O571</f>
        <v>#REF!</v>
      </c>
      <c r="P572" s="306" t="s">
        <v>364</v>
      </c>
      <c r="Q572" s="306" t="e">
        <f ca="1">'Rate Design Work eff 10-14-16'!Q571</f>
        <v>#REF!</v>
      </c>
      <c r="R572" s="306"/>
      <c r="S572" s="320" t="e">
        <f ca="1">'Rate Design Work eff 10-14-16'!S571</f>
        <v>#REF!</v>
      </c>
      <c r="T572" s="306" t="s">
        <v>364</v>
      </c>
      <c r="U572" s="306" t="e">
        <f ca="1">'Rate Design Work eff 10-14-16'!U571</f>
        <v>#REF!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390</v>
      </c>
      <c r="B573" s="1"/>
      <c r="C573" s="304">
        <v>0</v>
      </c>
      <c r="D573" s="347">
        <f>'Rate Design Work eff 10-14-16'!D572</f>
        <v>56</v>
      </c>
      <c r="E573" s="306" t="s">
        <v>364</v>
      </c>
      <c r="F573" s="306">
        <f>ROUND(D573*$C573/100,0)</f>
        <v>0</v>
      </c>
      <c r="G573" s="347">
        <f ca="1">'Rate Design Work eff 10-14-16'!G572</f>
        <v>57</v>
      </c>
      <c r="H573" s="306" t="s">
        <v>364</v>
      </c>
      <c r="I573" s="306">
        <f ca="1">ROUND(G573*$C573,0)</f>
        <v>0</v>
      </c>
      <c r="J573" s="306"/>
      <c r="K573" s="347" t="str">
        <f>'Rate Design Work eff 10-14-16'!K572</f>
        <v xml:space="preserve"> </v>
      </c>
      <c r="L573" s="306" t="s">
        <v>364</v>
      </c>
      <c r="M573" s="306">
        <f>'Rate Design Work eff 10-14-16'!M572</f>
        <v>0</v>
      </c>
      <c r="N573" s="306"/>
      <c r="O573" s="347" t="e">
        <f ca="1">'Rate Design Work eff 10-14-16'!O572</f>
        <v>#DIV/0!</v>
      </c>
      <c r="P573" s="306" t="s">
        <v>364</v>
      </c>
      <c r="Q573" s="306" t="e">
        <f ca="1">'Rate Design Work eff 10-14-16'!Q572</f>
        <v>#DIV/0!</v>
      </c>
      <c r="R573" s="306"/>
      <c r="S573" s="347" t="e">
        <f ca="1">'Rate Design Work eff 10-14-16'!S572</f>
        <v>#DIV/0!</v>
      </c>
      <c r="T573" s="306" t="s">
        <v>364</v>
      </c>
      <c r="U573" s="306" t="e">
        <f ca="1">'Rate Design Work eff 10-14-16'!U572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>
      <c r="A574" s="308" t="s">
        <v>418</v>
      </c>
      <c r="B574" s="1"/>
      <c r="C574" s="304">
        <v>0</v>
      </c>
      <c r="D574" s="589">
        <f>'Rate Design Work eff 10-14-16'!D573</f>
        <v>0.06</v>
      </c>
      <c r="E574" s="306" t="s">
        <v>364</v>
      </c>
      <c r="F574" s="306">
        <f>ROUND($C574*D574/100,0)</f>
        <v>0</v>
      </c>
      <c r="G574" s="321">
        <f>'Rate Design Work eff 10-14-16'!G573</f>
        <v>0.06</v>
      </c>
      <c r="H574" s="306" t="s">
        <v>364</v>
      </c>
      <c r="I574" s="306">
        <f>ROUND($C574*G574/100,0)</f>
        <v>0</v>
      </c>
      <c r="J574" s="306"/>
      <c r="K574" s="321" t="str">
        <f>'Rate Design Work eff 10-14-16'!K573</f>
        <v xml:space="preserve"> </v>
      </c>
      <c r="L574" s="306" t="s">
        <v>364</v>
      </c>
      <c r="M574" s="306">
        <f>'Rate Design Work eff 10-14-16'!M573</f>
        <v>0</v>
      </c>
      <c r="N574" s="306"/>
      <c r="O574" s="321" t="e">
        <f ca="1">'Rate Design Work eff 10-14-16'!O573</f>
        <v>#DIV/0!</v>
      </c>
      <c r="P574" s="306" t="s">
        <v>364</v>
      </c>
      <c r="Q574" s="306" t="e">
        <f ca="1">'Rate Design Work eff 10-14-16'!Q573</f>
        <v>#DIV/0!</v>
      </c>
      <c r="R574" s="306"/>
      <c r="S574" s="321" t="e">
        <f ca="1">'Rate Design Work eff 10-14-16'!S573</f>
        <v>#DIV/0!</v>
      </c>
      <c r="T574" s="306" t="s">
        <v>364</v>
      </c>
      <c r="U574" s="306" t="e">
        <f ca="1">'Rate Design Work eff 10-14-16'!U573</f>
        <v>#DIV/0!</v>
      </c>
      <c r="V574" s="20"/>
      <c r="W574" s="74"/>
      <c r="X574" s="74"/>
      <c r="Y574" s="74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</row>
    <row r="575" spans="1:44" s="1118" customFormat="1" hidden="1">
      <c r="A575" s="968" t="s">
        <v>882</v>
      </c>
      <c r="C575" s="1122">
        <f>C571+C572</f>
        <v>0</v>
      </c>
      <c r="D575" s="254">
        <f>'Rate Design Work eff 10-14-16'!D574</f>
        <v>0</v>
      </c>
      <c r="E575" s="1119"/>
      <c r="F575" s="1123"/>
      <c r="G575" s="320">
        <f>'Rate Design Work eff 10-14-16'!G574</f>
        <v>0</v>
      </c>
      <c r="H575" s="1000" t="s">
        <v>364</v>
      </c>
      <c r="I575" s="1000">
        <f t="shared" ref="I575:I576" si="123">ROUND($C575*G575/100,0)</f>
        <v>0</v>
      </c>
      <c r="J575" s="1000"/>
      <c r="K575" s="320" t="str">
        <f>'Rate Design Work eff 10-14-16'!K574</f>
        <v xml:space="preserve"> </v>
      </c>
      <c r="L575" s="1000" t="s">
        <v>364</v>
      </c>
      <c r="M575" s="306">
        <f>'Rate Design Work eff 10-14-16'!M574</f>
        <v>0</v>
      </c>
      <c r="N575" s="1000"/>
      <c r="O575" s="320" t="str">
        <f>'Rate Design Work eff 10-14-16'!O574</f>
        <v xml:space="preserve"> </v>
      </c>
      <c r="P575" s="1000" t="s">
        <v>364</v>
      </c>
      <c r="Q575" s="306">
        <f>'Rate Design Work eff 10-14-16'!Q574</f>
        <v>0</v>
      </c>
      <c r="R575" s="1000"/>
      <c r="S575" s="320">
        <f>'Rate Design Work eff 10-14-16'!S574</f>
        <v>0</v>
      </c>
      <c r="T575" s="1000" t="s">
        <v>364</v>
      </c>
      <c r="U575" s="306">
        <f>'Rate Design Work eff 10-14-16'!U574</f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 s="1118" customFormat="1" hidden="1">
      <c r="A576" s="968" t="s">
        <v>883</v>
      </c>
      <c r="C576" s="1122">
        <f>C572+C573</f>
        <v>0</v>
      </c>
      <c r="D576" s="254">
        <f>'Rate Design Work eff 10-14-16'!D575</f>
        <v>0</v>
      </c>
      <c r="E576" s="1119"/>
      <c r="F576" s="1123"/>
      <c r="G576" s="320">
        <f>'Rate Design Work eff 10-14-16'!G575</f>
        <v>0</v>
      </c>
      <c r="H576" s="1119"/>
      <c r="I576" s="1000">
        <f t="shared" si="123"/>
        <v>0</v>
      </c>
      <c r="J576" s="1000"/>
      <c r="K576" s="320" t="str">
        <f>'Rate Design Work eff 10-14-16'!K575</f>
        <v xml:space="preserve"> </v>
      </c>
      <c r="L576" s="1119"/>
      <c r="M576" s="306">
        <f>'Rate Design Work eff 10-14-16'!M575</f>
        <v>0</v>
      </c>
      <c r="N576" s="1000"/>
      <c r="O576" s="320" t="str">
        <f>'Rate Design Work eff 10-14-16'!O575</f>
        <v xml:space="preserve"> </v>
      </c>
      <c r="P576" s="1119"/>
      <c r="Q576" s="306">
        <f>'Rate Design Work eff 10-14-16'!Q575</f>
        <v>0</v>
      </c>
      <c r="R576" s="1000"/>
      <c r="S576" s="320">
        <f>'Rate Design Work eff 10-14-16'!S575</f>
        <v>0</v>
      </c>
      <c r="T576" s="1119"/>
      <c r="U576" s="306">
        <f>'Rate Design Work eff 10-14-16'!U575</f>
        <v>0</v>
      </c>
      <c r="W576" s="784"/>
      <c r="Z576" s="1125"/>
      <c r="AA576" s="1125"/>
      <c r="AF576" s="1119"/>
      <c r="AG576" s="1119"/>
      <c r="AH576" s="1119"/>
      <c r="AI576" s="1119"/>
      <c r="AJ576" s="1119"/>
      <c r="AK576" s="1119"/>
      <c r="AL576" s="1119"/>
      <c r="AM576" s="1119"/>
      <c r="AN576" s="1119"/>
      <c r="AO576" s="1119"/>
      <c r="AP576" s="1119"/>
      <c r="AR576" s="1124"/>
    </row>
    <row r="577" spans="1:42">
      <c r="A577" s="345" t="s">
        <v>391</v>
      </c>
      <c r="B577" s="1" t="s">
        <v>31</v>
      </c>
      <c r="C577" s="304"/>
      <c r="D577" s="317">
        <f>'Rate Design Work eff 10-14-16'!D576</f>
        <v>-0.01</v>
      </c>
      <c r="E577" s="346"/>
      <c r="F577" s="346"/>
      <c r="G577" s="317">
        <v>-0.01</v>
      </c>
      <c r="H577" s="346"/>
      <c r="I577" s="2"/>
      <c r="J577" s="2"/>
      <c r="K577" s="317">
        <v>-0.01</v>
      </c>
      <c r="L577" s="346"/>
      <c r="M577" s="2"/>
      <c r="N577" s="2"/>
      <c r="O577" s="317">
        <v>-0.01</v>
      </c>
      <c r="P577" s="346"/>
      <c r="Q577" s="2"/>
      <c r="R577" s="2"/>
      <c r="S577" s="317">
        <v>-0.01</v>
      </c>
      <c r="T577" s="346"/>
      <c r="U577" s="2"/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2">
      <c r="A578" s="308" t="s">
        <v>411</v>
      </c>
      <c r="B578" s="1"/>
      <c r="C578" s="304">
        <v>0</v>
      </c>
      <c r="D578" s="340">
        <f>'Rate Design Work eff 10-14-16'!D577</f>
        <v>259</v>
      </c>
      <c r="E578" s="308"/>
      <c r="F578" s="306">
        <f t="shared" ref="F578:F583" si="124">ROUND(D578*$C578*$D$577,0)</f>
        <v>0</v>
      </c>
      <c r="G578" s="289">
        <f ca="1">G562</f>
        <v>264</v>
      </c>
      <c r="H578" s="308"/>
      <c r="I578" s="306">
        <f t="shared" ref="I578:I583" ca="1" si="125">ROUND(G578*$C578*$G$577,0)</f>
        <v>0</v>
      </c>
      <c r="J578" s="306"/>
      <c r="K578" s="289">
        <f ca="1">K562</f>
        <v>264</v>
      </c>
      <c r="L578" s="308"/>
      <c r="M578" s="306" t="e">
        <f ca="1">'Rate Design Work eff 10-14-16'!M577</f>
        <v>#REF!</v>
      </c>
      <c r="N578" s="306"/>
      <c r="O578" s="289" t="str">
        <f>O562</f>
        <v xml:space="preserve"> </v>
      </c>
      <c r="P578" s="308"/>
      <c r="Q578" s="306" t="e">
        <f>'Rate Design Work eff 10-14-16'!Q577</f>
        <v>#REF!</v>
      </c>
      <c r="R578" s="306"/>
      <c r="S578" s="289" t="str">
        <f>S562</f>
        <v xml:space="preserve"> </v>
      </c>
      <c r="T578" s="308"/>
      <c r="U578" s="306" t="e">
        <f>'Rate Design Work eff 10-14-16'!U577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2">
      <c r="A579" s="308" t="s">
        <v>412</v>
      </c>
      <c r="B579" s="1"/>
      <c r="C579" s="304">
        <v>0</v>
      </c>
      <c r="D579" s="340">
        <f>'Rate Design Work eff 10-14-16'!D578</f>
        <v>96</v>
      </c>
      <c r="E579" s="308"/>
      <c r="F579" s="306">
        <f t="shared" si="124"/>
        <v>0</v>
      </c>
      <c r="G579" s="289">
        <f ca="1">G563</f>
        <v>98</v>
      </c>
      <c r="H579" s="308"/>
      <c r="I579" s="306">
        <f t="shared" ca="1" si="125"/>
        <v>0</v>
      </c>
      <c r="J579" s="306"/>
      <c r="K579" s="289">
        <f ca="1">K563</f>
        <v>98</v>
      </c>
      <c r="L579" s="308"/>
      <c r="M579" s="306" t="e">
        <f ca="1">'Rate Design Work eff 10-14-16'!M578</f>
        <v>#REF!</v>
      </c>
      <c r="N579" s="306"/>
      <c r="O579" s="289" t="str">
        <f>O563</f>
        <v xml:space="preserve"> </v>
      </c>
      <c r="P579" s="308"/>
      <c r="Q579" s="306" t="e">
        <f>'Rate Design Work eff 10-14-16'!Q578</f>
        <v>#REF!</v>
      </c>
      <c r="R579" s="306"/>
      <c r="S579" s="289" t="str">
        <f>S563</f>
        <v xml:space="preserve"> </v>
      </c>
      <c r="T579" s="308"/>
      <c r="U579" s="306" t="e">
        <f>'Rate Design Work eff 10-14-16'!U578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2">
      <c r="A580" s="308" t="s">
        <v>413</v>
      </c>
      <c r="B580" s="1"/>
      <c r="C580" s="304">
        <v>0</v>
      </c>
      <c r="D580" s="340">
        <f>'Rate Design Work eff 10-14-16'!D579</f>
        <v>192</v>
      </c>
      <c r="E580" s="310"/>
      <c r="F580" s="306">
        <f t="shared" si="124"/>
        <v>0</v>
      </c>
      <c r="G580" s="289">
        <f ca="1">G564</f>
        <v>195</v>
      </c>
      <c r="H580" s="310"/>
      <c r="I580" s="306">
        <f t="shared" ca="1" si="125"/>
        <v>0</v>
      </c>
      <c r="J580" s="306"/>
      <c r="K580" s="289">
        <f ca="1">K564</f>
        <v>195</v>
      </c>
      <c r="L580" s="310"/>
      <c r="M580" s="306" t="e">
        <f ca="1">'Rate Design Work eff 10-14-16'!M579</f>
        <v>#REF!</v>
      </c>
      <c r="N580" s="306"/>
      <c r="O580" s="289" t="str">
        <f>O564</f>
        <v xml:space="preserve"> </v>
      </c>
      <c r="P580" s="310"/>
      <c r="Q580" s="306" t="e">
        <f>'Rate Design Work eff 10-14-16'!Q579</f>
        <v>#REF!</v>
      </c>
      <c r="R580" s="306"/>
      <c r="S580" s="289" t="str">
        <f>S564</f>
        <v xml:space="preserve"> </v>
      </c>
      <c r="T580" s="310"/>
      <c r="U580" s="306" t="e">
        <f>'Rate Design Work eff 10-14-16'!U579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2">
      <c r="A581" s="308" t="s">
        <v>412</v>
      </c>
      <c r="B581" s="1"/>
      <c r="C581" s="304">
        <v>0</v>
      </c>
      <c r="D581" s="340">
        <f>'Rate Design Work eff 10-14-16'!D580</f>
        <v>1.76</v>
      </c>
      <c r="E581" s="308" t="s">
        <v>31</v>
      </c>
      <c r="F581" s="306">
        <f t="shared" si="124"/>
        <v>0</v>
      </c>
      <c r="G581" s="289">
        <f ca="1">G566</f>
        <v>1.79</v>
      </c>
      <c r="H581" s="308" t="s">
        <v>31</v>
      </c>
      <c r="I581" s="306">
        <f t="shared" ca="1" si="125"/>
        <v>0</v>
      </c>
      <c r="J581" s="306"/>
      <c r="K581" s="289">
        <f ca="1">K566</f>
        <v>1.79</v>
      </c>
      <c r="L581" s="308" t="s">
        <v>31</v>
      </c>
      <c r="M581" s="306" t="e">
        <f ca="1">'Rate Design Work eff 10-14-16'!M580</f>
        <v>#REF!</v>
      </c>
      <c r="N581" s="306"/>
      <c r="O581" s="289" t="str">
        <f>O566</f>
        <v xml:space="preserve"> </v>
      </c>
      <c r="P581" s="308" t="s">
        <v>31</v>
      </c>
      <c r="Q581" s="306" t="e">
        <f>'Rate Design Work eff 10-14-16'!Q580</f>
        <v>#REF!</v>
      </c>
      <c r="R581" s="306"/>
      <c r="S581" s="289" t="str">
        <f>S566</f>
        <v xml:space="preserve"> </v>
      </c>
      <c r="T581" s="308" t="s">
        <v>31</v>
      </c>
      <c r="U581" s="306" t="e">
        <f>'Rate Design Work eff 10-14-16'!U580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2">
      <c r="A582" s="308" t="s">
        <v>413</v>
      </c>
      <c r="B582" s="1"/>
      <c r="C582" s="304">
        <v>0</v>
      </c>
      <c r="D582" s="340">
        <f>'Rate Design Work eff 10-14-16'!D581</f>
        <v>1.44</v>
      </c>
      <c r="E582" s="308" t="s">
        <v>31</v>
      </c>
      <c r="F582" s="306">
        <f t="shared" si="124"/>
        <v>0</v>
      </c>
      <c r="G582" s="289">
        <f ca="1">G567</f>
        <v>1.46</v>
      </c>
      <c r="H582" s="308" t="s">
        <v>31</v>
      </c>
      <c r="I582" s="306">
        <f t="shared" ca="1" si="125"/>
        <v>0</v>
      </c>
      <c r="J582" s="306"/>
      <c r="K582" s="289">
        <f ca="1">K567</f>
        <v>1.46</v>
      </c>
      <c r="L582" s="308" t="s">
        <v>31</v>
      </c>
      <c r="M582" s="306" t="e">
        <f ca="1">'Rate Design Work eff 10-14-16'!M581</f>
        <v>#REF!</v>
      </c>
      <c r="N582" s="306"/>
      <c r="O582" s="289" t="str">
        <f>O567</f>
        <v xml:space="preserve"> </v>
      </c>
      <c r="P582" s="308" t="s">
        <v>31</v>
      </c>
      <c r="Q582" s="306" t="e">
        <f>'Rate Design Work eff 10-14-16'!Q581</f>
        <v>#REF!</v>
      </c>
      <c r="R582" s="306"/>
      <c r="S582" s="289" t="str">
        <f>S567</f>
        <v xml:space="preserve"> </v>
      </c>
      <c r="T582" s="308" t="s">
        <v>31</v>
      </c>
      <c r="U582" s="306" t="e">
        <f>'Rate Design Work eff 10-14-16'!U581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2">
      <c r="A583" s="294" t="s">
        <v>415</v>
      </c>
      <c r="B583" s="1"/>
      <c r="C583" s="304">
        <v>0</v>
      </c>
      <c r="D583" s="340">
        <f>'Rate Design Work eff 10-14-16'!D582</f>
        <v>5.37</v>
      </c>
      <c r="E583" s="308"/>
      <c r="F583" s="306">
        <f t="shared" si="124"/>
        <v>0</v>
      </c>
      <c r="G583" s="289">
        <f ca="1">G569</f>
        <v>5.47</v>
      </c>
      <c r="H583" s="308"/>
      <c r="I583" s="306">
        <f t="shared" ca="1" si="125"/>
        <v>0</v>
      </c>
      <c r="J583" s="306"/>
      <c r="K583" s="289" t="e">
        <f ca="1">K569</f>
        <v>#REF!</v>
      </c>
      <c r="L583" s="308"/>
      <c r="M583" s="306" t="e">
        <f ca="1">'Rate Design Work eff 10-14-16'!M582</f>
        <v>#REF!</v>
      </c>
      <c r="N583" s="306"/>
      <c r="O583" s="289">
        <f>O569</f>
        <v>0</v>
      </c>
      <c r="P583" s="308"/>
      <c r="Q583" s="306" t="e">
        <f>'Rate Design Work eff 10-14-16'!Q582</f>
        <v>#REF!</v>
      </c>
      <c r="R583" s="306"/>
      <c r="S583" s="289">
        <f>S569</f>
        <v>0</v>
      </c>
      <c r="T583" s="308"/>
      <c r="U583" s="306" t="e">
        <f>'Rate Design Work eff 10-14-16'!U582</f>
        <v>#REF!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2">
      <c r="A584" s="308" t="s">
        <v>417</v>
      </c>
      <c r="B584" s="1"/>
      <c r="C584" s="304">
        <v>0</v>
      </c>
      <c r="D584" s="319">
        <f>'Rate Design Work eff 10-14-16'!D583</f>
        <v>0</v>
      </c>
      <c r="E584" s="306" t="s">
        <v>364</v>
      </c>
      <c r="F584" s="306">
        <f>ROUND(D584/100*$C584*D577,0)</f>
        <v>0</v>
      </c>
      <c r="G584" s="289">
        <f>G570</f>
        <v>0</v>
      </c>
      <c r="H584" s="306" t="s">
        <v>364</v>
      </c>
      <c r="I584" s="306">
        <f>ROUND(G584/100*$C584*G577,0)</f>
        <v>0</v>
      </c>
      <c r="J584" s="306"/>
      <c r="K584" s="289">
        <f>K570</f>
        <v>0</v>
      </c>
      <c r="L584" s="306" t="s">
        <v>364</v>
      </c>
      <c r="M584" s="306">
        <f>'Rate Design Work eff 10-14-16'!M583</f>
        <v>0</v>
      </c>
      <c r="N584" s="306"/>
      <c r="O584" s="289">
        <f>O570</f>
        <v>0</v>
      </c>
      <c r="P584" s="306" t="s">
        <v>364</v>
      </c>
      <c r="Q584" s="306">
        <f>'Rate Design Work eff 10-14-16'!Q583</f>
        <v>0</v>
      </c>
      <c r="R584" s="306"/>
      <c r="S584" s="289">
        <f>S570</f>
        <v>0</v>
      </c>
      <c r="T584" s="306" t="s">
        <v>364</v>
      </c>
      <c r="U584" s="306">
        <f>'Rate Design Work eff 10-14-16'!U583</f>
        <v>0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2">
      <c r="A585" s="308" t="s">
        <v>389</v>
      </c>
      <c r="B585" s="1"/>
      <c r="C585" s="304">
        <v>0</v>
      </c>
      <c r="D585" s="955">
        <f>'Rate Design Work eff 10-14-16'!D584</f>
        <v>5.2</v>
      </c>
      <c r="E585" s="306" t="s">
        <v>364</v>
      </c>
      <c r="F585" s="306">
        <f>ROUND(D585/100*$C585*D577,0)</f>
        <v>0</v>
      </c>
      <c r="G585" s="359">
        <f ca="1">G572</f>
        <v>5.2879999999999994</v>
      </c>
      <c r="H585" s="306" t="s">
        <v>364</v>
      </c>
      <c r="I585" s="306">
        <f ca="1">ROUND(G585/100*$C585*G577,0)</f>
        <v>0</v>
      </c>
      <c r="J585" s="306"/>
      <c r="K585" s="359" t="str">
        <f>K572</f>
        <v xml:space="preserve"> </v>
      </c>
      <c r="L585" s="306" t="s">
        <v>364</v>
      </c>
      <c r="M585" s="306">
        <f>'Rate Design Work eff 10-14-16'!M584</f>
        <v>0</v>
      </c>
      <c r="N585" s="306"/>
      <c r="O585" s="359" t="e">
        <f ca="1">O572</f>
        <v>#REF!</v>
      </c>
      <c r="P585" s="306" t="s">
        <v>364</v>
      </c>
      <c r="Q585" s="306" t="e">
        <f ca="1">'Rate Design Work eff 10-14-16'!Q584</f>
        <v>#REF!</v>
      </c>
      <c r="R585" s="306"/>
      <c r="S585" s="359" t="e">
        <f ca="1">S572</f>
        <v>#REF!</v>
      </c>
      <c r="T585" s="306" t="s">
        <v>364</v>
      </c>
      <c r="U585" s="306" t="e">
        <f ca="1">'Rate Design Work eff 10-14-16'!U584</f>
        <v>#REF!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2">
      <c r="A586" s="294" t="s">
        <v>419</v>
      </c>
      <c r="B586" s="1"/>
      <c r="C586" s="304">
        <v>0</v>
      </c>
      <c r="D586" s="1113">
        <f>'Rate Design Work eff 10-14-16'!D585</f>
        <v>56</v>
      </c>
      <c r="E586" s="306" t="s">
        <v>364</v>
      </c>
      <c r="F586" s="306">
        <f>ROUND(D586*$C586*$D$577,0)</f>
        <v>0</v>
      </c>
      <c r="G586" s="360">
        <f ca="1">G573</f>
        <v>57</v>
      </c>
      <c r="H586" s="306" t="s">
        <v>364</v>
      </c>
      <c r="I586" s="306">
        <f ca="1">ROUND(G586*$C586*$G$577,0)</f>
        <v>0</v>
      </c>
      <c r="J586" s="306"/>
      <c r="K586" s="360" t="str">
        <f>K573</f>
        <v xml:space="preserve"> </v>
      </c>
      <c r="L586" s="306" t="s">
        <v>364</v>
      </c>
      <c r="M586" s="306" t="e">
        <f>'Rate Design Work eff 10-14-16'!M585</f>
        <v>#REF!</v>
      </c>
      <c r="N586" s="306"/>
      <c r="O586" s="360" t="e">
        <f ca="1">O573</f>
        <v>#DIV/0!</v>
      </c>
      <c r="P586" s="306" t="s">
        <v>364</v>
      </c>
      <c r="Q586" s="306" t="e">
        <f ca="1">'Rate Design Work eff 10-14-16'!Q585</f>
        <v>#DIV/0!</v>
      </c>
      <c r="R586" s="306"/>
      <c r="S586" s="360" t="e">
        <f ca="1">S573</f>
        <v>#DIV/0!</v>
      </c>
      <c r="T586" s="306" t="s">
        <v>364</v>
      </c>
      <c r="U586" s="306" t="e">
        <f ca="1">'Rate Design Work eff 10-14-16'!U585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2">
      <c r="A587" s="294" t="s">
        <v>420</v>
      </c>
      <c r="B587" s="1"/>
      <c r="C587" s="304">
        <v>0</v>
      </c>
      <c r="D587" s="1114">
        <f>'Rate Design Work eff 10-14-16'!D586</f>
        <v>0.06</v>
      </c>
      <c r="E587" s="306" t="s">
        <v>364</v>
      </c>
      <c r="F587" s="306">
        <f>ROUND(D587/100*$C587*D577,0)</f>
        <v>0</v>
      </c>
      <c r="G587" s="589">
        <f>G574</f>
        <v>0.06</v>
      </c>
      <c r="H587" s="306" t="s">
        <v>364</v>
      </c>
      <c r="I587" s="306">
        <f>ROUND(G587/100*$C587*G577,0)</f>
        <v>0</v>
      </c>
      <c r="J587" s="306"/>
      <c r="K587" s="589" t="str">
        <f>K574</f>
        <v xml:space="preserve"> </v>
      </c>
      <c r="L587" s="306" t="s">
        <v>364</v>
      </c>
      <c r="M587" s="306">
        <f>'Rate Design Work eff 10-14-16'!M586</f>
        <v>0</v>
      </c>
      <c r="N587" s="306"/>
      <c r="O587" s="589" t="e">
        <f ca="1">O574</f>
        <v>#DIV/0!</v>
      </c>
      <c r="P587" s="306" t="s">
        <v>364</v>
      </c>
      <c r="Q587" s="306" t="e">
        <f ca="1">'Rate Design Work eff 10-14-16'!Q586</f>
        <v>#DIV/0!</v>
      </c>
      <c r="R587" s="306"/>
      <c r="S587" s="589" t="e">
        <f ca="1">S574</f>
        <v>#DIV/0!</v>
      </c>
      <c r="T587" s="306" t="s">
        <v>364</v>
      </c>
      <c r="U587" s="306" t="e">
        <f ca="1">'Rate Design Work eff 10-14-16'!U586</f>
        <v>#DIV/0!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2">
      <c r="A588" s="308" t="s">
        <v>421</v>
      </c>
      <c r="B588" s="1"/>
      <c r="C588" s="304">
        <v>0</v>
      </c>
      <c r="D588" s="348">
        <f>'Rate Design Work eff 10-14-16'!D587</f>
        <v>60</v>
      </c>
      <c r="E588" s="349" t="s">
        <v>31</v>
      </c>
      <c r="F588" s="306">
        <f>ROUND(D588*$C588,0)</f>
        <v>0</v>
      </c>
      <c r="G588" s="348">
        <v>60</v>
      </c>
      <c r="H588" s="349" t="s">
        <v>31</v>
      </c>
      <c r="I588" s="306">
        <f>ROUND(G588*$C588,0)</f>
        <v>0</v>
      </c>
      <c r="J588" s="306"/>
      <c r="K588" s="348">
        <v>60</v>
      </c>
      <c r="L588" s="349" t="s">
        <v>31</v>
      </c>
      <c r="M588" s="306">
        <f>'Rate Design Work eff 10-14-16'!M587</f>
        <v>0</v>
      </c>
      <c r="N588" s="306"/>
      <c r="O588" s="348">
        <v>60</v>
      </c>
      <c r="P588" s="349" t="s">
        <v>31</v>
      </c>
      <c r="Q588" s="306">
        <f>'Rate Design Work eff 10-14-16'!Q587</f>
        <v>0</v>
      </c>
      <c r="R588" s="306"/>
      <c r="S588" s="348">
        <v>60</v>
      </c>
      <c r="T588" s="349" t="s">
        <v>31</v>
      </c>
      <c r="U588" s="306">
        <f>'Rate Design Work eff 10-14-16'!U587</f>
        <v>0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2">
      <c r="A589" s="308" t="s">
        <v>422</v>
      </c>
      <c r="B589" s="1"/>
      <c r="C589" s="304">
        <v>0</v>
      </c>
      <c r="D589" s="321">
        <f>'Rate Design Work eff 10-14-16'!D588</f>
        <v>-30</v>
      </c>
      <c r="E589" s="306" t="s">
        <v>364</v>
      </c>
      <c r="F589" s="306">
        <f>ROUND(D589*$C589*$D$577,0)</f>
        <v>0</v>
      </c>
      <c r="G589" s="321">
        <v>-30</v>
      </c>
      <c r="H589" s="306" t="s">
        <v>364</v>
      </c>
      <c r="I589" s="306">
        <f>ROUND(G589*$C589*$G$577,0)</f>
        <v>0</v>
      </c>
      <c r="J589" s="306"/>
      <c r="K589" s="321">
        <v>-30</v>
      </c>
      <c r="L589" s="306" t="s">
        <v>364</v>
      </c>
      <c r="M589" s="306" t="e">
        <f>'Rate Design Work eff 10-14-16'!M588</f>
        <v>#REF!</v>
      </c>
      <c r="N589" s="306"/>
      <c r="O589" s="321">
        <v>-30</v>
      </c>
      <c r="P589" s="306" t="s">
        <v>364</v>
      </c>
      <c r="Q589" s="306" t="e">
        <f>'Rate Design Work eff 10-14-16'!Q588</f>
        <v>#REF!</v>
      </c>
      <c r="R589" s="306"/>
      <c r="S589" s="321">
        <v>-30</v>
      </c>
      <c r="T589" s="306" t="s">
        <v>364</v>
      </c>
      <c r="U589" s="306" t="e">
        <f>'Rate Design Work eff 10-14-16'!U588</f>
        <v>#REF!</v>
      </c>
      <c r="V589" s="20"/>
      <c r="W589" s="74"/>
      <c r="X589" s="74"/>
      <c r="Y589" s="32" t="s">
        <v>31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2">
      <c r="A590" s="294" t="s">
        <v>423</v>
      </c>
      <c r="B590" s="1"/>
      <c r="C590" s="304">
        <v>0</v>
      </c>
      <c r="D590" s="319">
        <f>'Rate Design Work eff 10-14-16'!D589</f>
        <v>2.6850000000000001</v>
      </c>
      <c r="E590" s="306"/>
      <c r="F590" s="306">
        <f>ROUND(D590*$C590*$D$577,0)</f>
        <v>0</v>
      </c>
      <c r="G590" s="340">
        <f ca="1">G583/2</f>
        <v>2.7349999999999999</v>
      </c>
      <c r="H590" s="306"/>
      <c r="I590" s="306">
        <f ca="1">ROUND($C590*G590,0)</f>
        <v>0</v>
      </c>
      <c r="J590" s="306"/>
      <c r="K590" s="340" t="e">
        <f ca="1">K583/2</f>
        <v>#REF!</v>
      </c>
      <c r="L590" s="306"/>
      <c r="M590" s="306" t="e">
        <f ca="1">'Rate Design Work eff 10-14-16'!M589</f>
        <v>#REF!</v>
      </c>
      <c r="N590" s="306"/>
      <c r="O590" s="340">
        <f>O583/2</f>
        <v>0</v>
      </c>
      <c r="P590" s="306"/>
      <c r="Q590" s="306">
        <f>'Rate Design Work eff 10-14-16'!Q589</f>
        <v>0</v>
      </c>
      <c r="R590" s="306"/>
      <c r="S590" s="340">
        <f>S583/2</f>
        <v>0</v>
      </c>
      <c r="T590" s="306"/>
      <c r="U590" s="306">
        <f>'Rate Design Work eff 10-14-16'!U589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2">
      <c r="A591" s="294" t="s">
        <v>424</v>
      </c>
      <c r="B591" s="1"/>
      <c r="C591" s="304">
        <v>0</v>
      </c>
      <c r="D591" s="319">
        <f>'Rate Design Work eff 10-14-16'!D590</f>
        <v>21.48</v>
      </c>
      <c r="E591" s="306"/>
      <c r="F591" s="306">
        <f>ROUND($C591*D591/100,0)</f>
        <v>0</v>
      </c>
      <c r="G591" s="340">
        <f ca="1">G583*4</f>
        <v>21.88</v>
      </c>
      <c r="H591" s="306"/>
      <c r="I591" s="306">
        <f ca="1">ROUND($C591*G591,0)</f>
        <v>0</v>
      </c>
      <c r="J591" s="306"/>
      <c r="K591" s="340" t="e">
        <f ca="1">K583*4</f>
        <v>#REF!</v>
      </c>
      <c r="L591" s="306"/>
      <c r="M591" s="306" t="e">
        <f ca="1">'Rate Design Work eff 10-14-16'!M590</f>
        <v>#REF!</v>
      </c>
      <c r="N591" s="306"/>
      <c r="O591" s="340">
        <f>O583*4</f>
        <v>0</v>
      </c>
      <c r="P591" s="306"/>
      <c r="Q591" s="306">
        <f>'Rate Design Work eff 10-14-16'!Q590</f>
        <v>0</v>
      </c>
      <c r="R591" s="306"/>
      <c r="S591" s="340">
        <f>S583*4</f>
        <v>0</v>
      </c>
      <c r="T591" s="306"/>
      <c r="U591" s="306">
        <f>'Rate Design Work eff 10-14-16'!U590</f>
        <v>0</v>
      </c>
      <c r="V591" s="20"/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2">
      <c r="A592" s="3" t="s">
        <v>425</v>
      </c>
      <c r="B592" s="288"/>
      <c r="C592" s="304">
        <v>0</v>
      </c>
      <c r="D592" s="320">
        <f>'Rate Design Work eff 10-14-16'!D591</f>
        <v>20.8</v>
      </c>
      <c r="E592" s="306" t="s">
        <v>364</v>
      </c>
      <c r="F592" s="306">
        <f>ROUND($C592*D592/100,0)</f>
        <v>0</v>
      </c>
      <c r="G592" s="320">
        <f ca="1">(G572)*4</f>
        <v>21.151999999999997</v>
      </c>
      <c r="H592" s="306" t="s">
        <v>364</v>
      </c>
      <c r="I592" s="306">
        <f ca="1">ROUND($C592*G592/100,0)</f>
        <v>0</v>
      </c>
      <c r="J592" s="306"/>
      <c r="K592" s="320">
        <f>(K572)*4</f>
        <v>0</v>
      </c>
      <c r="L592" s="306" t="s">
        <v>364</v>
      </c>
      <c r="M592" s="306">
        <f>'Rate Design Work eff 10-14-16'!M591</f>
        <v>0</v>
      </c>
      <c r="N592" s="306"/>
      <c r="O592" s="320" t="e">
        <f ca="1">(O572)*4</f>
        <v>#REF!</v>
      </c>
      <c r="P592" s="306" t="s">
        <v>364</v>
      </c>
      <c r="Q592" s="306" t="e">
        <f ca="1">'Rate Design Work eff 10-14-16'!Q591</f>
        <v>#REF!</v>
      </c>
      <c r="R592" s="306"/>
      <c r="S592" s="320" t="e">
        <f ca="1">(S572)*4</f>
        <v>#REF!</v>
      </c>
      <c r="T592" s="306" t="s">
        <v>364</v>
      </c>
      <c r="U592" s="306" t="e">
        <f ca="1">'Rate Design Work eff 10-14-16'!U591</f>
        <v>#REF!</v>
      </c>
      <c r="V592" s="7" t="s">
        <v>74</v>
      </c>
      <c r="W592" s="74"/>
      <c r="X592" s="74"/>
      <c r="Y592" s="74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</row>
    <row r="593" spans="1:44" s="1118" customFormat="1" hidden="1">
      <c r="A593" s="968" t="s">
        <v>882</v>
      </c>
      <c r="C593" s="1122">
        <f>C584+C585</f>
        <v>0</v>
      </c>
      <c r="D593" s="254">
        <f>'Rate Design Work eff 10-14-16'!D592</f>
        <v>0</v>
      </c>
      <c r="E593" s="1119"/>
      <c r="F593" s="1123"/>
      <c r="G593" s="1128">
        <f>G616</f>
        <v>0</v>
      </c>
      <c r="H593" s="972" t="s">
        <v>364</v>
      </c>
      <c r="I593" s="1000">
        <f t="shared" ref="I593:I594" si="126">ROUND($C593*G593/100,0)</f>
        <v>0</v>
      </c>
      <c r="J593" s="1000"/>
      <c r="K593" s="1128" t="str">
        <f>K616</f>
        <v xml:space="preserve"> </v>
      </c>
      <c r="L593" s="972" t="s">
        <v>364</v>
      </c>
      <c r="M593" s="306">
        <f>'Rate Design Work eff 10-14-16'!M592</f>
        <v>0</v>
      </c>
      <c r="N593" s="1000"/>
      <c r="O593" s="1128" t="str">
        <f>O616</f>
        <v xml:space="preserve"> </v>
      </c>
      <c r="P593" s="972" t="s">
        <v>364</v>
      </c>
      <c r="Q593" s="306">
        <f>'Rate Design Work eff 10-14-16'!Q592</f>
        <v>0</v>
      </c>
      <c r="R593" s="1000"/>
      <c r="S593" s="1128">
        <f>S616</f>
        <v>0</v>
      </c>
      <c r="T593" s="972" t="s">
        <v>364</v>
      </c>
      <c r="U593" s="306">
        <f>'Rate Design Work eff 10-14-16'!U592</f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 s="1118" customFormat="1" hidden="1">
      <c r="A594" s="968" t="s">
        <v>883</v>
      </c>
      <c r="C594" s="1122">
        <f>C585+C586</f>
        <v>0</v>
      </c>
      <c r="D594" s="254">
        <f>'Rate Design Work eff 10-14-16'!D593</f>
        <v>0</v>
      </c>
      <c r="E594" s="1119"/>
      <c r="F594" s="1123"/>
      <c r="G594" s="1128">
        <f>G617</f>
        <v>0</v>
      </c>
      <c r="H594" s="972" t="s">
        <v>364</v>
      </c>
      <c r="I594" s="1000">
        <f t="shared" si="126"/>
        <v>0</v>
      </c>
      <c r="J594" s="1000"/>
      <c r="K594" s="1128" t="str">
        <f>K617</f>
        <v xml:space="preserve"> </v>
      </c>
      <c r="L594" s="972" t="s">
        <v>364</v>
      </c>
      <c r="M594" s="306">
        <f>'Rate Design Work eff 10-14-16'!M593</f>
        <v>0</v>
      </c>
      <c r="N594" s="1000"/>
      <c r="O594" s="1128" t="str">
        <f>O617</f>
        <v xml:space="preserve"> </v>
      </c>
      <c r="P594" s="972" t="s">
        <v>364</v>
      </c>
      <c r="Q594" s="306">
        <f>'Rate Design Work eff 10-14-16'!Q593</f>
        <v>0</v>
      </c>
      <c r="R594" s="1000"/>
      <c r="S594" s="1128">
        <f>S617</f>
        <v>0</v>
      </c>
      <c r="T594" s="972" t="s">
        <v>364</v>
      </c>
      <c r="U594" s="306">
        <f>'Rate Design Work eff 10-14-16'!U593</f>
        <v>0</v>
      </c>
      <c r="W594" s="784"/>
      <c r="Z594" s="1125"/>
      <c r="AA594" s="1125"/>
      <c r="AF594" s="1119"/>
      <c r="AG594" s="1119"/>
      <c r="AH594" s="1119"/>
      <c r="AI594" s="1119"/>
      <c r="AJ594" s="1119"/>
      <c r="AK594" s="1119"/>
      <c r="AL594" s="1119"/>
      <c r="AM594" s="1119"/>
      <c r="AN594" s="1119"/>
      <c r="AO594" s="1119"/>
      <c r="AP594" s="1119"/>
      <c r="AR594" s="1124"/>
    </row>
    <row r="595" spans="1:44">
      <c r="A595" s="1" t="s">
        <v>371</v>
      </c>
      <c r="B595" s="1"/>
      <c r="C595" s="304">
        <f>SUM(C571:C572)</f>
        <v>0</v>
      </c>
      <c r="D595" s="315"/>
      <c r="E595" s="308"/>
      <c r="F595" s="2">
        <f>SUM(F562:F592)</f>
        <v>0</v>
      </c>
      <c r="G595" s="315"/>
      <c r="H595" s="308"/>
      <c r="I595" s="2">
        <f ca="1">SUM(I562:I594)</f>
        <v>0</v>
      </c>
      <c r="J595" s="2"/>
      <c r="K595" s="315"/>
      <c r="L595" s="308"/>
      <c r="M595" s="2" t="e">
        <f ca="1">SUM(M562:M594)</f>
        <v>#REF!</v>
      </c>
      <c r="N595" s="2"/>
      <c r="O595" s="315"/>
      <c r="P595" s="308"/>
      <c r="Q595" s="2" t="e">
        <f ca="1">SUM(Q562:Q594)</f>
        <v>#REF!</v>
      </c>
      <c r="R595" s="2"/>
      <c r="S595" s="315"/>
      <c r="T595" s="308"/>
      <c r="U595" s="2" t="e">
        <f ca="1">SUM(U562:U594)</f>
        <v>#REF!</v>
      </c>
      <c r="V595" s="20"/>
      <c r="W595" s="74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>
      <c r="A596" s="1" t="s">
        <v>353</v>
      </c>
      <c r="B596" s="1"/>
      <c r="C596" s="334">
        <v>0</v>
      </c>
      <c r="D596" s="294"/>
      <c r="E596" s="294"/>
      <c r="F596" s="295">
        <v>0</v>
      </c>
      <c r="G596" s="294"/>
      <c r="H596" s="294"/>
      <c r="I596" s="295">
        <v>0</v>
      </c>
      <c r="J596" s="51"/>
      <c r="K596" s="294"/>
      <c r="L596" s="294"/>
      <c r="M596" s="295">
        <v>0</v>
      </c>
      <c r="N596" s="51"/>
      <c r="O596" s="294"/>
      <c r="P596" s="294"/>
      <c r="Q596" s="295">
        <v>0</v>
      </c>
      <c r="R596" s="51"/>
      <c r="S596" s="294"/>
      <c r="T596" s="294"/>
      <c r="U596" s="295">
        <v>0</v>
      </c>
      <c r="V596" s="429"/>
      <c r="W596" s="272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Bot="1">
      <c r="A597" s="1" t="s">
        <v>372</v>
      </c>
      <c r="B597" s="1"/>
      <c r="C597" s="351">
        <f>SUM(C595:C596)</f>
        <v>0</v>
      </c>
      <c r="D597" s="327"/>
      <c r="E597" s="330"/>
      <c r="F597" s="329">
        <f>SUM(F595:F596)</f>
        <v>0</v>
      </c>
      <c r="G597" s="327"/>
      <c r="H597" s="330"/>
      <c r="I597" s="329">
        <f ca="1">SUM(I595:I596)</f>
        <v>0</v>
      </c>
      <c r="J597" s="307"/>
      <c r="K597" s="327"/>
      <c r="L597" s="330"/>
      <c r="M597" s="329" t="e">
        <f ca="1">SUM(M595:M596)</f>
        <v>#REF!</v>
      </c>
      <c r="N597" s="329"/>
      <c r="O597" s="327"/>
      <c r="P597" s="330"/>
      <c r="Q597" s="329" t="e">
        <f ca="1">SUM(Q595:Q596)</f>
        <v>#REF!</v>
      </c>
      <c r="R597" s="329"/>
      <c r="S597" s="327"/>
      <c r="T597" s="330"/>
      <c r="U597" s="329" t="e">
        <f ca="1">SUM(U595:U596)</f>
        <v>#REF!</v>
      </c>
      <c r="V597" s="396"/>
      <c r="W597" s="455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 ht="16.5" thickTop="1">
      <c r="A598" s="1"/>
      <c r="B598" s="352"/>
      <c r="C598" s="21"/>
      <c r="D598" s="322"/>
      <c r="E598" s="1"/>
      <c r="F598" s="2"/>
      <c r="G598" s="322"/>
      <c r="H598" s="1"/>
      <c r="I598" s="2"/>
      <c r="J598" s="2"/>
      <c r="K598" s="322"/>
      <c r="L598" s="1"/>
      <c r="M598" s="2"/>
      <c r="N598" s="2"/>
      <c r="O598" s="322"/>
      <c r="P598" s="1"/>
      <c r="Q598" s="2"/>
      <c r="R598" s="2"/>
      <c r="S598" s="322"/>
      <c r="T598" s="1"/>
      <c r="U598" s="2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78" t="s">
        <v>426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294" t="s">
        <v>427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W600" s="74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X601" s="74"/>
      <c r="Y601" s="74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383</v>
      </c>
      <c r="B602" s="1"/>
      <c r="C602" s="304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20"/>
      <c r="W602" s="74"/>
      <c r="X602" s="40" t="s">
        <v>246</v>
      </c>
      <c r="Y602" s="40"/>
      <c r="Z602" s="20"/>
      <c r="AA602" s="20"/>
      <c r="AB602" s="20"/>
      <c r="AC602" s="20"/>
      <c r="AD602" s="20"/>
      <c r="AE602" s="20"/>
      <c r="AF602" s="20"/>
      <c r="AH602" s="20"/>
      <c r="AI602" s="20"/>
      <c r="AJ602" s="20"/>
      <c r="AK602" s="20"/>
      <c r="AL602" s="20"/>
      <c r="AM602" s="20"/>
      <c r="AN602" s="20"/>
      <c r="AO602" s="20"/>
      <c r="AP602" s="20"/>
    </row>
    <row r="603" spans="1:44">
      <c r="A603" s="308" t="s">
        <v>411</v>
      </c>
      <c r="B603" s="1"/>
      <c r="C603" s="304">
        <f>C645+C683</f>
        <v>413.66666666666674</v>
      </c>
      <c r="D603" s="283">
        <f>'Rate Design Work eff 10-14-16'!D602</f>
        <v>259</v>
      </c>
      <c r="E603" s="308"/>
      <c r="F603" s="306">
        <f>F645+F683</f>
        <v>107139</v>
      </c>
      <c r="G603" s="286">
        <f ca="1">'Rate Design Work eff 10-14-16'!G602</f>
        <v>264</v>
      </c>
      <c r="H603" s="308"/>
      <c r="I603" s="306">
        <f ca="1">I645+I683</f>
        <v>109208</v>
      </c>
      <c r="J603" s="306"/>
      <c r="K603" s="286">
        <f ca="1">'Rate Design Work eff 10-14-16'!K602</f>
        <v>264</v>
      </c>
      <c r="L603" s="308"/>
      <c r="M603" s="306">
        <f ca="1">'Rate Design Work eff 10-14-16'!M602</f>
        <v>109208</v>
      </c>
      <c r="N603" s="306"/>
      <c r="O603" s="286" t="str">
        <f>'Rate Design Work eff 10-14-16'!O602</f>
        <v xml:space="preserve"> </v>
      </c>
      <c r="P603" s="308"/>
      <c r="Q603" s="306">
        <f>'Rate Design Work eff 10-14-16'!Q602</f>
        <v>0</v>
      </c>
      <c r="R603" s="2"/>
      <c r="S603" s="286" t="str">
        <f>'Rate Design Work eff 10-14-16'!S602</f>
        <v xml:space="preserve"> </v>
      </c>
      <c r="T603" s="1"/>
      <c r="U603" s="2">
        <f>'Rate Design Work eff 10-14-16'!U602</f>
        <v>0</v>
      </c>
      <c r="X603" s="55">
        <f ca="1">(G603-D603)/D603</f>
        <v>1.9305019305019305E-2</v>
      </c>
      <c r="Y603" s="55"/>
      <c r="AG603" s="53"/>
      <c r="AH603" s="53"/>
      <c r="AK603" s="20"/>
      <c r="AL603" s="20"/>
      <c r="AM603" s="20"/>
      <c r="AN603" s="20"/>
      <c r="AO603" s="20"/>
      <c r="AP603" s="20"/>
    </row>
    <row r="604" spans="1:44">
      <c r="A604" s="308" t="s">
        <v>412</v>
      </c>
      <c r="B604" s="1"/>
      <c r="C604" s="304">
        <f>C646+C684</f>
        <v>8716.2666666666191</v>
      </c>
      <c r="D604" s="283">
        <f>'Rate Design Work eff 10-14-16'!D603</f>
        <v>96</v>
      </c>
      <c r="E604" s="308"/>
      <c r="F604" s="306">
        <f>F646+F684</f>
        <v>836762</v>
      </c>
      <c r="G604" s="286">
        <f ca="1">'Rate Design Work eff 10-14-16'!G603</f>
        <v>98</v>
      </c>
      <c r="H604" s="308"/>
      <c r="I604" s="306">
        <f ca="1">I646+I684</f>
        <v>854194</v>
      </c>
      <c r="J604" s="306"/>
      <c r="K604" s="286">
        <f ca="1">'Rate Design Work eff 10-14-16'!K603</f>
        <v>98</v>
      </c>
      <c r="L604" s="308"/>
      <c r="M604" s="306">
        <f ca="1">'Rate Design Work eff 10-14-16'!M603</f>
        <v>854194</v>
      </c>
      <c r="N604" s="306"/>
      <c r="O604" s="286" t="str">
        <f>'Rate Design Work eff 10-14-16'!O603</f>
        <v xml:space="preserve"> </v>
      </c>
      <c r="P604" s="308"/>
      <c r="Q604" s="306">
        <f>'Rate Design Work eff 10-14-16'!Q603</f>
        <v>0</v>
      </c>
      <c r="R604" s="2"/>
      <c r="S604" s="286" t="str">
        <f>'Rate Design Work eff 10-14-16'!S603</f>
        <v xml:space="preserve"> </v>
      </c>
      <c r="T604" s="1"/>
      <c r="U604" s="2">
        <f>'Rate Design Work eff 10-14-16'!U603</f>
        <v>0</v>
      </c>
      <c r="X604" s="55">
        <f ca="1">(G604-D604)/D604</f>
        <v>2.0833333333333332E-2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413</v>
      </c>
      <c r="B605" s="1"/>
      <c r="C605" s="304">
        <f>C647+C685</f>
        <v>3900.3000000000029</v>
      </c>
      <c r="D605" s="283">
        <f>'Rate Design Work eff 10-14-16'!D604</f>
        <v>192</v>
      </c>
      <c r="E605" s="310"/>
      <c r="F605" s="306">
        <f>F647+F685</f>
        <v>748857</v>
      </c>
      <c r="G605" s="286">
        <f ca="1">'Rate Design Work eff 10-14-16'!G604</f>
        <v>195</v>
      </c>
      <c r="H605" s="310"/>
      <c r="I605" s="306">
        <f ca="1">I647+I685</f>
        <v>760559</v>
      </c>
      <c r="J605" s="306"/>
      <c r="K605" s="286">
        <f ca="1">'Rate Design Work eff 10-14-16'!K604</f>
        <v>195</v>
      </c>
      <c r="L605" s="310"/>
      <c r="M605" s="306">
        <f ca="1">'Rate Design Work eff 10-14-16'!M604</f>
        <v>760559</v>
      </c>
      <c r="N605" s="306"/>
      <c r="O605" s="286" t="str">
        <f>'Rate Design Work eff 10-14-16'!O604</f>
        <v xml:space="preserve"> </v>
      </c>
      <c r="P605" s="310"/>
      <c r="Q605" s="306">
        <f>'Rate Design Work eff 10-14-16'!Q604</f>
        <v>0</v>
      </c>
      <c r="R605" s="2"/>
      <c r="S605" s="286" t="str">
        <f>'Rate Design Work eff 10-14-16'!S604</f>
        <v xml:space="preserve"> </v>
      </c>
      <c r="T605" s="1"/>
      <c r="U605" s="2">
        <f>'Rate Design Work eff 10-14-16'!U604</f>
        <v>0</v>
      </c>
      <c r="X605" s="55">
        <f ca="1">(G605-D605)/D605</f>
        <v>1.5625E-2</v>
      </c>
      <c r="Y605" s="55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384</v>
      </c>
      <c r="B606" s="1"/>
      <c r="C606" s="304">
        <f>SUM(C603:C605)</f>
        <v>13030.233333333288</v>
      </c>
      <c r="D606" s="283"/>
      <c r="E606" s="308"/>
      <c r="F606" s="306"/>
      <c r="G606" s="286"/>
      <c r="H606" s="308"/>
      <c r="I606" s="306"/>
      <c r="J606" s="306"/>
      <c r="K606" s="286"/>
      <c r="L606" s="308"/>
      <c r="M606" s="306"/>
      <c r="N606" s="306"/>
      <c r="O606" s="286"/>
      <c r="P606" s="308"/>
      <c r="Q606" s="306"/>
      <c r="R606" s="306"/>
      <c r="S606" s="286"/>
      <c r="T606" s="308"/>
      <c r="U606" s="306"/>
      <c r="AA606" s="84"/>
      <c r="AB606" s="711"/>
      <c r="AC606" s="84"/>
      <c r="AD606" s="711"/>
      <c r="AE606" s="84"/>
      <c r="AF606" s="84"/>
      <c r="AG606" s="711"/>
      <c r="AH606" s="711"/>
      <c r="AJ606" s="222"/>
      <c r="AK606" s="20"/>
      <c r="AL606" s="20"/>
      <c r="AM606" s="20"/>
      <c r="AN606" s="20"/>
      <c r="AO606" s="20"/>
      <c r="AP606" s="20"/>
    </row>
    <row r="607" spans="1:44">
      <c r="A607" s="308" t="s">
        <v>412</v>
      </c>
      <c r="B607" s="1"/>
      <c r="C607" s="304">
        <f>C649+C687</f>
        <v>1499067</v>
      </c>
      <c r="D607" s="283">
        <f>'Rate Design Work eff 10-14-16'!D606</f>
        <v>1.76</v>
      </c>
      <c r="E607" s="308" t="s">
        <v>31</v>
      </c>
      <c r="F607" s="306">
        <f>F649+F687</f>
        <v>2638358</v>
      </c>
      <c r="G607" s="286">
        <f ca="1">'Rate Design Work eff 10-14-16'!G606</f>
        <v>1.79</v>
      </c>
      <c r="H607" s="308" t="s">
        <v>31</v>
      </c>
      <c r="I607" s="306">
        <f ca="1">I649+I687</f>
        <v>2683330</v>
      </c>
      <c r="J607" s="306"/>
      <c r="K607" s="286">
        <f ca="1">'Rate Design Work eff 10-14-16'!K606</f>
        <v>1.79</v>
      </c>
      <c r="L607" s="308" t="s">
        <v>31</v>
      </c>
      <c r="M607" s="306">
        <f ca="1">'Rate Design Work eff 10-14-16'!M606</f>
        <v>2683330</v>
      </c>
      <c r="N607" s="306"/>
      <c r="O607" s="286" t="str">
        <f>'Rate Design Work eff 10-14-16'!O606</f>
        <v xml:space="preserve"> </v>
      </c>
      <c r="P607" s="308" t="s">
        <v>31</v>
      </c>
      <c r="Q607" s="306">
        <f>'Rate Design Work eff 10-14-16'!Q606</f>
        <v>0</v>
      </c>
      <c r="R607" s="2"/>
      <c r="S607" s="286" t="str">
        <f>'Rate Design Work eff 10-14-16'!S606</f>
        <v xml:space="preserve"> </v>
      </c>
      <c r="T607" s="1"/>
      <c r="U607" s="2">
        <f>'Rate Design Work eff 10-14-16'!U606</f>
        <v>0</v>
      </c>
      <c r="W607" s="88" t="s">
        <v>31</v>
      </c>
      <c r="X607" s="55">
        <f ca="1">(G607-D607)/D607</f>
        <v>1.7045454545454562E-2</v>
      </c>
      <c r="Y607" s="55"/>
      <c r="AA607" s="84"/>
      <c r="AB607" s="712"/>
      <c r="AC607" s="84"/>
      <c r="AD607" s="712"/>
      <c r="AE607" s="84"/>
      <c r="AF607" s="84"/>
      <c r="AG607" s="712"/>
      <c r="AH607" s="712"/>
      <c r="AJ607" s="20"/>
      <c r="AK607" s="20"/>
      <c r="AL607" s="20"/>
      <c r="AM607" s="20"/>
      <c r="AN607" s="20"/>
      <c r="AO607" s="20"/>
      <c r="AP607" s="20"/>
    </row>
    <row r="608" spans="1:44">
      <c r="A608" s="308" t="s">
        <v>413</v>
      </c>
      <c r="B608" s="1"/>
      <c r="C608" s="304">
        <f>C650+C688</f>
        <v>1976046</v>
      </c>
      <c r="D608" s="283">
        <f>'Rate Design Work eff 10-14-16'!D607</f>
        <v>1.44</v>
      </c>
      <c r="E608" s="308" t="s">
        <v>31</v>
      </c>
      <c r="F608" s="306">
        <f>F650+F688</f>
        <v>2845506</v>
      </c>
      <c r="G608" s="286">
        <f ca="1">'Rate Design Work eff 10-14-16'!G607</f>
        <v>1.46</v>
      </c>
      <c r="H608" s="308" t="s">
        <v>31</v>
      </c>
      <c r="I608" s="306">
        <f ca="1">I650+I688</f>
        <v>2885027</v>
      </c>
      <c r="J608" s="306"/>
      <c r="K608" s="286">
        <f ca="1">'Rate Design Work eff 10-14-16'!K607</f>
        <v>1.46</v>
      </c>
      <c r="L608" s="308" t="s">
        <v>31</v>
      </c>
      <c r="M608" s="306">
        <f ca="1">'Rate Design Work eff 10-14-16'!M607</f>
        <v>2885027</v>
      </c>
      <c r="N608" s="306"/>
      <c r="O608" s="286" t="str">
        <f>'Rate Design Work eff 10-14-16'!O607</f>
        <v xml:space="preserve"> </v>
      </c>
      <c r="P608" s="308" t="s">
        <v>31</v>
      </c>
      <c r="Q608" s="306">
        <f>'Rate Design Work eff 10-14-16'!Q607</f>
        <v>0</v>
      </c>
      <c r="R608" s="2"/>
      <c r="S608" s="286" t="str">
        <f>'Rate Design Work eff 10-14-16'!S607</f>
        <v xml:space="preserve"> </v>
      </c>
      <c r="T608" s="1"/>
      <c r="U608" s="2">
        <f>'Rate Design Work eff 10-14-16'!U607</f>
        <v>0</v>
      </c>
      <c r="X608" s="55">
        <f ca="1">(G608-D608)/D608</f>
        <v>1.3888888888888902E-2</v>
      </c>
      <c r="Y608" s="55"/>
      <c r="AA608" s="84"/>
      <c r="AB608" s="84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414</v>
      </c>
      <c r="B609" s="1"/>
      <c r="C609" s="304"/>
      <c r="D609" s="340"/>
      <c r="E609" s="308"/>
      <c r="F609" s="306"/>
      <c r="G609" s="289"/>
      <c r="H609" s="308"/>
      <c r="I609" s="306"/>
      <c r="J609" s="306"/>
      <c r="K609" s="289"/>
      <c r="L609" s="308"/>
      <c r="M609" s="306"/>
      <c r="N609" s="306"/>
      <c r="O609" s="289"/>
      <c r="P609" s="308"/>
      <c r="Q609" s="306"/>
      <c r="R609" s="306"/>
      <c r="S609" s="289"/>
      <c r="T609" s="308"/>
      <c r="U609" s="306"/>
      <c r="Z609" s="69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415</v>
      </c>
      <c r="B610" s="1"/>
      <c r="C610" s="304">
        <f>C652+C690</f>
        <v>2642724.5</v>
      </c>
      <c r="D610" s="283">
        <f>'Rate Design Work eff 10-14-16'!D609</f>
        <v>5.37</v>
      </c>
      <c r="E610" s="308"/>
      <c r="F610" s="306">
        <f>F652+F690</f>
        <v>14191431</v>
      </c>
      <c r="G610" s="286">
        <f ca="1">'Rate Design Work eff 10-14-16'!G609</f>
        <v>5.47</v>
      </c>
      <c r="H610" s="308"/>
      <c r="I610" s="306">
        <f ca="1">I652+I690</f>
        <v>14455703</v>
      </c>
      <c r="J610" s="306"/>
      <c r="K610" s="286" t="e">
        <f ca="1">'Rate Design Work eff 10-14-16'!K609</f>
        <v>#REF!</v>
      </c>
      <c r="L610" s="308"/>
      <c r="M610" s="306" t="e">
        <f ca="1">'Rate Design Work eff 10-14-16'!M609</f>
        <v>#REF!</v>
      </c>
      <c r="N610" s="306"/>
      <c r="O610" s="286">
        <f>'Rate Design Work eff 10-14-16'!O609</f>
        <v>0</v>
      </c>
      <c r="P610" s="308"/>
      <c r="Q610" s="306" t="e">
        <f ca="1">'Rate Design Work eff 10-14-16'!Q609</f>
        <v>#REF!</v>
      </c>
      <c r="R610" s="306"/>
      <c r="S610" s="286">
        <f>'Rate Design Work eff 10-14-16'!S609</f>
        <v>0</v>
      </c>
      <c r="T610" s="308"/>
      <c r="U610" s="2" t="e">
        <f ca="1">'Rate Design Work eff 10-14-16'!U609</f>
        <v>#REF!</v>
      </c>
      <c r="X610" s="55">
        <f ca="1">(G610-D610)/D610</f>
        <v>1.8621973929236431E-2</v>
      </c>
      <c r="Y610" s="55"/>
      <c r="Z610" s="69"/>
      <c r="AJ610" s="20"/>
      <c r="AK610" s="20"/>
      <c r="AL610" s="20"/>
      <c r="AM610" s="20"/>
      <c r="AN610" s="20"/>
      <c r="AO610" s="20"/>
      <c r="AP610" s="20"/>
    </row>
    <row r="611" spans="1:44">
      <c r="A611" s="294" t="s">
        <v>431</v>
      </c>
      <c r="B611" s="1"/>
      <c r="C611" s="304">
        <f>C653+C691</f>
        <v>3580.1666666666692</v>
      </c>
      <c r="D611" s="354">
        <f>'Rate Design Work eff 10-14-16'!D610</f>
        <v>5.37</v>
      </c>
      <c r="E611" s="308"/>
      <c r="F611" s="306">
        <f>F653+F691</f>
        <v>19226</v>
      </c>
      <c r="G611" s="774">
        <f ca="1">G610</f>
        <v>5.47</v>
      </c>
      <c r="H611" s="308"/>
      <c r="I611" s="306">
        <f ca="1">I653+I691</f>
        <v>19584</v>
      </c>
      <c r="J611" s="306"/>
      <c r="K611" s="774" t="e">
        <f ca="1">K610</f>
        <v>#REF!</v>
      </c>
      <c r="L611" s="308"/>
      <c r="M611" s="306" t="e">
        <f ca="1">'Rate Design Work eff 10-14-16'!M610</f>
        <v>#REF!</v>
      </c>
      <c r="N611" s="306"/>
      <c r="O611" s="774">
        <f>O610</f>
        <v>0</v>
      </c>
      <c r="P611" s="308"/>
      <c r="Q611" s="306">
        <f>'Rate Design Work eff 10-14-16'!Q610</f>
        <v>0</v>
      </c>
      <c r="R611" s="306"/>
      <c r="S611" s="774">
        <f>S610</f>
        <v>0</v>
      </c>
      <c r="T611" s="308"/>
      <c r="U611" s="2">
        <f>'Rate Design Work eff 10-14-16'!U610</f>
        <v>0</v>
      </c>
      <c r="X611" s="55">
        <f ca="1">(G611-D611)/D611</f>
        <v>1.8621973929236431E-2</v>
      </c>
      <c r="Y611" s="55"/>
      <c r="Z611" s="69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416</v>
      </c>
      <c r="B612" s="1"/>
      <c r="C612" s="304"/>
      <c r="D612" s="283"/>
      <c r="E612" s="308"/>
      <c r="F612" s="306"/>
      <c r="G612" s="286"/>
      <c r="H612" s="308"/>
      <c r="I612" s="306"/>
      <c r="J612" s="306"/>
      <c r="K612" s="286"/>
      <c r="L612" s="308"/>
      <c r="M612" s="306"/>
      <c r="N612" s="306"/>
      <c r="O612" s="286"/>
      <c r="P612" s="308"/>
      <c r="Q612" s="306"/>
      <c r="R612" s="306"/>
      <c r="S612" s="286"/>
      <c r="T612" s="308"/>
      <c r="U612" s="306"/>
      <c r="Z612" s="88" t="s">
        <v>31</v>
      </c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417</v>
      </c>
      <c r="B613" s="304"/>
      <c r="C613" s="304">
        <f>C655+C693</f>
        <v>406603312.8503738</v>
      </c>
      <c r="D613" s="312">
        <f>'Rate Design Work eff 10-14-16'!D612</f>
        <v>5.6790000000000003</v>
      </c>
      <c r="E613" s="308" t="s">
        <v>364</v>
      </c>
      <c r="F613" s="306">
        <f>F655+F693</f>
        <v>23091003</v>
      </c>
      <c r="G613" s="775">
        <f ca="1">'Rate Design Work eff 10-14-16'!G612</f>
        <v>5.7730000000000006</v>
      </c>
      <c r="H613" s="308" t="s">
        <v>364</v>
      </c>
      <c r="I613" s="306">
        <f ca="1">I655+I693</f>
        <v>23473210</v>
      </c>
      <c r="J613" s="306"/>
      <c r="K613" s="775" t="str">
        <f>'Rate Design Work eff 10-14-16'!K612</f>
        <v xml:space="preserve"> </v>
      </c>
      <c r="L613" s="308" t="s">
        <v>31</v>
      </c>
      <c r="M613" s="306">
        <f>'Rate Design Work eff 10-14-16'!M612</f>
        <v>0</v>
      </c>
      <c r="N613" s="306"/>
      <c r="O613" s="775" t="e">
        <f ca="1">'Rate Design Work eff 10-14-16'!O612</f>
        <v>#REF!</v>
      </c>
      <c r="P613" s="308" t="s">
        <v>364</v>
      </c>
      <c r="Q613" s="306" t="e">
        <f ca="1">'Rate Design Work eff 10-14-16'!Q612</f>
        <v>#REF!</v>
      </c>
      <c r="R613" s="306"/>
      <c r="S613" s="775" t="e">
        <f ca="1">'Rate Design Work eff 10-14-16'!S612</f>
        <v>#REF!</v>
      </c>
      <c r="T613" s="308" t="s">
        <v>364</v>
      </c>
      <c r="U613" s="2" t="e">
        <f ca="1">'Rate Design Work eff 10-14-16'!U612</f>
        <v>#REF!</v>
      </c>
      <c r="X613" s="55">
        <f ca="1">((G613+G616)-D613)/D613</f>
        <v>1.6552209896108522E-2</v>
      </c>
      <c r="Y613" s="55"/>
      <c r="Z613" s="69"/>
      <c r="AJ613" s="20"/>
      <c r="AK613" s="20"/>
      <c r="AL613" s="20"/>
      <c r="AM613" s="20"/>
      <c r="AN613" s="20"/>
      <c r="AO613" s="20"/>
      <c r="AP613" s="20"/>
    </row>
    <row r="614" spans="1:44">
      <c r="A614" s="308" t="s">
        <v>389</v>
      </c>
      <c r="B614" s="304"/>
      <c r="C614" s="304">
        <f>C656+C694</f>
        <v>515912822.9645322</v>
      </c>
      <c r="D614" s="312">
        <f>'Rate Design Work eff 10-14-16'!D613</f>
        <v>5.2</v>
      </c>
      <c r="E614" s="308" t="s">
        <v>364</v>
      </c>
      <c r="F614" s="306">
        <f>F656+F694</f>
        <v>26827467</v>
      </c>
      <c r="G614" s="775">
        <f ca="1">'Rate Design Work eff 10-14-16'!G613</f>
        <v>5.2879999999999994</v>
      </c>
      <c r="H614" s="308" t="s">
        <v>364</v>
      </c>
      <c r="I614" s="306">
        <f ca="1">I656+I694</f>
        <v>27281470</v>
      </c>
      <c r="J614" s="306"/>
      <c r="K614" s="775" t="str">
        <f>'Rate Design Work eff 10-14-16'!K613</f>
        <v xml:space="preserve"> </v>
      </c>
      <c r="L614" s="308" t="s">
        <v>31</v>
      </c>
      <c r="M614" s="306">
        <f>'Rate Design Work eff 10-14-16'!M613</f>
        <v>0</v>
      </c>
      <c r="N614" s="306"/>
      <c r="O614" s="775" t="e">
        <f ca="1">'Rate Design Work eff 10-14-16'!O613</f>
        <v>#REF!</v>
      </c>
      <c r="P614" s="308" t="s">
        <v>364</v>
      </c>
      <c r="Q614" s="306" t="e">
        <f ca="1">'Rate Design Work eff 10-14-16'!Q613</f>
        <v>#REF!</v>
      </c>
      <c r="R614" s="306"/>
      <c r="S614" s="775" t="e">
        <f ca="1">'Rate Design Work eff 10-14-16'!S613</f>
        <v>#REF!</v>
      </c>
      <c r="T614" s="308" t="s">
        <v>364</v>
      </c>
      <c r="U614" s="2" t="e">
        <f ca="1">'Rate Design Work eff 10-14-16'!U613</f>
        <v>#REF!</v>
      </c>
      <c r="X614" s="55">
        <f ca="1">((G614+G617)-D614)/D614</f>
        <v>1.6923076923076767E-2</v>
      </c>
      <c r="Y614" s="55"/>
      <c r="Z614" s="69"/>
      <c r="AK614" s="20"/>
      <c r="AL614" s="20"/>
      <c r="AM614" s="20"/>
      <c r="AN614" s="20"/>
      <c r="AO614" s="20"/>
      <c r="AP614" s="20"/>
    </row>
    <row r="615" spans="1:44">
      <c r="A615" s="308" t="s">
        <v>390</v>
      </c>
      <c r="B615" s="1"/>
      <c r="C615" s="304">
        <f>C657+C695</f>
        <v>494491.933333333</v>
      </c>
      <c r="D615" s="589">
        <f>'Rate Design Work eff 10-14-16'!D614</f>
        <v>56</v>
      </c>
      <c r="E615" s="308" t="s">
        <v>364</v>
      </c>
      <c r="F615" s="306">
        <f>F657+F695</f>
        <v>276915</v>
      </c>
      <c r="G615" s="589">
        <f ca="1">'Rate Design Work eff 10-14-16'!G614</f>
        <v>57</v>
      </c>
      <c r="H615" s="308" t="s">
        <v>364</v>
      </c>
      <c r="I615" s="306">
        <f ca="1">I657+I695</f>
        <v>281861</v>
      </c>
      <c r="J615" s="306"/>
      <c r="K615" s="589" t="str">
        <f>'Rate Design Work eff 10-14-16'!K614</f>
        <v xml:space="preserve"> </v>
      </c>
      <c r="L615" s="308" t="s">
        <v>31</v>
      </c>
      <c r="M615" s="306">
        <f>'Rate Design Work eff 10-14-16'!M614</f>
        <v>0</v>
      </c>
      <c r="N615" s="306"/>
      <c r="O615" s="589" t="e">
        <f ca="1">'Rate Design Work eff 10-14-16'!O614</f>
        <v>#DIV/0!</v>
      </c>
      <c r="P615" s="308" t="s">
        <v>364</v>
      </c>
      <c r="Q615" s="306" t="e">
        <f ca="1">'Rate Design Work eff 10-14-16'!Q614</f>
        <v>#DIV/0!</v>
      </c>
      <c r="R615" s="306"/>
      <c r="S615" s="589" t="e">
        <f ca="1">'Rate Design Work eff 10-14-16'!S614</f>
        <v>#DIV/0!</v>
      </c>
      <c r="T615" s="308" t="s">
        <v>364</v>
      </c>
      <c r="U615" s="2" t="e">
        <f ca="1">'Rate Design Work eff 10-14-16'!U614</f>
        <v>#DIV/0!</v>
      </c>
      <c r="X615" s="55">
        <f ca="1">(G615-D615)/D615</f>
        <v>1.7857142857142856E-2</v>
      </c>
      <c r="Y615" s="55"/>
      <c r="Z615" s="69"/>
      <c r="AK615" s="20"/>
      <c r="AL615" s="20"/>
      <c r="AM615" s="20"/>
      <c r="AN615" s="20"/>
      <c r="AO615" s="20"/>
      <c r="AP615" s="20"/>
    </row>
    <row r="616" spans="1:44" s="1118" customFormat="1" hidden="1">
      <c r="A616" s="968" t="s">
        <v>882</v>
      </c>
      <c r="C616" s="987">
        <f>C613</f>
        <v>406603312.8503738</v>
      </c>
      <c r="D616" s="254">
        <f>'Rate Design Work eff 10-14-16'!D615</f>
        <v>0</v>
      </c>
      <c r="E616" s="1119"/>
      <c r="F616" s="1123"/>
      <c r="G616" s="775">
        <f>'Rate Design Work eff 10-14-16'!G615</f>
        <v>0</v>
      </c>
      <c r="H616" s="1000" t="s">
        <v>364</v>
      </c>
      <c r="I616" s="1000">
        <f>I658+I696</f>
        <v>0</v>
      </c>
      <c r="J616" s="1000"/>
      <c r="K616" s="775" t="str">
        <f>'Rate Design Work eff 10-14-16'!K615</f>
        <v xml:space="preserve"> </v>
      </c>
      <c r="L616" s="1000" t="s">
        <v>31</v>
      </c>
      <c r="M616" s="306">
        <f>'Rate Design Work eff 10-14-16'!M615</f>
        <v>0</v>
      </c>
      <c r="N616" s="1000"/>
      <c r="O616" s="775" t="str">
        <f>'Rate Design Work eff 10-14-16'!O615</f>
        <v xml:space="preserve"> </v>
      </c>
      <c r="P616" s="1000" t="s">
        <v>31</v>
      </c>
      <c r="Q616" s="306">
        <f>'Rate Design Work eff 10-14-16'!Q615</f>
        <v>0</v>
      </c>
      <c r="R616" s="1000"/>
      <c r="S616" s="775">
        <f>'Rate Design Work eff 10-14-16'!S615</f>
        <v>0</v>
      </c>
      <c r="T616" s="1000" t="s">
        <v>364</v>
      </c>
      <c r="U616" s="2">
        <f>'Rate Design Work eff 10-14-16'!U615</f>
        <v>0</v>
      </c>
      <c r="V616" s="1124"/>
      <c r="W616" s="784"/>
      <c r="Z616" s="1125"/>
      <c r="AA616" s="1125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968" t="s">
        <v>883</v>
      </c>
      <c r="C617" s="987">
        <f>C614</f>
        <v>515912822.9645322</v>
      </c>
      <c r="D617" s="254">
        <f>'Rate Design Work eff 10-14-16'!D616</f>
        <v>0</v>
      </c>
      <c r="E617" s="1119"/>
      <c r="F617" s="1123"/>
      <c r="G617" s="775">
        <f>'Rate Design Work eff 10-14-16'!G616</f>
        <v>0</v>
      </c>
      <c r="H617" s="1000" t="s">
        <v>364</v>
      </c>
      <c r="I617" s="1000">
        <f>I659+I697</f>
        <v>0</v>
      </c>
      <c r="J617" s="1000"/>
      <c r="K617" s="775" t="str">
        <f>'Rate Design Work eff 10-14-16'!K616</f>
        <v xml:space="preserve"> </v>
      </c>
      <c r="L617" s="1000" t="s">
        <v>31</v>
      </c>
      <c r="M617" s="306">
        <f>'Rate Design Work eff 10-14-16'!M616</f>
        <v>0</v>
      </c>
      <c r="N617" s="1000"/>
      <c r="O617" s="775" t="str">
        <f>'Rate Design Work eff 10-14-16'!O616</f>
        <v xml:space="preserve"> </v>
      </c>
      <c r="P617" s="1000" t="s">
        <v>31</v>
      </c>
      <c r="Q617" s="306">
        <f>'Rate Design Work eff 10-14-16'!Q616</f>
        <v>0</v>
      </c>
      <c r="R617" s="1000"/>
      <c r="S617" s="775">
        <f>'Rate Design Work eff 10-14-16'!S616</f>
        <v>0</v>
      </c>
      <c r="T617" s="1000" t="s">
        <v>364</v>
      </c>
      <c r="U617" s="2">
        <f>'Rate Design Work eff 10-14-16'!U616</f>
        <v>0</v>
      </c>
      <c r="V617" s="968" t="s">
        <v>31</v>
      </c>
      <c r="W617" s="784"/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870</v>
      </c>
      <c r="B618" s="1256"/>
      <c r="C618" s="1262"/>
      <c r="D618" s="1265">
        <f>'Rate Design Work eff 10-14-16'!D617</f>
        <v>5.6790000000000003</v>
      </c>
      <c r="E618" s="1263" t="s">
        <v>364</v>
      </c>
      <c r="F618" s="1259"/>
      <c r="G618" s="1265">
        <f ca="1">G613+G616</f>
        <v>5.7730000000000006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968"/>
      <c r="W618" s="784"/>
      <c r="X618" s="55">
        <f ca="1">(G618-D618)/D618</f>
        <v>1.6552209896108522E-2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 s="1118" customFormat="1" hidden="1">
      <c r="A619" s="1255" t="s">
        <v>871</v>
      </c>
      <c r="B619" s="1256"/>
      <c r="C619" s="1262"/>
      <c r="D619" s="1265">
        <f>'Rate Design Work eff 10-14-16'!D618</f>
        <v>5.2</v>
      </c>
      <c r="E619" s="1263" t="s">
        <v>364</v>
      </c>
      <c r="F619" s="1259"/>
      <c r="G619" s="1265">
        <f ca="1">G614+G617</f>
        <v>5.2879999999999994</v>
      </c>
      <c r="H619" s="1263" t="s">
        <v>364</v>
      </c>
      <c r="I619" s="1266"/>
      <c r="J619" s="1266"/>
      <c r="K619" s="1265">
        <f>K614+K617</f>
        <v>0</v>
      </c>
      <c r="L619" s="1263" t="s">
        <v>31</v>
      </c>
      <c r="M619" s="1266"/>
      <c r="N619" s="1266"/>
      <c r="O619" s="1265" t="e">
        <f ca="1">O614+O617</f>
        <v>#REF!</v>
      </c>
      <c r="P619" s="1263" t="s">
        <v>364</v>
      </c>
      <c r="Q619" s="1266"/>
      <c r="R619" s="1266"/>
      <c r="S619" s="1265" t="e">
        <f ca="1">S614+S617</f>
        <v>#REF!</v>
      </c>
      <c r="T619" s="1263" t="s">
        <v>364</v>
      </c>
      <c r="U619" s="1266"/>
      <c r="V619" s="968"/>
      <c r="W619" s="784"/>
      <c r="X619" s="55">
        <f ca="1">(G619-D619)/D619</f>
        <v>1.6923076923076767E-2</v>
      </c>
      <c r="Z619" s="1125"/>
      <c r="AA619" s="1125"/>
      <c r="AF619" s="1119"/>
      <c r="AG619" s="1119"/>
      <c r="AH619" s="1119"/>
      <c r="AI619" s="1119"/>
      <c r="AJ619" s="1119"/>
      <c r="AK619" s="1119"/>
      <c r="AL619" s="1119"/>
      <c r="AM619" s="1119"/>
      <c r="AN619" s="1119"/>
      <c r="AO619" s="1119"/>
      <c r="AP619" s="1119"/>
      <c r="AR619" s="1124"/>
    </row>
    <row r="620" spans="1:44">
      <c r="A620" s="345" t="s">
        <v>391</v>
      </c>
      <c r="B620" s="1"/>
      <c r="C620" s="304"/>
      <c r="D620" s="317">
        <f>'Rate Design Work eff 10-14-16'!D619</f>
        <v>-0.01</v>
      </c>
      <c r="E620" s="1"/>
      <c r="F620" s="306"/>
      <c r="G620" s="776">
        <v>-0.01</v>
      </c>
      <c r="H620" s="1"/>
      <c r="I620" s="306"/>
      <c r="J620" s="306"/>
      <c r="K620" s="776">
        <v>-0.01</v>
      </c>
      <c r="L620" s="1"/>
      <c r="M620" s="306"/>
      <c r="N620" s="306"/>
      <c r="O620" s="776">
        <v>-0.01</v>
      </c>
      <c r="P620" s="1"/>
      <c r="Q620" s="306"/>
      <c r="R620" s="306"/>
      <c r="S620" s="776">
        <v>-0.01</v>
      </c>
      <c r="T620" s="1"/>
      <c r="U620" s="306"/>
      <c r="AK620" s="20"/>
      <c r="AL620" s="20"/>
      <c r="AM620" s="20"/>
      <c r="AN620" s="20"/>
      <c r="AO620" s="20"/>
      <c r="AP620" s="20"/>
    </row>
    <row r="621" spans="1:44">
      <c r="A621" s="308" t="s">
        <v>411</v>
      </c>
      <c r="B621" s="1"/>
      <c r="C621" s="304">
        <f t="shared" ref="C621:C632" si="127">C661+C699</f>
        <v>7</v>
      </c>
      <c r="D621" s="289">
        <f>'Rate Design Work eff 10-14-16'!D620</f>
        <v>259</v>
      </c>
      <c r="E621" s="278"/>
      <c r="F621" s="306">
        <f t="shared" ref="F621:F632" si="128">F661+F699</f>
        <v>-18</v>
      </c>
      <c r="G621" s="289">
        <f ca="1">G603</f>
        <v>264</v>
      </c>
      <c r="H621" s="278"/>
      <c r="I621" s="306">
        <f t="shared" ref="I621:I635" ca="1" si="129">I661+I699</f>
        <v>-18</v>
      </c>
      <c r="J621" s="306"/>
      <c r="K621" s="289">
        <f ca="1">K603</f>
        <v>264</v>
      </c>
      <c r="L621" s="278"/>
      <c r="M621" s="306">
        <f ca="1">'Rate Design Work eff 10-14-16'!M620</f>
        <v>-18</v>
      </c>
      <c r="N621" s="306"/>
      <c r="O621" s="289" t="str">
        <f>O603</f>
        <v xml:space="preserve"> </v>
      </c>
      <c r="P621" s="278"/>
      <c r="Q621" s="306">
        <f>'Rate Design Work eff 10-14-16'!Q620</f>
        <v>0</v>
      </c>
      <c r="R621" s="306"/>
      <c r="S621" s="289" t="str">
        <f>S603</f>
        <v xml:space="preserve"> </v>
      </c>
      <c r="T621" s="278"/>
      <c r="U621" s="2">
        <f>'Rate Design Work eff 10-14-16'!U620</f>
        <v>0</v>
      </c>
      <c r="W621" s="88" t="s">
        <v>31</v>
      </c>
      <c r="AK621" s="20"/>
      <c r="AL621" s="20"/>
      <c r="AM621" s="20"/>
      <c r="AN621" s="20"/>
      <c r="AO621" s="20"/>
      <c r="AP621" s="20"/>
    </row>
    <row r="622" spans="1:44">
      <c r="A622" s="308" t="s">
        <v>412</v>
      </c>
      <c r="B622" s="1"/>
      <c r="C622" s="304">
        <f t="shared" si="127"/>
        <v>57.099999999999966</v>
      </c>
      <c r="D622" s="289">
        <f>'Rate Design Work eff 10-14-16'!D621</f>
        <v>96</v>
      </c>
      <c r="E622" s="278"/>
      <c r="F622" s="306">
        <f t="shared" si="128"/>
        <v>-55</v>
      </c>
      <c r="G622" s="289">
        <f ca="1">G604</f>
        <v>98</v>
      </c>
      <c r="H622" s="278"/>
      <c r="I622" s="306">
        <f t="shared" ca="1" si="129"/>
        <v>-56</v>
      </c>
      <c r="J622" s="306"/>
      <c r="K622" s="289">
        <f ca="1">K604</f>
        <v>98</v>
      </c>
      <c r="L622" s="278"/>
      <c r="M622" s="306">
        <f ca="1">'Rate Design Work eff 10-14-16'!M621</f>
        <v>-56</v>
      </c>
      <c r="N622" s="306"/>
      <c r="O622" s="289" t="str">
        <f>O604</f>
        <v xml:space="preserve"> </v>
      </c>
      <c r="P622" s="278"/>
      <c r="Q622" s="306">
        <f>'Rate Design Work eff 10-14-16'!Q621</f>
        <v>0</v>
      </c>
      <c r="R622" s="306"/>
      <c r="S622" s="289" t="str">
        <f>S604</f>
        <v xml:space="preserve"> </v>
      </c>
      <c r="T622" s="278"/>
      <c r="U622" s="2">
        <f>'Rate Design Work eff 10-14-16'!U621</f>
        <v>0</v>
      </c>
      <c r="W622" s="356"/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413</v>
      </c>
      <c r="B623" s="1"/>
      <c r="C623" s="304">
        <f t="shared" si="127"/>
        <v>71.866666666666703</v>
      </c>
      <c r="D623" s="289">
        <f>'Rate Design Work eff 10-14-16'!D622</f>
        <v>192</v>
      </c>
      <c r="E623" s="358"/>
      <c r="F623" s="306">
        <f t="shared" si="128"/>
        <v>-138</v>
      </c>
      <c r="G623" s="289">
        <f ca="1">G605</f>
        <v>195</v>
      </c>
      <c r="H623" s="358"/>
      <c r="I623" s="306">
        <f t="shared" ca="1" si="129"/>
        <v>-140</v>
      </c>
      <c r="J623" s="306"/>
      <c r="K623" s="289">
        <f ca="1">K605</f>
        <v>195</v>
      </c>
      <c r="L623" s="358"/>
      <c r="M623" s="306">
        <f ca="1">'Rate Design Work eff 10-14-16'!M622</f>
        <v>-140</v>
      </c>
      <c r="N623" s="306"/>
      <c r="O623" s="289" t="str">
        <f>O605</f>
        <v xml:space="preserve"> </v>
      </c>
      <c r="P623" s="358"/>
      <c r="Q623" s="306">
        <f>'Rate Design Work eff 10-14-16'!Q622</f>
        <v>0</v>
      </c>
      <c r="R623" s="306"/>
      <c r="S623" s="289" t="str">
        <f>S605</f>
        <v xml:space="preserve"> </v>
      </c>
      <c r="T623" s="358"/>
      <c r="U623" s="2">
        <f>'Rate Design Work eff 10-14-16'!U622</f>
        <v>0</v>
      </c>
      <c r="W623" s="1271" t="s">
        <v>31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412</v>
      </c>
      <c r="B624" s="1"/>
      <c r="C624" s="304">
        <f t="shared" si="127"/>
        <v>8475</v>
      </c>
      <c r="D624" s="289">
        <f>'Rate Design Work eff 10-14-16'!D623</f>
        <v>1.76</v>
      </c>
      <c r="E624" s="278"/>
      <c r="F624" s="306">
        <f t="shared" si="128"/>
        <v>-149</v>
      </c>
      <c r="G624" s="289">
        <f ca="1">G607</f>
        <v>1.79</v>
      </c>
      <c r="H624" s="278"/>
      <c r="I624" s="306">
        <f t="shared" ca="1" si="129"/>
        <v>-151</v>
      </c>
      <c r="J624" s="306"/>
      <c r="K624" s="289">
        <f ca="1">K607</f>
        <v>1.79</v>
      </c>
      <c r="L624" s="278"/>
      <c r="M624" s="306">
        <f ca="1">'Rate Design Work eff 10-14-16'!M623</f>
        <v>-151</v>
      </c>
      <c r="N624" s="306"/>
      <c r="O624" s="289" t="str">
        <f>O607</f>
        <v xml:space="preserve"> </v>
      </c>
      <c r="P624" s="278"/>
      <c r="Q624" s="306">
        <f>'Rate Design Work eff 10-14-16'!Q623</f>
        <v>0</v>
      </c>
      <c r="R624" s="306"/>
      <c r="S624" s="289" t="str">
        <f>S607</f>
        <v xml:space="preserve"> </v>
      </c>
      <c r="T624" s="278"/>
      <c r="U624" s="2">
        <f>'Rate Design Work eff 10-14-16'!U623</f>
        <v>0</v>
      </c>
      <c r="AJ624" s="20"/>
      <c r="AK624" s="20"/>
      <c r="AL624" s="20"/>
      <c r="AM624" s="20"/>
      <c r="AN624" s="20"/>
      <c r="AO624" s="20"/>
      <c r="AP624" s="20"/>
    </row>
    <row r="625" spans="1:44">
      <c r="A625" s="308" t="s">
        <v>413</v>
      </c>
      <c r="B625" s="1"/>
      <c r="C625" s="304">
        <f t="shared" si="127"/>
        <v>44991</v>
      </c>
      <c r="D625" s="289">
        <f>'Rate Design Work eff 10-14-16'!D624</f>
        <v>1.44</v>
      </c>
      <c r="E625" s="278"/>
      <c r="F625" s="306">
        <f t="shared" si="128"/>
        <v>-648</v>
      </c>
      <c r="G625" s="289">
        <f ca="1">G608</f>
        <v>1.46</v>
      </c>
      <c r="H625" s="278"/>
      <c r="I625" s="306">
        <f t="shared" ca="1" si="129"/>
        <v>-657</v>
      </c>
      <c r="J625" s="306"/>
      <c r="K625" s="289">
        <f ca="1">K608</f>
        <v>1.46</v>
      </c>
      <c r="L625" s="278"/>
      <c r="M625" s="306">
        <f ca="1">'Rate Design Work eff 10-14-16'!M624</f>
        <v>-657</v>
      </c>
      <c r="N625" s="306"/>
      <c r="O625" s="289" t="str">
        <f>O608</f>
        <v xml:space="preserve"> </v>
      </c>
      <c r="P625" s="278"/>
      <c r="Q625" s="306">
        <f>'Rate Design Work eff 10-14-16'!Q624</f>
        <v>0</v>
      </c>
      <c r="R625" s="306"/>
      <c r="S625" s="289" t="str">
        <f>S608</f>
        <v xml:space="preserve"> </v>
      </c>
      <c r="T625" s="278"/>
      <c r="U625" s="2">
        <f>'Rate Design Work eff 10-14-16'!U624</f>
        <v>0</v>
      </c>
      <c r="W625" s="88" t="s">
        <v>31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415</v>
      </c>
      <c r="B626" s="1"/>
      <c r="C626" s="304">
        <f t="shared" si="127"/>
        <v>35876</v>
      </c>
      <c r="D626" s="289">
        <f>'Rate Design Work eff 10-14-16'!D625</f>
        <v>5.37</v>
      </c>
      <c r="E626" s="278"/>
      <c r="F626" s="306">
        <f t="shared" si="128"/>
        <v>-1926</v>
      </c>
      <c r="G626" s="289">
        <f ca="1">G610</f>
        <v>5.47</v>
      </c>
      <c r="H626" s="278"/>
      <c r="I626" s="306">
        <f t="shared" ca="1" si="129"/>
        <v>-1962</v>
      </c>
      <c r="J626" s="306"/>
      <c r="K626" s="289" t="e">
        <f ca="1">K610</f>
        <v>#REF!</v>
      </c>
      <c r="L626" s="278"/>
      <c r="M626" s="306" t="e">
        <f ca="1">'Rate Design Work eff 10-14-16'!M625</f>
        <v>#REF!</v>
      </c>
      <c r="N626" s="306"/>
      <c r="O626" s="289">
        <f>O610</f>
        <v>0</v>
      </c>
      <c r="P626" s="278"/>
      <c r="Q626" s="306">
        <f>'Rate Design Work eff 10-14-16'!Q625</f>
        <v>0</v>
      </c>
      <c r="R626" s="306"/>
      <c r="S626" s="289">
        <f>S610</f>
        <v>0</v>
      </c>
      <c r="T626" s="278"/>
      <c r="U626" s="2">
        <f>'Rate Design Work eff 10-14-16'!U625</f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294" t="s">
        <v>431</v>
      </c>
      <c r="B627" s="1"/>
      <c r="C627" s="304">
        <f t="shared" si="127"/>
        <v>307</v>
      </c>
      <c r="D627" s="289">
        <f>'Rate Design Work eff 10-14-16'!D626</f>
        <v>5.37</v>
      </c>
      <c r="E627" s="278"/>
      <c r="F627" s="306">
        <f t="shared" si="128"/>
        <v>-16</v>
      </c>
      <c r="G627" s="289">
        <f ca="1">G611</f>
        <v>5.47</v>
      </c>
      <c r="H627" s="278"/>
      <c r="I627" s="306">
        <f t="shared" ca="1" si="129"/>
        <v>-17</v>
      </c>
      <c r="J627" s="306"/>
      <c r="K627" s="289" t="e">
        <f ca="1">K611</f>
        <v>#REF!</v>
      </c>
      <c r="L627" s="278"/>
      <c r="M627" s="306" t="e">
        <f ca="1">'Rate Design Work eff 10-14-16'!M626</f>
        <v>#REF!</v>
      </c>
      <c r="N627" s="306"/>
      <c r="O627" s="289">
        <f>O611</f>
        <v>0</v>
      </c>
      <c r="P627" s="278"/>
      <c r="Q627" s="306">
        <f>'Rate Design Work eff 10-14-16'!Q626</f>
        <v>0</v>
      </c>
      <c r="R627" s="306"/>
      <c r="S627" s="289">
        <f>S611</f>
        <v>0</v>
      </c>
      <c r="T627" s="278"/>
      <c r="U627" s="2">
        <f>'Rate Design Work eff 10-14-16'!U626</f>
        <v>0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417</v>
      </c>
      <c r="B628" s="1"/>
      <c r="C628" s="304">
        <f t="shared" si="127"/>
        <v>4639573.3333333302</v>
      </c>
      <c r="D628" s="359">
        <f>'Rate Design Work eff 10-14-16'!D627</f>
        <v>5.6790000000000003</v>
      </c>
      <c r="E628" s="308" t="s">
        <v>364</v>
      </c>
      <c r="F628" s="306">
        <f t="shared" si="128"/>
        <v>-2635</v>
      </c>
      <c r="G628" s="359">
        <f ca="1">G613</f>
        <v>5.7730000000000006</v>
      </c>
      <c r="H628" s="308" t="s">
        <v>364</v>
      </c>
      <c r="I628" s="306">
        <f t="shared" ca="1" si="129"/>
        <v>-2678</v>
      </c>
      <c r="J628" s="306"/>
      <c r="K628" s="359" t="str">
        <f>K613</f>
        <v xml:space="preserve"> </v>
      </c>
      <c r="L628" s="308" t="s">
        <v>31</v>
      </c>
      <c r="M628" s="306">
        <f>'Rate Design Work eff 10-14-16'!M627</f>
        <v>0</v>
      </c>
      <c r="N628" s="306"/>
      <c r="O628" s="359" t="e">
        <f ca="1">O613</f>
        <v>#REF!</v>
      </c>
      <c r="P628" s="308" t="s">
        <v>364</v>
      </c>
      <c r="Q628" s="306" t="e">
        <f ca="1">'Rate Design Work eff 10-14-16'!Q627</f>
        <v>#REF!</v>
      </c>
      <c r="R628" s="306"/>
      <c r="S628" s="359" t="e">
        <f ca="1">S613</f>
        <v>#REF!</v>
      </c>
      <c r="T628" s="308" t="s">
        <v>364</v>
      </c>
      <c r="U628" s="2" t="e">
        <f ca="1">'Rate Design Work eff 10-14-16'!U627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389</v>
      </c>
      <c r="B629" s="1"/>
      <c r="C629" s="304">
        <f t="shared" si="127"/>
        <v>8425606.6666666716</v>
      </c>
      <c r="D629" s="359">
        <f>'Rate Design Work eff 10-14-16'!D628</f>
        <v>5.2</v>
      </c>
      <c r="E629" s="308" t="s">
        <v>364</v>
      </c>
      <c r="F629" s="306">
        <f t="shared" si="128"/>
        <v>-4381</v>
      </c>
      <c r="G629" s="359">
        <f ca="1">G614</f>
        <v>5.2879999999999994</v>
      </c>
      <c r="H629" s="308" t="s">
        <v>364</v>
      </c>
      <c r="I629" s="306">
        <f t="shared" ca="1" si="129"/>
        <v>-4455</v>
      </c>
      <c r="J629" s="306"/>
      <c r="K629" s="359" t="str">
        <f>K614</f>
        <v xml:space="preserve"> </v>
      </c>
      <c r="L629" s="308" t="s">
        <v>31</v>
      </c>
      <c r="M629" s="306">
        <f>'Rate Design Work eff 10-14-16'!M628</f>
        <v>0</v>
      </c>
      <c r="N629" s="306"/>
      <c r="O629" s="359" t="e">
        <f ca="1">O614</f>
        <v>#REF!</v>
      </c>
      <c r="P629" s="308" t="s">
        <v>364</v>
      </c>
      <c r="Q629" s="306" t="e">
        <f ca="1">'Rate Design Work eff 10-14-16'!Q628</f>
        <v>#REF!</v>
      </c>
      <c r="R629" s="306"/>
      <c r="S629" s="359" t="e">
        <f ca="1">S614</f>
        <v>#REF!</v>
      </c>
      <c r="T629" s="308" t="s">
        <v>364</v>
      </c>
      <c r="U629" s="2" t="e">
        <f ca="1">'Rate Design Work eff 10-14-16'!U628</f>
        <v>#REF!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390</v>
      </c>
      <c r="B630" s="1"/>
      <c r="C630" s="304">
        <f t="shared" si="127"/>
        <v>8751.9666666666617</v>
      </c>
      <c r="D630" s="360">
        <f>'Rate Design Work eff 10-14-16'!D629</f>
        <v>56</v>
      </c>
      <c r="E630" s="308" t="s">
        <v>364</v>
      </c>
      <c r="F630" s="306">
        <f t="shared" si="128"/>
        <v>-49</v>
      </c>
      <c r="G630" s="360">
        <f ca="1">G615</f>
        <v>57</v>
      </c>
      <c r="H630" s="308" t="s">
        <v>364</v>
      </c>
      <c r="I630" s="306">
        <f t="shared" ca="1" si="129"/>
        <v>-49</v>
      </c>
      <c r="J630" s="306"/>
      <c r="K630" s="360" t="str">
        <f>K615</f>
        <v xml:space="preserve"> </v>
      </c>
      <c r="L630" s="308" t="s">
        <v>31</v>
      </c>
      <c r="M630" s="306">
        <f>'Rate Design Work eff 10-14-16'!M629</f>
        <v>0</v>
      </c>
      <c r="N630" s="306"/>
      <c r="O630" s="360" t="e">
        <f ca="1">O615</f>
        <v>#DIV/0!</v>
      </c>
      <c r="P630" s="308" t="s">
        <v>364</v>
      </c>
      <c r="Q630" s="306" t="e">
        <f ca="1">'Rate Design Work eff 10-14-16'!Q629</f>
        <v>#DIV/0!</v>
      </c>
      <c r="R630" s="306"/>
      <c r="S630" s="360" t="e">
        <f ca="1">S615</f>
        <v>#DIV/0!</v>
      </c>
      <c r="T630" s="308" t="s">
        <v>364</v>
      </c>
      <c r="U630" s="2" t="e">
        <f ca="1">'Rate Design Work eff 10-14-16'!U629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433</v>
      </c>
      <c r="B631" s="1"/>
      <c r="C631" s="304">
        <f t="shared" si="127"/>
        <v>135.96666666666667</v>
      </c>
      <c r="D631" s="283">
        <f>'Rate Design Work eff 10-14-16'!D630</f>
        <v>60</v>
      </c>
      <c r="E631" s="1"/>
      <c r="F631" s="306">
        <f t="shared" si="128"/>
        <v>8158</v>
      </c>
      <c r="G631" s="283">
        <f>'Rate Design Work eff 10-14-16'!G630</f>
        <v>60</v>
      </c>
      <c r="H631" s="1"/>
      <c r="I631" s="306">
        <f t="shared" si="129"/>
        <v>8158</v>
      </c>
      <c r="J631" s="306"/>
      <c r="K631" s="283" t="str">
        <f>'Rate Design Work eff 10-14-16'!K630</f>
        <v xml:space="preserve"> </v>
      </c>
      <c r="L631" s="1"/>
      <c r="M631" s="306">
        <f>'Rate Design Work eff 10-14-16'!M630</f>
        <v>0</v>
      </c>
      <c r="N631" s="306"/>
      <c r="O631" s="283" t="e">
        <f>'Rate Design Work eff 10-14-16'!O630</f>
        <v>#DIV/0!</v>
      </c>
      <c r="P631" s="1"/>
      <c r="Q631" s="306" t="e">
        <f>'Rate Design Work eff 10-14-16'!Q630</f>
        <v>#DIV/0!</v>
      </c>
      <c r="R631" s="306"/>
      <c r="S631" s="283" t="e">
        <f>'Rate Design Work eff 10-14-16'!S630</f>
        <v>#DIV/0!</v>
      </c>
      <c r="T631" s="1"/>
      <c r="U631" s="2" t="e">
        <f>'Rate Design Work eff 10-14-16'!U630</f>
        <v>#DIV/0!</v>
      </c>
      <c r="AJ631" s="20"/>
      <c r="AK631" s="20"/>
      <c r="AL631" s="20"/>
      <c r="AM631" s="20"/>
      <c r="AN631" s="20"/>
      <c r="AO631" s="20"/>
      <c r="AP631" s="20"/>
    </row>
    <row r="632" spans="1:44">
      <c r="A632" s="308" t="s">
        <v>434</v>
      </c>
      <c r="B632" s="1"/>
      <c r="C632" s="304">
        <f t="shared" si="127"/>
        <v>53526</v>
      </c>
      <c r="D632" s="324">
        <f>'Rate Design Work eff 10-14-16'!D631</f>
        <v>-30</v>
      </c>
      <c r="E632" s="306" t="s">
        <v>364</v>
      </c>
      <c r="F632" s="306">
        <f t="shared" si="128"/>
        <v>-16058</v>
      </c>
      <c r="G632" s="324">
        <f>'Rate Design Work eff 10-14-16'!G631</f>
        <v>-30</v>
      </c>
      <c r="H632" s="306" t="s">
        <v>364</v>
      </c>
      <c r="I632" s="306">
        <f t="shared" si="129"/>
        <v>-16058</v>
      </c>
      <c r="J632" s="306"/>
      <c r="K632" s="324">
        <f>'Rate Design Work eff 10-14-16'!K631</f>
        <v>-30</v>
      </c>
      <c r="L632" s="306" t="s">
        <v>364</v>
      </c>
      <c r="M632" s="306">
        <f>'Rate Design Work eff 10-14-16'!M631</f>
        <v>-16058</v>
      </c>
      <c r="N632" s="306"/>
      <c r="O632" s="1281" t="s">
        <v>31</v>
      </c>
      <c r="P632" s="306" t="s">
        <v>31</v>
      </c>
      <c r="Q632" s="306">
        <f>'Rate Design Work eff 10-14-16'!Q631</f>
        <v>0</v>
      </c>
      <c r="R632" s="306"/>
      <c r="S632" s="324">
        <f>'Blocking - detail'!U505</f>
        <v>0</v>
      </c>
      <c r="T632" s="306" t="s">
        <v>31</v>
      </c>
      <c r="U632" s="2">
        <f>'Rate Design Work eff 10-14-16'!U631</f>
        <v>0</v>
      </c>
      <c r="AJ632" s="20"/>
      <c r="AK632" s="20"/>
      <c r="AL632" s="20"/>
      <c r="AM632" s="20"/>
      <c r="AN632" s="20"/>
      <c r="AO632" s="20"/>
      <c r="AP632" s="20"/>
    </row>
    <row r="633" spans="1:44" s="1118" customFormat="1" hidden="1">
      <c r="A633" s="968" t="s">
        <v>882</v>
      </c>
      <c r="C633" s="987">
        <f>C628</f>
        <v>4639573.3333333302</v>
      </c>
      <c r="D633" s="254">
        <f>'Rate Design Work eff 10-14-16'!D632</f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29"/>
        <v>0</v>
      </c>
      <c r="J633" s="306"/>
      <c r="K633" s="1128" t="str">
        <f>K616</f>
        <v xml:space="preserve"> </v>
      </c>
      <c r="L633" s="1000" t="s">
        <v>31</v>
      </c>
      <c r="M633" s="306">
        <f>'Rate Design Work eff 10-14-16'!M632</f>
        <v>0</v>
      </c>
      <c r="N633" s="306"/>
      <c r="O633" s="1128" t="str">
        <f>O616</f>
        <v xml:space="preserve"> </v>
      </c>
      <c r="P633" s="1000" t="s">
        <v>31</v>
      </c>
      <c r="Q633" s="306">
        <f>'Rate Design Work eff 10-14-16'!Q632</f>
        <v>0</v>
      </c>
      <c r="R633" s="306"/>
      <c r="S633" s="1128">
        <f>S616</f>
        <v>0</v>
      </c>
      <c r="T633" s="1000" t="s">
        <v>364</v>
      </c>
      <c r="U633" s="2">
        <f>'Rate Design Work eff 10-14-16'!U632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 s="1118" customFormat="1" hidden="1">
      <c r="A634" s="968" t="s">
        <v>883</v>
      </c>
      <c r="C634" s="987">
        <f>C629</f>
        <v>8425606.6666666716</v>
      </c>
      <c r="D634" s="254">
        <f>'Rate Design Work eff 10-14-16'!D633</f>
        <v>0</v>
      </c>
      <c r="E634" s="1119"/>
      <c r="F634" s="1123"/>
      <c r="G634" s="1128">
        <f>G617</f>
        <v>0</v>
      </c>
      <c r="H634" s="1000" t="s">
        <v>364</v>
      </c>
      <c r="I634" s="306">
        <f t="shared" si="129"/>
        <v>0</v>
      </c>
      <c r="J634" s="306"/>
      <c r="K634" s="1128" t="str">
        <f>K617</f>
        <v xml:space="preserve"> </v>
      </c>
      <c r="L634" s="1000" t="s">
        <v>31</v>
      </c>
      <c r="M634" s="306">
        <f>'Rate Design Work eff 10-14-16'!M633</f>
        <v>0</v>
      </c>
      <c r="N634" s="306"/>
      <c r="O634" s="1128" t="str">
        <f>O617</f>
        <v xml:space="preserve"> </v>
      </c>
      <c r="P634" s="1000" t="s">
        <v>31</v>
      </c>
      <c r="Q634" s="306">
        <f>'Rate Design Work eff 10-14-16'!Q633</f>
        <v>0</v>
      </c>
      <c r="R634" s="306"/>
      <c r="S634" s="1128">
        <f>S617</f>
        <v>0</v>
      </c>
      <c r="T634" s="1000" t="s">
        <v>364</v>
      </c>
      <c r="U634" s="2">
        <f>'Rate Design Work eff 10-14-16'!U633</f>
        <v>0</v>
      </c>
      <c r="V634" s="1118" t="s">
        <v>31</v>
      </c>
      <c r="W634" s="784"/>
      <c r="Z634" s="1125"/>
      <c r="AA634" s="1125"/>
      <c r="AF634" s="1119"/>
      <c r="AG634" s="1119"/>
      <c r="AH634" s="1119"/>
      <c r="AI634" s="1119"/>
      <c r="AJ634" s="1119"/>
      <c r="AK634" s="1119"/>
      <c r="AL634" s="1119"/>
      <c r="AM634" s="1119"/>
      <c r="AN634" s="1119"/>
      <c r="AO634" s="1119"/>
      <c r="AP634" s="1119"/>
      <c r="AR634" s="1124"/>
    </row>
    <row r="635" spans="1:44">
      <c r="A635" s="1" t="s">
        <v>371</v>
      </c>
      <c r="B635" s="65"/>
      <c r="C635" s="304">
        <f>C675+C713</f>
        <v>922516135.814906</v>
      </c>
      <c r="D635" s="309"/>
      <c r="E635" s="1"/>
      <c r="F635" s="2">
        <f>F675+F713</f>
        <v>71564749</v>
      </c>
      <c r="G635" s="2"/>
      <c r="H635" s="1"/>
      <c r="I635" s="2">
        <f t="shared" ca="1" si="129"/>
        <v>72786063</v>
      </c>
      <c r="J635" s="2"/>
      <c r="K635" s="2"/>
      <c r="L635" s="1"/>
      <c r="M635" s="2" t="e">
        <f ca="1">SUM(M603:M634)</f>
        <v>#REF!</v>
      </c>
      <c r="N635" s="2"/>
      <c r="O635" s="2"/>
      <c r="P635" s="1"/>
      <c r="Q635" s="2" t="e">
        <f ca="1">SUM(Q603:Q634)</f>
        <v>#REF!</v>
      </c>
      <c r="R635" s="2"/>
      <c r="S635" s="2"/>
      <c r="T635" s="1"/>
      <c r="U635" s="2" t="e">
        <f ca="1">SUM(U603:U634)</f>
        <v>#REF!</v>
      </c>
      <c r="X635" s="773"/>
      <c r="Y635" s="773"/>
      <c r="AJ635" s="20"/>
      <c r="AK635" s="20"/>
      <c r="AL635" s="20"/>
      <c r="AM635" s="20"/>
      <c r="AN635" s="20"/>
      <c r="AO635" s="20"/>
      <c r="AP635" s="20"/>
    </row>
    <row r="636" spans="1:44">
      <c r="A636" s="1" t="s">
        <v>353</v>
      </c>
      <c r="B636" s="25"/>
      <c r="C636" s="325">
        <f ca="1">C676+C714</f>
        <v>6097942.0909218071</v>
      </c>
      <c r="D636" s="294"/>
      <c r="E636" s="294"/>
      <c r="F636" s="295">
        <f ca="1">F676+F714</f>
        <v>526986.3902728206</v>
      </c>
      <c r="G636" s="294"/>
      <c r="H636" s="294"/>
      <c r="I636" s="295">
        <f ca="1">F636</f>
        <v>526986.3902728206</v>
      </c>
      <c r="J636" s="51"/>
      <c r="K636" s="294"/>
      <c r="L636" s="294"/>
      <c r="M636" s="295" t="e">
        <f ca="1">$I$636*V640/($V$640+$W$640+$X$640)</f>
        <v>#DIV/0!</v>
      </c>
      <c r="N636" s="51"/>
      <c r="O636" s="294"/>
      <c r="P636" s="294"/>
      <c r="Q636" s="295" t="e">
        <f ca="1">$I$636*W640/($V$640+$W$640+$X$640)</f>
        <v>#DIV/0!</v>
      </c>
      <c r="R636" s="51"/>
      <c r="S636" s="294"/>
      <c r="T636" s="294"/>
      <c r="U636" s="295" t="e">
        <f ca="1">$I$636*X640/($V$640+$W$640+$X$640)</f>
        <v>#DIV/0!</v>
      </c>
      <c r="V636" s="274"/>
      <c r="W636" s="275"/>
      <c r="AJ636" s="20"/>
      <c r="AK636" s="20"/>
      <c r="AL636" s="20"/>
      <c r="AM636" s="20"/>
      <c r="AN636" s="20"/>
      <c r="AO636" s="20"/>
      <c r="AP636" s="20"/>
    </row>
    <row r="637" spans="1:44" ht="16.5" thickBot="1">
      <c r="A637" s="1" t="s">
        <v>372</v>
      </c>
      <c r="B637" s="1"/>
      <c r="C637" s="351">
        <f ca="1">SUM(C635)+C636</f>
        <v>928614077.90582776</v>
      </c>
      <c r="D637" s="327"/>
      <c r="E637" s="330"/>
      <c r="F637" s="329">
        <f ca="1">F635+F636</f>
        <v>72091735.390272826</v>
      </c>
      <c r="G637" s="327"/>
      <c r="H637" s="330"/>
      <c r="I637" s="329">
        <f ca="1">I635+I636</f>
        <v>73313049.390272826</v>
      </c>
      <c r="J637" s="329"/>
      <c r="K637" s="327"/>
      <c r="L637" s="330"/>
      <c r="M637" s="329" t="e">
        <f ca="1">M635+M636</f>
        <v>#REF!</v>
      </c>
      <c r="N637" s="329"/>
      <c r="O637" s="327"/>
      <c r="P637" s="330"/>
      <c r="Q637" s="329" t="e">
        <f ca="1">Q635+Q636</f>
        <v>#REF!</v>
      </c>
      <c r="R637" s="329"/>
      <c r="S637" s="327"/>
      <c r="T637" s="330"/>
      <c r="U637" s="329" t="e">
        <f ca="1">U635+U636</f>
        <v>#REF!</v>
      </c>
      <c r="V637" s="757" t="s">
        <v>399</v>
      </c>
      <c r="W637" s="1082">
        <f ca="1">'Rate Spread targets'!Q26*1000</f>
        <v>73313073.820560843</v>
      </c>
      <c r="X637" s="1417">
        <f ca="1">(I637-F637)/F637</f>
        <v>1.69411097317653E-2</v>
      </c>
      <c r="Y637" s="751"/>
      <c r="Z637" s="55" t="s">
        <v>31</v>
      </c>
      <c r="AJ637" s="20"/>
      <c r="AK637" s="20"/>
      <c r="AL637" s="20"/>
      <c r="AM637" s="20"/>
      <c r="AN637" s="20"/>
      <c r="AO637" s="20"/>
      <c r="AP637" s="20"/>
    </row>
    <row r="638" spans="1:44" ht="16.5" thickTop="1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1300" t="s">
        <v>31</v>
      </c>
      <c r="V638" s="112" t="s">
        <v>257</v>
      </c>
      <c r="W638" s="780">
        <f ca="1">W637-I637</f>
        <v>24.430288016796112</v>
      </c>
      <c r="X638" s="783" t="s">
        <v>31</v>
      </c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 hidden="1">
      <c r="A639" s="1"/>
      <c r="B639" s="1"/>
      <c r="C639" s="26"/>
      <c r="D639" s="336"/>
      <c r="E639" s="23"/>
      <c r="F639" s="307"/>
      <c r="G639" s="336"/>
      <c r="H639" s="23"/>
      <c r="I639" s="307"/>
      <c r="J639" s="307"/>
      <c r="K639" s="336"/>
      <c r="L639" s="23"/>
      <c r="M639" s="307"/>
      <c r="N639" s="307"/>
      <c r="O639" s="336"/>
      <c r="P639" s="23"/>
      <c r="Q639" s="307"/>
      <c r="R639" s="307"/>
      <c r="S639" s="336"/>
      <c r="T639" s="23"/>
      <c r="U639" s="1300" t="s">
        <v>31</v>
      </c>
      <c r="V639" s="1279"/>
      <c r="W639" s="1279"/>
      <c r="X639" s="719"/>
      <c r="Y639" s="751"/>
      <c r="Z639" s="55"/>
      <c r="AJ639" s="20"/>
      <c r="AK639" s="20"/>
      <c r="AL639" s="20"/>
      <c r="AM639" s="20"/>
      <c r="AN639" s="20"/>
      <c r="AO639" s="20"/>
      <c r="AP639" s="20"/>
    </row>
    <row r="640" spans="1:44" hidden="1">
      <c r="A640" s="1"/>
      <c r="B640" s="1"/>
      <c r="C640" s="21"/>
      <c r="D640" s="322" t="s">
        <v>31</v>
      </c>
      <c r="E640" s="1"/>
      <c r="F640" s="2" t="s">
        <v>31</v>
      </c>
      <c r="G640" s="338" t="s">
        <v>31</v>
      </c>
      <c r="H640" s="1"/>
      <c r="I640" s="2" t="s">
        <v>31</v>
      </c>
      <c r="J640" s="2"/>
      <c r="K640" s="338" t="s">
        <v>31</v>
      </c>
      <c r="L640" s="1"/>
      <c r="M640" s="2" t="s">
        <v>31</v>
      </c>
      <c r="N640" s="2"/>
      <c r="O640" s="338" t="s">
        <v>31</v>
      </c>
      <c r="P640" s="1"/>
      <c r="Q640" s="2" t="s">
        <v>31</v>
      </c>
      <c r="R640" s="2"/>
      <c r="S640" s="338" t="s">
        <v>31</v>
      </c>
      <c r="T640" s="1"/>
      <c r="U640" s="2" t="s">
        <v>31</v>
      </c>
      <c r="V640" s="1124"/>
      <c r="W640" s="1124"/>
      <c r="X640" s="1124"/>
      <c r="Y640" s="1129"/>
      <c r="AJ640" s="20"/>
      <c r="AK640" s="20"/>
      <c r="AL640" s="20"/>
      <c r="AM640" s="20"/>
      <c r="AN640" s="20"/>
      <c r="AO640" s="20"/>
      <c r="AP640" s="20"/>
    </row>
    <row r="641" spans="1:42" hidden="1">
      <c r="A641" s="278" t="s">
        <v>426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20"/>
      <c r="AK641" s="20"/>
      <c r="AL641" s="20"/>
      <c r="AM641" s="20"/>
      <c r="AN641" s="20"/>
      <c r="AO641" s="20"/>
      <c r="AP641" s="20"/>
    </row>
    <row r="642" spans="1:42" hidden="1">
      <c r="A642" s="294" t="s">
        <v>435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261" t="s">
        <v>31</v>
      </c>
      <c r="AJ642" s="20"/>
      <c r="AK642" s="20"/>
      <c r="AL642" s="20"/>
      <c r="AM642" s="20"/>
      <c r="AN642" s="20"/>
      <c r="AO642" s="20"/>
      <c r="AP642" s="20"/>
    </row>
    <row r="643" spans="1:42" hidden="1">
      <c r="A643" s="308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 hidden="1">
      <c r="A644" s="308" t="s">
        <v>383</v>
      </c>
      <c r="B644" s="1"/>
      <c r="C644" s="304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20"/>
      <c r="W644" s="74"/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 hidden="1">
      <c r="A645" s="308" t="s">
        <v>411</v>
      </c>
      <c r="B645" s="1"/>
      <c r="C645" s="304">
        <f>'Rate Design Work eff 10-14-16'!C644</f>
        <v>389.06666666666672</v>
      </c>
      <c r="D645" s="283">
        <f>'Rate Design Work eff 10-14-16'!D644</f>
        <v>259</v>
      </c>
      <c r="E645" s="308"/>
      <c r="F645" s="306">
        <f>ROUND(D645*C645,0)</f>
        <v>100768</v>
      </c>
      <c r="G645" s="283">
        <f ca="1">$G$603</f>
        <v>264</v>
      </c>
      <c r="H645" s="308"/>
      <c r="I645" s="306">
        <f ca="1">ROUND(G645*$C645,0)</f>
        <v>102714</v>
      </c>
      <c r="J645" s="306"/>
      <c r="K645" s="283">
        <f ca="1">$K$603</f>
        <v>264</v>
      </c>
      <c r="L645" s="308"/>
      <c r="M645" s="306">
        <f ca="1">ROUND(K645*$C645,0)</f>
        <v>102714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 hidden="1">
      <c r="A646" s="308" t="s">
        <v>412</v>
      </c>
      <c r="B646" s="1"/>
      <c r="C646" s="304">
        <f>'Rate Design Work eff 10-14-16'!C645</f>
        <v>7908.9999999999536</v>
      </c>
      <c r="D646" s="283">
        <f>'Rate Design Work eff 10-14-16'!D645</f>
        <v>96</v>
      </c>
      <c r="E646" s="308"/>
      <c r="F646" s="306">
        <f>ROUND(D646*C646,0)</f>
        <v>759264</v>
      </c>
      <c r="G646" s="283">
        <f ca="1">$G$604</f>
        <v>98</v>
      </c>
      <c r="H646" s="308"/>
      <c r="I646" s="306">
        <f ca="1">ROUND(G646*$C646,0)</f>
        <v>775082</v>
      </c>
      <c r="J646" s="306"/>
      <c r="K646" s="283">
        <f ca="1">$K$604</f>
        <v>98</v>
      </c>
      <c r="L646" s="308"/>
      <c r="M646" s="306">
        <f ca="1">ROUND(K646*$C646,0)</f>
        <v>775082</v>
      </c>
      <c r="N646" s="306"/>
      <c r="O646" s="283" t="str">
        <f>$O$604</f>
        <v xml:space="preserve"> </v>
      </c>
      <c r="P646" s="308"/>
      <c r="Q646" s="306">
        <f>ROUND(O646*$C646,0)</f>
        <v>0</v>
      </c>
      <c r="R646" s="306"/>
      <c r="S646" s="283" t="str">
        <f>$S$604</f>
        <v xml:space="preserve"> </v>
      </c>
      <c r="T646" s="308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 hidden="1">
      <c r="A647" s="308" t="s">
        <v>413</v>
      </c>
      <c r="B647" s="1"/>
      <c r="C647" s="304">
        <f>'Rate Design Work eff 10-14-16'!C646</f>
        <v>3359.0333333333369</v>
      </c>
      <c r="D647" s="283">
        <f>'Rate Design Work eff 10-14-16'!D646</f>
        <v>192</v>
      </c>
      <c r="E647" s="310"/>
      <c r="F647" s="306">
        <f>ROUND(D647*C647,0)</f>
        <v>644934</v>
      </c>
      <c r="G647" s="283">
        <f ca="1">$G$605</f>
        <v>195</v>
      </c>
      <c r="H647" s="310"/>
      <c r="I647" s="306">
        <f ca="1">ROUND(G647*$C647,0)</f>
        <v>655012</v>
      </c>
      <c r="J647" s="306"/>
      <c r="K647" s="283">
        <f ca="1">$K$605</f>
        <v>195</v>
      </c>
      <c r="L647" s="310"/>
      <c r="M647" s="306">
        <f ca="1">ROUND(K647*$C647,0)</f>
        <v>655012</v>
      </c>
      <c r="N647" s="306"/>
      <c r="O647" s="283" t="str">
        <f>$O$605</f>
        <v xml:space="preserve"> </v>
      </c>
      <c r="P647" s="310"/>
      <c r="Q647" s="306">
        <f>ROUND(O647*$C647,0)</f>
        <v>0</v>
      </c>
      <c r="R647" s="306"/>
      <c r="S647" s="283" t="str">
        <f>$S$605</f>
        <v xml:space="preserve"> </v>
      </c>
      <c r="T647" s="310"/>
      <c r="U647" s="306">
        <f>ROUND(S647*$C647,0)</f>
        <v>0</v>
      </c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 hidden="1">
      <c r="A648" s="308" t="s">
        <v>384</v>
      </c>
      <c r="B648" s="1"/>
      <c r="C648" s="304">
        <f>SUM(C645:C647)</f>
        <v>11657.099999999957</v>
      </c>
      <c r="D648" s="283"/>
      <c r="E648" s="308"/>
      <c r="F648" s="306"/>
      <c r="G648" s="283"/>
      <c r="H648" s="308"/>
      <c r="I648" s="306"/>
      <c r="J648" s="306"/>
      <c r="K648" s="283"/>
      <c r="L648" s="308"/>
      <c r="M648" s="306"/>
      <c r="N648" s="306"/>
      <c r="O648" s="283"/>
      <c r="P648" s="308"/>
      <c r="Q648" s="306"/>
      <c r="R648" s="306"/>
      <c r="S648" s="283"/>
      <c r="T648" s="308"/>
      <c r="U648" s="306"/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 hidden="1">
      <c r="A649" s="308" t="s">
        <v>412</v>
      </c>
      <c r="B649" s="1"/>
      <c r="C649" s="304">
        <f>'Rate Design Work eff 10-14-16'!C648</f>
        <v>1361738.5</v>
      </c>
      <c r="D649" s="283">
        <f>'Rate Design Work eff 10-14-16'!D648</f>
        <v>1.76</v>
      </c>
      <c r="E649" s="308" t="s">
        <v>31</v>
      </c>
      <c r="F649" s="306">
        <f>ROUND(D649*C649,0)</f>
        <v>2396660</v>
      </c>
      <c r="G649" s="283">
        <f ca="1">$G$607</f>
        <v>1.79</v>
      </c>
      <c r="H649" s="308" t="s">
        <v>31</v>
      </c>
      <c r="I649" s="306">
        <f ca="1">ROUND(G649*$C649,0)</f>
        <v>2437512</v>
      </c>
      <c r="J649" s="306"/>
      <c r="K649" s="283">
        <f ca="1">$K$607</f>
        <v>1.79</v>
      </c>
      <c r="L649" s="308" t="s">
        <v>31</v>
      </c>
      <c r="M649" s="306">
        <f ca="1">ROUND(K649*$C649,0)</f>
        <v>2437512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 hidden="1">
      <c r="A650" s="308" t="s">
        <v>413</v>
      </c>
      <c r="B650" s="1"/>
      <c r="C650" s="304">
        <f>'Rate Design Work eff 10-14-16'!C649</f>
        <v>1673144</v>
      </c>
      <c r="D650" s="283">
        <f>'Rate Design Work eff 10-14-16'!D649</f>
        <v>1.44</v>
      </c>
      <c r="E650" s="308" t="s">
        <v>31</v>
      </c>
      <c r="F650" s="306">
        <f>ROUND(D650*C650,0)</f>
        <v>2409327</v>
      </c>
      <c r="G650" s="283">
        <f ca="1">$G$608</f>
        <v>1.46</v>
      </c>
      <c r="H650" s="308" t="s">
        <v>31</v>
      </c>
      <c r="I650" s="306">
        <f ca="1">ROUND(G650*$C650,0)</f>
        <v>2442790</v>
      </c>
      <c r="J650" s="306"/>
      <c r="K650" s="283">
        <f ca="1">$K$608</f>
        <v>1.46</v>
      </c>
      <c r="L650" s="308" t="s">
        <v>31</v>
      </c>
      <c r="M650" s="306">
        <f ca="1">ROUND(K650*$C650,0)</f>
        <v>2442790</v>
      </c>
      <c r="N650" s="306"/>
      <c r="O650" s="283" t="str">
        <f>$O$608</f>
        <v xml:space="preserve"> </v>
      </c>
      <c r="P650" s="308" t="s">
        <v>31</v>
      </c>
      <c r="Q650" s="306">
        <f>ROUND(O650*$C650,0)</f>
        <v>0</v>
      </c>
      <c r="R650" s="306"/>
      <c r="S650" s="283" t="str">
        <f>$S$608</f>
        <v xml:space="preserve"> </v>
      </c>
      <c r="T650" s="308" t="s">
        <v>31</v>
      </c>
      <c r="U650" s="306">
        <f>ROUND(S650*$C650,0)</f>
        <v>0</v>
      </c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 hidden="1">
      <c r="A651" s="294" t="s">
        <v>414</v>
      </c>
      <c r="B651" s="1"/>
      <c r="C651" s="304"/>
      <c r="D651" s="340"/>
      <c r="E651" s="308"/>
      <c r="F651" s="306"/>
      <c r="G651" s="340"/>
      <c r="H651" s="308"/>
      <c r="I651" s="306"/>
      <c r="J651" s="306"/>
      <c r="K651" s="340"/>
      <c r="L651" s="308"/>
      <c r="M651" s="306"/>
      <c r="N651" s="306"/>
      <c r="O651" s="340"/>
      <c r="P651" s="308"/>
      <c r="Q651" s="306"/>
      <c r="R651" s="306"/>
      <c r="S651" s="340"/>
      <c r="T651" s="308"/>
      <c r="U651" s="306"/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 hidden="1">
      <c r="A652" s="294" t="s">
        <v>415</v>
      </c>
      <c r="B652" s="1"/>
      <c r="C652" s="304">
        <f>'Rate Design Work eff 10-14-16'!C651</f>
        <v>2302073.5</v>
      </c>
      <c r="D652" s="283">
        <f>'Rate Design Work eff 10-14-16'!D651</f>
        <v>5.37</v>
      </c>
      <c r="E652" s="308"/>
      <c r="F652" s="306">
        <f>ROUND(D652*C652,0)</f>
        <v>12362135</v>
      </c>
      <c r="G652" s="283">
        <f ca="1">$G$610</f>
        <v>5.47</v>
      </c>
      <c r="H652" s="308"/>
      <c r="I652" s="306">
        <f ca="1">ROUND(G652*$C652,0)</f>
        <v>12592342</v>
      </c>
      <c r="J652" s="306"/>
      <c r="K652" s="283" t="e">
        <f ca="1">$K$610</f>
        <v>#REF!</v>
      </c>
      <c r="L652" s="308"/>
      <c r="M652" s="306" t="e">
        <f ca="1">ROUND(K652*$C652,0)</f>
        <v>#REF!</v>
      </c>
      <c r="N652" s="306"/>
      <c r="O652" s="283">
        <f>$O$610</f>
        <v>0</v>
      </c>
      <c r="P652" s="308"/>
      <c r="Q652" s="306">
        <f>ROUND(O652*$C652,0)</f>
        <v>0</v>
      </c>
      <c r="R652" s="306"/>
      <c r="S652" s="283">
        <f>$S$610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 hidden="1">
      <c r="A653" s="294" t="s">
        <v>431</v>
      </c>
      <c r="B653" s="1"/>
      <c r="C653" s="304">
        <f>'Rate Design Work eff 10-14-16'!C652</f>
        <v>3562.6666666666692</v>
      </c>
      <c r="D653" s="354">
        <f>'Rate Design Work eff 10-14-16'!D652</f>
        <v>5.37</v>
      </c>
      <c r="E653" s="308"/>
      <c r="F653" s="306">
        <f>ROUND(D653*C653,0)</f>
        <v>19132</v>
      </c>
      <c r="G653" s="354">
        <f ca="1">G652</f>
        <v>5.47</v>
      </c>
      <c r="H653" s="308"/>
      <c r="I653" s="306">
        <f ca="1">ROUND(G653*$C653,0)</f>
        <v>19488</v>
      </c>
      <c r="J653" s="306"/>
      <c r="K653" s="354" t="e">
        <f ca="1">K652</f>
        <v>#REF!</v>
      </c>
      <c r="L653" s="308"/>
      <c r="M653" s="306" t="e">
        <f ca="1">ROUND(K653*$C653,0)</f>
        <v>#REF!</v>
      </c>
      <c r="N653" s="306"/>
      <c r="O653" s="354">
        <f>O652</f>
        <v>0</v>
      </c>
      <c r="P653" s="308"/>
      <c r="Q653" s="306">
        <f>ROUND(O653*$C653,0)</f>
        <v>0</v>
      </c>
      <c r="R653" s="306"/>
      <c r="S653" s="354">
        <f>S652</f>
        <v>0</v>
      </c>
      <c r="T653" s="308"/>
      <c r="U653" s="306">
        <f>ROUND(S653*$C653,0)</f>
        <v>0</v>
      </c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 hidden="1">
      <c r="A654" s="308" t="s">
        <v>416</v>
      </c>
      <c r="B654" s="1"/>
      <c r="C654" s="304"/>
      <c r="D654" s="283"/>
      <c r="E654" s="308"/>
      <c r="F654" s="306"/>
      <c r="G654" s="283"/>
      <c r="H654" s="308"/>
      <c r="I654" s="306"/>
      <c r="J654" s="306"/>
      <c r="K654" s="283"/>
      <c r="L654" s="308"/>
      <c r="M654" s="306"/>
      <c r="N654" s="306"/>
      <c r="O654" s="283"/>
      <c r="P654" s="308"/>
      <c r="Q654" s="306"/>
      <c r="R654" s="306"/>
      <c r="S654" s="283"/>
      <c r="T654" s="308"/>
      <c r="U654" s="306"/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 hidden="1">
      <c r="A655" s="308" t="s">
        <v>417</v>
      </c>
      <c r="B655" s="304"/>
      <c r="C655" s="304">
        <f>'Rate Design Work eff 10-14-16'!C654</f>
        <v>364977559.51704049</v>
      </c>
      <c r="D655" s="313">
        <f>'Rate Design Work eff 10-14-16'!D654</f>
        <v>5.6790000000000003</v>
      </c>
      <c r="E655" s="308" t="s">
        <v>364</v>
      </c>
      <c r="F655" s="306">
        <f>ROUND(D655*C655/100,0)</f>
        <v>20727076</v>
      </c>
      <c r="G655" s="312">
        <f ca="1">$G$613</f>
        <v>5.7730000000000006</v>
      </c>
      <c r="H655" s="308" t="s">
        <v>364</v>
      </c>
      <c r="I655" s="306">
        <f ca="1">ROUND(G655*$C655/100,0)</f>
        <v>21070155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 hidden="1">
      <c r="A656" s="308" t="s">
        <v>389</v>
      </c>
      <c r="B656" s="304"/>
      <c r="C656" s="304">
        <f>'Rate Design Work eff 10-14-16'!C655</f>
        <v>452336004.29786551</v>
      </c>
      <c r="D656" s="313">
        <f>'Rate Design Work eff 10-14-16'!D655</f>
        <v>5.2</v>
      </c>
      <c r="E656" s="308" t="s">
        <v>364</v>
      </c>
      <c r="F656" s="306">
        <f>ROUND(D656*C656/100,0)</f>
        <v>23521472</v>
      </c>
      <c r="G656" s="312">
        <f ca="1">$G$614</f>
        <v>5.2879999999999994</v>
      </c>
      <c r="H656" s="308" t="s">
        <v>364</v>
      </c>
      <c r="I656" s="306">
        <f ca="1">ROUND(G656*$C656/100,0)</f>
        <v>23919528</v>
      </c>
      <c r="J656" s="306"/>
      <c r="K656" s="312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312" t="e">
        <f ca="1">$O$614</f>
        <v>#REF!</v>
      </c>
      <c r="P656" s="308" t="s">
        <v>364</v>
      </c>
      <c r="Q656" s="306" t="e">
        <f ca="1">ROUND(O656*$C656/100,0)</f>
        <v>#REF!</v>
      </c>
      <c r="R656" s="306"/>
      <c r="S656" s="312" t="e">
        <f ca="1">$S$614</f>
        <v>#REF!</v>
      </c>
      <c r="T656" s="308" t="s">
        <v>364</v>
      </c>
      <c r="U656" s="306" t="e">
        <f ca="1">ROUND(S656*$C656/100,0)</f>
        <v>#REF!</v>
      </c>
      <c r="X656" s="74"/>
      <c r="Y656" s="74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hidden="1">
      <c r="A657" s="308" t="s">
        <v>390</v>
      </c>
      <c r="B657" s="1"/>
      <c r="C657" s="304">
        <f>'Rate Design Work eff 10-14-16'!C656</f>
        <v>391011.43333333306</v>
      </c>
      <c r="D657" s="956">
        <f>'Rate Design Work eff 10-14-16'!D656</f>
        <v>56</v>
      </c>
      <c r="E657" s="308" t="s">
        <v>364</v>
      </c>
      <c r="F657" s="306">
        <f>ROUND(D657*C657/100,0)</f>
        <v>218966</v>
      </c>
      <c r="G657" s="460">
        <f ca="1">$G$615</f>
        <v>57</v>
      </c>
      <c r="H657" s="308" t="s">
        <v>364</v>
      </c>
      <c r="I657" s="306">
        <f ca="1">ROUND(G657*$C657/100,0)</f>
        <v>222877</v>
      </c>
      <c r="J657" s="306"/>
      <c r="K657" s="460" t="str">
        <f>$K$615</f>
        <v xml:space="preserve"> </v>
      </c>
      <c r="L657" s="308" t="s">
        <v>364</v>
      </c>
      <c r="M657" s="306">
        <f>ROUND(K657*$C657/100,0)</f>
        <v>0</v>
      </c>
      <c r="N657" s="306"/>
      <c r="O657" s="460" t="e">
        <f ca="1">$O$615</f>
        <v>#DIV/0!</v>
      </c>
      <c r="P657" s="308" t="s">
        <v>364</v>
      </c>
      <c r="Q657" s="306" t="e">
        <f ca="1">ROUND(O657*$C657/100,0)</f>
        <v>#DIV/0!</v>
      </c>
      <c r="R657" s="306"/>
      <c r="S657" s="460" t="e">
        <f ca="1">$S$615</f>
        <v>#DIV/0!</v>
      </c>
      <c r="T657" s="308" t="s">
        <v>364</v>
      </c>
      <c r="U657" s="306" t="e">
        <f ca="1">ROUND(S657*$C657/100,0)</f>
        <v>#DIV/0!</v>
      </c>
      <c r="X657" s="74"/>
      <c r="Y657" s="74"/>
      <c r="Z657" s="7" t="s">
        <v>31</v>
      </c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</row>
    <row r="658" spans="1:44" s="1118" customFormat="1" hidden="1">
      <c r="A658" s="968" t="s">
        <v>882</v>
      </c>
      <c r="C658" s="1122">
        <f>C655</f>
        <v>364977559.51704049</v>
      </c>
      <c r="D658" s="254">
        <f>'Rate Design Work eff 10-14-16'!D657</f>
        <v>0</v>
      </c>
      <c r="E658" s="1119"/>
      <c r="F658" s="1123"/>
      <c r="G658" s="1128">
        <f>G616</f>
        <v>0</v>
      </c>
      <c r="H658" s="1000" t="s">
        <v>364</v>
      </c>
      <c r="I658" s="1000">
        <f t="shared" ref="I658:I659" si="130">ROUND(G658*$C658/100,0)</f>
        <v>0</v>
      </c>
      <c r="J658" s="1000"/>
      <c r="K658" s="1128" t="str">
        <f>K616</f>
        <v xml:space="preserve"> </v>
      </c>
      <c r="L658" s="1000" t="s">
        <v>364</v>
      </c>
      <c r="M658" s="1000">
        <f t="shared" ref="M658:M659" si="131">ROUND(K658*$C658/100,0)</f>
        <v>0</v>
      </c>
      <c r="N658" s="1000"/>
      <c r="O658" s="1128" t="str">
        <f>O616</f>
        <v xml:space="preserve"> </v>
      </c>
      <c r="P658" s="1000" t="s">
        <v>364</v>
      </c>
      <c r="Q658" s="1000">
        <f t="shared" ref="Q658:Q659" si="132">ROUND(O658*$C658/100,0)</f>
        <v>0</v>
      </c>
      <c r="R658" s="1000"/>
      <c r="S658" s="1128">
        <f>S616</f>
        <v>0</v>
      </c>
      <c r="T658" s="1000" t="s">
        <v>364</v>
      </c>
      <c r="U658" s="1000">
        <f t="shared" ref="U658:U659" si="133">ROUND(S658*$C658/100,0)</f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 s="1118" customFormat="1" hidden="1">
      <c r="A659" s="968" t="s">
        <v>883</v>
      </c>
      <c r="C659" s="1122">
        <f>C656</f>
        <v>452336004.29786551</v>
      </c>
      <c r="D659" s="254">
        <f>'Rate Design Work eff 10-14-16'!D658</f>
        <v>0</v>
      </c>
      <c r="E659" s="1119"/>
      <c r="F659" s="1123"/>
      <c r="G659" s="1128">
        <f>G617</f>
        <v>0</v>
      </c>
      <c r="H659" s="1000" t="s">
        <v>364</v>
      </c>
      <c r="I659" s="1000">
        <f t="shared" si="130"/>
        <v>0</v>
      </c>
      <c r="J659" s="1000"/>
      <c r="K659" s="1128" t="str">
        <f>K617</f>
        <v xml:space="preserve"> </v>
      </c>
      <c r="L659" s="1000" t="s">
        <v>364</v>
      </c>
      <c r="M659" s="1000">
        <f t="shared" si="131"/>
        <v>0</v>
      </c>
      <c r="N659" s="1000"/>
      <c r="O659" s="1128" t="str">
        <f>O617</f>
        <v xml:space="preserve"> </v>
      </c>
      <c r="P659" s="1000" t="s">
        <v>364</v>
      </c>
      <c r="Q659" s="1000">
        <f t="shared" si="132"/>
        <v>0</v>
      </c>
      <c r="R659" s="1000"/>
      <c r="S659" s="1128">
        <f>S617</f>
        <v>0</v>
      </c>
      <c r="T659" s="1000" t="s">
        <v>364</v>
      </c>
      <c r="U659" s="1000">
        <f t="shared" si="133"/>
        <v>0</v>
      </c>
      <c r="W659" s="1121"/>
      <c r="X659" s="1130"/>
      <c r="Y659" s="1120"/>
      <c r="Z659" s="1125"/>
      <c r="AA659" s="1125"/>
      <c r="AF659" s="1119"/>
      <c r="AG659" s="1119"/>
      <c r="AH659" s="1119"/>
      <c r="AI659" s="1119"/>
      <c r="AJ659" s="1119"/>
      <c r="AK659" s="1119"/>
      <c r="AL659" s="1119"/>
      <c r="AM659" s="1119"/>
      <c r="AN659" s="1119"/>
      <c r="AO659" s="1119"/>
      <c r="AP659" s="1119"/>
      <c r="AR659" s="1124"/>
    </row>
    <row r="660" spans="1:44" hidden="1">
      <c r="A660" s="345" t="s">
        <v>391</v>
      </c>
      <c r="B660" s="1"/>
      <c r="C660" s="304"/>
      <c r="D660" s="317">
        <f>'Rate Design Work eff 10-14-16'!D659</f>
        <v>-0.01</v>
      </c>
      <c r="E660" s="1"/>
      <c r="F660" s="306"/>
      <c r="G660" s="317">
        <v>-0.01</v>
      </c>
      <c r="H660" s="1"/>
      <c r="I660" s="306"/>
      <c r="J660" s="306"/>
      <c r="K660" s="317">
        <v>-0.01</v>
      </c>
      <c r="L660" s="1"/>
      <c r="M660" s="306"/>
      <c r="N660" s="306"/>
      <c r="O660" s="317">
        <v>-0.01</v>
      </c>
      <c r="P660" s="1"/>
      <c r="Q660" s="306"/>
      <c r="R660" s="306"/>
      <c r="S660" s="317">
        <v>-0.01</v>
      </c>
      <c r="T660" s="1"/>
      <c r="U660" s="306"/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 hidden="1">
      <c r="A661" s="308" t="s">
        <v>411</v>
      </c>
      <c r="B661" s="21"/>
      <c r="C661" s="304">
        <f>'Rate Design Work eff 10-14-16'!C660</f>
        <v>7</v>
      </c>
      <c r="D661" s="289">
        <f>'Rate Design Work eff 10-14-16'!D660</f>
        <v>259</v>
      </c>
      <c r="E661" s="278"/>
      <c r="F661" s="306">
        <f t="shared" ref="F661:F667" si="134">ROUND(D661*C661*$D$660,0)</f>
        <v>-18</v>
      </c>
      <c r="G661" s="289">
        <f ca="1">G645</f>
        <v>264</v>
      </c>
      <c r="H661" s="278"/>
      <c r="I661" s="306">
        <f ca="1">ROUND(G661*$C661*G660,0)</f>
        <v>-18</v>
      </c>
      <c r="J661" s="306"/>
      <c r="K661" s="289">
        <f ca="1">K645</f>
        <v>264</v>
      </c>
      <c r="L661" s="278"/>
      <c r="M661" s="306">
        <f ca="1">ROUND(K661*$C661*K660,0)</f>
        <v>-18</v>
      </c>
      <c r="N661" s="306"/>
      <c r="O661" s="289" t="str">
        <f>O645</f>
        <v xml:space="preserve"> </v>
      </c>
      <c r="P661" s="278"/>
      <c r="Q661" s="306">
        <f>ROUND(O661*$C661*O660,0)</f>
        <v>0</v>
      </c>
      <c r="R661" s="306"/>
      <c r="S661" s="289" t="str">
        <f>S645</f>
        <v xml:space="preserve"> </v>
      </c>
      <c r="T661" s="278"/>
      <c r="U661" s="306">
        <f>ROUND(S661*$C661*S660,0)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 hidden="1">
      <c r="A662" s="308" t="s">
        <v>412</v>
      </c>
      <c r="B662" s="1"/>
      <c r="C662" s="304">
        <f>'Rate Design Work eff 10-14-16'!C661</f>
        <v>40.89999999999997</v>
      </c>
      <c r="D662" s="289">
        <f>'Rate Design Work eff 10-14-16'!D661</f>
        <v>96</v>
      </c>
      <c r="E662" s="278"/>
      <c r="F662" s="306">
        <f t="shared" si="134"/>
        <v>-39</v>
      </c>
      <c r="G662" s="289">
        <f ca="1">G646</f>
        <v>98</v>
      </c>
      <c r="H662" s="278"/>
      <c r="I662" s="306">
        <f ca="1">ROUND(G662*$C662*G660,0)</f>
        <v>-40</v>
      </c>
      <c r="J662" s="306"/>
      <c r="K662" s="289">
        <f ca="1">K646</f>
        <v>98</v>
      </c>
      <c r="L662" s="278"/>
      <c r="M662" s="306">
        <f ca="1">ROUND(K662*$C662*K660,0)</f>
        <v>-40</v>
      </c>
      <c r="N662" s="306"/>
      <c r="O662" s="289" t="str">
        <f>O646</f>
        <v xml:space="preserve"> </v>
      </c>
      <c r="P662" s="278"/>
      <c r="Q662" s="306">
        <f>ROUND(O662*$C662*O660,0)</f>
        <v>0</v>
      </c>
      <c r="R662" s="306"/>
      <c r="S662" s="289" t="str">
        <f>S646</f>
        <v xml:space="preserve"> </v>
      </c>
      <c r="T662" s="278"/>
      <c r="U662" s="306">
        <f>ROUND(S662*$C662*S660,0)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 hidden="1">
      <c r="A663" s="308" t="s">
        <v>413</v>
      </c>
      <c r="B663" s="1"/>
      <c r="C663" s="304">
        <f>'Rate Design Work eff 10-14-16'!C662</f>
        <v>71.866666666666703</v>
      </c>
      <c r="D663" s="289">
        <f>'Rate Design Work eff 10-14-16'!D662</f>
        <v>192</v>
      </c>
      <c r="E663" s="358"/>
      <c r="F663" s="306">
        <f t="shared" si="134"/>
        <v>-138</v>
      </c>
      <c r="G663" s="289">
        <f ca="1">G647</f>
        <v>195</v>
      </c>
      <c r="H663" s="358"/>
      <c r="I663" s="306">
        <f ca="1">ROUND(G663*$C663*G660,0)</f>
        <v>-140</v>
      </c>
      <c r="J663" s="306"/>
      <c r="K663" s="289">
        <f ca="1">K647</f>
        <v>195</v>
      </c>
      <c r="L663" s="358"/>
      <c r="M663" s="306">
        <f ca="1">ROUND(K663*$C663*K660,0)</f>
        <v>-140</v>
      </c>
      <c r="N663" s="306"/>
      <c r="O663" s="289" t="str">
        <f>O647</f>
        <v xml:space="preserve"> </v>
      </c>
      <c r="P663" s="358"/>
      <c r="Q663" s="306">
        <f>ROUND(O663*$C663*O660,0)</f>
        <v>0</v>
      </c>
      <c r="R663" s="306"/>
      <c r="S663" s="289" t="str">
        <f>S647</f>
        <v xml:space="preserve"> </v>
      </c>
      <c r="T663" s="358"/>
      <c r="U663" s="306">
        <f>ROUND(S663*$C663*S660,0)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 hidden="1">
      <c r="A664" s="308" t="s">
        <v>412</v>
      </c>
      <c r="B664" s="1"/>
      <c r="C664" s="304">
        <f>'Rate Design Work eff 10-14-16'!C663</f>
        <v>6443</v>
      </c>
      <c r="D664" s="289">
        <f>'Rate Design Work eff 10-14-16'!D663</f>
        <v>1.76</v>
      </c>
      <c r="E664" s="278"/>
      <c r="F664" s="306">
        <f t="shared" si="134"/>
        <v>-113</v>
      </c>
      <c r="G664" s="289">
        <f ca="1">G649</f>
        <v>1.79</v>
      </c>
      <c r="H664" s="278"/>
      <c r="I664" s="306">
        <f ca="1">ROUND(G664*$C664*G660,0)</f>
        <v>-115</v>
      </c>
      <c r="J664" s="306"/>
      <c r="K664" s="289">
        <f ca="1">K649</f>
        <v>1.79</v>
      </c>
      <c r="L664" s="278"/>
      <c r="M664" s="306">
        <f ca="1">ROUND(K664*$C664*K660,0)</f>
        <v>-115</v>
      </c>
      <c r="N664" s="306"/>
      <c r="O664" s="289" t="str">
        <f>O649</f>
        <v xml:space="preserve"> </v>
      </c>
      <c r="P664" s="278"/>
      <c r="Q664" s="306">
        <f>ROUND(O664*$C664*O660,0)</f>
        <v>0</v>
      </c>
      <c r="R664" s="306"/>
      <c r="S664" s="289" t="str">
        <f>S649</f>
        <v xml:space="preserve"> </v>
      </c>
      <c r="T664" s="278"/>
      <c r="U664" s="306">
        <f>ROUND(S664*$C664*S660,0)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 hidden="1">
      <c r="A665" s="308" t="s">
        <v>413</v>
      </c>
      <c r="B665" s="1"/>
      <c r="C665" s="304">
        <f>'Rate Design Work eff 10-14-16'!C664</f>
        <v>44991</v>
      </c>
      <c r="D665" s="289">
        <f>'Rate Design Work eff 10-14-16'!D664</f>
        <v>1.44</v>
      </c>
      <c r="E665" s="278"/>
      <c r="F665" s="306">
        <f t="shared" si="134"/>
        <v>-648</v>
      </c>
      <c r="G665" s="289">
        <f ca="1">G650</f>
        <v>1.46</v>
      </c>
      <c r="H665" s="278"/>
      <c r="I665" s="306">
        <f ca="1">ROUND(G665*$C665*G660,0)</f>
        <v>-657</v>
      </c>
      <c r="J665" s="306"/>
      <c r="K665" s="289">
        <f ca="1">K650</f>
        <v>1.46</v>
      </c>
      <c r="L665" s="278"/>
      <c r="M665" s="306">
        <f ca="1">ROUND(K665*$C665*K660,0)</f>
        <v>-657</v>
      </c>
      <c r="N665" s="306"/>
      <c r="O665" s="289" t="str">
        <f>O650</f>
        <v xml:space="preserve"> </v>
      </c>
      <c r="P665" s="278"/>
      <c r="Q665" s="306">
        <f>ROUND(O665*$C665*O660,0)</f>
        <v>0</v>
      </c>
      <c r="R665" s="306"/>
      <c r="S665" s="289" t="str">
        <f>S650</f>
        <v xml:space="preserve"> </v>
      </c>
      <c r="T665" s="278"/>
      <c r="U665" s="306">
        <f>ROUND(S665*$C665*S660,0)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 hidden="1">
      <c r="A666" s="294" t="s">
        <v>415</v>
      </c>
      <c r="B666" s="1"/>
      <c r="C666" s="304">
        <f>'Rate Design Work eff 10-14-16'!C665</f>
        <v>34590</v>
      </c>
      <c r="D666" s="289">
        <f>'Rate Design Work eff 10-14-16'!D665</f>
        <v>5.37</v>
      </c>
      <c r="E666" s="278"/>
      <c r="F666" s="306">
        <f t="shared" si="134"/>
        <v>-1857</v>
      </c>
      <c r="G666" s="289">
        <f ca="1">G652</f>
        <v>5.47</v>
      </c>
      <c r="H666" s="278"/>
      <c r="I666" s="306">
        <f ca="1">ROUND(G666*$C666*G660,0)</f>
        <v>-1892</v>
      </c>
      <c r="J666" s="306"/>
      <c r="K666" s="289" t="e">
        <f ca="1">K652</f>
        <v>#REF!</v>
      </c>
      <c r="L666" s="278"/>
      <c r="M666" s="306" t="e">
        <f ca="1">ROUND(K666*$C666*K660,0)</f>
        <v>#REF!</v>
      </c>
      <c r="N666" s="306"/>
      <c r="O666" s="289">
        <f>O652</f>
        <v>0</v>
      </c>
      <c r="P666" s="278"/>
      <c r="Q666" s="306">
        <f>ROUND(O666*$C666*O660,0)</f>
        <v>0</v>
      </c>
      <c r="R666" s="306"/>
      <c r="S666" s="289">
        <f>S652</f>
        <v>0</v>
      </c>
      <c r="T666" s="278"/>
      <c r="U666" s="306">
        <f>ROUND(S666*$C666*S660,0)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 hidden="1">
      <c r="A667" s="294" t="s">
        <v>431</v>
      </c>
      <c r="B667" s="1"/>
      <c r="C667" s="304">
        <f>'Rate Design Work eff 10-14-16'!C666</f>
        <v>307</v>
      </c>
      <c r="D667" s="289">
        <f>'Rate Design Work eff 10-14-16'!D666</f>
        <v>5.37</v>
      </c>
      <c r="E667" s="278"/>
      <c r="F667" s="306">
        <f t="shared" si="134"/>
        <v>-16</v>
      </c>
      <c r="G667" s="289">
        <f ca="1">G653</f>
        <v>5.47</v>
      </c>
      <c r="H667" s="278"/>
      <c r="I667" s="306">
        <f ca="1">ROUND(G667*$C667*G660,0)</f>
        <v>-17</v>
      </c>
      <c r="J667" s="306"/>
      <c r="K667" s="289" t="e">
        <f ca="1">K653</f>
        <v>#REF!</v>
      </c>
      <c r="L667" s="278"/>
      <c r="M667" s="306" t="e">
        <f ca="1">ROUND(K667*$C667*K660,0)</f>
        <v>#REF!</v>
      </c>
      <c r="N667" s="306"/>
      <c r="O667" s="289">
        <f>O653</f>
        <v>0</v>
      </c>
      <c r="P667" s="278"/>
      <c r="Q667" s="306">
        <f>ROUND(O667*$C667*O660,0)</f>
        <v>0</v>
      </c>
      <c r="R667" s="306"/>
      <c r="S667" s="289">
        <f>S653</f>
        <v>0</v>
      </c>
      <c r="T667" s="278"/>
      <c r="U667" s="306">
        <f>ROUND(S667*$C667*S660,0)</f>
        <v>0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 hidden="1">
      <c r="A668" s="308" t="s">
        <v>417</v>
      </c>
      <c r="B668" s="1"/>
      <c r="C668" s="304">
        <f>'Rate Design Work eff 10-14-16'!C667</f>
        <v>4148839.9999999972</v>
      </c>
      <c r="D668" s="359">
        <f>'Rate Design Work eff 10-14-16'!D667</f>
        <v>5.6790000000000003</v>
      </c>
      <c r="E668" s="308" t="s">
        <v>364</v>
      </c>
      <c r="F668" s="306">
        <f>ROUND(D668*C668/100*$D$660,0)</f>
        <v>-2356</v>
      </c>
      <c r="G668" s="359">
        <f ca="1">G655</f>
        <v>5.7730000000000006</v>
      </c>
      <c r="H668" s="308" t="s">
        <v>364</v>
      </c>
      <c r="I668" s="306">
        <f ca="1">ROUND(G668*$C668/100*G660,0)</f>
        <v>-2395</v>
      </c>
      <c r="J668" s="306"/>
      <c r="K668" s="359" t="str">
        <f>K655</f>
        <v xml:space="preserve"> </v>
      </c>
      <c r="L668" s="308" t="s">
        <v>364</v>
      </c>
      <c r="M668" s="306">
        <f>ROUND(K668*$C668/100*K660,0)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ROUND(O668*$C668/100*O660,0)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ROUND(S668*$C668/100*S660,0)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 hidden="1">
      <c r="A669" s="308" t="s">
        <v>389</v>
      </c>
      <c r="B669" s="1"/>
      <c r="C669" s="304">
        <f>'Rate Design Work eff 10-14-16'!C668</f>
        <v>8404540.0000000037</v>
      </c>
      <c r="D669" s="359">
        <f>'Rate Design Work eff 10-14-16'!D668</f>
        <v>5.2</v>
      </c>
      <c r="E669" s="308" t="s">
        <v>364</v>
      </c>
      <c r="F669" s="306">
        <f>ROUND(D669*C669/100*$D$660,0)</f>
        <v>-4370</v>
      </c>
      <c r="G669" s="359">
        <f ca="1">G656</f>
        <v>5.2879999999999994</v>
      </c>
      <c r="H669" s="308" t="s">
        <v>364</v>
      </c>
      <c r="I669" s="306">
        <f ca="1">ROUND(G669*$C669/100*G660,0)</f>
        <v>-4444</v>
      </c>
      <c r="J669" s="306"/>
      <c r="K669" s="359" t="str">
        <f>K656</f>
        <v xml:space="preserve"> </v>
      </c>
      <c r="L669" s="308" t="s">
        <v>364</v>
      </c>
      <c r="M669" s="306">
        <f>ROUND(K669*$C669/100*K660,0)</f>
        <v>0</v>
      </c>
      <c r="N669" s="306"/>
      <c r="O669" s="359" t="e">
        <f ca="1">O656</f>
        <v>#REF!</v>
      </c>
      <c r="P669" s="308" t="s">
        <v>364</v>
      </c>
      <c r="Q669" s="306" t="e">
        <f ca="1">ROUND(O669*$C669/100*O660,0)</f>
        <v>#REF!</v>
      </c>
      <c r="R669" s="306"/>
      <c r="S669" s="359" t="e">
        <f ca="1">S656</f>
        <v>#REF!</v>
      </c>
      <c r="T669" s="308" t="s">
        <v>364</v>
      </c>
      <c r="U669" s="306" t="e">
        <f ca="1">ROUND(S669*$C669/100*S660,0)</f>
        <v>#REF!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 hidden="1">
      <c r="A670" s="308" t="s">
        <v>390</v>
      </c>
      <c r="B670" s="1"/>
      <c r="C670" s="304">
        <f>'Rate Design Work eff 10-14-16'!C669</f>
        <v>7796.8333333333294</v>
      </c>
      <c r="D670" s="360">
        <f>'Rate Design Work eff 10-14-16'!D669</f>
        <v>56</v>
      </c>
      <c r="E670" s="308" t="s">
        <v>364</v>
      </c>
      <c r="F670" s="306">
        <f>ROUND(D670*C670/100*$D$660,0)</f>
        <v>-44</v>
      </c>
      <c r="G670" s="360">
        <f ca="1">G657</f>
        <v>57</v>
      </c>
      <c r="H670" s="308" t="s">
        <v>364</v>
      </c>
      <c r="I670" s="306">
        <f ca="1">ROUND(G670*$C670/100*G660,0)</f>
        <v>-44</v>
      </c>
      <c r="J670" s="306"/>
      <c r="K670" s="360" t="str">
        <f>K657</f>
        <v xml:space="preserve"> </v>
      </c>
      <c r="L670" s="308" t="s">
        <v>364</v>
      </c>
      <c r="M670" s="306">
        <f>ROUND(K670*$C670/100*K660,0)</f>
        <v>0</v>
      </c>
      <c r="N670" s="306"/>
      <c r="O670" s="360" t="e">
        <f ca="1">O657</f>
        <v>#DIV/0!</v>
      </c>
      <c r="P670" s="308" t="s">
        <v>364</v>
      </c>
      <c r="Q670" s="306" t="e">
        <f ca="1">ROUND(O670*$C670/100*O660,0)</f>
        <v>#DIV/0!</v>
      </c>
      <c r="R670" s="306"/>
      <c r="S670" s="360" t="e">
        <f ca="1">S657</f>
        <v>#DIV/0!</v>
      </c>
      <c r="T670" s="308" t="s">
        <v>364</v>
      </c>
      <c r="U670" s="306" t="e">
        <f ca="1">ROUND(S670*$C670/100*S660,0)</f>
        <v>#DIV/0!</v>
      </c>
      <c r="X670" s="401"/>
      <c r="Y670" s="74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 hidden="1">
      <c r="A671" s="308" t="s">
        <v>433</v>
      </c>
      <c r="B671" s="1"/>
      <c r="C671" s="304">
        <f>'Rate Design Work eff 10-14-16'!C670</f>
        <v>119.76666666666668</v>
      </c>
      <c r="D671" s="283">
        <f>'Rate Design Work eff 10-14-16'!D670</f>
        <v>60</v>
      </c>
      <c r="E671" s="1"/>
      <c r="F671" s="306">
        <f>ROUND(D671*C671,0)</f>
        <v>7186</v>
      </c>
      <c r="G671" s="283">
        <f>$G$631</f>
        <v>60</v>
      </c>
      <c r="H671" s="1"/>
      <c r="I671" s="306">
        <f>ROUND(G671*$C671,0)</f>
        <v>7186</v>
      </c>
      <c r="J671" s="306"/>
      <c r="K671" s="283" t="str">
        <f>$K$631</f>
        <v xml:space="preserve"> </v>
      </c>
      <c r="L671" s="1"/>
      <c r="M671" s="306">
        <f>ROUND(K671*$C671,0)</f>
        <v>0</v>
      </c>
      <c r="N671" s="306"/>
      <c r="O671" s="283" t="e">
        <f>$O$631</f>
        <v>#DIV/0!</v>
      </c>
      <c r="P671" s="1"/>
      <c r="Q671" s="306" t="e">
        <f>ROUND(O671*$C671,0)</f>
        <v>#DIV/0!</v>
      </c>
      <c r="R671" s="306"/>
      <c r="S671" s="283" t="e">
        <f>$S$631</f>
        <v>#DIV/0!</v>
      </c>
      <c r="T671" s="1"/>
      <c r="U671" s="306" t="e">
        <f>ROUND(S671*$C671,0)</f>
        <v>#DIV/0!</v>
      </c>
      <c r="X671" s="3"/>
      <c r="Y671" s="105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hidden="1">
      <c r="A672" s="308" t="s">
        <v>434</v>
      </c>
      <c r="B672" s="290"/>
      <c r="C672" s="304">
        <f>'Rate Design Work eff 10-14-16'!C671</f>
        <v>51494</v>
      </c>
      <c r="D672" s="324">
        <f>'Rate Design Work eff 10-14-16'!D671</f>
        <v>-30</v>
      </c>
      <c r="E672" s="306" t="s">
        <v>364</v>
      </c>
      <c r="F672" s="306">
        <f>-ROUND(D672*C672*$D$660,0)</f>
        <v>-15448</v>
      </c>
      <c r="G672" s="324">
        <f>$G$632</f>
        <v>-30</v>
      </c>
      <c r="H672" s="306" t="s">
        <v>364</v>
      </c>
      <c r="I672" s="306">
        <f>ROUND(G672*$C672/100,0)</f>
        <v>-15448</v>
      </c>
      <c r="J672" s="306"/>
      <c r="K672" s="324">
        <f>$K$632</f>
        <v>-30</v>
      </c>
      <c r="L672" s="306" t="s">
        <v>364</v>
      </c>
      <c r="M672" s="306">
        <f>ROUND(K672*$C672/100,0)</f>
        <v>-15448</v>
      </c>
      <c r="N672" s="306"/>
      <c r="O672" s="324" t="str">
        <f>$O$632</f>
        <v xml:space="preserve"> </v>
      </c>
      <c r="P672" s="306" t="s">
        <v>364</v>
      </c>
      <c r="Q672" s="306">
        <f>ROUND(O672*$C672/100,0)</f>
        <v>0</v>
      </c>
      <c r="R672" s="306"/>
      <c r="S672" s="324">
        <f>$S$632</f>
        <v>0</v>
      </c>
      <c r="T672" s="306" t="s">
        <v>364</v>
      </c>
      <c r="U672" s="306">
        <f>ROUND(S672*$C672/100,0)</f>
        <v>0</v>
      </c>
      <c r="X672" s="3"/>
      <c r="Y672" s="105"/>
      <c r="Z672" s="7" t="s">
        <v>31</v>
      </c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</row>
    <row r="673" spans="1:44" s="1118" customFormat="1" hidden="1">
      <c r="A673" s="968" t="s">
        <v>882</v>
      </c>
      <c r="C673" s="1122">
        <f>C668</f>
        <v>4148839.9999999972</v>
      </c>
      <c r="D673" s="254">
        <f>'Rate Design Work eff 10-14-16'!D672</f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ROUND(G673*$C673/100*G660,0)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ROUND(K673*$C673/100*K660,0)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ROUND(O673*$C673/100*O660,0)</f>
        <v>0</v>
      </c>
      <c r="R673" s="1000"/>
      <c r="S673" s="1128">
        <f>S658</f>
        <v>0</v>
      </c>
      <c r="T673" s="1000" t="s">
        <v>364</v>
      </c>
      <c r="U673" s="1000">
        <f>ROUND(S673*$C673/100*S660,0)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 s="1118" customFormat="1" hidden="1">
      <c r="A674" s="968" t="s">
        <v>883</v>
      </c>
      <c r="C674" s="1122">
        <f>C669</f>
        <v>8404540.0000000037</v>
      </c>
      <c r="D674" s="254">
        <f>'Rate Design Work eff 10-14-16'!D673</f>
        <v>0</v>
      </c>
      <c r="E674" s="1119"/>
      <c r="F674" s="1123"/>
      <c r="G674" s="1128">
        <f>G659</f>
        <v>0</v>
      </c>
      <c r="H674" s="1000" t="s">
        <v>364</v>
      </c>
      <c r="I674" s="1000">
        <f>ROUND(G674*$C674/100*G660,0)</f>
        <v>0</v>
      </c>
      <c r="J674" s="1000"/>
      <c r="K674" s="1128" t="str">
        <f>K659</f>
        <v xml:space="preserve"> </v>
      </c>
      <c r="L674" s="1000" t="s">
        <v>364</v>
      </c>
      <c r="M674" s="1000">
        <f>ROUND(K674*$C674/100*K660,0)</f>
        <v>0</v>
      </c>
      <c r="N674" s="1000"/>
      <c r="O674" s="1128" t="str">
        <f>O659</f>
        <v xml:space="preserve"> </v>
      </c>
      <c r="P674" s="1000" t="s">
        <v>364</v>
      </c>
      <c r="Q674" s="1000">
        <f>ROUND(O674*$C674/100*O660,0)</f>
        <v>0</v>
      </c>
      <c r="R674" s="1000"/>
      <c r="S674" s="1128">
        <f>S659</f>
        <v>0</v>
      </c>
      <c r="T674" s="1000" t="s">
        <v>364</v>
      </c>
      <c r="U674" s="1000">
        <f>ROUND(S674*$C674/100*S660,0)</f>
        <v>0</v>
      </c>
      <c r="W674" s="1121"/>
      <c r="X674" s="1130"/>
      <c r="Y674" s="1120"/>
      <c r="Z674" s="1125"/>
      <c r="AA674" s="1125"/>
      <c r="AF674" s="1119"/>
      <c r="AG674" s="1119"/>
      <c r="AH674" s="1119"/>
      <c r="AI674" s="1119"/>
      <c r="AJ674" s="1119"/>
      <c r="AK674" s="1119"/>
      <c r="AL674" s="1119"/>
      <c r="AM674" s="1119"/>
      <c r="AN674" s="1119"/>
      <c r="AO674" s="1119"/>
      <c r="AP674" s="1119"/>
      <c r="AR674" s="1124"/>
    </row>
    <row r="675" spans="1:44" hidden="1">
      <c r="A675" s="1" t="s">
        <v>371</v>
      </c>
      <c r="B675" s="292"/>
      <c r="C675" s="304">
        <f>SUM(C655:C656)</f>
        <v>817313563.814906</v>
      </c>
      <c r="D675" s="315"/>
      <c r="E675" s="1"/>
      <c r="F675" s="2">
        <f>SUM(F645:F672)</f>
        <v>63141873</v>
      </c>
      <c r="G675" s="315"/>
      <c r="H675" s="1"/>
      <c r="I675" s="2">
        <f ca="1">SUM(I645:I674)</f>
        <v>64219476</v>
      </c>
      <c r="J675" s="2"/>
      <c r="K675" s="315"/>
      <c r="L675" s="1"/>
      <c r="M675" s="2" t="e">
        <f ca="1">SUM(M645:M674)</f>
        <v>#REF!</v>
      </c>
      <c r="N675" s="2"/>
      <c r="O675" s="315"/>
      <c r="P675" s="1"/>
      <c r="Q675" s="2" t="e">
        <f ca="1">SUM(Q645:Q674)</f>
        <v>#REF!</v>
      </c>
      <c r="R675" s="2"/>
      <c r="S675" s="315"/>
      <c r="T675" s="1"/>
      <c r="U675" s="2" t="e">
        <f ca="1">SUM(U645:U674)</f>
        <v>#REF!</v>
      </c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idden="1">
      <c r="A676" s="1" t="s">
        <v>353</v>
      </c>
      <c r="B676" s="1"/>
      <c r="C676" s="334">
        <f>'Table 2'!H46</f>
        <v>5770845.7835495584</v>
      </c>
      <c r="D676" s="294"/>
      <c r="E676" s="294"/>
      <c r="F676" s="295">
        <f>'Table 3'!E46</f>
        <v>500452.88870847702</v>
      </c>
      <c r="G676" s="294"/>
      <c r="H676" s="294"/>
      <c r="I676" s="295">
        <f>F676</f>
        <v>500452.88870847702</v>
      </c>
      <c r="J676" s="51"/>
      <c r="K676" s="294"/>
      <c r="L676" s="294"/>
      <c r="M676" s="295" t="e">
        <f ca="1">M636/I636*I676</f>
        <v>#DIV/0!</v>
      </c>
      <c r="N676" s="51"/>
      <c r="O676" s="294"/>
      <c r="P676" s="294"/>
      <c r="Q676" s="295" t="e">
        <f ca="1">Q636/I636*I676</f>
        <v>#DIV/0!</v>
      </c>
      <c r="R676" s="51"/>
      <c r="S676" s="294"/>
      <c r="T676" s="294"/>
      <c r="U676" s="295" t="e">
        <f ca="1">U636/I636*I676</f>
        <v>#DIV/0!</v>
      </c>
      <c r="V676" s="429"/>
      <c r="W676" s="272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hidden="1" thickBot="1">
      <c r="A677" s="1" t="s">
        <v>372</v>
      </c>
      <c r="B677" s="1"/>
      <c r="C677" s="351">
        <f>SUM(C675)+C676</f>
        <v>823084409.59845555</v>
      </c>
      <c r="D677" s="327"/>
      <c r="E677" s="330"/>
      <c r="F677" s="329">
        <f>F675+F676</f>
        <v>63642325.88870848</v>
      </c>
      <c r="G677" s="327"/>
      <c r="H677" s="330"/>
      <c r="I677" s="329">
        <f ca="1">I675+I676</f>
        <v>64719928.88870848</v>
      </c>
      <c r="J677" s="307"/>
      <c r="K677" s="327"/>
      <c r="L677" s="330"/>
      <c r="M677" s="329" t="e">
        <f ca="1">M675+M676</f>
        <v>#REF!</v>
      </c>
      <c r="N677" s="329"/>
      <c r="O677" s="327"/>
      <c r="P677" s="330"/>
      <c r="Q677" s="329" t="e">
        <f ca="1">Q675+Q676</f>
        <v>#REF!</v>
      </c>
      <c r="R677" s="329"/>
      <c r="S677" s="327"/>
      <c r="T677" s="330"/>
      <c r="U677" s="329" t="e">
        <f ca="1">U675+U676</f>
        <v>#REF!</v>
      </c>
      <c r="V677" s="396"/>
      <c r="W677" s="455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 ht="16.5" hidden="1" thickTop="1">
      <c r="A678" s="1"/>
      <c r="B678" s="1"/>
      <c r="C678" s="21"/>
      <c r="D678" s="322" t="s">
        <v>31</v>
      </c>
      <c r="E678" s="1"/>
      <c r="F678" s="2"/>
      <c r="G678" s="338" t="s">
        <v>31</v>
      </c>
      <c r="H678" s="1"/>
      <c r="I678" s="2" t="s">
        <v>31</v>
      </c>
      <c r="J678" s="2"/>
      <c r="K678" s="338" t="s">
        <v>31</v>
      </c>
      <c r="L678" s="1"/>
      <c r="M678" s="2" t="s">
        <v>31</v>
      </c>
      <c r="N678" s="2"/>
      <c r="O678" s="338" t="s">
        <v>31</v>
      </c>
      <c r="P678" s="1"/>
      <c r="Q678" s="2" t="s">
        <v>31</v>
      </c>
      <c r="R678" s="2"/>
      <c r="S678" s="338" t="s">
        <v>31</v>
      </c>
      <c r="T678" s="1"/>
      <c r="U678" s="2" t="s">
        <v>31</v>
      </c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 hidden="1">
      <c r="A679" s="278" t="s">
        <v>426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 hidden="1">
      <c r="A680" s="294" t="s">
        <v>436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 hidden="1">
      <c r="A681" s="308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 hidden="1">
      <c r="A682" s="308" t="s">
        <v>383</v>
      </c>
      <c r="B682" s="21"/>
      <c r="C682" s="304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 hidden="1">
      <c r="A683" s="308" t="s">
        <v>411</v>
      </c>
      <c r="B683" s="1"/>
      <c r="C683" s="304">
        <f>'Rate Design Work eff 10-14-16'!C682</f>
        <v>24.6</v>
      </c>
      <c r="D683" s="283">
        <f>'Rate Design Work eff 10-14-16'!D682</f>
        <v>259</v>
      </c>
      <c r="E683" s="308"/>
      <c r="F683" s="306">
        <f>ROUND(D683*C683,0)</f>
        <v>6371</v>
      </c>
      <c r="G683" s="283">
        <f ca="1">$G$603</f>
        <v>264</v>
      </c>
      <c r="H683" s="308"/>
      <c r="I683" s="306">
        <f ca="1">ROUND(G683*$C683,0)</f>
        <v>6494</v>
      </c>
      <c r="J683" s="306"/>
      <c r="K683" s="283">
        <f ca="1">$K$603</f>
        <v>264</v>
      </c>
      <c r="L683" s="308"/>
      <c r="M683" s="306">
        <f ca="1">ROUND(K683*$C683,0)</f>
        <v>6494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 hidden="1">
      <c r="A684" s="308" t="s">
        <v>412</v>
      </c>
      <c r="B684" s="1"/>
      <c r="C684" s="304">
        <f>'Rate Design Work eff 10-14-16'!C683</f>
        <v>807.26666666666597</v>
      </c>
      <c r="D684" s="283">
        <f>'Rate Design Work eff 10-14-16'!D683</f>
        <v>96</v>
      </c>
      <c r="E684" s="308"/>
      <c r="F684" s="306">
        <f>ROUND(D684*C684,0)</f>
        <v>77498</v>
      </c>
      <c r="G684" s="283">
        <f ca="1">$G$604</f>
        <v>98</v>
      </c>
      <c r="H684" s="308"/>
      <c r="I684" s="306">
        <f ca="1">ROUND(G684*$C684,0)</f>
        <v>79112</v>
      </c>
      <c r="J684" s="306"/>
      <c r="K684" s="283">
        <f ca="1">$K$604</f>
        <v>98</v>
      </c>
      <c r="L684" s="308"/>
      <c r="M684" s="306">
        <f ca="1">ROUND(K684*$C684,0)</f>
        <v>79112</v>
      </c>
      <c r="N684" s="306"/>
      <c r="O684" s="283" t="str">
        <f>$O$604</f>
        <v xml:space="preserve"> </v>
      </c>
      <c r="P684" s="308"/>
      <c r="Q684" s="306">
        <f>ROUND(O684*$C684,0)</f>
        <v>0</v>
      </c>
      <c r="R684" s="306"/>
      <c r="S684" s="283" t="str">
        <f>$S$604</f>
        <v xml:space="preserve"> </v>
      </c>
      <c r="T684" s="308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 hidden="1">
      <c r="A685" s="308" t="s">
        <v>413</v>
      </c>
      <c r="B685" s="1"/>
      <c r="C685" s="304">
        <f>'Rate Design Work eff 10-14-16'!C684</f>
        <v>541.26666666666597</v>
      </c>
      <c r="D685" s="283">
        <f>'Rate Design Work eff 10-14-16'!D684</f>
        <v>192</v>
      </c>
      <c r="E685" s="310"/>
      <c r="F685" s="306">
        <f>ROUND(D685*C685,0)</f>
        <v>103923</v>
      </c>
      <c r="G685" s="283">
        <f ca="1">$G$605</f>
        <v>195</v>
      </c>
      <c r="H685" s="310"/>
      <c r="I685" s="306">
        <f ca="1">ROUND(G685*$C685,0)</f>
        <v>105547</v>
      </c>
      <c r="J685" s="306"/>
      <c r="K685" s="283">
        <f ca="1">$K$605</f>
        <v>195</v>
      </c>
      <c r="L685" s="310"/>
      <c r="M685" s="306">
        <f ca="1">ROUND(K685*$C685,0)</f>
        <v>105547</v>
      </c>
      <c r="N685" s="306"/>
      <c r="O685" s="283" t="str">
        <f>$O$605</f>
        <v xml:space="preserve"> </v>
      </c>
      <c r="P685" s="310"/>
      <c r="Q685" s="306">
        <f>ROUND(O685*$C685,0)</f>
        <v>0</v>
      </c>
      <c r="R685" s="306"/>
      <c r="S685" s="283" t="str">
        <f>$S$605</f>
        <v xml:space="preserve"> </v>
      </c>
      <c r="T685" s="310"/>
      <c r="U685" s="306">
        <f>ROUND(S685*$C685,0)</f>
        <v>0</v>
      </c>
      <c r="V685" s="20"/>
      <c r="W685" s="74"/>
      <c r="X685" s="401"/>
      <c r="Y685" s="74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 hidden="1">
      <c r="A686" s="308" t="s">
        <v>384</v>
      </c>
      <c r="B686" s="1"/>
      <c r="C686" s="304">
        <f>SUM(C683:C685)</f>
        <v>1373.1333333333318</v>
      </c>
      <c r="D686" s="283"/>
      <c r="E686" s="308"/>
      <c r="F686" s="306"/>
      <c r="G686" s="283"/>
      <c r="H686" s="308"/>
      <c r="I686" s="306"/>
      <c r="J686" s="306"/>
      <c r="K686" s="283"/>
      <c r="L686" s="308"/>
      <c r="M686" s="306"/>
      <c r="N686" s="306"/>
      <c r="O686" s="283"/>
      <c r="P686" s="308"/>
      <c r="Q686" s="306"/>
      <c r="R686" s="306"/>
      <c r="S686" s="283"/>
      <c r="T686" s="308"/>
      <c r="U686" s="306"/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 hidden="1">
      <c r="A687" s="308" t="s">
        <v>412</v>
      </c>
      <c r="B687" s="1"/>
      <c r="C687" s="304">
        <f>'Rate Design Work eff 10-14-16'!C686</f>
        <v>137328.5</v>
      </c>
      <c r="D687" s="283">
        <f>'Rate Design Work eff 10-14-16'!D686</f>
        <v>1.76</v>
      </c>
      <c r="E687" s="308" t="s">
        <v>31</v>
      </c>
      <c r="F687" s="306">
        <f>ROUND(D687*C687,0)</f>
        <v>241698</v>
      </c>
      <c r="G687" s="283">
        <f ca="1">$G$607</f>
        <v>1.79</v>
      </c>
      <c r="H687" s="308" t="s">
        <v>31</v>
      </c>
      <c r="I687" s="306">
        <f ca="1">ROUND(G687*$C687,0)</f>
        <v>245818</v>
      </c>
      <c r="J687" s="306"/>
      <c r="K687" s="283">
        <f ca="1">$K$607</f>
        <v>1.79</v>
      </c>
      <c r="L687" s="308" t="s">
        <v>31</v>
      </c>
      <c r="M687" s="306">
        <f ca="1">ROUND(K687*$C687,0)</f>
        <v>245818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3"/>
      <c r="Y687" s="105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 hidden="1">
      <c r="A688" s="308" t="s">
        <v>413</v>
      </c>
      <c r="B688" s="1"/>
      <c r="C688" s="304">
        <f>'Rate Design Work eff 10-14-16'!C687</f>
        <v>302902</v>
      </c>
      <c r="D688" s="283">
        <f>'Rate Design Work eff 10-14-16'!D687</f>
        <v>1.44</v>
      </c>
      <c r="E688" s="308" t="s">
        <v>31</v>
      </c>
      <c r="F688" s="306">
        <f>ROUND(D688*C688,0)</f>
        <v>436179</v>
      </c>
      <c r="G688" s="283">
        <f ca="1">$G$608</f>
        <v>1.46</v>
      </c>
      <c r="H688" s="308" t="s">
        <v>31</v>
      </c>
      <c r="I688" s="306">
        <f ca="1">ROUND(G688*$C688,0)</f>
        <v>442237</v>
      </c>
      <c r="J688" s="306"/>
      <c r="K688" s="283">
        <f ca="1">$K$608</f>
        <v>1.46</v>
      </c>
      <c r="L688" s="308" t="s">
        <v>31</v>
      </c>
      <c r="M688" s="306">
        <f ca="1">ROUND(K688*$C688,0)</f>
        <v>442237</v>
      </c>
      <c r="N688" s="306"/>
      <c r="O688" s="283" t="str">
        <f>$O$608</f>
        <v xml:space="preserve"> </v>
      </c>
      <c r="P688" s="308" t="s">
        <v>31</v>
      </c>
      <c r="Q688" s="306">
        <f>ROUND(O688*$C688,0)</f>
        <v>0</v>
      </c>
      <c r="R688" s="306"/>
      <c r="S688" s="283" t="str">
        <f>$S$608</f>
        <v xml:space="preserve"> </v>
      </c>
      <c r="T688" s="308" t="s">
        <v>31</v>
      </c>
      <c r="U688" s="306">
        <f>ROUND(S688*$C688,0)</f>
        <v>0</v>
      </c>
      <c r="V688" s="20"/>
      <c r="W688" s="74"/>
      <c r="X688" s="401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 hidden="1">
      <c r="A689" s="294" t="s">
        <v>414</v>
      </c>
      <c r="B689" s="1"/>
      <c r="C689" s="304"/>
      <c r="D689" s="340"/>
      <c r="E689" s="308"/>
      <c r="F689" s="306"/>
      <c r="G689" s="340"/>
      <c r="H689" s="308"/>
      <c r="I689" s="306"/>
      <c r="J689" s="306"/>
      <c r="K689" s="340"/>
      <c r="L689" s="308"/>
      <c r="M689" s="306"/>
      <c r="N689" s="306"/>
      <c r="O689" s="340"/>
      <c r="P689" s="308"/>
      <c r="Q689" s="306"/>
      <c r="R689" s="306"/>
      <c r="S689" s="340"/>
      <c r="T689" s="308"/>
      <c r="U689" s="306"/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 hidden="1">
      <c r="A690" s="294" t="s">
        <v>415</v>
      </c>
      <c r="B690" s="1"/>
      <c r="C690" s="304">
        <f>'Rate Design Work eff 10-14-16'!C689</f>
        <v>340651</v>
      </c>
      <c r="D690" s="283">
        <f>'Rate Design Work eff 10-14-16'!D689</f>
        <v>5.37</v>
      </c>
      <c r="E690" s="308"/>
      <c r="F690" s="306">
        <f>ROUND(D690*C690,0)</f>
        <v>1829296</v>
      </c>
      <c r="G690" s="283">
        <f ca="1">$G$610</f>
        <v>5.47</v>
      </c>
      <c r="H690" s="308"/>
      <c r="I690" s="306">
        <f ca="1">ROUND(G690*$C690,0)</f>
        <v>1863361</v>
      </c>
      <c r="J690" s="306"/>
      <c r="K690" s="283" t="e">
        <f ca="1">$K$610</f>
        <v>#REF!</v>
      </c>
      <c r="L690" s="308"/>
      <c r="M690" s="306" t="e">
        <f ca="1">ROUND(K690*$C690,0)</f>
        <v>#REF!</v>
      </c>
      <c r="N690" s="306"/>
      <c r="O690" s="283">
        <f>$O$610</f>
        <v>0</v>
      </c>
      <c r="P690" s="308"/>
      <c r="Q690" s="306">
        <f>ROUND(O690*$C690,0)</f>
        <v>0</v>
      </c>
      <c r="R690" s="306"/>
      <c r="S690" s="283">
        <f>$S$610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 hidden="1">
      <c r="A691" s="294" t="s">
        <v>431</v>
      </c>
      <c r="B691" s="1"/>
      <c r="C691" s="304">
        <f>'Rate Design Work eff 10-14-16'!C690</f>
        <v>17.5</v>
      </c>
      <c r="D691" s="354">
        <f>'Rate Design Work eff 10-14-16'!D690</f>
        <v>5.37</v>
      </c>
      <c r="E691" s="308"/>
      <c r="F691" s="306">
        <f>ROUND(D691*C691,0)</f>
        <v>94</v>
      </c>
      <c r="G691" s="354">
        <f ca="1">G690</f>
        <v>5.47</v>
      </c>
      <c r="H691" s="308"/>
      <c r="I691" s="306">
        <f ca="1">ROUND(G691*$C691,0)</f>
        <v>96</v>
      </c>
      <c r="J691" s="306"/>
      <c r="K691" s="354" t="e">
        <f ca="1">K690</f>
        <v>#REF!</v>
      </c>
      <c r="L691" s="308"/>
      <c r="M691" s="306" t="e">
        <f ca="1">ROUND(K691*$C691,0)</f>
        <v>#REF!</v>
      </c>
      <c r="N691" s="306"/>
      <c r="O691" s="354">
        <f>O690</f>
        <v>0</v>
      </c>
      <c r="P691" s="308"/>
      <c r="Q691" s="306">
        <f>ROUND(O691*$C691,0)</f>
        <v>0</v>
      </c>
      <c r="R691" s="306"/>
      <c r="S691" s="354">
        <f>S690</f>
        <v>0</v>
      </c>
      <c r="T691" s="308"/>
      <c r="U691" s="306">
        <f>ROUND(S691*$C691,0)</f>
        <v>0</v>
      </c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 hidden="1">
      <c r="A692" s="308" t="s">
        <v>416</v>
      </c>
      <c r="B692" s="1"/>
      <c r="C692" s="304"/>
      <c r="D692" s="283"/>
      <c r="E692" s="308"/>
      <c r="F692" s="306"/>
      <c r="G692" s="283"/>
      <c r="H692" s="308"/>
      <c r="I692" s="306"/>
      <c r="J692" s="306"/>
      <c r="K692" s="283"/>
      <c r="L692" s="308"/>
      <c r="M692" s="306"/>
      <c r="N692" s="306"/>
      <c r="O692" s="283"/>
      <c r="P692" s="308"/>
      <c r="Q692" s="306"/>
      <c r="R692" s="306"/>
      <c r="S692" s="283"/>
      <c r="T692" s="308"/>
      <c r="U692" s="306"/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 hidden="1">
      <c r="A693" s="308" t="s">
        <v>417</v>
      </c>
      <c r="B693" s="1"/>
      <c r="C693" s="304">
        <f>'Rate Design Work eff 10-14-16'!C692</f>
        <v>41625753.333333328</v>
      </c>
      <c r="D693" s="313">
        <f>'Rate Design Work eff 10-14-16'!D692</f>
        <v>5.6790000000000003</v>
      </c>
      <c r="E693" s="308" t="s">
        <v>364</v>
      </c>
      <c r="F693" s="306">
        <f>ROUND(D693*C693/100,0)</f>
        <v>2363927</v>
      </c>
      <c r="G693" s="312">
        <f ca="1">$G$613</f>
        <v>5.7730000000000006</v>
      </c>
      <c r="H693" s="308" t="s">
        <v>364</v>
      </c>
      <c r="I693" s="306">
        <f ca="1">ROUND(G693*$C693/100,0)</f>
        <v>2403055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 hidden="1">
      <c r="A694" s="308" t="s">
        <v>389</v>
      </c>
      <c r="B694" s="1"/>
      <c r="C694" s="304">
        <f>'Rate Design Work eff 10-14-16'!C693</f>
        <v>63576818.666666672</v>
      </c>
      <c r="D694" s="313">
        <f>'Rate Design Work eff 10-14-16'!D693</f>
        <v>5.2</v>
      </c>
      <c r="E694" s="308" t="s">
        <v>364</v>
      </c>
      <c r="F694" s="306">
        <f>ROUND(D694*C694/100,0)</f>
        <v>3305995</v>
      </c>
      <c r="G694" s="312">
        <f ca="1">$G$614</f>
        <v>5.2879999999999994</v>
      </c>
      <c r="H694" s="308" t="s">
        <v>364</v>
      </c>
      <c r="I694" s="306">
        <f ca="1">ROUND(G694*$C694/100,0)</f>
        <v>3361942</v>
      </c>
      <c r="J694" s="306"/>
      <c r="K694" s="312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312" t="e">
        <f ca="1">$O$614</f>
        <v>#REF!</v>
      </c>
      <c r="P694" s="308" t="s">
        <v>364</v>
      </c>
      <c r="Q694" s="306" t="e">
        <f ca="1">ROUND(O694*$C694/100,0)</f>
        <v>#REF!</v>
      </c>
      <c r="R694" s="306"/>
      <c r="S694" s="312" t="e">
        <f ca="1">$S$614</f>
        <v>#REF!</v>
      </c>
      <c r="T694" s="308" t="s">
        <v>364</v>
      </c>
      <c r="U694" s="306" t="e">
        <f ca="1">ROUND(S694*$C694/100,0)</f>
        <v>#REF!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hidden="1">
      <c r="A695" s="308" t="s">
        <v>390</v>
      </c>
      <c r="B695" s="1"/>
      <c r="C695" s="304">
        <f>'Rate Design Work eff 10-14-16'!C694</f>
        <v>103480.49999999997</v>
      </c>
      <c r="D695" s="956">
        <f>'Rate Design Work eff 10-14-16'!D694</f>
        <v>56</v>
      </c>
      <c r="E695" s="308" t="s">
        <v>364</v>
      </c>
      <c r="F695" s="306">
        <f>ROUND(D695*C695/100,0)</f>
        <v>57949</v>
      </c>
      <c r="G695" s="460">
        <f ca="1">$G$615</f>
        <v>57</v>
      </c>
      <c r="H695" s="308" t="s">
        <v>364</v>
      </c>
      <c r="I695" s="306">
        <f ca="1">ROUND(G695*$C695/100,0)</f>
        <v>58984</v>
      </c>
      <c r="J695" s="306"/>
      <c r="K695" s="460" t="str">
        <f>$K$615</f>
        <v xml:space="preserve"> </v>
      </c>
      <c r="L695" s="308" t="s">
        <v>364</v>
      </c>
      <c r="M695" s="306">
        <f>ROUND(K695*$C695/100,0)</f>
        <v>0</v>
      </c>
      <c r="N695" s="306"/>
      <c r="O695" s="460" t="e">
        <f ca="1">$O$615</f>
        <v>#DIV/0!</v>
      </c>
      <c r="P695" s="308" t="s">
        <v>364</v>
      </c>
      <c r="Q695" s="306" t="e">
        <f ca="1">ROUND(O695*$C695/100,0)</f>
        <v>#DIV/0!</v>
      </c>
      <c r="R695" s="306"/>
      <c r="S695" s="460" t="e">
        <f ca="1">$S$615</f>
        <v>#DIV/0!</v>
      </c>
      <c r="T695" s="308" t="s">
        <v>364</v>
      </c>
      <c r="U695" s="306" t="e">
        <f ca="1">ROUND(S695*$C695/100,0)</f>
        <v>#DIV/0!</v>
      </c>
      <c r="V695" s="20"/>
      <c r="W695" s="74"/>
      <c r="X695" s="74"/>
      <c r="Y695" s="74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</row>
    <row r="696" spans="1:44" s="1118" customFormat="1" hidden="1">
      <c r="A696" s="968" t="s">
        <v>882</v>
      </c>
      <c r="C696" s="1122">
        <f>C693</f>
        <v>41625753.333333328</v>
      </c>
      <c r="D696" s="254">
        <f>'Rate Design Work eff 10-14-16'!D695</f>
        <v>0</v>
      </c>
      <c r="E696" s="1119"/>
      <c r="F696" s="1123"/>
      <c r="G696" s="1128">
        <f>G616</f>
        <v>0</v>
      </c>
      <c r="H696" s="1000" t="s">
        <v>364</v>
      </c>
      <c r="I696" s="1000">
        <f t="shared" ref="I696:I697" si="135">ROUND(G696*$C696/100,0)</f>
        <v>0</v>
      </c>
      <c r="J696" s="1000"/>
      <c r="K696" s="1128" t="str">
        <f>K616</f>
        <v xml:space="preserve"> </v>
      </c>
      <c r="L696" s="1000" t="s">
        <v>364</v>
      </c>
      <c r="M696" s="1000">
        <f t="shared" ref="M696:M697" si="136">ROUND(K696*$C696/100,0)</f>
        <v>0</v>
      </c>
      <c r="N696" s="1000"/>
      <c r="O696" s="1128" t="str">
        <f>O616</f>
        <v xml:space="preserve"> </v>
      </c>
      <c r="P696" s="1000" t="s">
        <v>364</v>
      </c>
      <c r="Q696" s="1000">
        <f t="shared" ref="Q696:Q697" si="137">ROUND(O696*$C696/100,0)</f>
        <v>0</v>
      </c>
      <c r="R696" s="1000"/>
      <c r="S696" s="1128">
        <f>S616</f>
        <v>0</v>
      </c>
      <c r="T696" s="1000" t="s">
        <v>364</v>
      </c>
      <c r="U696" s="1000">
        <f t="shared" ref="U696:U697" si="138">ROUND(S696*$C696/100,0)</f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 s="1118" customFormat="1" hidden="1">
      <c r="A697" s="968" t="s">
        <v>883</v>
      </c>
      <c r="C697" s="1122">
        <f>C694</f>
        <v>63576818.666666672</v>
      </c>
      <c r="D697" s="254">
        <f>'Rate Design Work eff 10-14-16'!D696</f>
        <v>0</v>
      </c>
      <c r="E697" s="1119"/>
      <c r="F697" s="1123"/>
      <c r="G697" s="1128">
        <f>G617</f>
        <v>0</v>
      </c>
      <c r="H697" s="1000" t="s">
        <v>364</v>
      </c>
      <c r="I697" s="1000">
        <f t="shared" si="135"/>
        <v>0</v>
      </c>
      <c r="J697" s="1000"/>
      <c r="K697" s="1128" t="str">
        <f>K617</f>
        <v xml:space="preserve"> </v>
      </c>
      <c r="L697" s="1000" t="s">
        <v>364</v>
      </c>
      <c r="M697" s="1000">
        <f t="shared" si="136"/>
        <v>0</v>
      </c>
      <c r="N697" s="1000"/>
      <c r="O697" s="1128" t="str">
        <f>O617</f>
        <v xml:space="preserve"> </v>
      </c>
      <c r="P697" s="1000" t="s">
        <v>364</v>
      </c>
      <c r="Q697" s="1000">
        <f t="shared" si="137"/>
        <v>0</v>
      </c>
      <c r="R697" s="1000"/>
      <c r="S697" s="1128">
        <f>S617</f>
        <v>0</v>
      </c>
      <c r="T697" s="1000" t="s">
        <v>364</v>
      </c>
      <c r="U697" s="1000">
        <f t="shared" si="138"/>
        <v>0</v>
      </c>
      <c r="W697" s="784"/>
      <c r="Z697" s="1125"/>
      <c r="AA697" s="1125"/>
      <c r="AF697" s="1119"/>
      <c r="AG697" s="1119"/>
      <c r="AH697" s="1119"/>
      <c r="AI697" s="1119"/>
      <c r="AJ697" s="1119"/>
      <c r="AK697" s="1119"/>
      <c r="AL697" s="1119"/>
      <c r="AM697" s="1119"/>
      <c r="AN697" s="1119"/>
      <c r="AO697" s="1119"/>
      <c r="AP697" s="1119"/>
      <c r="AR697" s="1124"/>
    </row>
    <row r="698" spans="1:44" hidden="1">
      <c r="A698" s="345" t="s">
        <v>391</v>
      </c>
      <c r="B698" s="1"/>
      <c r="C698" s="304"/>
      <c r="D698" s="317">
        <f>'Rate Design Work eff 10-14-16'!D697</f>
        <v>-0.01</v>
      </c>
      <c r="E698" s="1"/>
      <c r="F698" s="306"/>
      <c r="G698" s="317">
        <v>-0.01</v>
      </c>
      <c r="H698" s="1"/>
      <c r="I698" s="306"/>
      <c r="J698" s="306"/>
      <c r="K698" s="317">
        <v>-0.01</v>
      </c>
      <c r="L698" s="1"/>
      <c r="M698" s="306"/>
      <c r="N698" s="306"/>
      <c r="O698" s="317">
        <v>-0.01</v>
      </c>
      <c r="P698" s="1"/>
      <c r="Q698" s="306"/>
      <c r="R698" s="306"/>
      <c r="S698" s="317">
        <v>-0.01</v>
      </c>
      <c r="T698" s="1"/>
      <c r="U698" s="306"/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 hidden="1">
      <c r="A699" s="308" t="s">
        <v>411</v>
      </c>
      <c r="B699" s="1"/>
      <c r="C699" s="304">
        <f>'Rate Design Work eff 10-14-16'!C698</f>
        <v>0</v>
      </c>
      <c r="D699" s="289">
        <f>'Rate Design Work eff 10-14-16'!D698</f>
        <v>259</v>
      </c>
      <c r="E699" s="278"/>
      <c r="F699" s="306">
        <f t="shared" ref="F699:F705" si="139">ROUND(D699*C699*$D$660,0)</f>
        <v>0</v>
      </c>
      <c r="G699" s="289">
        <f ca="1">G683</f>
        <v>264</v>
      </c>
      <c r="H699" s="278"/>
      <c r="I699" s="306">
        <f ca="1">ROUND(G699*$C699*G698,0)</f>
        <v>0</v>
      </c>
      <c r="J699" s="306"/>
      <c r="K699" s="289">
        <f ca="1">K683</f>
        <v>264</v>
      </c>
      <c r="L699" s="278"/>
      <c r="M699" s="306">
        <f ca="1">ROUND(K699*$C699*K698,0)</f>
        <v>0</v>
      </c>
      <c r="N699" s="306"/>
      <c r="O699" s="289" t="str">
        <f>O683</f>
        <v xml:space="preserve"> </v>
      </c>
      <c r="P699" s="278"/>
      <c r="Q699" s="306">
        <f>ROUND(O699*$C699*O698,0)</f>
        <v>0</v>
      </c>
      <c r="R699" s="306"/>
      <c r="S699" s="289" t="str">
        <f>S683</f>
        <v xml:space="preserve"> </v>
      </c>
      <c r="T699" s="278"/>
      <c r="U699" s="306">
        <f>ROUND(S699*$C699*S698,0)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 hidden="1">
      <c r="A700" s="308" t="s">
        <v>412</v>
      </c>
      <c r="B700" s="1"/>
      <c r="C700" s="304">
        <f>'Rate Design Work eff 10-14-16'!C699</f>
        <v>16.2</v>
      </c>
      <c r="D700" s="289">
        <f>'Rate Design Work eff 10-14-16'!D699</f>
        <v>96</v>
      </c>
      <c r="E700" s="278"/>
      <c r="F700" s="306">
        <f t="shared" si="139"/>
        <v>-16</v>
      </c>
      <c r="G700" s="289">
        <f ca="1">G684</f>
        <v>98</v>
      </c>
      <c r="H700" s="278"/>
      <c r="I700" s="306">
        <f ca="1">ROUND(G700*$C700*G698,0)</f>
        <v>-16</v>
      </c>
      <c r="J700" s="306"/>
      <c r="K700" s="289">
        <f ca="1">K684</f>
        <v>98</v>
      </c>
      <c r="L700" s="278"/>
      <c r="M700" s="306">
        <f ca="1">ROUND(K700*$C700*K698,0)</f>
        <v>-16</v>
      </c>
      <c r="N700" s="306"/>
      <c r="O700" s="289" t="str">
        <f>O684</f>
        <v xml:space="preserve"> </v>
      </c>
      <c r="P700" s="278"/>
      <c r="Q700" s="306">
        <f>ROUND(O700*$C700*O698,0)</f>
        <v>0</v>
      </c>
      <c r="R700" s="306"/>
      <c r="S700" s="289" t="str">
        <f>S684</f>
        <v xml:space="preserve"> </v>
      </c>
      <c r="T700" s="278"/>
      <c r="U700" s="306">
        <f>ROUND(S700*$C700*S698,0)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 hidden="1">
      <c r="A701" s="308" t="s">
        <v>413</v>
      </c>
      <c r="B701" s="1"/>
      <c r="C701" s="304">
        <f>'Rate Design Work eff 10-14-16'!C700</f>
        <v>0</v>
      </c>
      <c r="D701" s="289">
        <f>'Rate Design Work eff 10-14-16'!D700</f>
        <v>192</v>
      </c>
      <c r="E701" s="358"/>
      <c r="F701" s="306">
        <f t="shared" si="139"/>
        <v>0</v>
      </c>
      <c r="G701" s="289">
        <f ca="1">G685</f>
        <v>195</v>
      </c>
      <c r="H701" s="358"/>
      <c r="I701" s="306">
        <f ca="1">ROUND(G701*$C701*G698,0)</f>
        <v>0</v>
      </c>
      <c r="J701" s="306"/>
      <c r="K701" s="289">
        <f ca="1">K685</f>
        <v>195</v>
      </c>
      <c r="L701" s="358"/>
      <c r="M701" s="306">
        <f ca="1">ROUND(K701*$C701*K698,0)</f>
        <v>0</v>
      </c>
      <c r="N701" s="306"/>
      <c r="O701" s="289" t="str">
        <f>O685</f>
        <v xml:space="preserve"> </v>
      </c>
      <c r="P701" s="358"/>
      <c r="Q701" s="306">
        <f>ROUND(O701*$C701*O698,0)</f>
        <v>0</v>
      </c>
      <c r="R701" s="306"/>
      <c r="S701" s="289" t="str">
        <f>S685</f>
        <v xml:space="preserve"> </v>
      </c>
      <c r="T701" s="358"/>
      <c r="U701" s="306">
        <f>ROUND(S701*$C701*S698,0)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 hidden="1">
      <c r="A702" s="308" t="s">
        <v>412</v>
      </c>
      <c r="B702" s="1"/>
      <c r="C702" s="304">
        <f>'Rate Design Work eff 10-14-16'!C701</f>
        <v>2032</v>
      </c>
      <c r="D702" s="289">
        <f>'Rate Design Work eff 10-14-16'!D701</f>
        <v>1.76</v>
      </c>
      <c r="E702" s="278"/>
      <c r="F702" s="306">
        <f t="shared" si="139"/>
        <v>-36</v>
      </c>
      <c r="G702" s="289">
        <f ca="1">G687</f>
        <v>1.79</v>
      </c>
      <c r="H702" s="278"/>
      <c r="I702" s="306">
        <f ca="1">ROUND(G702*$C702*G698,0)</f>
        <v>-36</v>
      </c>
      <c r="J702" s="306"/>
      <c r="K702" s="289">
        <f ca="1">K687</f>
        <v>1.79</v>
      </c>
      <c r="L702" s="278"/>
      <c r="M702" s="306">
        <f ca="1">ROUND(K702*$C702*K698,0)</f>
        <v>-36</v>
      </c>
      <c r="N702" s="306"/>
      <c r="O702" s="289" t="str">
        <f>O687</f>
        <v xml:space="preserve"> </v>
      </c>
      <c r="P702" s="278"/>
      <c r="Q702" s="306">
        <f>ROUND(O702*$C702*O698,0)</f>
        <v>0</v>
      </c>
      <c r="R702" s="306"/>
      <c r="S702" s="289" t="str">
        <f>S687</f>
        <v xml:space="preserve"> </v>
      </c>
      <c r="T702" s="278"/>
      <c r="U702" s="306">
        <f>ROUND(S702*$C702*S698,0)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 hidden="1">
      <c r="A703" s="308" t="s">
        <v>413</v>
      </c>
      <c r="B703" s="1"/>
      <c r="C703" s="304">
        <f>'Rate Design Work eff 10-14-16'!C702</f>
        <v>0</v>
      </c>
      <c r="D703" s="289">
        <f>'Rate Design Work eff 10-14-16'!D702</f>
        <v>1.44</v>
      </c>
      <c r="E703" s="278"/>
      <c r="F703" s="306">
        <f t="shared" si="139"/>
        <v>0</v>
      </c>
      <c r="G703" s="289">
        <f ca="1">G688</f>
        <v>1.46</v>
      </c>
      <c r="H703" s="278"/>
      <c r="I703" s="306">
        <f ca="1">ROUND(G703*$C703*G698,0)</f>
        <v>0</v>
      </c>
      <c r="J703" s="306"/>
      <c r="K703" s="289">
        <f ca="1">K688</f>
        <v>1.46</v>
      </c>
      <c r="L703" s="278"/>
      <c r="M703" s="306">
        <f ca="1">ROUND(K703*$C703*K698,0)</f>
        <v>0</v>
      </c>
      <c r="N703" s="306"/>
      <c r="O703" s="289" t="str">
        <f>O688</f>
        <v xml:space="preserve"> </v>
      </c>
      <c r="P703" s="278"/>
      <c r="Q703" s="306">
        <f>ROUND(O703*$C703*O698,0)</f>
        <v>0</v>
      </c>
      <c r="R703" s="306"/>
      <c r="S703" s="289" t="str">
        <f>S688</f>
        <v xml:space="preserve"> </v>
      </c>
      <c r="T703" s="278"/>
      <c r="U703" s="306">
        <f>ROUND(S703*$C703*S698,0)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 hidden="1">
      <c r="A704" s="294" t="s">
        <v>415</v>
      </c>
      <c r="B704" s="1"/>
      <c r="C704" s="304">
        <f>'Rate Design Work eff 10-14-16'!C703</f>
        <v>1286</v>
      </c>
      <c r="D704" s="289">
        <f>'Rate Design Work eff 10-14-16'!D703</f>
        <v>5.37</v>
      </c>
      <c r="E704" s="278"/>
      <c r="F704" s="306">
        <f t="shared" si="139"/>
        <v>-69</v>
      </c>
      <c r="G704" s="289">
        <f ca="1">G690</f>
        <v>5.47</v>
      </c>
      <c r="H704" s="278"/>
      <c r="I704" s="306">
        <f ca="1">ROUND(G704*$C704*G698,0)</f>
        <v>-70</v>
      </c>
      <c r="J704" s="306"/>
      <c r="K704" s="289" t="e">
        <f ca="1">K690</f>
        <v>#REF!</v>
      </c>
      <c r="L704" s="278"/>
      <c r="M704" s="306" t="e">
        <f ca="1">ROUND(K704*$C704*K698,0)</f>
        <v>#REF!</v>
      </c>
      <c r="N704" s="306"/>
      <c r="O704" s="289">
        <f>O690</f>
        <v>0</v>
      </c>
      <c r="P704" s="278"/>
      <c r="Q704" s="306">
        <f>ROUND(O704*$C704*O698,0)</f>
        <v>0</v>
      </c>
      <c r="R704" s="306"/>
      <c r="S704" s="289">
        <f>S690</f>
        <v>0</v>
      </c>
      <c r="T704" s="278"/>
      <c r="U704" s="306">
        <f>ROUND(S704*$C704*S698,0)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 hidden="1">
      <c r="A705" s="294" t="s">
        <v>431</v>
      </c>
      <c r="B705" s="1"/>
      <c r="C705" s="304">
        <f>'Rate Design Work eff 10-14-16'!C704</f>
        <v>0</v>
      </c>
      <c r="D705" s="289">
        <f>'Rate Design Work eff 10-14-16'!D704</f>
        <v>5.37</v>
      </c>
      <c r="E705" s="278"/>
      <c r="F705" s="306">
        <f t="shared" si="139"/>
        <v>0</v>
      </c>
      <c r="G705" s="289">
        <f ca="1">G691</f>
        <v>5.47</v>
      </c>
      <c r="H705" s="278"/>
      <c r="I705" s="306">
        <f ca="1">ROUND(G705*$C705*G698,0)</f>
        <v>0</v>
      </c>
      <c r="J705" s="306"/>
      <c r="K705" s="289" t="e">
        <f ca="1">K691</f>
        <v>#REF!</v>
      </c>
      <c r="L705" s="278"/>
      <c r="M705" s="306" t="e">
        <f ca="1">ROUND(K705*$C705*K698,0)</f>
        <v>#REF!</v>
      </c>
      <c r="N705" s="306"/>
      <c r="O705" s="289">
        <f>O691</f>
        <v>0</v>
      </c>
      <c r="P705" s="278"/>
      <c r="Q705" s="306">
        <f>ROUND(O705*$C705*O698,0)</f>
        <v>0</v>
      </c>
      <c r="R705" s="306"/>
      <c r="S705" s="289">
        <f>S691</f>
        <v>0</v>
      </c>
      <c r="T705" s="278"/>
      <c r="U705" s="306">
        <f>ROUND(S705*$C705*S698,0)</f>
        <v>0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 hidden="1">
      <c r="A706" s="308" t="s">
        <v>417</v>
      </c>
      <c r="B706" s="1"/>
      <c r="C706" s="304">
        <f>'Rate Design Work eff 10-14-16'!C705</f>
        <v>490733.33333333302</v>
      </c>
      <c r="D706" s="359">
        <f>'Rate Design Work eff 10-14-16'!D705</f>
        <v>5.6790000000000003</v>
      </c>
      <c r="E706" s="308" t="s">
        <v>364</v>
      </c>
      <c r="F706" s="306">
        <f>ROUND(D706*C706/100*$D$660,0)</f>
        <v>-279</v>
      </c>
      <c r="G706" s="359">
        <f ca="1">G693</f>
        <v>5.7730000000000006</v>
      </c>
      <c r="H706" s="308" t="s">
        <v>364</v>
      </c>
      <c r="I706" s="306">
        <f ca="1">ROUND(G706*$C706/100*G698,0)</f>
        <v>-283</v>
      </c>
      <c r="J706" s="306"/>
      <c r="K706" s="359" t="str">
        <f>K693</f>
        <v xml:space="preserve"> </v>
      </c>
      <c r="L706" s="308" t="s">
        <v>364</v>
      </c>
      <c r="M706" s="306">
        <f>ROUND(K706*$C706/100*K698,0)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ROUND(O706*$C706/100*O698,0)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ROUND(S706*$C706/100*S698,0)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 hidden="1">
      <c r="A707" s="308" t="s">
        <v>389</v>
      </c>
      <c r="B707" s="1"/>
      <c r="C707" s="304">
        <f>'Rate Design Work eff 10-14-16'!C706</f>
        <v>21066.666666666977</v>
      </c>
      <c r="D707" s="359">
        <f>'Rate Design Work eff 10-14-16'!D706</f>
        <v>5.2</v>
      </c>
      <c r="E707" s="308" t="s">
        <v>364</v>
      </c>
      <c r="F707" s="306">
        <f>ROUND(D707*C707/100*$D$660,0)</f>
        <v>-11</v>
      </c>
      <c r="G707" s="359">
        <f ca="1">G694</f>
        <v>5.2879999999999994</v>
      </c>
      <c r="H707" s="308" t="s">
        <v>364</v>
      </c>
      <c r="I707" s="306">
        <f ca="1">ROUND(G707*$C707/100*G698,0)</f>
        <v>-11</v>
      </c>
      <c r="J707" s="306"/>
      <c r="K707" s="359" t="str">
        <f>K694</f>
        <v xml:space="preserve"> </v>
      </c>
      <c r="L707" s="308" t="s">
        <v>364</v>
      </c>
      <c r="M707" s="306">
        <f>ROUND(K707*$C707/100*K698,0)</f>
        <v>0</v>
      </c>
      <c r="N707" s="306"/>
      <c r="O707" s="359" t="e">
        <f ca="1">O694</f>
        <v>#REF!</v>
      </c>
      <c r="P707" s="308" t="s">
        <v>364</v>
      </c>
      <c r="Q707" s="306" t="e">
        <f ca="1">ROUND(O707*$C707/100*O698,0)</f>
        <v>#REF!</v>
      </c>
      <c r="R707" s="306"/>
      <c r="S707" s="359" t="e">
        <f ca="1">S694</f>
        <v>#REF!</v>
      </c>
      <c r="T707" s="308" t="s">
        <v>364</v>
      </c>
      <c r="U707" s="306" t="e">
        <f ca="1">ROUND(S707*$C707/100*S698,0)</f>
        <v>#REF!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 hidden="1">
      <c r="A708" s="308" t="s">
        <v>390</v>
      </c>
      <c r="B708" s="1"/>
      <c r="C708" s="304">
        <f>'Rate Design Work eff 10-14-16'!C707</f>
        <v>955.13333333333298</v>
      </c>
      <c r="D708" s="360">
        <f>'Rate Design Work eff 10-14-16'!D707</f>
        <v>56</v>
      </c>
      <c r="E708" s="308" t="s">
        <v>364</v>
      </c>
      <c r="F708" s="306">
        <f>ROUND(D708*C708/100*$D$660,0)</f>
        <v>-5</v>
      </c>
      <c r="G708" s="360">
        <f ca="1">G695</f>
        <v>57</v>
      </c>
      <c r="H708" s="308" t="s">
        <v>364</v>
      </c>
      <c r="I708" s="306">
        <f ca="1">ROUND(G708*$C708/100*G698,0)</f>
        <v>-5</v>
      </c>
      <c r="J708" s="306"/>
      <c r="K708" s="360" t="str">
        <f>K695</f>
        <v xml:space="preserve"> </v>
      </c>
      <c r="L708" s="308" t="s">
        <v>364</v>
      </c>
      <c r="M708" s="306">
        <f>ROUND(K708*$C708/100*K698,0)</f>
        <v>0</v>
      </c>
      <c r="N708" s="306"/>
      <c r="O708" s="360" t="e">
        <f ca="1">O695</f>
        <v>#DIV/0!</v>
      </c>
      <c r="P708" s="308" t="s">
        <v>364</v>
      </c>
      <c r="Q708" s="306" t="e">
        <f ca="1">ROUND(O708*$C708/100*O698,0)</f>
        <v>#DIV/0!</v>
      </c>
      <c r="R708" s="306"/>
      <c r="S708" s="360" t="e">
        <f ca="1">S695</f>
        <v>#DIV/0!</v>
      </c>
      <c r="T708" s="308" t="s">
        <v>364</v>
      </c>
      <c r="U708" s="306" t="e">
        <f ca="1">ROUND(S708*$C708/100*S698,0)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 hidden="1">
      <c r="A709" s="308" t="s">
        <v>433</v>
      </c>
      <c r="B709" s="1"/>
      <c r="C709" s="304">
        <f>'Rate Design Work eff 10-14-16'!C708</f>
        <v>16.2</v>
      </c>
      <c r="D709" s="283">
        <f>'Rate Design Work eff 10-14-16'!D708</f>
        <v>60</v>
      </c>
      <c r="E709" s="1"/>
      <c r="F709" s="306">
        <f>ROUND(D709*C709,0)</f>
        <v>972</v>
      </c>
      <c r="G709" s="283">
        <f>$G$631</f>
        <v>60</v>
      </c>
      <c r="H709" s="1"/>
      <c r="I709" s="306">
        <f>ROUND(G709*$C709,0)</f>
        <v>972</v>
      </c>
      <c r="J709" s="306"/>
      <c r="K709" s="283" t="str">
        <f>$K$631</f>
        <v xml:space="preserve"> </v>
      </c>
      <c r="L709" s="1"/>
      <c r="M709" s="306">
        <f>ROUND(K709*$C709,0)</f>
        <v>0</v>
      </c>
      <c r="N709" s="306"/>
      <c r="O709" s="283" t="e">
        <f>$O$631</f>
        <v>#DIV/0!</v>
      </c>
      <c r="P709" s="1"/>
      <c r="Q709" s="306" t="e">
        <f>ROUND(O709*$C709,0)</f>
        <v>#DIV/0!</v>
      </c>
      <c r="R709" s="306"/>
      <c r="S709" s="283" t="e">
        <f>$S$631</f>
        <v>#DIV/0!</v>
      </c>
      <c r="T709" s="1"/>
      <c r="U709" s="306" t="e">
        <f>ROUND(S709*$C709,0)</f>
        <v>#DIV/0!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hidden="1">
      <c r="A710" s="308" t="s">
        <v>434</v>
      </c>
      <c r="B710" s="1"/>
      <c r="C710" s="304">
        <f>'Rate Design Work eff 10-14-16'!C709</f>
        <v>2032</v>
      </c>
      <c r="D710" s="324">
        <f>'Rate Design Work eff 10-14-16'!D709</f>
        <v>-30</v>
      </c>
      <c r="E710" s="306" t="s">
        <v>364</v>
      </c>
      <c r="F710" s="306">
        <f>-ROUND(D710*C710*$D$660,0)</f>
        <v>-610</v>
      </c>
      <c r="G710" s="324">
        <f>$G$632</f>
        <v>-30</v>
      </c>
      <c r="H710" s="306" t="s">
        <v>364</v>
      </c>
      <c r="I710" s="306">
        <f>ROUND(G710*$C710/100,0)</f>
        <v>-610</v>
      </c>
      <c r="J710" s="306"/>
      <c r="K710" s="324">
        <f>$K$632</f>
        <v>-30</v>
      </c>
      <c r="L710" s="306" t="s">
        <v>364</v>
      </c>
      <c r="M710" s="306">
        <f>ROUND(K710*$C710/100,0)</f>
        <v>-610</v>
      </c>
      <c r="N710" s="306"/>
      <c r="O710" s="324" t="str">
        <f>$O$632</f>
        <v xml:space="preserve"> </v>
      </c>
      <c r="P710" s="306" t="s">
        <v>364</v>
      </c>
      <c r="Q710" s="306">
        <f>ROUND(O710*$C710/100,0)</f>
        <v>0</v>
      </c>
      <c r="R710" s="306"/>
      <c r="S710" s="324">
        <f>$S$632</f>
        <v>0</v>
      </c>
      <c r="T710" s="306" t="s">
        <v>364</v>
      </c>
      <c r="U710" s="306">
        <f>ROUND(S710*$C710/100,0)</f>
        <v>0</v>
      </c>
      <c r="V710" s="20"/>
      <c r="W710" s="74"/>
      <c r="X710" s="74"/>
      <c r="Y710" s="74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</row>
    <row r="711" spans="1:44" s="1118" customFormat="1" hidden="1">
      <c r="A711" s="968" t="s">
        <v>882</v>
      </c>
      <c r="C711" s="1122">
        <f>C706</f>
        <v>490733.33333333302</v>
      </c>
      <c r="D711" s="254">
        <f>'Rate Design Work eff 10-14-16'!D710</f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ROUND(G711*$C711/100*G698,0)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ROUND(K711*$C711/100*K698,0)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ROUND(O711*$C711/100*O698,0)</f>
        <v>0</v>
      </c>
      <c r="R711" s="1000"/>
      <c r="S711" s="1128">
        <f>S696</f>
        <v>0</v>
      </c>
      <c r="T711" s="1000" t="s">
        <v>364</v>
      </c>
      <c r="U711" s="1000">
        <f>ROUND(S711*$C711/100*S698,0)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 s="1118" customFormat="1" hidden="1">
      <c r="A712" s="968" t="s">
        <v>883</v>
      </c>
      <c r="C712" s="1122">
        <f>C707</f>
        <v>21066.666666666977</v>
      </c>
      <c r="D712" s="254">
        <f>'Rate Design Work eff 10-14-16'!D711</f>
        <v>0</v>
      </c>
      <c r="E712" s="1119"/>
      <c r="F712" s="1123"/>
      <c r="G712" s="1128">
        <f>G697</f>
        <v>0</v>
      </c>
      <c r="H712" s="1000" t="s">
        <v>364</v>
      </c>
      <c r="I712" s="1000">
        <f>ROUND(G712*$C712/100*G698,0)</f>
        <v>0</v>
      </c>
      <c r="J712" s="1000"/>
      <c r="K712" s="1128" t="str">
        <f>K697</f>
        <v xml:space="preserve"> </v>
      </c>
      <c r="L712" s="1000" t="s">
        <v>364</v>
      </c>
      <c r="M712" s="1000">
        <f>ROUND(K712*$C712/100*K698,0)</f>
        <v>0</v>
      </c>
      <c r="N712" s="1000"/>
      <c r="O712" s="1128" t="str">
        <f>O697</f>
        <v xml:space="preserve"> </v>
      </c>
      <c r="P712" s="1000" t="s">
        <v>364</v>
      </c>
      <c r="Q712" s="1000">
        <f>ROUND(O712*$C712/100*O698,0)</f>
        <v>0</v>
      </c>
      <c r="R712" s="1000"/>
      <c r="S712" s="1128">
        <f>S697</f>
        <v>0</v>
      </c>
      <c r="T712" s="1000" t="s">
        <v>364</v>
      </c>
      <c r="U712" s="1000">
        <f>ROUND(S712*$C712/100*S698,0)</f>
        <v>0</v>
      </c>
      <c r="W712" s="784"/>
      <c r="Z712" s="1125"/>
      <c r="AA712" s="1125"/>
      <c r="AF712" s="1119"/>
      <c r="AG712" s="1119"/>
      <c r="AH712" s="1119"/>
      <c r="AI712" s="1119"/>
      <c r="AJ712" s="1119"/>
      <c r="AK712" s="1119"/>
      <c r="AL712" s="1119"/>
      <c r="AM712" s="1119"/>
      <c r="AN712" s="1119"/>
      <c r="AO712" s="1119"/>
      <c r="AP712" s="1119"/>
      <c r="AR712" s="1124"/>
    </row>
    <row r="713" spans="1:44" hidden="1">
      <c r="A713" s="1" t="s">
        <v>371</v>
      </c>
      <c r="B713" s="1"/>
      <c r="C713" s="304">
        <f>SUM(C693:C694)</f>
        <v>105202572</v>
      </c>
      <c r="D713" s="315"/>
      <c r="E713" s="1"/>
      <c r="F713" s="2">
        <f>SUM(F683:F710)</f>
        <v>8422876</v>
      </c>
      <c r="G713" s="315"/>
      <c r="H713" s="1"/>
      <c r="I713" s="2">
        <f ca="1">SUM(I683:I712)</f>
        <v>8566587</v>
      </c>
      <c r="J713" s="2"/>
      <c r="K713" s="315"/>
      <c r="L713" s="1"/>
      <c r="M713" s="2" t="e">
        <f ca="1">SUM(M683:M712)</f>
        <v>#REF!</v>
      </c>
      <c r="N713" s="2"/>
      <c r="O713" s="315"/>
      <c r="P713" s="1"/>
      <c r="Q713" s="2" t="e">
        <f ca="1">SUM(Q683:Q712)</f>
        <v>#REF!</v>
      </c>
      <c r="R713" s="2"/>
      <c r="S713" s="315"/>
      <c r="T713" s="1"/>
      <c r="U713" s="2" t="e">
        <f ca="1">SUM(U683:U712)</f>
        <v>#REF!</v>
      </c>
      <c r="V713" s="20"/>
      <c r="W713" s="74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idden="1">
      <c r="A714" s="1" t="s">
        <v>353</v>
      </c>
      <c r="B714" s="1"/>
      <c r="C714" s="334">
        <f ca="1">'Table 2'!H76</f>
        <v>327096.30737224856</v>
      </c>
      <c r="D714" s="294"/>
      <c r="E714" s="294"/>
      <c r="F714" s="295">
        <f ca="1">'Table 3'!E76</f>
        <v>26533.50156434354</v>
      </c>
      <c r="G714" s="294"/>
      <c r="H714" s="294"/>
      <c r="I714" s="295">
        <f ca="1">F714</f>
        <v>26533.50156434354</v>
      </c>
      <c r="J714" s="51"/>
      <c r="K714" s="294"/>
      <c r="L714" s="294"/>
      <c r="M714" s="295" t="e">
        <f ca="1">M636/I636*I714</f>
        <v>#DIV/0!</v>
      </c>
      <c r="N714" s="51"/>
      <c r="O714" s="294"/>
      <c r="P714" s="294"/>
      <c r="Q714" s="295" t="e">
        <f ca="1">Q636/I636*I714</f>
        <v>#DIV/0!</v>
      </c>
      <c r="R714" s="51"/>
      <c r="S714" s="294"/>
      <c r="T714" s="294"/>
      <c r="U714" s="295" t="e">
        <f ca="1">U636/I636*I714</f>
        <v>#DIV/0!</v>
      </c>
      <c r="V714" s="429"/>
      <c r="W714" s="272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hidden="1" thickBot="1">
      <c r="A715" s="1" t="s">
        <v>372</v>
      </c>
      <c r="B715" s="1"/>
      <c r="C715" s="351">
        <f ca="1">SUM(C713)+C714</f>
        <v>105529668.30737224</v>
      </c>
      <c r="D715" s="327"/>
      <c r="E715" s="330"/>
      <c r="F715" s="329">
        <f ca="1">F713+F714</f>
        <v>8449409.5015643444</v>
      </c>
      <c r="G715" s="327"/>
      <c r="H715" s="330"/>
      <c r="I715" s="329">
        <f ca="1">I713+I714</f>
        <v>8593120.5015643444</v>
      </c>
      <c r="J715" s="307"/>
      <c r="K715" s="327"/>
      <c r="L715" s="330"/>
      <c r="M715" s="329" t="e">
        <f ca="1">M713+M714</f>
        <v>#REF!</v>
      </c>
      <c r="N715" s="329"/>
      <c r="O715" s="327"/>
      <c r="P715" s="330"/>
      <c r="Q715" s="329" t="e">
        <f ca="1">Q713+Q714</f>
        <v>#REF!</v>
      </c>
      <c r="R715" s="329"/>
      <c r="S715" s="327"/>
      <c r="T715" s="330"/>
      <c r="U715" s="329" t="e">
        <f ca="1">U713+U714</f>
        <v>#REF!</v>
      </c>
      <c r="V715" s="396"/>
      <c r="W715" s="455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 ht="16.5" hidden="1" thickTop="1">
      <c r="A716" s="288"/>
      <c r="B716" s="363"/>
      <c r="C716" s="288"/>
      <c r="D716" s="1"/>
      <c r="E716" s="288"/>
      <c r="F716" s="364"/>
      <c r="G716" s="288"/>
      <c r="H716" s="288"/>
      <c r="I716" s="288"/>
      <c r="J716" s="288"/>
      <c r="K716" s="288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78" t="s">
        <v>437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294" t="s">
        <v>438</v>
      </c>
      <c r="B718" s="1"/>
      <c r="C718" s="21"/>
      <c r="D718" s="322"/>
      <c r="E718" s="1"/>
      <c r="F718" s="2"/>
      <c r="G718" s="322"/>
      <c r="H718" s="1"/>
      <c r="I718" s="2"/>
      <c r="J718" s="2"/>
      <c r="K718" s="322"/>
      <c r="L718" s="1"/>
      <c r="M718" s="2"/>
      <c r="N718" s="2"/>
      <c r="O718" s="322"/>
      <c r="P718" s="1"/>
      <c r="Q718" s="2"/>
      <c r="R718" s="2"/>
      <c r="S718" s="322"/>
      <c r="T718" s="1"/>
      <c r="U718" s="2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308"/>
      <c r="B719" s="1"/>
      <c r="C719" s="21"/>
      <c r="D719" s="322"/>
      <c r="E719" s="1"/>
      <c r="F719" s="365"/>
      <c r="G719" s="322"/>
      <c r="H719" s="1"/>
      <c r="I719" s="366"/>
      <c r="J719" s="366"/>
      <c r="K719" s="322"/>
      <c r="L719" s="1"/>
      <c r="M719" s="366"/>
      <c r="N719" s="366"/>
      <c r="O719" s="322"/>
      <c r="P719" s="1"/>
      <c r="Q719" s="366"/>
      <c r="R719" s="366"/>
      <c r="S719" s="322"/>
      <c r="T719" s="1"/>
      <c r="U719" s="366"/>
      <c r="V719" s="20"/>
      <c r="W719" s="74"/>
      <c r="X719" s="74"/>
      <c r="Y719" s="74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439</v>
      </c>
      <c r="B720" s="1"/>
      <c r="C720" s="304"/>
      <c r="D720" s="2" t="s">
        <v>31</v>
      </c>
      <c r="E720" s="1"/>
      <c r="F720" s="1"/>
      <c r="G720" s="2" t="s">
        <v>31</v>
      </c>
      <c r="H720" s="1"/>
      <c r="I720" s="1"/>
      <c r="J720" s="1"/>
      <c r="K720" s="2" t="s">
        <v>31</v>
      </c>
      <c r="L720" s="1"/>
      <c r="M720" s="1"/>
      <c r="N720" s="1"/>
      <c r="O720" s="2" t="s">
        <v>31</v>
      </c>
      <c r="P720" s="1"/>
      <c r="Q720" s="1"/>
      <c r="R720" s="1"/>
      <c r="S720" s="2" t="s">
        <v>31</v>
      </c>
      <c r="T720" s="1"/>
      <c r="U720" s="1"/>
      <c r="V720" s="20"/>
      <c r="W720" s="74"/>
      <c r="X720" s="20"/>
      <c r="Y720" s="20"/>
      <c r="Z720" s="20"/>
      <c r="AA720" s="20"/>
      <c r="AB720" s="20"/>
      <c r="AC720" s="20"/>
      <c r="AD720" s="20"/>
      <c r="AE720" s="20"/>
      <c r="AF720" s="20"/>
      <c r="AJ720" s="20"/>
      <c r="AK720" s="20"/>
      <c r="AL720" s="20"/>
      <c r="AM720" s="20"/>
      <c r="AN720" s="20"/>
      <c r="AO720" s="20"/>
      <c r="AP720" s="20"/>
    </row>
    <row r="721" spans="1:42">
      <c r="A721" s="294" t="s">
        <v>440</v>
      </c>
      <c r="B721" s="1"/>
      <c r="C721" s="304">
        <f>C775+C826</f>
        <v>1019.8115973941144</v>
      </c>
      <c r="D721" s="322">
        <f>'Rate Design Work eff 10-14-16'!D720</f>
        <v>0</v>
      </c>
      <c r="E721" s="309"/>
      <c r="F721" s="306">
        <f>F775+F826</f>
        <v>0</v>
      </c>
      <c r="G721" s="322">
        <f>'Rate Design Work eff 10-14-16'!G720</f>
        <v>0</v>
      </c>
      <c r="H721" s="309"/>
      <c r="I721" s="306">
        <f>I775+I826</f>
        <v>0</v>
      </c>
      <c r="J721" s="306"/>
      <c r="K721" s="322">
        <f>'Rate Design Work eff 10-14-16'!K720</f>
        <v>0</v>
      </c>
      <c r="L721" s="309"/>
      <c r="M721" s="306">
        <f>'Rate Design Work eff 10-14-16'!M720</f>
        <v>0</v>
      </c>
      <c r="N721" s="306"/>
      <c r="O721" s="322" t="str">
        <f>'Rate Design Work eff 10-14-16'!O720</f>
        <v xml:space="preserve"> </v>
      </c>
      <c r="P721" s="309"/>
      <c r="Q721" s="306">
        <f>'Rate Design Work eff 10-14-16'!Q720</f>
        <v>0</v>
      </c>
      <c r="R721" s="306"/>
      <c r="S721" s="322" t="str">
        <f>'Rate Design Work eff 10-14-16'!S720</f>
        <v xml:space="preserve"> </v>
      </c>
      <c r="T721" s="309"/>
      <c r="U721" s="306">
        <f>'Rate Design Work eff 10-14-16'!U720</f>
        <v>0</v>
      </c>
      <c r="X721" s="14"/>
      <c r="Y721" s="14"/>
      <c r="AK721" s="20"/>
      <c r="AL721" s="20"/>
      <c r="AM721" s="20"/>
      <c r="AN721" s="20"/>
      <c r="AO721" s="20"/>
      <c r="AP721" s="20"/>
    </row>
    <row r="722" spans="1:42">
      <c r="A722" s="294" t="s">
        <v>441</v>
      </c>
      <c r="B722" s="1"/>
      <c r="C722" s="304"/>
      <c r="D722" s="322"/>
      <c r="E722" s="309"/>
      <c r="F722" s="306"/>
      <c r="G722" s="322"/>
      <c r="H722" s="309"/>
      <c r="I722" s="306"/>
      <c r="J722" s="306"/>
      <c r="K722" s="322"/>
      <c r="L722" s="309"/>
      <c r="M722" s="306"/>
      <c r="N722" s="306"/>
      <c r="O722" s="322"/>
      <c r="P722" s="309"/>
      <c r="Q722" s="306"/>
      <c r="R722" s="306"/>
      <c r="S722" s="322"/>
      <c r="T722" s="309"/>
      <c r="U722" s="306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442</v>
      </c>
      <c r="B723" s="1"/>
      <c r="C723" s="304">
        <f t="shared" ref="C723:C728" si="140">C777+C828</f>
        <v>3760.393248727928</v>
      </c>
      <c r="D723" s="322">
        <f>'Rate Design Work eff 10-14-16'!D722</f>
        <v>0</v>
      </c>
      <c r="E723" s="309"/>
      <c r="F723" s="306">
        <f>F777+F828</f>
        <v>0</v>
      </c>
      <c r="G723" s="322">
        <f>'Rate Design Work eff 10-14-16'!G722</f>
        <v>0</v>
      </c>
      <c r="H723" s="309"/>
      <c r="I723" s="306">
        <f>I777+I828</f>
        <v>0</v>
      </c>
      <c r="J723" s="306"/>
      <c r="K723" s="322">
        <f>'Rate Design Work eff 10-14-16'!K722</f>
        <v>0</v>
      </c>
      <c r="L723" s="309"/>
      <c r="M723" s="306">
        <f>'Rate Design Work eff 10-14-16'!M722</f>
        <v>0</v>
      </c>
      <c r="N723" s="306"/>
      <c r="O723" s="322" t="str">
        <f>'Rate Design Work eff 10-14-16'!O722</f>
        <v xml:space="preserve"> </v>
      </c>
      <c r="P723" s="309"/>
      <c r="Q723" s="306">
        <f>'Rate Design Work eff 10-14-16'!Q722</f>
        <v>0</v>
      </c>
      <c r="R723" s="306"/>
      <c r="S723" s="322" t="str">
        <f>'Rate Design Work eff 10-14-16'!S722</f>
        <v xml:space="preserve"> </v>
      </c>
      <c r="T723" s="309"/>
      <c r="U723" s="306">
        <f>'Rate Design Work eff 10-14-16'!U722</f>
        <v>0</v>
      </c>
      <c r="V723" s="53"/>
      <c r="X723" s="765" t="s">
        <v>625</v>
      </c>
      <c r="Y723" s="765"/>
      <c r="AA723" s="84"/>
      <c r="AB723" s="642"/>
      <c r="AC723" s="84"/>
      <c r="AD723" s="642"/>
      <c r="AE723" s="84"/>
      <c r="AF723" s="84"/>
      <c r="AG723" s="222"/>
      <c r="AK723" s="20"/>
      <c r="AL723" s="20"/>
      <c r="AM723" s="20"/>
      <c r="AN723" s="20"/>
      <c r="AO723" s="20"/>
      <c r="AP723" s="20"/>
    </row>
    <row r="724" spans="1:42">
      <c r="A724" s="294" t="s">
        <v>443</v>
      </c>
      <c r="B724" s="1"/>
      <c r="C724" s="304">
        <f t="shared" si="140"/>
        <v>431.38877405282796</v>
      </c>
      <c r="D724" s="322">
        <f>'Rate Design Work eff 10-14-16'!D723</f>
        <v>362</v>
      </c>
      <c r="E724" s="309"/>
      <c r="F724" s="306">
        <f>F778+F829</f>
        <v>156163</v>
      </c>
      <c r="G724" s="322">
        <f ca="1">'Rate Design Work eff 10-14-16'!G723</f>
        <v>370</v>
      </c>
      <c r="H724" s="309"/>
      <c r="I724" s="306">
        <f ca="1">I778+I829</f>
        <v>159614</v>
      </c>
      <c r="J724" s="306"/>
      <c r="K724" s="322">
        <f ca="1">'Rate Design Work eff 10-14-16'!K723</f>
        <v>370</v>
      </c>
      <c r="L724" s="309"/>
      <c r="M724" s="306">
        <f ca="1">'Rate Design Work eff 10-14-16'!M723</f>
        <v>159614</v>
      </c>
      <c r="N724" s="306"/>
      <c r="O724" s="322" t="str">
        <f>'Rate Design Work eff 10-14-16'!O723</f>
        <v xml:space="preserve"> </v>
      </c>
      <c r="P724" s="309"/>
      <c r="Q724" s="306">
        <f>'Rate Design Work eff 10-14-16'!Q723</f>
        <v>0</v>
      </c>
      <c r="R724" s="306"/>
      <c r="S724" s="322" t="str">
        <f>'Rate Design Work eff 10-14-16'!S723</f>
        <v xml:space="preserve"> </v>
      </c>
      <c r="T724" s="309"/>
      <c r="U724" s="306">
        <f>'Rate Design Work eff 10-14-16'!U723</f>
        <v>0</v>
      </c>
      <c r="V724" s="69"/>
      <c r="X724" s="14">
        <f ca="1">(G724-D724)/D724</f>
        <v>2.2099447513812154E-2</v>
      </c>
      <c r="Y724" s="14"/>
      <c r="Z724" s="314"/>
      <c r="AA724" s="84"/>
      <c r="AB724" s="305"/>
      <c r="AC724" s="84"/>
      <c r="AD724" s="305"/>
      <c r="AE724" s="84"/>
      <c r="AF724" s="84"/>
      <c r="AG724" s="719"/>
      <c r="AK724" s="20"/>
      <c r="AL724" s="20"/>
      <c r="AM724" s="20"/>
      <c r="AN724" s="20"/>
      <c r="AO724" s="20"/>
      <c r="AP724" s="20"/>
    </row>
    <row r="725" spans="1:42">
      <c r="A725" s="294" t="s">
        <v>444</v>
      </c>
      <c r="B725" s="1"/>
      <c r="C725" s="304">
        <f t="shared" si="140"/>
        <v>13.334244034527019</v>
      </c>
      <c r="D725" s="322">
        <f>'Rate Design Work eff 10-14-16'!D724</f>
        <v>1479</v>
      </c>
      <c r="E725" s="309"/>
      <c r="F725" s="306">
        <f>F779+F830</f>
        <v>19721</v>
      </c>
      <c r="G725" s="322">
        <f ca="1">'Rate Design Work eff 10-14-16'!G724</f>
        <v>1504</v>
      </c>
      <c r="H725" s="309"/>
      <c r="I725" s="306">
        <f ca="1">I779+I830</f>
        <v>20055</v>
      </c>
      <c r="J725" s="306"/>
      <c r="K725" s="322">
        <f ca="1">'Rate Design Work eff 10-14-16'!K724</f>
        <v>1504</v>
      </c>
      <c r="L725" s="309"/>
      <c r="M725" s="306">
        <f ca="1">'Rate Design Work eff 10-14-16'!M724</f>
        <v>20055</v>
      </c>
      <c r="N725" s="306"/>
      <c r="O725" s="322" t="str">
        <f>'Rate Design Work eff 10-14-16'!O724</f>
        <v xml:space="preserve"> </v>
      </c>
      <c r="P725" s="309"/>
      <c r="Q725" s="306">
        <f>'Rate Design Work eff 10-14-16'!Q724</f>
        <v>0</v>
      </c>
      <c r="R725" s="306"/>
      <c r="S725" s="322" t="str">
        <f>'Rate Design Work eff 10-14-16'!S724</f>
        <v xml:space="preserve"> </v>
      </c>
      <c r="T725" s="309"/>
      <c r="U725" s="306">
        <f>'Rate Design Work eff 10-14-16'!U724</f>
        <v>0</v>
      </c>
      <c r="V725" s="69"/>
      <c r="X725" s="14">
        <f ca="1">(G725-D725)/D725</f>
        <v>1.6903313049357674E-2</v>
      </c>
      <c r="Y725" s="14"/>
      <c r="AA725" s="84"/>
      <c r="AB725" s="84"/>
      <c r="AG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352</v>
      </c>
      <c r="B726" s="1"/>
      <c r="C726" s="304">
        <f t="shared" si="140"/>
        <v>5224.9278642093977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X726" s="305"/>
      <c r="Y726" s="305"/>
      <c r="Z726" s="69"/>
      <c r="AG726" s="314"/>
      <c r="AH726" s="314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445</v>
      </c>
      <c r="B727" s="1"/>
      <c r="C727" s="304">
        <f t="shared" si="140"/>
        <v>39964.6016666668</v>
      </c>
      <c r="D727" s="322"/>
      <c r="E727" s="309"/>
      <c r="F727" s="306"/>
      <c r="G727" s="322"/>
      <c r="H727" s="309"/>
      <c r="I727" s="306"/>
      <c r="J727" s="306"/>
      <c r="K727" s="322"/>
      <c r="L727" s="309"/>
      <c r="M727" s="306"/>
      <c r="N727" s="306"/>
      <c r="O727" s="322"/>
      <c r="P727" s="309"/>
      <c r="Q727" s="306"/>
      <c r="R727" s="306"/>
      <c r="S727" s="322"/>
      <c r="T727" s="309"/>
      <c r="U727" s="306"/>
      <c r="V727" s="69"/>
      <c r="Z727" s="6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104</v>
      </c>
      <c r="B728" s="1"/>
      <c r="C728" s="304">
        <f t="shared" si="140"/>
        <v>5844</v>
      </c>
      <c r="D728" s="322"/>
      <c r="E728" s="306"/>
      <c r="F728" s="306"/>
      <c r="G728" s="322"/>
      <c r="H728" s="306"/>
      <c r="I728" s="715" t="s">
        <v>31</v>
      </c>
      <c r="J728" s="715"/>
      <c r="K728" s="322"/>
      <c r="L728" s="306"/>
      <c r="M728" s="715" t="s">
        <v>31</v>
      </c>
      <c r="N728" s="715"/>
      <c r="O728" s="322"/>
      <c r="P728" s="306"/>
      <c r="Q728" s="715" t="s">
        <v>31</v>
      </c>
      <c r="R728" s="715"/>
      <c r="S728" s="322"/>
      <c r="T728" s="306"/>
      <c r="U728" s="715" t="s">
        <v>31</v>
      </c>
      <c r="V728" s="69"/>
      <c r="X728" s="305"/>
      <c r="Y728" s="305"/>
      <c r="Z728" s="27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446</v>
      </c>
      <c r="B729" s="1"/>
      <c r="C729" s="304"/>
      <c r="D729" s="322"/>
      <c r="E729" s="309"/>
      <c r="F729" s="306"/>
      <c r="G729" s="322"/>
      <c r="H729" s="309"/>
      <c r="I729" s="306"/>
      <c r="J729" s="306"/>
      <c r="K729" s="322"/>
      <c r="L729" s="309"/>
      <c r="M729" s="306"/>
      <c r="N729" s="306"/>
      <c r="O729" s="322"/>
      <c r="P729" s="309"/>
      <c r="Q729" s="306"/>
      <c r="R729" s="306"/>
      <c r="S729" s="322"/>
      <c r="T729" s="309"/>
      <c r="U729" s="306"/>
      <c r="V729" s="69"/>
      <c r="X729" s="305"/>
      <c r="Y729" s="305"/>
      <c r="Z729" s="69"/>
      <c r="AI729" s="20"/>
      <c r="AJ729" s="20"/>
      <c r="AK729" s="20"/>
      <c r="AL729" s="20"/>
      <c r="AM729" s="20"/>
      <c r="AN729" s="20"/>
      <c r="AO729" s="20"/>
      <c r="AP729" s="20"/>
    </row>
    <row r="730" spans="1:42">
      <c r="A730" s="294" t="s">
        <v>447</v>
      </c>
      <c r="B730" s="1"/>
      <c r="C730" s="304">
        <f>C784+C835</f>
        <v>3200.9016113138414</v>
      </c>
      <c r="D730" s="322">
        <f>'Rate Design Work eff 10-14-16'!D729</f>
        <v>25.64</v>
      </c>
      <c r="E730" s="309"/>
      <c r="F730" s="306">
        <f>F784+F835</f>
        <v>82071</v>
      </c>
      <c r="G730" s="322">
        <f ca="1">'Rate Design Work eff 10-14-16'!G729</f>
        <v>26.02</v>
      </c>
      <c r="H730" s="309"/>
      <c r="I730" s="306">
        <f ca="1">I784+I835</f>
        <v>83288</v>
      </c>
      <c r="J730" s="306"/>
      <c r="K730" s="322">
        <f ca="1">'Rate Design Work eff 10-14-16'!K729</f>
        <v>26.02</v>
      </c>
      <c r="L730" s="309"/>
      <c r="M730" s="306">
        <f ca="1">'Rate Design Work eff 10-14-16'!M729</f>
        <v>83288</v>
      </c>
      <c r="N730" s="306"/>
      <c r="O730" s="322" t="str">
        <f>'Rate Design Work eff 10-14-16'!O729</f>
        <v xml:space="preserve"> </v>
      </c>
      <c r="P730" s="309"/>
      <c r="Q730" s="306">
        <f>'Rate Design Work eff 10-14-16'!Q729</f>
        <v>0</v>
      </c>
      <c r="R730" s="306"/>
      <c r="S730" s="322" t="str">
        <f>'Rate Design Work eff 10-14-16'!S729</f>
        <v xml:space="preserve"> </v>
      </c>
      <c r="T730" s="309"/>
      <c r="U730" s="306">
        <f>'Rate Design Work eff 10-14-16'!U729</f>
        <v>0</v>
      </c>
      <c r="V730" s="361"/>
      <c r="X730" s="14">
        <f ca="1">(G730-D730)/D730</f>
        <v>1.4820592823712909E-2</v>
      </c>
      <c r="Y730" s="14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448</v>
      </c>
      <c r="B731" s="1"/>
      <c r="C731" s="304"/>
      <c r="D731" s="322"/>
      <c r="E731" s="309"/>
      <c r="F731" s="306"/>
      <c r="G731" s="322"/>
      <c r="H731" s="309"/>
      <c r="I731" s="306"/>
      <c r="J731" s="306"/>
      <c r="K731" s="322"/>
      <c r="L731" s="309"/>
      <c r="M731" s="306"/>
      <c r="N731" s="306"/>
      <c r="O731" s="322"/>
      <c r="P731" s="309"/>
      <c r="Q731" s="306"/>
      <c r="R731" s="306"/>
      <c r="S731" s="322"/>
      <c r="T731" s="309"/>
      <c r="U731" s="306"/>
      <c r="V731" s="361"/>
      <c r="X731" s="305"/>
      <c r="Y731" s="305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442</v>
      </c>
      <c r="B732" s="1"/>
      <c r="C732" s="304">
        <f>C786+C837</f>
        <v>53216.72760788173</v>
      </c>
      <c r="D732" s="322">
        <f>'Rate Design Work eff 10-14-16'!D731</f>
        <v>25.54</v>
      </c>
      <c r="E732" s="309"/>
      <c r="F732" s="306">
        <f>F786+F837</f>
        <v>1359155</v>
      </c>
      <c r="G732" s="322">
        <f ca="1">'Rate Design Work eff 10-14-16'!G731</f>
        <v>26.02</v>
      </c>
      <c r="H732" s="309"/>
      <c r="I732" s="306">
        <f ca="1">I786+I837</f>
        <v>1384699</v>
      </c>
      <c r="J732" s="306"/>
      <c r="K732" s="322">
        <f ca="1">'Rate Design Work eff 10-14-16'!K731</f>
        <v>26.02</v>
      </c>
      <c r="L732" s="309"/>
      <c r="M732" s="306">
        <f ca="1">'Rate Design Work eff 10-14-16'!M731</f>
        <v>1384699</v>
      </c>
      <c r="N732" s="306"/>
      <c r="O732" s="322" t="str">
        <f>'Rate Design Work eff 10-14-16'!O731</f>
        <v xml:space="preserve"> </v>
      </c>
      <c r="P732" s="309"/>
      <c r="Q732" s="306">
        <f>'Rate Design Work eff 10-14-16'!Q731</f>
        <v>0</v>
      </c>
      <c r="R732" s="306"/>
      <c r="S732" s="322" t="str">
        <f>'Rate Design Work eff 10-14-16'!S731</f>
        <v xml:space="preserve"> </v>
      </c>
      <c r="T732" s="309"/>
      <c r="U732" s="306">
        <f>'Rate Design Work eff 10-14-16'!U731</f>
        <v>0</v>
      </c>
      <c r="V732" s="361"/>
      <c r="X732" s="14">
        <f ca="1">(G732-D732)/D732</f>
        <v>1.879404855129211E-2</v>
      </c>
      <c r="Y732" s="14"/>
      <c r="Z732" s="69"/>
      <c r="AK732" s="20"/>
      <c r="AL732" s="20"/>
      <c r="AM732" s="20"/>
      <c r="AN732" s="20"/>
      <c r="AO732" s="20"/>
      <c r="AP732" s="20"/>
    </row>
    <row r="733" spans="1:42">
      <c r="A733" s="294" t="s">
        <v>443</v>
      </c>
      <c r="B733" s="1"/>
      <c r="C733" s="304">
        <f>C787+C838</f>
        <v>40819.098454276304</v>
      </c>
      <c r="D733" s="322">
        <f>'Rate Design Work eff 10-14-16'!D732</f>
        <v>17.79</v>
      </c>
      <c r="E733" s="309"/>
      <c r="F733" s="306">
        <f>F787+F838</f>
        <v>726172</v>
      </c>
      <c r="G733" s="322">
        <f ca="1">'Rate Design Work eff 10-14-16'!G732</f>
        <v>18.101388370764003</v>
      </c>
      <c r="H733" s="309"/>
      <c r="I733" s="306">
        <f ca="1">I787+I838</f>
        <v>738882</v>
      </c>
      <c r="J733" s="306"/>
      <c r="K733" s="322">
        <f ca="1">'Rate Design Work eff 10-14-16'!K732</f>
        <v>18.101388370764003</v>
      </c>
      <c r="L733" s="309"/>
      <c r="M733" s="306">
        <f ca="1">'Rate Design Work eff 10-14-16'!M732</f>
        <v>738882</v>
      </c>
      <c r="N733" s="306"/>
      <c r="O733" s="322" t="str">
        <f>'Rate Design Work eff 10-14-16'!O732</f>
        <v xml:space="preserve"> </v>
      </c>
      <c r="P733" s="309"/>
      <c r="Q733" s="306">
        <f>'Rate Design Work eff 10-14-16'!Q732</f>
        <v>0</v>
      </c>
      <c r="R733" s="306"/>
      <c r="S733" s="322" t="str">
        <f>'Rate Design Work eff 10-14-16'!S732</f>
        <v xml:space="preserve"> </v>
      </c>
      <c r="T733" s="309"/>
      <c r="U733" s="306">
        <f>'Rate Design Work eff 10-14-16'!U732</f>
        <v>0</v>
      </c>
      <c r="V733" s="361"/>
      <c r="X733" s="14">
        <f ca="1">(G733-D733)/D733</f>
        <v>1.7503562156492607E-2</v>
      </c>
      <c r="Y733" s="14"/>
      <c r="Z733" s="69"/>
      <c r="AC733" s="84"/>
      <c r="AD733" s="84"/>
      <c r="AE733" s="84"/>
      <c r="AF733" s="84"/>
      <c r="AG733" s="84"/>
      <c r="AH733" s="222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444</v>
      </c>
      <c r="B734" s="1" t="s">
        <v>31</v>
      </c>
      <c r="C734" s="304">
        <f>C788+C839</f>
        <v>5313.3743371072133</v>
      </c>
      <c r="D734" s="322">
        <f>'Rate Design Work eff 10-14-16'!D733</f>
        <v>13.92</v>
      </c>
      <c r="E734" s="309"/>
      <c r="F734" s="306">
        <f>F788+F839</f>
        <v>73962</v>
      </c>
      <c r="G734" s="322">
        <f ca="1">'Rate Design Work eff 10-14-16'!G733</f>
        <v>14.155824964645021</v>
      </c>
      <c r="H734" s="309"/>
      <c r="I734" s="306">
        <f ca="1">I788+I839</f>
        <v>75215</v>
      </c>
      <c r="J734" s="306"/>
      <c r="K734" s="322">
        <f ca="1">'Rate Design Work eff 10-14-16'!K733</f>
        <v>14.155824964645021</v>
      </c>
      <c r="L734" s="309"/>
      <c r="M734" s="306">
        <f ca="1">'Rate Design Work eff 10-14-16'!M733</f>
        <v>75215</v>
      </c>
      <c r="N734" s="306"/>
      <c r="O734" s="322" t="str">
        <f>'Rate Design Work eff 10-14-16'!O733</f>
        <v xml:space="preserve"> </v>
      </c>
      <c r="P734" s="309"/>
      <c r="Q734" s="306">
        <f>'Rate Design Work eff 10-14-16'!Q733</f>
        <v>0</v>
      </c>
      <c r="R734" s="306"/>
      <c r="S734" s="322" t="str">
        <f>'Rate Design Work eff 10-14-16'!S733</f>
        <v xml:space="preserve"> </v>
      </c>
      <c r="T734" s="309"/>
      <c r="U734" s="306">
        <f>'Rate Design Work eff 10-14-16'!U733</f>
        <v>0</v>
      </c>
      <c r="V734" s="361"/>
      <c r="X734" s="14">
        <f ca="1">(G734-D734)/D734</f>
        <v>1.6941448609556091E-2</v>
      </c>
      <c r="Y734" s="14"/>
      <c r="Z734" s="69"/>
      <c r="AI734" s="20" t="s">
        <v>31</v>
      </c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450</v>
      </c>
      <c r="B735" s="1"/>
      <c r="C735" s="304">
        <f>C789+C840</f>
        <v>559.74429781916001</v>
      </c>
      <c r="D735" s="322">
        <f>'Rate Design Work eff 10-14-16'!D734</f>
        <v>76.930000000000007</v>
      </c>
      <c r="E735" s="309"/>
      <c r="F735" s="306">
        <f>F789+F840</f>
        <v>43061</v>
      </c>
      <c r="G735" s="322">
        <f ca="1">'Rate Design Work eff 10-14-16'!G734</f>
        <v>78.06</v>
      </c>
      <c r="H735" s="309"/>
      <c r="I735" s="306">
        <f ca="1">I789+I840</f>
        <v>43693</v>
      </c>
      <c r="J735" s="306"/>
      <c r="K735" s="322">
        <f ca="1">'Rate Design Work eff 10-14-16'!K734</f>
        <v>78.06</v>
      </c>
      <c r="L735" s="309"/>
      <c r="M735" s="306">
        <f ca="1">'Rate Design Work eff 10-14-16'!M734</f>
        <v>43693</v>
      </c>
      <c r="N735" s="306"/>
      <c r="O735" s="322" t="str">
        <f>'Rate Design Work eff 10-14-16'!O734</f>
        <v xml:space="preserve"> </v>
      </c>
      <c r="P735" s="309"/>
      <c r="Q735" s="306">
        <f>'Rate Design Work eff 10-14-16'!Q734</f>
        <v>0</v>
      </c>
      <c r="R735" s="306"/>
      <c r="S735" s="322" t="str">
        <f>'Rate Design Work eff 10-14-16'!S734</f>
        <v xml:space="preserve"> </v>
      </c>
      <c r="T735" s="309"/>
      <c r="U735" s="306">
        <f>'Rate Design Work eff 10-14-16'!U734</f>
        <v>0</v>
      </c>
      <c r="V735" s="69"/>
      <c r="X735" s="14">
        <f ca="1">(G735-D735)/D735</f>
        <v>1.4688678018978232E-2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451</v>
      </c>
      <c r="B736" s="1"/>
      <c r="C736" s="304">
        <f>C790+C841</f>
        <v>984.58847619077994</v>
      </c>
      <c r="D736" s="322">
        <f>'Rate Design Work eff 10-14-16'!D735</f>
        <v>153.22</v>
      </c>
      <c r="E736" s="309"/>
      <c r="F736" s="306">
        <f>F790+F841</f>
        <v>150858</v>
      </c>
      <c r="G736" s="322">
        <f ca="1">'Rate Design Work eff 10-14-16'!G735</f>
        <v>156.12</v>
      </c>
      <c r="H736" s="309"/>
      <c r="I736" s="306">
        <f ca="1">I790+I841</f>
        <v>153714</v>
      </c>
      <c r="J736" s="306"/>
      <c r="K736" s="322">
        <f ca="1">'Rate Design Work eff 10-14-16'!K735</f>
        <v>156.12</v>
      </c>
      <c r="L736" s="309"/>
      <c r="M736" s="306">
        <f ca="1">'Rate Design Work eff 10-14-16'!M735</f>
        <v>153714</v>
      </c>
      <c r="N736" s="306"/>
      <c r="O736" s="322" t="str">
        <f>'Rate Design Work eff 10-14-16'!O735</f>
        <v xml:space="preserve"> </v>
      </c>
      <c r="P736" s="309"/>
      <c r="Q736" s="306">
        <f>'Rate Design Work eff 10-14-16'!Q735</f>
        <v>0</v>
      </c>
      <c r="R736" s="306"/>
      <c r="S736" s="322" t="str">
        <f>'Rate Design Work eff 10-14-16'!S735</f>
        <v xml:space="preserve"> </v>
      </c>
      <c r="T736" s="309"/>
      <c r="U736" s="306">
        <f>'Rate Design Work eff 10-14-16'!U735</f>
        <v>0</v>
      </c>
      <c r="V736" s="69"/>
      <c r="X736" s="14">
        <f ca="1">(G736-D736)/D736</f>
        <v>1.8927033024409384E-2</v>
      </c>
      <c r="Y736" s="14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452</v>
      </c>
      <c r="B737" s="1"/>
      <c r="C737" s="304"/>
      <c r="D737" s="322"/>
      <c r="E737" s="309"/>
      <c r="F737" s="306"/>
      <c r="G737" s="322"/>
      <c r="H737" s="309"/>
      <c r="I737" s="306"/>
      <c r="J737" s="306"/>
      <c r="K737" s="322"/>
      <c r="L737" s="309"/>
      <c r="M737" s="306"/>
      <c r="N737" s="306"/>
      <c r="O737" s="322"/>
      <c r="P737" s="309"/>
      <c r="Q737" s="306"/>
      <c r="R737" s="306"/>
      <c r="S737" s="322"/>
      <c r="T737" s="309"/>
      <c r="U737" s="306"/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447</v>
      </c>
      <c r="B738" s="1"/>
      <c r="C738" s="304">
        <f>C792+C843</f>
        <v>40.035839968204996</v>
      </c>
      <c r="D738" s="348">
        <f>'Rate Design Work eff 10-14-16'!D737</f>
        <v>-25.64</v>
      </c>
      <c r="E738" s="309"/>
      <c r="F738" s="306">
        <f>F792+F843</f>
        <v>-1027</v>
      </c>
      <c r="G738" s="348">
        <f ca="1">-G730</f>
        <v>-26.02</v>
      </c>
      <c r="H738" s="309"/>
      <c r="I738" s="306">
        <f ca="1">I792+I843</f>
        <v>-1041</v>
      </c>
      <c r="J738" s="306"/>
      <c r="K738" s="348">
        <f ca="1">-K730</f>
        <v>-26.02</v>
      </c>
      <c r="L738" s="309"/>
      <c r="M738" s="306">
        <f ca="1">'Rate Design Work eff 10-14-16'!M737</f>
        <v>-1041</v>
      </c>
      <c r="N738" s="306"/>
      <c r="O738" s="348">
        <f>-O730</f>
        <v>0</v>
      </c>
      <c r="P738" s="309"/>
      <c r="Q738" s="306">
        <f>'Rate Design Work eff 10-14-16'!Q737</f>
        <v>0</v>
      </c>
      <c r="R738" s="306"/>
      <c r="S738" s="348">
        <f>-S730</f>
        <v>0</v>
      </c>
      <c r="T738" s="309"/>
      <c r="U738" s="306">
        <f>'Rate Design Work eff 10-14-16'!U737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294" t="s">
        <v>453</v>
      </c>
      <c r="B739" s="1"/>
      <c r="C739" s="304">
        <f>C793+C844</f>
        <v>411.79827649787603</v>
      </c>
      <c r="D739" s="348">
        <f>'Rate Design Work eff 10-14-16'!D738</f>
        <v>-25.54</v>
      </c>
      <c r="E739" s="309"/>
      <c r="F739" s="306">
        <f>F793+F844</f>
        <v>-10518</v>
      </c>
      <c r="G739" s="348">
        <f ca="1">-G732</f>
        <v>-26.02</v>
      </c>
      <c r="H739" s="309"/>
      <c r="I739" s="306">
        <f ca="1">I793+I844</f>
        <v>-10715</v>
      </c>
      <c r="J739" s="306"/>
      <c r="K739" s="348">
        <f ca="1">-K732</f>
        <v>-26.02</v>
      </c>
      <c r="L739" s="309"/>
      <c r="M739" s="306">
        <f ca="1">'Rate Design Work eff 10-14-16'!M738</f>
        <v>-10715</v>
      </c>
      <c r="N739" s="306"/>
      <c r="O739" s="348">
        <f>-O732</f>
        <v>0</v>
      </c>
      <c r="P739" s="309"/>
      <c r="Q739" s="306">
        <f>'Rate Design Work eff 10-14-16'!Q738</f>
        <v>0</v>
      </c>
      <c r="R739" s="306"/>
      <c r="S739" s="348">
        <f>-S732</f>
        <v>0</v>
      </c>
      <c r="T739" s="309"/>
      <c r="U739" s="306">
        <f>'Rate Design Work eff 10-14-16'!U738</f>
        <v>0</v>
      </c>
      <c r="V739" s="69"/>
      <c r="X739" s="3"/>
      <c r="Y739" s="3"/>
      <c r="Z739" s="69"/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308" t="s">
        <v>416</v>
      </c>
      <c r="B740" s="1"/>
      <c r="C740" s="304">
        <f>C794+C845</f>
        <v>0</v>
      </c>
      <c r="D740" s="322"/>
      <c r="E740" s="306"/>
      <c r="F740" s="306"/>
      <c r="G740" s="322"/>
      <c r="H740" s="306"/>
      <c r="I740" s="306"/>
      <c r="J740" s="306"/>
      <c r="K740" s="322"/>
      <c r="L740" s="306"/>
      <c r="M740" s="306"/>
      <c r="N740" s="850" t="s">
        <v>31</v>
      </c>
      <c r="O740" s="322"/>
      <c r="P740" s="306"/>
      <c r="Q740" s="306"/>
      <c r="R740" s="306"/>
      <c r="S740" s="322"/>
      <c r="T740" s="306"/>
      <c r="U740" s="306"/>
      <c r="V740" s="69"/>
      <c r="X740" s="3"/>
      <c r="Y740" s="3"/>
      <c r="Z740" s="69"/>
      <c r="AA740" s="3" t="s">
        <v>31</v>
      </c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294" t="s">
        <v>454</v>
      </c>
      <c r="B741" s="1"/>
      <c r="C741" s="304">
        <f>C795+C846</f>
        <v>158323871.89494899</v>
      </c>
      <c r="D741" s="368">
        <f>'Rate Design Work eff 10-14-16'!D740</f>
        <v>6.9180000000000001</v>
      </c>
      <c r="E741" s="306" t="s">
        <v>364</v>
      </c>
      <c r="F741" s="306">
        <f>F795+F846</f>
        <v>10952845</v>
      </c>
      <c r="G741" s="368">
        <f ca="1">'Rate Design Work eff 10-14-16'!G740</f>
        <v>7.0350000000000001</v>
      </c>
      <c r="H741" s="306" t="s">
        <v>364</v>
      </c>
      <c r="I741" s="306">
        <f ca="1">I795+I846</f>
        <v>11138085</v>
      </c>
      <c r="J741" s="306"/>
      <c r="K741" s="368" t="e">
        <f ca="1">'Rate Design Work eff 10-14-16'!K740</f>
        <v>#REF!</v>
      </c>
      <c r="L741" s="850" t="s">
        <v>31</v>
      </c>
      <c r="M741" s="306" t="e">
        <f ca="1">'Rate Design Work eff 10-14-16'!M740</f>
        <v>#REF!</v>
      </c>
      <c r="N741" s="306"/>
      <c r="O741" s="368" t="e">
        <f ca="1">'Rate Design Work eff 10-14-16'!O740</f>
        <v>#DIV/0!</v>
      </c>
      <c r="P741" s="306" t="s">
        <v>364</v>
      </c>
      <c r="Q741" s="306" t="e">
        <f ca="1">'Rate Design Work eff 10-14-16'!Q740</f>
        <v>#DIV/0!</v>
      </c>
      <c r="R741" s="306"/>
      <c r="S741" s="368" t="e">
        <f ca="1">'Rate Design Work eff 10-14-16'!S740</f>
        <v>#DIV/0!</v>
      </c>
      <c r="T741" s="306" t="s">
        <v>364</v>
      </c>
      <c r="U741" s="306" t="e">
        <f ca="1">'Rate Design Work eff 10-14-16'!U740</f>
        <v>#DIV/0!</v>
      </c>
      <c r="V741" s="323"/>
      <c r="X741" s="14">
        <f ca="1">((G741+G743)-D741)/D741</f>
        <v>1.6912402428447527E-2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>
      <c r="A742" s="308" t="s">
        <v>390</v>
      </c>
      <c r="B742" s="1"/>
      <c r="C742" s="304">
        <f>C796+C847</f>
        <v>60236</v>
      </c>
      <c r="D742" s="591">
        <f>'Rate Design Work eff 10-14-16'!D741</f>
        <v>56</v>
      </c>
      <c r="E742" s="308" t="s">
        <v>364</v>
      </c>
      <c r="F742" s="306">
        <f>F796+F847</f>
        <v>33732</v>
      </c>
      <c r="G742" s="591">
        <f ca="1">'Rate Design Work eff 10-14-16'!G741</f>
        <v>57</v>
      </c>
      <c r="H742" s="308" t="s">
        <v>364</v>
      </c>
      <c r="I742" s="306">
        <f ca="1">I796+I847</f>
        <v>34334</v>
      </c>
      <c r="J742" s="306"/>
      <c r="K742" s="591" t="str">
        <f>'Rate Design Work eff 10-14-16'!K741</f>
        <v xml:space="preserve"> </v>
      </c>
      <c r="L742" s="406" t="s">
        <v>31</v>
      </c>
      <c r="M742" s="306">
        <f>'Rate Design Work eff 10-14-16'!M741</f>
        <v>0</v>
      </c>
      <c r="N742" s="306"/>
      <c r="O742" s="591" t="e">
        <f ca="1">'Rate Design Work eff 10-14-16'!O741</f>
        <v>#DIV/0!</v>
      </c>
      <c r="P742" s="308" t="s">
        <v>364</v>
      </c>
      <c r="Q742" s="306" t="e">
        <f ca="1">'Rate Design Work eff 10-14-16'!Q741</f>
        <v>#DIV/0!</v>
      </c>
      <c r="R742" s="306"/>
      <c r="S742" s="591" t="e">
        <f ca="1">'Rate Design Work eff 10-14-16'!S741</f>
        <v>#DIV/0!</v>
      </c>
      <c r="T742" s="308" t="s">
        <v>364</v>
      </c>
      <c r="U742" s="306" t="e">
        <f ca="1">'Rate Design Work eff 10-14-16'!U741</f>
        <v>#DIV/0!</v>
      </c>
      <c r="X742" s="14">
        <f ca="1">(G742-D742)/D742</f>
        <v>1.7857142857142856E-2</v>
      </c>
      <c r="Y742" s="14"/>
      <c r="Z742" s="69"/>
      <c r="AI742" s="20"/>
      <c r="AJ742" s="20"/>
      <c r="AK742" s="20"/>
      <c r="AL742" s="20"/>
      <c r="AM742" s="20"/>
      <c r="AN742" s="20"/>
      <c r="AO742" s="20"/>
      <c r="AP742" s="20"/>
    </row>
    <row r="743" spans="1:44" s="1118" customFormat="1" hidden="1">
      <c r="A743" s="968" t="s">
        <v>891</v>
      </c>
      <c r="C743" s="987">
        <f>C741</f>
        <v>158323871.89494899</v>
      </c>
      <c r="D743" s="254">
        <f>'Rate Design Work eff 10-14-16'!D742</f>
        <v>0</v>
      </c>
      <c r="E743" s="1119"/>
      <c r="F743" s="1123"/>
      <c r="G743" s="1128">
        <f>'Rate Design Work eff 10-14-16'!G742</f>
        <v>0</v>
      </c>
      <c r="H743" s="972" t="s">
        <v>364</v>
      </c>
      <c r="I743" s="1000" t="e">
        <f>#REF!+I848</f>
        <v>#REF!</v>
      </c>
      <c r="J743" s="1000"/>
      <c r="K743" s="1128" t="str">
        <f>'Rate Design Work eff 10-14-16'!K742</f>
        <v xml:space="preserve"> </v>
      </c>
      <c r="L743" s="972" t="s">
        <v>31</v>
      </c>
      <c r="M743" s="306">
        <f>'Rate Design Work eff 10-14-16'!M742</f>
        <v>0</v>
      </c>
      <c r="N743" s="1000"/>
      <c r="O743" s="1128" t="str">
        <f>'Rate Design Work eff 10-14-16'!O742</f>
        <v xml:space="preserve"> </v>
      </c>
      <c r="P743" s="972" t="s">
        <v>31</v>
      </c>
      <c r="Q743" s="1000" t="e">
        <f>#REF!+Q848</f>
        <v>#REF!</v>
      </c>
      <c r="R743" s="1000"/>
      <c r="S743" s="1128">
        <f>'Rate Design Work eff 10-14-16'!S742</f>
        <v>0</v>
      </c>
      <c r="T743" s="972" t="s">
        <v>364</v>
      </c>
      <c r="U743" s="306">
        <f>'Rate Design Work eff 10-14-16'!U742</f>
        <v>0</v>
      </c>
      <c r="V743" s="1124">
        <f>'NPC Spread'!I33</f>
        <v>4820591.7626756122</v>
      </c>
      <c r="W743" s="784" t="s">
        <v>857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 s="1118" customFormat="1" hidden="1">
      <c r="A744" s="1255" t="s">
        <v>873</v>
      </c>
      <c r="B744" s="1256"/>
      <c r="C744" s="1262"/>
      <c r="D744" s="1267">
        <f>'Rate Design Work eff 10-14-16'!D743</f>
        <v>6.9180000000000001</v>
      </c>
      <c r="E744" s="1263" t="s">
        <v>364</v>
      </c>
      <c r="F744" s="1259"/>
      <c r="G744" s="1260">
        <f ca="1">G741+G743</f>
        <v>7.0350000000000001</v>
      </c>
      <c r="H744" s="1263" t="s">
        <v>364</v>
      </c>
      <c r="I744" s="1266"/>
      <c r="J744" s="1266"/>
      <c r="K744" s="1260" t="e">
        <f ca="1">K741+K743</f>
        <v>#REF!</v>
      </c>
      <c r="L744" s="1263" t="s">
        <v>364</v>
      </c>
      <c r="M744" s="1266"/>
      <c r="N744" s="1266"/>
      <c r="O744" s="1260" t="e">
        <f ca="1">O741+O743</f>
        <v>#DIV/0!</v>
      </c>
      <c r="P744" s="1263" t="s">
        <v>364</v>
      </c>
      <c r="Q744" s="1266"/>
      <c r="R744" s="1266"/>
      <c r="S744" s="1260" t="e">
        <f ca="1">S741+S743</f>
        <v>#DIV/0!</v>
      </c>
      <c r="T744" s="1263" t="s">
        <v>364</v>
      </c>
      <c r="U744" s="1266"/>
      <c r="V744" s="1124"/>
      <c r="W744" s="784"/>
      <c r="X744" s="55">
        <f ca="1">(G744-D744)/D744</f>
        <v>1.6912402428447527E-2</v>
      </c>
      <c r="Z744" s="1125"/>
      <c r="AA744" s="1125"/>
      <c r="AF744" s="1119"/>
      <c r="AG744" s="1119"/>
      <c r="AH744" s="1119"/>
      <c r="AI744" s="1119"/>
      <c r="AJ744" s="1119"/>
      <c r="AK744" s="1119"/>
      <c r="AL744" s="1119"/>
      <c r="AM744" s="1119"/>
      <c r="AN744" s="1119"/>
      <c r="AO744" s="1119"/>
      <c r="AP744" s="1119"/>
      <c r="AR744" s="1124"/>
    </row>
    <row r="745" spans="1:44">
      <c r="A745" s="345" t="s">
        <v>391</v>
      </c>
      <c r="B745" s="1"/>
      <c r="C745" s="304"/>
      <c r="D745" s="317">
        <f>'Rate Design Work eff 10-14-16'!D744</f>
        <v>-0.01</v>
      </c>
      <c r="E745" s="1"/>
      <c r="F745" s="306"/>
      <c r="G745" s="317">
        <v>-0.01</v>
      </c>
      <c r="H745" s="1"/>
      <c r="I745" s="306"/>
      <c r="J745" s="306"/>
      <c r="K745" s="317">
        <v>-0.01</v>
      </c>
      <c r="L745" s="1"/>
      <c r="M745" s="306"/>
      <c r="N745" s="306"/>
      <c r="O745" s="317">
        <v>-0.01</v>
      </c>
      <c r="P745" s="1"/>
      <c r="Q745" s="306"/>
      <c r="R745" s="306"/>
      <c r="S745" s="317">
        <v>-0.01</v>
      </c>
      <c r="T745" s="1"/>
      <c r="U745" s="306"/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380</v>
      </c>
      <c r="B746" s="1"/>
      <c r="C746" s="304">
        <f>C798+C850</f>
        <v>0</v>
      </c>
      <c r="D746" s="369">
        <f>'Rate Design Work eff 10-14-16'!D745</f>
        <v>0</v>
      </c>
      <c r="E746" s="309"/>
      <c r="F746" s="306">
        <f>F798+F850</f>
        <v>0</v>
      </c>
      <c r="G746" s="369">
        <f>G721</f>
        <v>0</v>
      </c>
      <c r="H746" s="309"/>
      <c r="I746" s="306">
        <f>I798+I850</f>
        <v>0</v>
      </c>
      <c r="J746" s="306"/>
      <c r="K746" s="369">
        <f>K721</f>
        <v>0</v>
      </c>
      <c r="L746" s="309"/>
      <c r="M746" s="306">
        <f>'Rate Design Work eff 10-14-16'!M745</f>
        <v>0</v>
      </c>
      <c r="N746" s="306"/>
      <c r="O746" s="369" t="str">
        <f>O721</f>
        <v xml:space="preserve"> </v>
      </c>
      <c r="P746" s="309"/>
      <c r="Q746" s="306">
        <f>'Rate Design Work eff 10-14-16'!Q745</f>
        <v>0</v>
      </c>
      <c r="R746" s="306"/>
      <c r="S746" s="369" t="str">
        <f>S721</f>
        <v xml:space="preserve"> </v>
      </c>
      <c r="T746" s="309"/>
      <c r="U746" s="306">
        <f>'Rate Design Work eff 10-14-16'!U745</f>
        <v>0</v>
      </c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381</v>
      </c>
      <c r="B747" s="1"/>
      <c r="C747" s="304"/>
      <c r="D747" s="369"/>
      <c r="E747" s="309"/>
      <c r="F747" s="306"/>
      <c r="G747" s="369"/>
      <c r="H747" s="309"/>
      <c r="I747" s="306"/>
      <c r="J747" s="306"/>
      <c r="K747" s="369"/>
      <c r="L747" s="309"/>
      <c r="M747" s="306"/>
      <c r="N747" s="306"/>
      <c r="O747" s="369"/>
      <c r="P747" s="309"/>
      <c r="Q747" s="306"/>
      <c r="R747" s="306"/>
      <c r="S747" s="369"/>
      <c r="T747" s="309"/>
      <c r="U747" s="306"/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442</v>
      </c>
      <c r="B748" s="1"/>
      <c r="C748" s="304">
        <f>C800+C852</f>
        <v>1.0000071591230999</v>
      </c>
      <c r="D748" s="369">
        <f>'Rate Design Work eff 10-14-16'!D747</f>
        <v>0</v>
      </c>
      <c r="E748" s="309"/>
      <c r="F748" s="306">
        <f>F800+F852</f>
        <v>0</v>
      </c>
      <c r="G748" s="369">
        <f>G723</f>
        <v>0</v>
      </c>
      <c r="H748" s="309"/>
      <c r="I748" s="306">
        <f>I800+I852</f>
        <v>0</v>
      </c>
      <c r="J748" s="306"/>
      <c r="K748" s="369">
        <f>K723</f>
        <v>0</v>
      </c>
      <c r="L748" s="309"/>
      <c r="M748" s="306">
        <f>'Rate Design Work eff 10-14-16'!M747</f>
        <v>0</v>
      </c>
      <c r="N748" s="306"/>
      <c r="O748" s="369" t="str">
        <f>O723</f>
        <v xml:space="preserve"> </v>
      </c>
      <c r="P748" s="309"/>
      <c r="Q748" s="306">
        <f>'Rate Design Work eff 10-14-16'!Q747</f>
        <v>0</v>
      </c>
      <c r="R748" s="306"/>
      <c r="S748" s="369" t="str">
        <f>S723</f>
        <v xml:space="preserve"> </v>
      </c>
      <c r="T748" s="309"/>
      <c r="U748" s="306">
        <f>'Rate Design Work eff 10-14-16'!U747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443</v>
      </c>
      <c r="B749" s="1"/>
      <c r="C749" s="304">
        <f>C801+C853</f>
        <v>0</v>
      </c>
      <c r="D749" s="369">
        <f>'Rate Design Work eff 10-14-16'!D748</f>
        <v>362</v>
      </c>
      <c r="E749" s="309"/>
      <c r="F749" s="306">
        <f>F801+F853</f>
        <v>0</v>
      </c>
      <c r="G749" s="369">
        <f ca="1">G724</f>
        <v>370</v>
      </c>
      <c r="H749" s="309"/>
      <c r="I749" s="306">
        <f ca="1">I801+I853</f>
        <v>0</v>
      </c>
      <c r="J749" s="306"/>
      <c r="K749" s="369">
        <f ca="1">K724</f>
        <v>370</v>
      </c>
      <c r="L749" s="309"/>
      <c r="M749" s="306">
        <f ca="1">'Rate Design Work eff 10-14-16'!M748</f>
        <v>0</v>
      </c>
      <c r="N749" s="306"/>
      <c r="O749" s="369" t="str">
        <f>O724</f>
        <v xml:space="preserve"> </v>
      </c>
      <c r="P749" s="309"/>
      <c r="Q749" s="306">
        <f>'Rate Design Work eff 10-14-16'!Q748</f>
        <v>0</v>
      </c>
      <c r="R749" s="306"/>
      <c r="S749" s="369" t="str">
        <f>S724</f>
        <v xml:space="preserve"> </v>
      </c>
      <c r="T749" s="309"/>
      <c r="U749" s="306">
        <f>'Rate Design Work eff 10-14-16'!U748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444</v>
      </c>
      <c r="B750" s="1"/>
      <c r="C750" s="304">
        <f>C802+C854</f>
        <v>0</v>
      </c>
      <c r="D750" s="369">
        <f>'Rate Design Work eff 10-14-16'!D749</f>
        <v>1479</v>
      </c>
      <c r="E750" s="309"/>
      <c r="F750" s="306">
        <f>F802+F854</f>
        <v>0</v>
      </c>
      <c r="G750" s="369">
        <f ca="1">G725</f>
        <v>1504</v>
      </c>
      <c r="H750" s="309"/>
      <c r="I750" s="306">
        <f ca="1">I802+I854</f>
        <v>0</v>
      </c>
      <c r="J750" s="306"/>
      <c r="K750" s="369">
        <f ca="1">K725</f>
        <v>1504</v>
      </c>
      <c r="L750" s="309"/>
      <c r="M750" s="306">
        <f ca="1">'Rate Design Work eff 10-14-16'!M749</f>
        <v>0</v>
      </c>
      <c r="N750" s="306"/>
      <c r="O750" s="369" t="str">
        <f>O725</f>
        <v xml:space="preserve"> </v>
      </c>
      <c r="P750" s="309"/>
      <c r="Q750" s="306">
        <f>'Rate Design Work eff 10-14-16'!Q749</f>
        <v>0</v>
      </c>
      <c r="R750" s="306"/>
      <c r="S750" s="369" t="str">
        <f>S725</f>
        <v xml:space="preserve"> </v>
      </c>
      <c r="T750" s="309"/>
      <c r="U750" s="306">
        <f>'Rate Design Work eff 10-14-16'!U749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380</v>
      </c>
      <c r="B751" s="1"/>
      <c r="C751" s="304">
        <f>C803+C855</f>
        <v>0</v>
      </c>
      <c r="D751" s="369">
        <f>'Rate Design Work eff 10-14-16'!D750</f>
        <v>25.64</v>
      </c>
      <c r="E751" s="309"/>
      <c r="F751" s="306">
        <f>F803+F855</f>
        <v>0</v>
      </c>
      <c r="G751" s="369">
        <f ca="1">G730</f>
        <v>26.02</v>
      </c>
      <c r="H751" s="309"/>
      <c r="I751" s="306">
        <f ca="1">I803+I855</f>
        <v>0</v>
      </c>
      <c r="J751" s="306"/>
      <c r="K751" s="369">
        <f ca="1">K730</f>
        <v>26.02</v>
      </c>
      <c r="L751" s="309"/>
      <c r="M751" s="306">
        <f ca="1">'Rate Design Work eff 10-14-16'!M750</f>
        <v>0</v>
      </c>
      <c r="N751" s="306"/>
      <c r="O751" s="369" t="str">
        <f>O730</f>
        <v xml:space="preserve"> </v>
      </c>
      <c r="P751" s="309"/>
      <c r="Q751" s="306">
        <f>'Rate Design Work eff 10-14-16'!Q750</f>
        <v>0</v>
      </c>
      <c r="R751" s="306"/>
      <c r="S751" s="369" t="str">
        <f>S730</f>
        <v xml:space="preserve"> </v>
      </c>
      <c r="T751" s="309"/>
      <c r="U751" s="306">
        <f>'Rate Design Work eff 10-14-16'!U750</f>
        <v>0</v>
      </c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381</v>
      </c>
      <c r="B752" s="1"/>
      <c r="C752" s="304"/>
      <c r="D752" s="369"/>
      <c r="E752" s="309"/>
      <c r="F752" s="306"/>
      <c r="G752" s="369"/>
      <c r="H752" s="309"/>
      <c r="I752" s="306"/>
      <c r="J752" s="306"/>
      <c r="K752" s="369"/>
      <c r="L752" s="309"/>
      <c r="M752" s="306"/>
      <c r="N752" s="306"/>
      <c r="O752" s="369"/>
      <c r="P752" s="309"/>
      <c r="Q752" s="306"/>
      <c r="R752" s="306"/>
      <c r="S752" s="369"/>
      <c r="T752" s="309"/>
      <c r="U752" s="306"/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442</v>
      </c>
      <c r="B753" s="1"/>
      <c r="C753" s="304">
        <f>C805+C857</f>
        <v>38.0002720466778</v>
      </c>
      <c r="D753" s="369">
        <f>'Rate Design Work eff 10-14-16'!D752</f>
        <v>25.54</v>
      </c>
      <c r="E753" s="309"/>
      <c r="F753" s="306">
        <f>F805+F857</f>
        <v>-10</v>
      </c>
      <c r="G753" s="369">
        <f ca="1">G732</f>
        <v>26.02</v>
      </c>
      <c r="H753" s="309"/>
      <c r="I753" s="306">
        <f ca="1">I805+I857</f>
        <v>-10</v>
      </c>
      <c r="J753" s="306"/>
      <c r="K753" s="369">
        <f ca="1">K732</f>
        <v>26.02</v>
      </c>
      <c r="L753" s="309"/>
      <c r="M753" s="306">
        <f ca="1">'Rate Design Work eff 10-14-16'!M752</f>
        <v>-10</v>
      </c>
      <c r="N753" s="306"/>
      <c r="O753" s="369" t="str">
        <f>O732</f>
        <v xml:space="preserve"> </v>
      </c>
      <c r="P753" s="309"/>
      <c r="Q753" s="306">
        <f>'Rate Design Work eff 10-14-16'!Q752</f>
        <v>0</v>
      </c>
      <c r="R753" s="306"/>
      <c r="S753" s="369" t="str">
        <f>S732</f>
        <v xml:space="preserve"> </v>
      </c>
      <c r="T753" s="309"/>
      <c r="U753" s="306">
        <f>'Rate Design Work eff 10-14-16'!U752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443</v>
      </c>
      <c r="B754" s="1"/>
      <c r="C754" s="304">
        <f>C806+C858</f>
        <v>0</v>
      </c>
      <c r="D754" s="369">
        <f>'Rate Design Work eff 10-14-16'!D753</f>
        <v>17.79</v>
      </c>
      <c r="E754" s="309"/>
      <c r="F754" s="306">
        <f>F806+F858</f>
        <v>0</v>
      </c>
      <c r="G754" s="369">
        <f ca="1">G733</f>
        <v>18.101388370764003</v>
      </c>
      <c r="H754" s="309"/>
      <c r="I754" s="306">
        <f ca="1">I806+I858</f>
        <v>0</v>
      </c>
      <c r="J754" s="306"/>
      <c r="K754" s="369">
        <f ca="1">K733</f>
        <v>18.101388370764003</v>
      </c>
      <c r="L754" s="309"/>
      <c r="M754" s="306">
        <f ca="1">'Rate Design Work eff 10-14-16'!M753</f>
        <v>0</v>
      </c>
      <c r="N754" s="306"/>
      <c r="O754" s="369" t="str">
        <f>O733</f>
        <v xml:space="preserve"> </v>
      </c>
      <c r="P754" s="309"/>
      <c r="Q754" s="306">
        <f>'Rate Design Work eff 10-14-16'!Q753</f>
        <v>0</v>
      </c>
      <c r="R754" s="306"/>
      <c r="S754" s="369" t="str">
        <f>S733</f>
        <v xml:space="preserve"> </v>
      </c>
      <c r="T754" s="309"/>
      <c r="U754" s="306">
        <f>'Rate Design Work eff 10-14-16'!U753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444</v>
      </c>
      <c r="B755" s="1"/>
      <c r="C755" s="304">
        <f>C807+C859</f>
        <v>0</v>
      </c>
      <c r="D755" s="369">
        <f>'Rate Design Work eff 10-14-16'!D754</f>
        <v>13.92</v>
      </c>
      <c r="E755" s="309"/>
      <c r="F755" s="306">
        <f>F807+F859</f>
        <v>0</v>
      </c>
      <c r="G755" s="369">
        <f ca="1">G734</f>
        <v>14.155824964645021</v>
      </c>
      <c r="H755" s="309"/>
      <c r="I755" s="306">
        <f ca="1">I807+I859</f>
        <v>0</v>
      </c>
      <c r="J755" s="306"/>
      <c r="K755" s="369">
        <f ca="1">K734</f>
        <v>14.155824964645021</v>
      </c>
      <c r="L755" s="309"/>
      <c r="M755" s="306">
        <f ca="1">'Rate Design Work eff 10-14-16'!M754</f>
        <v>0</v>
      </c>
      <c r="N755" s="306"/>
      <c r="O755" s="369" t="str">
        <f>O734</f>
        <v xml:space="preserve"> </v>
      </c>
      <c r="P755" s="309"/>
      <c r="Q755" s="306">
        <f>'Rate Design Work eff 10-14-16'!Q754</f>
        <v>0</v>
      </c>
      <c r="R755" s="306"/>
      <c r="S755" s="369" t="str">
        <f>S734</f>
        <v xml:space="preserve"> </v>
      </c>
      <c r="T755" s="309"/>
      <c r="U755" s="306">
        <f>'Rate Design Work eff 10-14-16'!U754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455</v>
      </c>
      <c r="B756" s="1"/>
      <c r="C756" s="304">
        <f>C808+C860</f>
        <v>0</v>
      </c>
      <c r="D756" s="338">
        <f>'Rate Design Work eff 10-14-16'!D755</f>
        <v>76.930000000000007</v>
      </c>
      <c r="E756" s="309"/>
      <c r="F756" s="306">
        <f>F808+F860</f>
        <v>0</v>
      </c>
      <c r="G756" s="338">
        <f ca="1">G735</f>
        <v>78.06</v>
      </c>
      <c r="H756" s="309"/>
      <c r="I756" s="306">
        <f ca="1">I808+I860</f>
        <v>0</v>
      </c>
      <c r="J756" s="306"/>
      <c r="K756" s="338">
        <f ca="1">K735</f>
        <v>78.06</v>
      </c>
      <c r="L756" s="309"/>
      <c r="M756" s="306">
        <f ca="1">'Rate Design Work eff 10-14-16'!M755</f>
        <v>0</v>
      </c>
      <c r="N756" s="306"/>
      <c r="O756" s="338" t="str">
        <f>O735</f>
        <v xml:space="preserve"> </v>
      </c>
      <c r="P756" s="309"/>
      <c r="Q756" s="306">
        <f>'Rate Design Work eff 10-14-16'!Q755</f>
        <v>0</v>
      </c>
      <c r="R756" s="306"/>
      <c r="S756" s="338" t="str">
        <f>S735</f>
        <v xml:space="preserve"> </v>
      </c>
      <c r="T756" s="309"/>
      <c r="U756" s="306">
        <f>'Rate Design Work eff 10-14-16'!U755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456</v>
      </c>
      <c r="B757" s="1"/>
      <c r="C757" s="304">
        <f>C809+C861</f>
        <v>0</v>
      </c>
      <c r="D757" s="338">
        <f>'Rate Design Work eff 10-14-16'!D756</f>
        <v>153.22</v>
      </c>
      <c r="E757" s="309"/>
      <c r="F757" s="306">
        <f>F809+F861</f>
        <v>0</v>
      </c>
      <c r="G757" s="338">
        <f ca="1">G736</f>
        <v>156.12</v>
      </c>
      <c r="H757" s="309"/>
      <c r="I757" s="306">
        <f ca="1">I809+I861</f>
        <v>0</v>
      </c>
      <c r="J757" s="306"/>
      <c r="K757" s="338">
        <f ca="1">K736</f>
        <v>156.12</v>
      </c>
      <c r="L757" s="309"/>
      <c r="M757" s="306">
        <f ca="1">'Rate Design Work eff 10-14-16'!M756</f>
        <v>0</v>
      </c>
      <c r="N757" s="306"/>
      <c r="O757" s="338" t="str">
        <f>O736</f>
        <v xml:space="preserve"> </v>
      </c>
      <c r="P757" s="309"/>
      <c r="Q757" s="306">
        <f>'Rate Design Work eff 10-14-16'!Q756</f>
        <v>0</v>
      </c>
      <c r="R757" s="306"/>
      <c r="S757" s="338" t="str">
        <f>S736</f>
        <v xml:space="preserve"> </v>
      </c>
      <c r="T757" s="309"/>
      <c r="U757" s="306">
        <f>'Rate Design Work eff 10-14-16'!U756</f>
        <v>0</v>
      </c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452</v>
      </c>
      <c r="B758" s="1"/>
      <c r="C758" s="304"/>
      <c r="D758" s="322"/>
      <c r="E758" s="309"/>
      <c r="F758" s="306"/>
      <c r="G758" s="322"/>
      <c r="H758" s="309"/>
      <c r="I758" s="306"/>
      <c r="J758" s="306"/>
      <c r="K758" s="322"/>
      <c r="L758" s="309"/>
      <c r="M758" s="306"/>
      <c r="N758" s="306"/>
      <c r="O758" s="322"/>
      <c r="P758" s="309"/>
      <c r="Q758" s="306"/>
      <c r="R758" s="306"/>
      <c r="S758" s="322"/>
      <c r="T758" s="309"/>
      <c r="U758" s="306"/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447</v>
      </c>
      <c r="B759" s="1"/>
      <c r="C759" s="304">
        <f>C811+C863</f>
        <v>0</v>
      </c>
      <c r="D759" s="348">
        <f>'Rate Design Work eff 10-14-16'!D758</f>
        <v>-25.64</v>
      </c>
      <c r="E759" s="309"/>
      <c r="F759" s="306">
        <f>F811+F863</f>
        <v>0</v>
      </c>
      <c r="G759" s="348">
        <f ca="1">G738</f>
        <v>-26.02</v>
      </c>
      <c r="H759" s="309"/>
      <c r="I759" s="306">
        <f ca="1">I811+I863</f>
        <v>0</v>
      </c>
      <c r="J759" s="306"/>
      <c r="K759" s="348">
        <f ca="1">K738</f>
        <v>-26.02</v>
      </c>
      <c r="L759" s="309"/>
      <c r="M759" s="306">
        <f ca="1">'Rate Design Work eff 10-14-16'!M758</f>
        <v>0</v>
      </c>
      <c r="N759" s="306"/>
      <c r="O759" s="348">
        <f>O738</f>
        <v>0</v>
      </c>
      <c r="P759" s="309"/>
      <c r="Q759" s="306">
        <f>'Rate Design Work eff 10-14-16'!Q758</f>
        <v>0</v>
      </c>
      <c r="R759" s="306"/>
      <c r="S759" s="348">
        <f>S738</f>
        <v>0</v>
      </c>
      <c r="T759" s="309"/>
      <c r="U759" s="306">
        <f>'Rate Design Work eff 10-14-16'!U758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294" t="s">
        <v>453</v>
      </c>
      <c r="B760" s="1"/>
      <c r="C760" s="304">
        <f>C812+C864</f>
        <v>0</v>
      </c>
      <c r="D760" s="348">
        <f>'Rate Design Work eff 10-14-16'!D759</f>
        <v>-25.54</v>
      </c>
      <c r="E760" s="309"/>
      <c r="F760" s="306">
        <f>F812+F864</f>
        <v>0</v>
      </c>
      <c r="G760" s="348">
        <f ca="1">G739</f>
        <v>-26.02</v>
      </c>
      <c r="H760" s="309"/>
      <c r="I760" s="306">
        <f ca="1">I812+I864</f>
        <v>0</v>
      </c>
      <c r="J760" s="306"/>
      <c r="K760" s="348">
        <f ca="1">K739</f>
        <v>-26.02</v>
      </c>
      <c r="L760" s="309"/>
      <c r="M760" s="306">
        <f ca="1">'Rate Design Work eff 10-14-16'!M759</f>
        <v>0</v>
      </c>
      <c r="N760" s="306"/>
      <c r="O760" s="348">
        <f>O739</f>
        <v>0</v>
      </c>
      <c r="P760" s="309"/>
      <c r="Q760" s="306">
        <f>'Rate Design Work eff 10-14-16'!Q759</f>
        <v>0</v>
      </c>
      <c r="R760" s="306"/>
      <c r="S760" s="348">
        <f>S739</f>
        <v>0</v>
      </c>
      <c r="T760" s="309"/>
      <c r="U760" s="306">
        <f>'Rate Design Work eff 10-14-16'!U759</f>
        <v>0</v>
      </c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308" t="s">
        <v>416</v>
      </c>
      <c r="B761" s="1"/>
      <c r="C761" s="304"/>
      <c r="D761" s="369"/>
      <c r="E761" s="306"/>
      <c r="F761" s="306"/>
      <c r="G761" s="369"/>
      <c r="H761" s="306"/>
      <c r="I761" s="306"/>
      <c r="J761" s="306"/>
      <c r="K761" s="369"/>
      <c r="L761" s="306"/>
      <c r="M761" s="306"/>
      <c r="N761" s="306"/>
      <c r="O761" s="369"/>
      <c r="P761" s="306"/>
      <c r="Q761" s="306"/>
      <c r="R761" s="306"/>
      <c r="S761" s="369"/>
      <c r="T761" s="306"/>
      <c r="U761" s="306"/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294" t="s">
        <v>454</v>
      </c>
      <c r="B762" s="1"/>
      <c r="C762" s="304">
        <f>C814+C866</f>
        <v>10034</v>
      </c>
      <c r="D762" s="370">
        <f>'Rate Design Work eff 10-14-16'!D761</f>
        <v>6.9180000000000001</v>
      </c>
      <c r="E762" s="306" t="s">
        <v>364</v>
      </c>
      <c r="F762" s="306">
        <f>F814+F866</f>
        <v>-7</v>
      </c>
      <c r="G762" s="370">
        <f ca="1">G741</f>
        <v>7.0350000000000001</v>
      </c>
      <c r="H762" s="306" t="s">
        <v>364</v>
      </c>
      <c r="I762" s="306">
        <f ca="1">I814+I866</f>
        <v>-7</v>
      </c>
      <c r="J762" s="306"/>
      <c r="K762" s="370" t="e">
        <f ca="1">K741</f>
        <v>#REF!</v>
      </c>
      <c r="L762" s="850" t="s">
        <v>31</v>
      </c>
      <c r="M762" s="306" t="e">
        <f ca="1">'Rate Design Work eff 10-14-16'!M761</f>
        <v>#REF!</v>
      </c>
      <c r="N762" s="306"/>
      <c r="O762" s="370" t="e">
        <f ca="1">O741</f>
        <v>#DIV/0!</v>
      </c>
      <c r="P762" s="306" t="s">
        <v>364</v>
      </c>
      <c r="Q762" s="306" t="e">
        <f ca="1">'Rate Design Work eff 10-14-16'!Q761</f>
        <v>#DIV/0!</v>
      </c>
      <c r="R762" s="306"/>
      <c r="S762" s="370" t="e">
        <f ca="1">S741</f>
        <v>#DIV/0!</v>
      </c>
      <c r="T762" s="306" t="s">
        <v>364</v>
      </c>
      <c r="U762" s="306" t="e">
        <f ca="1">'Rate Design Work eff 10-14-16'!U761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390</v>
      </c>
      <c r="B763" s="1"/>
      <c r="C763" s="304">
        <f>C815+C867</f>
        <v>0</v>
      </c>
      <c r="D763" s="360">
        <f>'Rate Design Work eff 10-14-16'!D762</f>
        <v>56</v>
      </c>
      <c r="E763" s="308" t="s">
        <v>364</v>
      </c>
      <c r="F763" s="306">
        <f>F815+F867</f>
        <v>0</v>
      </c>
      <c r="G763" s="360">
        <f ca="1">G742</f>
        <v>57</v>
      </c>
      <c r="H763" s="308" t="s">
        <v>364</v>
      </c>
      <c r="I763" s="306">
        <f ca="1">I815+I867</f>
        <v>0</v>
      </c>
      <c r="J763" s="306"/>
      <c r="K763" s="360" t="str">
        <f>K742</f>
        <v xml:space="preserve"> </v>
      </c>
      <c r="L763" s="406" t="s">
        <v>31</v>
      </c>
      <c r="M763" s="306">
        <f>'Rate Design Work eff 10-14-16'!M762</f>
        <v>0</v>
      </c>
      <c r="N763" s="306"/>
      <c r="O763" s="360" t="e">
        <f ca="1">O742</f>
        <v>#DIV/0!</v>
      </c>
      <c r="P763" s="308" t="s">
        <v>364</v>
      </c>
      <c r="Q763" s="306" t="e">
        <f ca="1">'Rate Design Work eff 10-14-16'!Q762</f>
        <v>#DIV/0!</v>
      </c>
      <c r="R763" s="306"/>
      <c r="S763" s="360" t="e">
        <f ca="1">S742</f>
        <v>#DIV/0!</v>
      </c>
      <c r="T763" s="308" t="s">
        <v>364</v>
      </c>
      <c r="U763" s="306" t="e">
        <f ca="1">'Rate Design Work eff 10-14-16'!U762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433</v>
      </c>
      <c r="B764" s="1"/>
      <c r="C764" s="304">
        <f>C816+C868</f>
        <v>12</v>
      </c>
      <c r="D764" s="322">
        <f>'Rate Design Work eff 10-14-16'!D763</f>
        <v>60</v>
      </c>
      <c r="E764" s="1"/>
      <c r="F764" s="306">
        <f>F816+F868</f>
        <v>720</v>
      </c>
      <c r="G764" s="322">
        <f>'Blocking - detail'!I623</f>
        <v>60</v>
      </c>
      <c r="H764" s="1"/>
      <c r="I764" s="306">
        <f>I816+I868</f>
        <v>720</v>
      </c>
      <c r="J764" s="306"/>
      <c r="K764" s="322" t="str">
        <f>'Rate Design Work eff 10-14-16'!K763</f>
        <v xml:space="preserve"> </v>
      </c>
      <c r="L764" s="1"/>
      <c r="M764" s="306">
        <f>'Rate Design Work eff 10-14-16'!M763</f>
        <v>0</v>
      </c>
      <c r="N764" s="306"/>
      <c r="O764" s="322" t="e">
        <f>'Rate Design Work eff 10-14-16'!O763</f>
        <v>#DIV/0!</v>
      </c>
      <c r="P764" s="1"/>
      <c r="Q764" s="306" t="e">
        <f>'Rate Design Work eff 10-14-16'!Q763</f>
        <v>#DIV/0!</v>
      </c>
      <c r="R764" s="306"/>
      <c r="S764" s="322" t="e">
        <f>'Rate Design Work eff 10-14-16'!S763</f>
        <v>#DIV/0!</v>
      </c>
      <c r="T764" s="1"/>
      <c r="U764" s="306" t="e">
        <f>'Rate Design Work eff 10-14-16'!U763</f>
        <v>#DIV/0!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>
      <c r="A765" s="308" t="s">
        <v>434</v>
      </c>
      <c r="B765" s="1"/>
      <c r="C765" s="304">
        <f>C817+C869</f>
        <v>456.00326456013363</v>
      </c>
      <c r="D765" s="591">
        <f>'Rate Design Work eff 10-14-16'!D764</f>
        <v>-30</v>
      </c>
      <c r="E765" s="306" t="s">
        <v>364</v>
      </c>
      <c r="F765" s="306">
        <f>F817+F869</f>
        <v>-137</v>
      </c>
      <c r="G765" s="463">
        <f>'Blocking - detail'!I624</f>
        <v>-30</v>
      </c>
      <c r="H765" s="306" t="s">
        <v>364</v>
      </c>
      <c r="I765" s="306">
        <f>I817+I869</f>
        <v>-137</v>
      </c>
      <c r="J765" s="306"/>
      <c r="K765" s="463">
        <f>'Rate Design Work eff 10-14-16'!K764</f>
        <v>-30</v>
      </c>
      <c r="L765" s="306" t="s">
        <v>364</v>
      </c>
      <c r="M765" s="306">
        <f>'Rate Design Work eff 10-14-16'!M764</f>
        <v>-137</v>
      </c>
      <c r="N765" s="306"/>
      <c r="O765" s="463">
        <f>'Blocking - detail'!Q624</f>
        <v>0</v>
      </c>
      <c r="P765" s="850" t="s">
        <v>31</v>
      </c>
      <c r="Q765" s="306">
        <f>'Rate Design Work eff 10-14-16'!Q764</f>
        <v>0</v>
      </c>
      <c r="R765" s="306"/>
      <c r="S765" s="463">
        <f>'Blocking - detail'!U624</f>
        <v>0</v>
      </c>
      <c r="T765" s="850" t="s">
        <v>31</v>
      </c>
      <c r="U765" s="306">
        <f>'Rate Design Work eff 10-14-16'!U764</f>
        <v>0</v>
      </c>
      <c r="AI765" s="20"/>
      <c r="AJ765" s="20"/>
      <c r="AK765" s="20"/>
      <c r="AL765" s="20"/>
      <c r="AM765" s="20"/>
      <c r="AN765" s="20"/>
      <c r="AO765" s="20"/>
      <c r="AP765" s="20"/>
    </row>
    <row r="766" spans="1:44" s="1118" customFormat="1" hidden="1">
      <c r="A766" s="968" t="s">
        <v>891</v>
      </c>
      <c r="C766" s="987">
        <f>C762</f>
        <v>10034</v>
      </c>
      <c r="D766" s="254">
        <f>'Rate Design Work eff 10-14-16'!D765</f>
        <v>0</v>
      </c>
      <c r="E766" s="1119"/>
      <c r="F766" s="1123"/>
      <c r="G766" s="1128">
        <f>G743</f>
        <v>0</v>
      </c>
      <c r="H766" s="1000" t="s">
        <v>364</v>
      </c>
      <c r="I766" s="1000" t="e">
        <f>#REF!+I870</f>
        <v>#REF!</v>
      </c>
      <c r="J766" s="1000"/>
      <c r="K766" s="1128" t="str">
        <f>K743</f>
        <v xml:space="preserve"> </v>
      </c>
      <c r="L766" s="1000" t="s">
        <v>31</v>
      </c>
      <c r="M766" s="306">
        <f>'Rate Design Work eff 10-14-16'!M765</f>
        <v>0</v>
      </c>
      <c r="N766" s="1000"/>
      <c r="O766" s="1128" t="str">
        <f>O743</f>
        <v xml:space="preserve"> </v>
      </c>
      <c r="P766" s="1000" t="s">
        <v>31</v>
      </c>
      <c r="Q766" s="306">
        <f>'Rate Design Work eff 10-14-16'!Q765</f>
        <v>0</v>
      </c>
      <c r="R766" s="1000"/>
      <c r="S766" s="1128">
        <f>S743</f>
        <v>0</v>
      </c>
      <c r="T766" s="1000" t="s">
        <v>364</v>
      </c>
      <c r="U766" s="306">
        <f>'Rate Design Work eff 10-14-16'!U765</f>
        <v>0</v>
      </c>
      <c r="W766" s="784"/>
      <c r="X766" s="1118" t="s">
        <v>31</v>
      </c>
      <c r="Z766" s="1125"/>
      <c r="AA766" s="1125"/>
      <c r="AF766" s="1119"/>
      <c r="AG766" s="1119"/>
      <c r="AH766" s="1119"/>
      <c r="AI766" s="1119"/>
      <c r="AJ766" s="1119"/>
      <c r="AK766" s="1119"/>
      <c r="AL766" s="1119"/>
      <c r="AM766" s="1119"/>
      <c r="AN766" s="1119"/>
      <c r="AO766" s="1119"/>
      <c r="AP766" s="1119"/>
      <c r="AR766" s="1124"/>
    </row>
    <row r="767" spans="1:44">
      <c r="A767" s="1" t="s">
        <v>371</v>
      </c>
      <c r="B767" s="1"/>
      <c r="C767" s="304">
        <f>C818+C871</f>
        <v>158323871.89494899</v>
      </c>
      <c r="D767" s="309"/>
      <c r="E767" s="308"/>
      <c r="F767" s="2">
        <f>F818+F871</f>
        <v>13586761</v>
      </c>
      <c r="G767" s="2"/>
      <c r="H767" s="308"/>
      <c r="I767" s="1000">
        <f ca="1">I818+I871</f>
        <v>13820389</v>
      </c>
      <c r="J767" s="1000"/>
      <c r="K767" s="2"/>
      <c r="L767" s="308"/>
      <c r="M767" s="1000" t="e">
        <f ca="1">SUM(M721:M766)</f>
        <v>#REF!</v>
      </c>
      <c r="N767" s="1000"/>
      <c r="O767" s="2"/>
      <c r="P767" s="308"/>
      <c r="Q767" s="1000" t="e">
        <f ca="1">SUM(Q721:Q766)</f>
        <v>#DIV/0!</v>
      </c>
      <c r="R767" s="1000"/>
      <c r="S767" s="2"/>
      <c r="T767" s="308"/>
      <c r="U767" s="1000" t="e">
        <f ca="1">SUM(U721:U766)</f>
        <v>#DIV/0!</v>
      </c>
      <c r="X767" s="261"/>
      <c r="Y767" s="261"/>
      <c r="AI767" s="20"/>
      <c r="AJ767" s="20"/>
      <c r="AK767" s="20"/>
      <c r="AL767" s="20"/>
      <c r="AM767" s="20"/>
      <c r="AN767" s="20"/>
      <c r="AO767" s="20"/>
      <c r="AP767" s="20"/>
    </row>
    <row r="768" spans="1:44" ht="14.25" customHeight="1">
      <c r="A768" s="1" t="s">
        <v>353</v>
      </c>
      <c r="B768" s="1"/>
      <c r="C768" s="325">
        <f ca="1">C819+C872</f>
        <v>2550999.9999999995</v>
      </c>
      <c r="D768" s="294"/>
      <c r="E768" s="294"/>
      <c r="F768" s="295">
        <f ca="1">F819+F872</f>
        <v>193000</v>
      </c>
      <c r="G768" s="294"/>
      <c r="H768" s="294"/>
      <c r="I768" s="1272">
        <f ca="1">I819+I872</f>
        <v>193000</v>
      </c>
      <c r="J768" s="999"/>
      <c r="K768" s="294"/>
      <c r="L768" s="294"/>
      <c r="M768" s="1272" t="e">
        <f ca="1">'Rate Design Work eff 10-14-16'!M767</f>
        <v>#DIV/0!</v>
      </c>
      <c r="N768" s="51"/>
      <c r="O768" s="294"/>
      <c r="P768" s="294"/>
      <c r="Q768" s="1272" t="e">
        <f ca="1">'Rate Design Work eff 10-14-16'!Q767</f>
        <v>#DIV/0!</v>
      </c>
      <c r="R768" s="51"/>
      <c r="S768" s="294"/>
      <c r="T768" s="294"/>
      <c r="U768" s="1272" t="e">
        <f ca="1">'Rate Design Work eff 10-14-16'!U767</f>
        <v>#DIV/0!</v>
      </c>
      <c r="AI768" s="20"/>
      <c r="AJ768" s="20"/>
      <c r="AK768" s="20"/>
      <c r="AL768" s="20"/>
      <c r="AM768" s="20"/>
      <c r="AN768" s="20"/>
      <c r="AO768" s="20"/>
      <c r="AP768" s="20"/>
    </row>
    <row r="769" spans="1:42" ht="17.25" customHeight="1" thickBot="1">
      <c r="A769" s="1" t="s">
        <v>372</v>
      </c>
      <c r="B769" s="1"/>
      <c r="C769" s="351">
        <f ca="1">SUM(C767:C768)</f>
        <v>160874871.89494899</v>
      </c>
      <c r="D769" s="327"/>
      <c r="E769" s="330"/>
      <c r="F769" s="329">
        <f ca="1">F767+F768</f>
        <v>13779761</v>
      </c>
      <c r="G769" s="327"/>
      <c r="H769" s="330"/>
      <c r="I769" s="329">
        <f ca="1">I820+I873</f>
        <v>14013389</v>
      </c>
      <c r="J769" s="329"/>
      <c r="K769" s="327"/>
      <c r="L769" s="330"/>
      <c r="M769" s="329" t="e">
        <f ca="1">SUM(M767:M768)</f>
        <v>#REF!</v>
      </c>
      <c r="N769" s="329"/>
      <c r="O769" s="327"/>
      <c r="P769" s="330"/>
      <c r="Q769" s="329" t="e">
        <f ca="1">SUM(Q767:Q768)</f>
        <v>#DIV/0!</v>
      </c>
      <c r="R769" s="329"/>
      <c r="S769" s="327"/>
      <c r="T769" s="330"/>
      <c r="U769" s="329" t="e">
        <f ca="1">SUM(U767:U768)</f>
        <v>#DIV/0!</v>
      </c>
      <c r="V769" s="757" t="s">
        <v>354</v>
      </c>
      <c r="W769" s="778">
        <f ca="1">'Rate Spread targets'!Q27*1000</f>
        <v>14013210.112833465</v>
      </c>
      <c r="X769" s="1417">
        <f ca="1">(I769-F769)/F769</f>
        <v>1.6954430486856777E-2</v>
      </c>
      <c r="Y769" s="751"/>
      <c r="Z769" s="305" t="s">
        <v>31</v>
      </c>
      <c r="AA769" s="305"/>
      <c r="AI769" s="20"/>
      <c r="AJ769" s="20"/>
      <c r="AK769" s="20"/>
      <c r="AL769" s="20"/>
      <c r="AM769" s="20"/>
      <c r="AN769" s="20"/>
      <c r="AO769" s="20"/>
      <c r="AP769" s="20"/>
    </row>
    <row r="770" spans="1:42" ht="16.5" thickTop="1">
      <c r="A770" s="1"/>
      <c r="B770" s="1"/>
      <c r="C770" s="26"/>
      <c r="D770" s="336" t="s">
        <v>31</v>
      </c>
      <c r="E770" s="23"/>
      <c r="F770" s="307"/>
      <c r="G770" s="371" t="s">
        <v>31</v>
      </c>
      <c r="H770" s="23"/>
      <c r="I770" s="257" t="s">
        <v>31</v>
      </c>
      <c r="J770" s="257"/>
      <c r="K770" s="371" t="s">
        <v>31</v>
      </c>
      <c r="L770" s="23"/>
      <c r="M770" s="257" t="s">
        <v>31</v>
      </c>
      <c r="N770" s="257"/>
      <c r="O770" s="371" t="s">
        <v>31</v>
      </c>
      <c r="P770" s="23"/>
      <c r="Q770" s="257" t="s">
        <v>31</v>
      </c>
      <c r="R770" s="257"/>
      <c r="S770" s="371" t="s">
        <v>31</v>
      </c>
      <c r="T770" s="23"/>
      <c r="U770" s="257" t="s">
        <v>31</v>
      </c>
      <c r="V770" s="112" t="s">
        <v>257</v>
      </c>
      <c r="W770" s="780">
        <f ca="1">W769-I769</f>
        <v>-178.88716653548181</v>
      </c>
      <c r="X770" s="782" t="s">
        <v>31</v>
      </c>
      <c r="Y770" s="792"/>
      <c r="AI770" s="20"/>
      <c r="AJ770" s="20"/>
      <c r="AK770" s="20"/>
      <c r="AL770" s="20"/>
      <c r="AM770" s="20"/>
      <c r="AN770" s="20"/>
      <c r="AO770" s="20"/>
      <c r="AP770" s="20"/>
    </row>
    <row r="771" spans="1:42" hidden="1">
      <c r="A771" s="278" t="s">
        <v>437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 t="s">
        <v>31</v>
      </c>
      <c r="AI771" s="20"/>
      <c r="AJ771" s="20"/>
      <c r="AK771" s="20"/>
      <c r="AL771" s="20"/>
      <c r="AM771" s="20"/>
      <c r="AN771" s="20"/>
      <c r="AO771" s="20"/>
      <c r="AP771" s="20"/>
    </row>
    <row r="772" spans="1:42" hidden="1">
      <c r="A772" s="294" t="s">
        <v>190</v>
      </c>
      <c r="B772" s="1"/>
      <c r="C772" s="21"/>
      <c r="D772" s="322"/>
      <c r="E772" s="1"/>
      <c r="F772" s="2"/>
      <c r="G772" s="322"/>
      <c r="H772" s="1"/>
      <c r="I772" s="2"/>
      <c r="J772" s="2"/>
      <c r="K772" s="322"/>
      <c r="L772" s="1"/>
      <c r="M772" s="2"/>
      <c r="N772" s="2"/>
      <c r="O772" s="322"/>
      <c r="P772" s="1"/>
      <c r="Q772" s="2"/>
      <c r="R772" s="2"/>
      <c r="S772" s="322"/>
      <c r="T772" s="1"/>
      <c r="U772" s="2"/>
      <c r="V772" s="84"/>
      <c r="W772" s="331" t="s">
        <v>31</v>
      </c>
      <c r="X772" s="222"/>
      <c r="Y772" s="222"/>
      <c r="AI772" s="20"/>
      <c r="AJ772" s="20"/>
      <c r="AK772" s="20"/>
      <c r="AL772" s="20"/>
      <c r="AM772" s="20"/>
      <c r="AN772" s="20"/>
      <c r="AO772" s="20"/>
      <c r="AP772" s="20"/>
    </row>
    <row r="773" spans="1:42" hidden="1">
      <c r="A773" s="308"/>
      <c r="B773" s="1"/>
      <c r="C773" s="21"/>
      <c r="D773" s="322"/>
      <c r="E773" s="1"/>
      <c r="F773" s="365"/>
      <c r="G773" s="322"/>
      <c r="H773" s="1"/>
      <c r="I773" s="366"/>
      <c r="J773" s="366"/>
      <c r="K773" s="322"/>
      <c r="L773" s="1"/>
      <c r="M773" s="366"/>
      <c r="N773" s="366"/>
      <c r="O773" s="322"/>
      <c r="P773" s="1"/>
      <c r="Q773" s="366"/>
      <c r="R773" s="366"/>
      <c r="S773" s="322"/>
      <c r="T773" s="1"/>
      <c r="U773" s="366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 hidden="1">
      <c r="A774" s="294" t="s">
        <v>439</v>
      </c>
      <c r="B774" s="1"/>
      <c r="C774" s="304"/>
      <c r="D774" s="2" t="s">
        <v>31</v>
      </c>
      <c r="E774" s="1"/>
      <c r="F774" s="1"/>
      <c r="G774" s="2" t="s">
        <v>31</v>
      </c>
      <c r="H774" s="1"/>
      <c r="I774" s="1"/>
      <c r="J774" s="1"/>
      <c r="K774" s="2" t="s">
        <v>31</v>
      </c>
      <c r="L774" s="1"/>
      <c r="M774" s="1"/>
      <c r="N774" s="1"/>
      <c r="O774" s="2" t="s">
        <v>31</v>
      </c>
      <c r="P774" s="1"/>
      <c r="Q774" s="1"/>
      <c r="R774" s="1"/>
      <c r="S774" s="2" t="s">
        <v>31</v>
      </c>
      <c r="T774" s="1"/>
      <c r="U774" s="1"/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 hidden="1">
      <c r="A775" s="294" t="s">
        <v>440</v>
      </c>
      <c r="B775" s="1"/>
      <c r="C775" s="304">
        <f>'Rate Design Work eff 10-14-16'!C774</f>
        <v>585.32901446738447</v>
      </c>
      <c r="D775" s="322">
        <f>'Rate Design Work eff 10-14-16'!D774</f>
        <v>0</v>
      </c>
      <c r="E775" s="309"/>
      <c r="F775" s="306">
        <f>ROUND(D775*C775,0)</f>
        <v>0</v>
      </c>
      <c r="G775" s="322">
        <f>$G$721</f>
        <v>0</v>
      </c>
      <c r="H775" s="309"/>
      <c r="I775" s="306">
        <f>ROUND(G775*$C775,0)</f>
        <v>0</v>
      </c>
      <c r="J775" s="306"/>
      <c r="K775" s="322">
        <f>$G$721</f>
        <v>0</v>
      </c>
      <c r="L775" s="309"/>
      <c r="M775" s="306">
        <f>ROUND(K775*$C775,0)</f>
        <v>0</v>
      </c>
      <c r="N775" s="306"/>
      <c r="O775" s="322" t="str">
        <f>$O$721</f>
        <v xml:space="preserve"> </v>
      </c>
      <c r="P775" s="309"/>
      <c r="Q775" s="306">
        <f>ROUND(O775*$C775,0)</f>
        <v>0</v>
      </c>
      <c r="R775" s="306"/>
      <c r="S775" s="322" t="str">
        <f>$S$721</f>
        <v xml:space="preserve"> </v>
      </c>
      <c r="T775" s="309"/>
      <c r="U775" s="306">
        <f>ROUND(S775*$C775,0)</f>
        <v>0</v>
      </c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 hidden="1">
      <c r="A776" s="294" t="s">
        <v>441</v>
      </c>
      <c r="B776" s="1"/>
      <c r="C776" s="304"/>
      <c r="D776" s="322"/>
      <c r="E776" s="309"/>
      <c r="F776" s="306"/>
      <c r="G776" s="322"/>
      <c r="H776" s="309"/>
      <c r="I776" s="306"/>
      <c r="J776" s="306"/>
      <c r="K776" s="322"/>
      <c r="L776" s="309"/>
      <c r="M776" s="306"/>
      <c r="N776" s="306"/>
      <c r="O776" s="322"/>
      <c r="P776" s="309"/>
      <c r="Q776" s="306"/>
      <c r="R776" s="306"/>
      <c r="S776" s="322"/>
      <c r="T776" s="309"/>
      <c r="U776" s="306"/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 hidden="1">
      <c r="A777" s="294" t="s">
        <v>442</v>
      </c>
      <c r="B777" s="1"/>
      <c r="C777" s="304">
        <f>'Rate Design Work eff 10-14-16'!C776</f>
        <v>2639.7847546294379</v>
      </c>
      <c r="D777" s="322">
        <f>'Rate Design Work eff 10-14-16'!D776</f>
        <v>0</v>
      </c>
      <c r="E777" s="309"/>
      <c r="F777" s="306">
        <f>ROUND(D777*C777,0)</f>
        <v>0</v>
      </c>
      <c r="G777" s="322">
        <f>$G$723</f>
        <v>0</v>
      </c>
      <c r="H777" s="309"/>
      <c r="I777" s="306">
        <f>ROUND(G777*$C777,0)</f>
        <v>0</v>
      </c>
      <c r="J777" s="306"/>
      <c r="K777" s="322">
        <f>$G$723</f>
        <v>0</v>
      </c>
      <c r="L777" s="309"/>
      <c r="M777" s="306">
        <f>ROUND(K777*$C777,0)</f>
        <v>0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 hidden="1">
      <c r="A778" s="294" t="s">
        <v>443</v>
      </c>
      <c r="B778" s="1"/>
      <c r="C778" s="304">
        <f>'Rate Design Work eff 10-14-16'!C777</f>
        <v>314.59706558952797</v>
      </c>
      <c r="D778" s="322">
        <f>'Rate Design Work eff 10-14-16'!D777</f>
        <v>362</v>
      </c>
      <c r="E778" s="309"/>
      <c r="F778" s="306">
        <f>ROUND(D778*C778,0)</f>
        <v>113884</v>
      </c>
      <c r="G778" s="322">
        <f ca="1">$G$724</f>
        <v>370</v>
      </c>
      <c r="H778" s="309"/>
      <c r="I778" s="306">
        <f ca="1">ROUND(G778*$C778,0)</f>
        <v>116401</v>
      </c>
      <c r="J778" s="306"/>
      <c r="K778" s="322">
        <f ca="1">$G$724</f>
        <v>370</v>
      </c>
      <c r="L778" s="309"/>
      <c r="M778" s="306">
        <f ca="1">ROUND(K778*$C778,0)</f>
        <v>116401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 hidden="1">
      <c r="A779" s="294" t="s">
        <v>444</v>
      </c>
      <c r="B779" s="1"/>
      <c r="C779" s="304">
        <f>'Rate Design Work eff 10-14-16'!C778</f>
        <v>10.9999976307206</v>
      </c>
      <c r="D779" s="322">
        <f>'Rate Design Work eff 10-14-16'!D778</f>
        <v>1479</v>
      </c>
      <c r="E779" s="309"/>
      <c r="F779" s="306">
        <f>ROUND(D779*C779,0)</f>
        <v>16269</v>
      </c>
      <c r="G779" s="322">
        <f ca="1">$G$725</f>
        <v>1504</v>
      </c>
      <c r="H779" s="309"/>
      <c r="I779" s="306">
        <f ca="1">ROUND(G779*$C779,0)</f>
        <v>16544</v>
      </c>
      <c r="J779" s="306"/>
      <c r="K779" s="322">
        <f ca="1">$G$725</f>
        <v>1504</v>
      </c>
      <c r="L779" s="309"/>
      <c r="M779" s="306">
        <f ca="1">ROUND(K779*$C779,0)</f>
        <v>16544</v>
      </c>
      <c r="N779" s="306"/>
      <c r="O779" s="322" t="str">
        <f>$O$725</f>
        <v xml:space="preserve"> </v>
      </c>
      <c r="P779" s="309"/>
      <c r="Q779" s="306">
        <f>ROUND(O779*$C779,0)</f>
        <v>0</v>
      </c>
      <c r="R779" s="306"/>
      <c r="S779" s="322" t="str">
        <f>$S$725</f>
        <v xml:space="preserve"> </v>
      </c>
      <c r="T779" s="309"/>
      <c r="U779" s="306">
        <f>ROUND(S779*$C779,0)</f>
        <v>0</v>
      </c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 hidden="1">
      <c r="A780" s="294" t="s">
        <v>352</v>
      </c>
      <c r="B780" s="1"/>
      <c r="C780" s="304">
        <f>SUM(C775:C779)</f>
        <v>3550.7108323170714</v>
      </c>
      <c r="D780" s="322"/>
      <c r="E780" s="309"/>
      <c r="F780" s="306"/>
      <c r="G780" s="322"/>
      <c r="H780" s="309"/>
      <c r="I780" s="306"/>
      <c r="J780" s="306"/>
      <c r="K780" s="322"/>
      <c r="L780" s="309"/>
      <c r="M780" s="306"/>
      <c r="N780" s="306"/>
      <c r="O780" s="322"/>
      <c r="P780" s="309"/>
      <c r="Q780" s="306"/>
      <c r="R780" s="306"/>
      <c r="S780" s="322"/>
      <c r="T780" s="309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 hidden="1">
      <c r="A781" s="294" t="s">
        <v>445</v>
      </c>
      <c r="B781" s="1"/>
      <c r="C781" s="304">
        <f>'Rate Design Work eff 10-14-16'!C780</f>
        <v>26978.440555555677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 hidden="1">
      <c r="A782" s="294" t="s">
        <v>104</v>
      </c>
      <c r="B782" s="1"/>
      <c r="C782" s="304">
        <f>'Rate Design Work eff 10-14-16'!C781</f>
        <v>3789</v>
      </c>
      <c r="D782" s="322"/>
      <c r="E782" s="306"/>
      <c r="F782" s="306"/>
      <c r="G782" s="322"/>
      <c r="H782" s="306"/>
      <c r="I782" s="306"/>
      <c r="J782" s="306"/>
      <c r="K782" s="322"/>
      <c r="L782" s="306"/>
      <c r="M782" s="306"/>
      <c r="N782" s="306"/>
      <c r="O782" s="322"/>
      <c r="P782" s="306"/>
      <c r="Q782" s="306"/>
      <c r="R782" s="306"/>
      <c r="S782" s="322"/>
      <c r="T782" s="306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 hidden="1">
      <c r="A783" s="294" t="s">
        <v>446</v>
      </c>
      <c r="B783" s="1"/>
      <c r="C783" s="304"/>
      <c r="D783" s="322"/>
      <c r="E783" s="309"/>
      <c r="F783" s="306"/>
      <c r="G783" s="322"/>
      <c r="H783" s="309"/>
      <c r="I783" s="306"/>
      <c r="J783" s="306"/>
      <c r="K783" s="322"/>
      <c r="L783" s="309"/>
      <c r="M783" s="306"/>
      <c r="N783" s="306"/>
      <c r="O783" s="322"/>
      <c r="P783" s="309"/>
      <c r="Q783" s="306"/>
      <c r="R783" s="306"/>
      <c r="S783" s="322"/>
      <c r="T783" s="309"/>
      <c r="U783" s="306"/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 hidden="1">
      <c r="A784" s="294" t="s">
        <v>447</v>
      </c>
      <c r="B784" s="1"/>
      <c r="C784" s="304">
        <f>'Rate Design Work eff 10-14-16'!C783</f>
        <v>2076.8587101006215</v>
      </c>
      <c r="D784" s="322">
        <f>'Rate Design Work eff 10-14-16'!D783</f>
        <v>25.64</v>
      </c>
      <c r="E784" s="309"/>
      <c r="F784" s="306">
        <f>ROUND(D784*C784,0)</f>
        <v>53251</v>
      </c>
      <c r="G784" s="322">
        <f ca="1">$G$730</f>
        <v>26.02</v>
      </c>
      <c r="H784" s="309"/>
      <c r="I784" s="306">
        <f ca="1">ROUND(G784*$C784,0)</f>
        <v>54040</v>
      </c>
      <c r="J784" s="306"/>
      <c r="K784" s="322">
        <f ca="1">$K$730</f>
        <v>26.02</v>
      </c>
      <c r="L784" s="309"/>
      <c r="M784" s="306">
        <f ca="1">ROUND(K784*$C784,0)</f>
        <v>54040</v>
      </c>
      <c r="N784" s="306"/>
      <c r="O784" s="322" t="str">
        <f>$O$730</f>
        <v xml:space="preserve"> </v>
      </c>
      <c r="P784" s="309"/>
      <c r="Q784" s="306">
        <f>ROUND(O784*$C784,0)</f>
        <v>0</v>
      </c>
      <c r="R784" s="306"/>
      <c r="S784" s="322" t="str">
        <f>$S$730</f>
        <v xml:space="preserve"> </v>
      </c>
      <c r="T784" s="309"/>
      <c r="U784" s="306">
        <f>ROUND(S784*$C784,0)</f>
        <v>0</v>
      </c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2" hidden="1">
      <c r="A785" s="294" t="s">
        <v>448</v>
      </c>
      <c r="B785" s="1"/>
      <c r="C785" s="304"/>
      <c r="D785" s="322"/>
      <c r="E785" s="309"/>
      <c r="F785" s="306"/>
      <c r="G785" s="322"/>
      <c r="H785" s="309"/>
      <c r="I785" s="306"/>
      <c r="J785" s="306"/>
      <c r="K785" s="322"/>
      <c r="L785" s="309"/>
      <c r="M785" s="306"/>
      <c r="N785" s="306"/>
      <c r="O785" s="322"/>
      <c r="P785" s="309"/>
      <c r="Q785" s="306"/>
      <c r="R785" s="306"/>
      <c r="S785" s="322"/>
      <c r="T785" s="309"/>
      <c r="U785" s="306"/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2" hidden="1">
      <c r="A786" s="294" t="s">
        <v>442</v>
      </c>
      <c r="B786" s="1"/>
      <c r="C786" s="304">
        <f>'Rate Design Work eff 10-14-16'!C785</f>
        <v>39873.252848561533</v>
      </c>
      <c r="D786" s="322">
        <f>'Rate Design Work eff 10-14-16'!D785</f>
        <v>25.54</v>
      </c>
      <c r="E786" s="309"/>
      <c r="F786" s="306">
        <f>ROUND(D786*C786,0)</f>
        <v>1018363</v>
      </c>
      <c r="G786" s="322">
        <f ca="1">$G$732</f>
        <v>26.02</v>
      </c>
      <c r="H786" s="309"/>
      <c r="I786" s="306">
        <f ca="1">ROUND(G786*$C786,0)</f>
        <v>1037502</v>
      </c>
      <c r="J786" s="306"/>
      <c r="K786" s="322">
        <f ca="1">$K$732</f>
        <v>26.02</v>
      </c>
      <c r="L786" s="309"/>
      <c r="M786" s="306">
        <f ca="1">ROUND(K786*$C786,0)</f>
        <v>1037502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2" hidden="1">
      <c r="A787" s="294" t="s">
        <v>443</v>
      </c>
      <c r="B787" s="1"/>
      <c r="C787" s="304">
        <f>'Rate Design Work eff 10-14-16'!C786</f>
        <v>29185.4347915853</v>
      </c>
      <c r="D787" s="322">
        <f>'Rate Design Work eff 10-14-16'!D786</f>
        <v>17.79</v>
      </c>
      <c r="E787" s="309"/>
      <c r="F787" s="306">
        <f>ROUND(D787*C787,0)</f>
        <v>519209</v>
      </c>
      <c r="G787" s="322">
        <f ca="1">$G$733</f>
        <v>18.101388370764003</v>
      </c>
      <c r="H787" s="309"/>
      <c r="I787" s="306">
        <f ca="1">ROUND(G787*$C787,0)</f>
        <v>528297</v>
      </c>
      <c r="J787" s="306"/>
      <c r="K787" s="322">
        <f ca="1">$K$733</f>
        <v>18.101388370764003</v>
      </c>
      <c r="L787" s="309"/>
      <c r="M787" s="306">
        <f ca="1">ROUND(K787*$C787,0)</f>
        <v>528297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2" hidden="1">
      <c r="A788" s="294" t="s">
        <v>444</v>
      </c>
      <c r="B788" s="1"/>
      <c r="C788" s="304">
        <f>'Rate Design Work eff 10-14-16'!C787</f>
        <v>4458.9991006743103</v>
      </c>
      <c r="D788" s="322">
        <f>'Rate Design Work eff 10-14-16'!D787</f>
        <v>13.92</v>
      </c>
      <c r="E788" s="309"/>
      <c r="F788" s="306">
        <f>ROUND(D788*C788,0)</f>
        <v>62069</v>
      </c>
      <c r="G788" s="322">
        <f ca="1">$G$734</f>
        <v>14.155824964645021</v>
      </c>
      <c r="H788" s="309"/>
      <c r="I788" s="306">
        <f ca="1">ROUND(G788*$C788,0)</f>
        <v>63121</v>
      </c>
      <c r="J788" s="306"/>
      <c r="K788" s="322">
        <f ca="1">$K$734</f>
        <v>14.155824964645021</v>
      </c>
      <c r="L788" s="309"/>
      <c r="M788" s="306">
        <f ca="1">ROUND(K788*$C788,0)</f>
        <v>63121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2" hidden="1">
      <c r="A789" s="294" t="s">
        <v>450</v>
      </c>
      <c r="B789" s="1"/>
      <c r="C789" s="304">
        <f>'Rate Design Work eff 10-14-16'!C788</f>
        <v>287.38362640647603</v>
      </c>
      <c r="D789" s="322">
        <f>'Rate Design Work eff 10-14-16'!D788</f>
        <v>76.930000000000007</v>
      </c>
      <c r="E789" s="309"/>
      <c r="F789" s="306">
        <f>ROUND(D789*C789,0)</f>
        <v>22108</v>
      </c>
      <c r="G789" s="322">
        <f ca="1">$G$735</f>
        <v>78.06</v>
      </c>
      <c r="H789" s="309"/>
      <c r="I789" s="306">
        <f ca="1">ROUND(G789*$C789,0)</f>
        <v>22433</v>
      </c>
      <c r="J789" s="306"/>
      <c r="K789" s="322">
        <f ca="1">$K$735</f>
        <v>78.06</v>
      </c>
      <c r="L789" s="309"/>
      <c r="M789" s="306">
        <f ca="1">ROUND(K789*$C789,0)</f>
        <v>22433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2" hidden="1">
      <c r="A790" s="294" t="s">
        <v>451</v>
      </c>
      <c r="B790" s="1"/>
      <c r="C790" s="304">
        <f>'Rate Design Work eff 10-14-16'!C789</f>
        <v>596.26328693931896</v>
      </c>
      <c r="D790" s="322">
        <f>'Rate Design Work eff 10-14-16'!D789</f>
        <v>153.22</v>
      </c>
      <c r="E790" s="309"/>
      <c r="F790" s="306">
        <f>ROUND(D790*C790,0)</f>
        <v>91359</v>
      </c>
      <c r="G790" s="322">
        <f ca="1">$G$736</f>
        <v>156.12</v>
      </c>
      <c r="H790" s="309"/>
      <c r="I790" s="306">
        <f ca="1">ROUND(G790*$C790,0)</f>
        <v>93089</v>
      </c>
      <c r="J790" s="306"/>
      <c r="K790" s="322">
        <f ca="1">$K$736</f>
        <v>156.12</v>
      </c>
      <c r="L790" s="309"/>
      <c r="M790" s="306">
        <f ca="1">ROUND(K790*$C790,0)</f>
        <v>93089</v>
      </c>
      <c r="N790" s="306"/>
      <c r="O790" s="322" t="str">
        <f>$O$736</f>
        <v xml:space="preserve"> </v>
      </c>
      <c r="P790" s="309"/>
      <c r="Q790" s="306">
        <f>ROUND(O790*$C790,0)</f>
        <v>0</v>
      </c>
      <c r="R790" s="306"/>
      <c r="S790" s="322" t="str">
        <f>$S$736</f>
        <v xml:space="preserve"> </v>
      </c>
      <c r="T790" s="309"/>
      <c r="U790" s="306">
        <f>ROUND(S790*$C790,0)</f>
        <v>0</v>
      </c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2" hidden="1">
      <c r="A791" s="294" t="s">
        <v>452</v>
      </c>
      <c r="B791" s="1"/>
      <c r="C791" s="304"/>
      <c r="D791" s="322"/>
      <c r="E791" s="309"/>
      <c r="F791" s="306"/>
      <c r="G791" s="322"/>
      <c r="H791" s="309"/>
      <c r="I791" s="306"/>
      <c r="J791" s="306"/>
      <c r="K791" s="322"/>
      <c r="L791" s="309"/>
      <c r="M791" s="306"/>
      <c r="N791" s="306"/>
      <c r="O791" s="322"/>
      <c r="P791" s="309"/>
      <c r="Q791" s="306"/>
      <c r="R791" s="306"/>
      <c r="S791" s="322"/>
      <c r="T791" s="309"/>
      <c r="U791" s="306"/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2" hidden="1">
      <c r="A792" s="294" t="s">
        <v>447</v>
      </c>
      <c r="B792" s="1"/>
      <c r="C792" s="304">
        <f>'Rate Design Work eff 10-14-16'!C791</f>
        <v>13.885153858261599</v>
      </c>
      <c r="D792" s="348">
        <f>'Rate Design Work eff 10-14-16'!D791</f>
        <v>-25.64</v>
      </c>
      <c r="E792" s="309"/>
      <c r="F792" s="306">
        <f>ROUND(D792*C792,0)</f>
        <v>-356</v>
      </c>
      <c r="G792" s="348">
        <f ca="1">-G784</f>
        <v>-26.02</v>
      </c>
      <c r="H792" s="309"/>
      <c r="I792" s="306">
        <f ca="1">ROUND(G792*$C792,0)</f>
        <v>-361</v>
      </c>
      <c r="J792" s="306"/>
      <c r="K792" s="348">
        <f ca="1">-K784</f>
        <v>-26.02</v>
      </c>
      <c r="L792" s="309"/>
      <c r="M792" s="306">
        <f ca="1">ROUND(K792*$C792,0)</f>
        <v>-361</v>
      </c>
      <c r="N792" s="306"/>
      <c r="O792" s="348">
        <f>-O784</f>
        <v>0</v>
      </c>
      <c r="P792" s="309"/>
      <c r="Q792" s="306">
        <f>ROUND(O792*$C792,0)</f>
        <v>0</v>
      </c>
      <c r="R792" s="306"/>
      <c r="S792" s="348">
        <f>-S784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2" hidden="1">
      <c r="A793" s="294" t="s">
        <v>453</v>
      </c>
      <c r="B793" s="1"/>
      <c r="C793" s="304">
        <f>'Rate Design Work eff 10-14-16'!C792</f>
        <v>218.78375922302399</v>
      </c>
      <c r="D793" s="348">
        <f>'Rate Design Work eff 10-14-16'!D792</f>
        <v>-25.54</v>
      </c>
      <c r="E793" s="309"/>
      <c r="F793" s="306">
        <f>ROUND(D793*C793,0)</f>
        <v>-5588</v>
      </c>
      <c r="G793" s="348">
        <f ca="1">-G786</f>
        <v>-26.02</v>
      </c>
      <c r="H793" s="309"/>
      <c r="I793" s="306">
        <f ca="1">ROUND(G793*$C793,0)</f>
        <v>-5693</v>
      </c>
      <c r="J793" s="306"/>
      <c r="K793" s="348">
        <f ca="1">-K786</f>
        <v>-26.02</v>
      </c>
      <c r="L793" s="309"/>
      <c r="M793" s="306">
        <f ca="1">ROUND(K793*$C793,0)</f>
        <v>-5693</v>
      </c>
      <c r="N793" s="306"/>
      <c r="O793" s="348">
        <f>-O786</f>
        <v>0</v>
      </c>
      <c r="P793" s="309"/>
      <c r="Q793" s="306">
        <f>ROUND(O793*$C793,0)</f>
        <v>0</v>
      </c>
      <c r="R793" s="306"/>
      <c r="S793" s="348">
        <f>-S786</f>
        <v>0</v>
      </c>
      <c r="T793" s="309"/>
      <c r="U793" s="306">
        <f>ROUND(S793*$C793,0)</f>
        <v>0</v>
      </c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2" hidden="1">
      <c r="A794" s="308" t="s">
        <v>416</v>
      </c>
      <c r="B794" s="1"/>
      <c r="C794" s="64" t="s">
        <v>31</v>
      </c>
      <c r="D794" s="322"/>
      <c r="E794" s="306"/>
      <c r="F794" s="306"/>
      <c r="G794" s="322"/>
      <c r="H794" s="306"/>
      <c r="I794" s="306"/>
      <c r="J794" s="306"/>
      <c r="K794" s="322"/>
      <c r="L794" s="306"/>
      <c r="M794" s="306"/>
      <c r="N794" s="306"/>
      <c r="O794" s="322"/>
      <c r="P794" s="306"/>
      <c r="Q794" s="306"/>
      <c r="R794" s="306"/>
      <c r="S794" s="322"/>
      <c r="T794" s="306"/>
      <c r="U794" s="306"/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2" hidden="1">
      <c r="A795" s="294" t="s">
        <v>454</v>
      </c>
      <c r="B795" s="1"/>
      <c r="C795" s="304">
        <f>'Rate Design Work eff 10-14-16'!C794</f>
        <v>110142584.89494899</v>
      </c>
      <c r="D795" s="367">
        <f>'Rate Design Work eff 10-14-16'!D794</f>
        <v>6.9180000000000001</v>
      </c>
      <c r="E795" s="306" t="s">
        <v>364</v>
      </c>
      <c r="F795" s="306">
        <f>ROUND(D795/100*C795,0)</f>
        <v>7619664</v>
      </c>
      <c r="G795" s="367">
        <f ca="1">$G$741</f>
        <v>7.0350000000000001</v>
      </c>
      <c r="H795" s="306" t="s">
        <v>364</v>
      </c>
      <c r="I795" s="306">
        <f ca="1">ROUND(G795/100*$C795,0)</f>
        <v>7748531</v>
      </c>
      <c r="J795" s="306"/>
      <c r="K795" s="367" t="e">
        <f ca="1">$K$741</f>
        <v>#REF!</v>
      </c>
      <c r="L795" s="306" t="s">
        <v>364</v>
      </c>
      <c r="M795" s="306" t="e">
        <f ca="1">ROUND(K795/100*$C795,0)</f>
        <v>#REF!</v>
      </c>
      <c r="N795" s="306"/>
      <c r="O795" s="367" t="e">
        <f ca="1">$O$741</f>
        <v>#DIV/0!</v>
      </c>
      <c r="P795" s="306" t="s">
        <v>364</v>
      </c>
      <c r="Q795" s="306" t="e">
        <f ca="1">ROUND(O795/100*$C795,0)</f>
        <v>#DIV/0!</v>
      </c>
      <c r="R795" s="306"/>
      <c r="S795" s="367" t="e">
        <f ca="1">$S$741</f>
        <v>#DIV/0!</v>
      </c>
      <c r="T795" s="306" t="s">
        <v>364</v>
      </c>
      <c r="U795" s="306" t="e">
        <f ca="1">ROUND(S795/100*$C795,0)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2" hidden="1">
      <c r="A796" s="308" t="s">
        <v>390</v>
      </c>
      <c r="B796" s="1"/>
      <c r="C796" s="304">
        <f>'Rate Design Work eff 10-14-16'!C795</f>
        <v>43439</v>
      </c>
      <c r="D796" s="324">
        <f>'Rate Design Work eff 10-14-16'!D795</f>
        <v>56</v>
      </c>
      <c r="E796" s="308" t="s">
        <v>364</v>
      </c>
      <c r="F796" s="306">
        <f>ROUND(D796/100*C796,0)</f>
        <v>24326</v>
      </c>
      <c r="G796" s="324">
        <f ca="1">$G$742</f>
        <v>57</v>
      </c>
      <c r="H796" s="308" t="s">
        <v>364</v>
      </c>
      <c r="I796" s="306">
        <f ca="1">ROUND(G796*$C796/100,0)</f>
        <v>24760</v>
      </c>
      <c r="J796" s="306"/>
      <c r="K796" s="324" t="str">
        <f>$K$742</f>
        <v xml:space="preserve"> </v>
      </c>
      <c r="L796" s="308" t="s">
        <v>364</v>
      </c>
      <c r="M796" s="306">
        <f>ROUND(K796*$C796/100,0)</f>
        <v>0</v>
      </c>
      <c r="N796" s="306"/>
      <c r="O796" s="324" t="e">
        <f ca="1">$O$742</f>
        <v>#DIV/0!</v>
      </c>
      <c r="P796" s="308" t="s">
        <v>364</v>
      </c>
      <c r="Q796" s="306" t="e">
        <f ca="1">ROUND(O796*$C796/100,0)</f>
        <v>#DIV/0!</v>
      </c>
      <c r="R796" s="306"/>
      <c r="S796" s="324" t="e">
        <f ca="1">$S$742</f>
        <v>#DIV/0!</v>
      </c>
      <c r="T796" s="308" t="s">
        <v>364</v>
      </c>
      <c r="U796" s="306" t="e">
        <f ca="1">ROUND(S796*$C796/100,0)</f>
        <v>#DIV/0!</v>
      </c>
      <c r="V796" s="20"/>
      <c r="W796" s="74"/>
      <c r="X796" s="74"/>
      <c r="Y796" s="74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</row>
    <row r="797" spans="1:42" hidden="1">
      <c r="A797" s="345" t="s">
        <v>391</v>
      </c>
      <c r="B797" s="1"/>
      <c r="C797" s="304"/>
      <c r="D797" s="317">
        <f>'Rate Design Work eff 10-14-16'!D797</f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2" hidden="1">
      <c r="A798" s="294" t="s">
        <v>380</v>
      </c>
      <c r="B798" s="1"/>
      <c r="C798" s="304">
        <f>'Rate Design Work eff 10-14-16'!C798</f>
        <v>0</v>
      </c>
      <c r="D798" s="369">
        <f>'Rate Design Work eff 10-14-16'!D798</f>
        <v>0</v>
      </c>
      <c r="E798" s="309"/>
      <c r="F798" s="306">
        <f>ROUND(D798*C798*$D$745,0)</f>
        <v>0</v>
      </c>
      <c r="G798" s="369">
        <f>G775</f>
        <v>0</v>
      </c>
      <c r="H798" s="309"/>
      <c r="I798" s="306">
        <f>ROUND(G798*$C798*$G$797,0)</f>
        <v>0</v>
      </c>
      <c r="J798" s="306"/>
      <c r="K798" s="369">
        <f>K775</f>
        <v>0</v>
      </c>
      <c r="L798" s="309"/>
      <c r="M798" s="306">
        <f>ROUND(K798*$C798*$G$797,0)</f>
        <v>0</v>
      </c>
      <c r="N798" s="306"/>
      <c r="O798" s="369" t="str">
        <f>O775</f>
        <v xml:space="preserve"> </v>
      </c>
      <c r="P798" s="309"/>
      <c r="Q798" s="306">
        <f>ROUND(O798*$C798*$G$797,0)</f>
        <v>0</v>
      </c>
      <c r="R798" s="306"/>
      <c r="S798" s="369" t="str">
        <f>S775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2" hidden="1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2" hidden="1">
      <c r="A800" s="294" t="s">
        <v>442</v>
      </c>
      <c r="B800" s="1"/>
      <c r="C800" s="304">
        <f>'Rate Design Work eff 10-14-16'!C800</f>
        <v>1.0000071591230999</v>
      </c>
      <c r="D800" s="369">
        <f>'Rate Design Work eff 10-14-16'!D800</f>
        <v>0</v>
      </c>
      <c r="E800" s="309"/>
      <c r="F800" s="306">
        <f>ROUND(D800*C800*$D$745,0)</f>
        <v>0</v>
      </c>
      <c r="G800" s="369">
        <f>G777</f>
        <v>0</v>
      </c>
      <c r="H800" s="309"/>
      <c r="I800" s="306">
        <f>ROUND(G800*$C800*$G$797,0)</f>
        <v>0</v>
      </c>
      <c r="J800" s="306"/>
      <c r="K800" s="369">
        <f>K777</f>
        <v>0</v>
      </c>
      <c r="L800" s="309"/>
      <c r="M800" s="306">
        <f>ROUND(K800*$C800*$G$797,0)</f>
        <v>0</v>
      </c>
      <c r="N800" s="306"/>
      <c r="O800" s="369" t="str">
        <f>O777</f>
        <v xml:space="preserve"> </v>
      </c>
      <c r="P800" s="309"/>
      <c r="Q800" s="306">
        <f>ROUND(O800*$C800*$G$797,0)</f>
        <v>0</v>
      </c>
      <c r="R800" s="306"/>
      <c r="S800" s="369" t="str">
        <f>S777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 hidden="1">
      <c r="A801" s="294" t="s">
        <v>443</v>
      </c>
      <c r="B801" s="1"/>
      <c r="C801" s="304">
        <f>'Rate Design Work eff 10-14-16'!C801</f>
        <v>0</v>
      </c>
      <c r="D801" s="369">
        <f>'Rate Design Work eff 10-14-16'!D801</f>
        <v>362</v>
      </c>
      <c r="E801" s="309"/>
      <c r="F801" s="306">
        <f>ROUND(D801*C801*$D$745,0)</f>
        <v>0</v>
      </c>
      <c r="G801" s="369">
        <f ca="1">G778</f>
        <v>370</v>
      </c>
      <c r="H801" s="309"/>
      <c r="I801" s="306">
        <f ca="1">ROUND(G801*$C801*$G$797,0)</f>
        <v>0</v>
      </c>
      <c r="J801" s="306"/>
      <c r="K801" s="369">
        <f ca="1">K778</f>
        <v>370</v>
      </c>
      <c r="L801" s="309"/>
      <c r="M801" s="306">
        <f ca="1">ROUND(K801*$C801*$G$797,0)</f>
        <v>0</v>
      </c>
      <c r="N801" s="306"/>
      <c r="O801" s="369" t="str">
        <f>O778</f>
        <v xml:space="preserve"> </v>
      </c>
      <c r="P801" s="309"/>
      <c r="Q801" s="306">
        <f>ROUND(O801*$C801*$G$797,0)</f>
        <v>0</v>
      </c>
      <c r="R801" s="306"/>
      <c r="S801" s="369" t="str">
        <f>S778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 hidden="1">
      <c r="A802" s="294" t="s">
        <v>444</v>
      </c>
      <c r="B802" s="1"/>
      <c r="C802" s="304">
        <f>'Rate Design Work eff 10-14-16'!C802</f>
        <v>0</v>
      </c>
      <c r="D802" s="369">
        <f>'Rate Design Work eff 10-14-16'!D802</f>
        <v>1479</v>
      </c>
      <c r="E802" s="309"/>
      <c r="F802" s="306">
        <f>ROUND(D802*C802*$D$745,0)</f>
        <v>0</v>
      </c>
      <c r="G802" s="369">
        <f ca="1">G779</f>
        <v>1504</v>
      </c>
      <c r="H802" s="309"/>
      <c r="I802" s="306">
        <f ca="1">ROUND(G802*$C802*$G$797,0)</f>
        <v>0</v>
      </c>
      <c r="J802" s="306"/>
      <c r="K802" s="369">
        <f ca="1">K779</f>
        <v>1504</v>
      </c>
      <c r="L802" s="309"/>
      <c r="M802" s="306">
        <f ca="1">ROUND(K802*$C802*$G$797,0)</f>
        <v>0</v>
      </c>
      <c r="N802" s="306"/>
      <c r="O802" s="369" t="str">
        <f>O779</f>
        <v xml:space="preserve"> </v>
      </c>
      <c r="P802" s="309"/>
      <c r="Q802" s="306">
        <f>ROUND(O802*$C802*$G$797,0)</f>
        <v>0</v>
      </c>
      <c r="R802" s="306"/>
      <c r="S802" s="369" t="str">
        <f>S779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 hidden="1">
      <c r="A803" s="294" t="s">
        <v>380</v>
      </c>
      <c r="B803" s="1"/>
      <c r="C803" s="304">
        <f>'Rate Design Work eff 10-14-16'!C803</f>
        <v>0</v>
      </c>
      <c r="D803" s="369">
        <f>'Rate Design Work eff 10-14-16'!D803</f>
        <v>25.64</v>
      </c>
      <c r="E803" s="309"/>
      <c r="F803" s="306">
        <f>ROUND(D803*C803*$D$745,0)</f>
        <v>0</v>
      </c>
      <c r="G803" s="369">
        <f ca="1">G784</f>
        <v>26.02</v>
      </c>
      <c r="H803" s="309"/>
      <c r="I803" s="306">
        <f ca="1">ROUND(G803*$C803*$G$797,0)</f>
        <v>0</v>
      </c>
      <c r="J803" s="306"/>
      <c r="K803" s="369">
        <f ca="1">K784</f>
        <v>26.02</v>
      </c>
      <c r="L803" s="309"/>
      <c r="M803" s="306">
        <f ca="1">ROUND(K803*$C803*$G$797,0)</f>
        <v>0</v>
      </c>
      <c r="N803" s="306"/>
      <c r="O803" s="369" t="str">
        <f>O784</f>
        <v xml:space="preserve"> </v>
      </c>
      <c r="P803" s="309"/>
      <c r="Q803" s="306">
        <f>ROUND(O803*$C803*$G$797,0)</f>
        <v>0</v>
      </c>
      <c r="R803" s="306"/>
      <c r="S803" s="369" t="str">
        <f>S784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 hidden="1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 hidden="1">
      <c r="A805" s="294" t="s">
        <v>442</v>
      </c>
      <c r="B805" s="1"/>
      <c r="C805" s="304">
        <f>'Rate Design Work eff 10-14-16'!C805</f>
        <v>38.0002720466778</v>
      </c>
      <c r="D805" s="369">
        <f>'Rate Design Work eff 10-14-16'!D805</f>
        <v>25.54</v>
      </c>
      <c r="E805" s="309"/>
      <c r="F805" s="306">
        <f>ROUND(D805*C805*$D$745,0)</f>
        <v>-10</v>
      </c>
      <c r="G805" s="369">
        <f ca="1">G786</f>
        <v>26.02</v>
      </c>
      <c r="H805" s="309"/>
      <c r="I805" s="306">
        <f ca="1">ROUND(G805*$C805*$G$797,0)</f>
        <v>-10</v>
      </c>
      <c r="J805" s="306"/>
      <c r="K805" s="369">
        <f ca="1">K786</f>
        <v>26.02</v>
      </c>
      <c r="L805" s="309"/>
      <c r="M805" s="306">
        <f ca="1">ROUND(K805*$C805*$G$797,0)</f>
        <v>-10</v>
      </c>
      <c r="N805" s="306"/>
      <c r="O805" s="369" t="str">
        <f>O786</f>
        <v xml:space="preserve"> </v>
      </c>
      <c r="P805" s="309"/>
      <c r="Q805" s="306">
        <f>ROUND(O805*$C805*$G$797,0)</f>
        <v>0</v>
      </c>
      <c r="R805" s="306"/>
      <c r="S805" s="369" t="str">
        <f>S786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 hidden="1">
      <c r="A806" s="294" t="s">
        <v>443</v>
      </c>
      <c r="B806" s="1"/>
      <c r="C806" s="304">
        <f>'Rate Design Work eff 10-14-16'!C806</f>
        <v>0</v>
      </c>
      <c r="D806" s="369">
        <f>'Rate Design Work eff 10-14-16'!D806</f>
        <v>17.79</v>
      </c>
      <c r="E806" s="309"/>
      <c r="F806" s="306">
        <f>ROUND(D806*C806*$D$745,0)</f>
        <v>0</v>
      </c>
      <c r="G806" s="369">
        <f ca="1">G787</f>
        <v>18.101388370764003</v>
      </c>
      <c r="H806" s="309"/>
      <c r="I806" s="306">
        <f ca="1">ROUND(G806*$C806*$G$797,0)</f>
        <v>0</v>
      </c>
      <c r="J806" s="306"/>
      <c r="K806" s="369">
        <f ca="1">K787</f>
        <v>18.101388370764003</v>
      </c>
      <c r="L806" s="309"/>
      <c r="M806" s="306">
        <f ca="1">ROUND(K806*$C806*$G$797,0)</f>
        <v>0</v>
      </c>
      <c r="N806" s="306"/>
      <c r="O806" s="369" t="str">
        <f>O787</f>
        <v xml:space="preserve"> </v>
      </c>
      <c r="P806" s="309"/>
      <c r="Q806" s="306">
        <f>ROUND(O806*$C806*$G$797,0)</f>
        <v>0</v>
      </c>
      <c r="R806" s="306"/>
      <c r="S806" s="369" t="str">
        <f>S787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 hidden="1">
      <c r="A807" s="294" t="s">
        <v>444</v>
      </c>
      <c r="B807" s="1"/>
      <c r="C807" s="304">
        <f>'Rate Design Work eff 10-14-16'!C807</f>
        <v>0</v>
      </c>
      <c r="D807" s="369">
        <f>'Rate Design Work eff 10-14-16'!D807</f>
        <v>13.92</v>
      </c>
      <c r="E807" s="309"/>
      <c r="F807" s="306">
        <f>ROUND(D807*C807*$D$745,0)</f>
        <v>0</v>
      </c>
      <c r="G807" s="369">
        <f ca="1">G788</f>
        <v>14.155824964645021</v>
      </c>
      <c r="H807" s="309"/>
      <c r="I807" s="306">
        <f ca="1">ROUND(G807*$C807*$G$797,0)</f>
        <v>0</v>
      </c>
      <c r="J807" s="306"/>
      <c r="K807" s="369">
        <f ca="1">K788</f>
        <v>14.155824964645021</v>
      </c>
      <c r="L807" s="309"/>
      <c r="M807" s="306">
        <f ca="1">ROUND(K807*$C807*$G$797,0)</f>
        <v>0</v>
      </c>
      <c r="N807" s="306"/>
      <c r="O807" s="369" t="str">
        <f>O788</f>
        <v xml:space="preserve"> </v>
      </c>
      <c r="P807" s="309"/>
      <c r="Q807" s="306">
        <f>ROUND(O807*$C807*$G$797,0)</f>
        <v>0</v>
      </c>
      <c r="R807" s="306"/>
      <c r="S807" s="369" t="str">
        <f>S788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 hidden="1">
      <c r="A808" s="294" t="s">
        <v>455</v>
      </c>
      <c r="B808" s="1"/>
      <c r="C808" s="304">
        <v>0</v>
      </c>
      <c r="D808" s="338">
        <f>'Rate Design Work eff 10-14-16'!D808</f>
        <v>76.930000000000007</v>
      </c>
      <c r="E808" s="309"/>
      <c r="F808" s="306">
        <f>ROUND(D808*C808*$D$745,0)</f>
        <v>0</v>
      </c>
      <c r="G808" s="338">
        <f ca="1">G789</f>
        <v>78.06</v>
      </c>
      <c r="H808" s="309"/>
      <c r="I808" s="306">
        <f ca="1">ROUND(G808*$C808*$G$797,0)</f>
        <v>0</v>
      </c>
      <c r="J808" s="306"/>
      <c r="K808" s="338">
        <f ca="1">K789</f>
        <v>78.06</v>
      </c>
      <c r="L808" s="309"/>
      <c r="M808" s="306">
        <f ca="1">ROUND(K808*$C808*$G$797,0)</f>
        <v>0</v>
      </c>
      <c r="N808" s="306"/>
      <c r="O808" s="338" t="str">
        <f>O789</f>
        <v xml:space="preserve"> </v>
      </c>
      <c r="P808" s="309"/>
      <c r="Q808" s="306">
        <f>ROUND(O808*$C808*$G$797,0)</f>
        <v>0</v>
      </c>
      <c r="R808" s="306"/>
      <c r="S808" s="338" t="str">
        <f>S789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 hidden="1">
      <c r="A809" s="294" t="s">
        <v>456</v>
      </c>
      <c r="B809" s="1"/>
      <c r="C809" s="304">
        <v>0</v>
      </c>
      <c r="D809" s="338">
        <f>'Rate Design Work eff 10-14-16'!D809</f>
        <v>153.22</v>
      </c>
      <c r="E809" s="309"/>
      <c r="F809" s="306">
        <f>ROUND(D809*C809*$D$745,0)</f>
        <v>0</v>
      </c>
      <c r="G809" s="338">
        <f ca="1">G790</f>
        <v>156.12</v>
      </c>
      <c r="H809" s="309"/>
      <c r="I809" s="306">
        <f ca="1">ROUND(G809*$C809*$G$797,0)</f>
        <v>0</v>
      </c>
      <c r="J809" s="306"/>
      <c r="K809" s="338">
        <f ca="1">K790</f>
        <v>156.12</v>
      </c>
      <c r="L809" s="309"/>
      <c r="M809" s="306">
        <f ca="1">ROUND(K809*$C809*$G$797,0)</f>
        <v>0</v>
      </c>
      <c r="N809" s="306"/>
      <c r="O809" s="338" t="str">
        <f>O790</f>
        <v xml:space="preserve"> </v>
      </c>
      <c r="P809" s="309"/>
      <c r="Q809" s="306">
        <f>ROUND(O809*$C809*$G$797,0)</f>
        <v>0</v>
      </c>
      <c r="R809" s="306"/>
      <c r="S809" s="338" t="str">
        <f>S790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 hidden="1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 hidden="1">
      <c r="A811" s="294" t="s">
        <v>447</v>
      </c>
      <c r="B811" s="1"/>
      <c r="C811" s="304">
        <v>0</v>
      </c>
      <c r="D811" s="348">
        <f>'Rate Design Work eff 10-14-16'!D811</f>
        <v>-25.64</v>
      </c>
      <c r="E811" s="309"/>
      <c r="F811" s="306">
        <f>ROUND(D811*C811*$D$745,0)</f>
        <v>0</v>
      </c>
      <c r="G811" s="348">
        <f ca="1">G792</f>
        <v>-26.02</v>
      </c>
      <c r="H811" s="309"/>
      <c r="I811" s="306">
        <f ca="1">ROUND(G811*$C811*$G$797,0)</f>
        <v>0</v>
      </c>
      <c r="J811" s="306"/>
      <c r="K811" s="348">
        <f ca="1">K792</f>
        <v>-26.02</v>
      </c>
      <c r="L811" s="309"/>
      <c r="M811" s="306">
        <f ca="1">ROUND(K811*$C811*$G$797,0)</f>
        <v>0</v>
      </c>
      <c r="N811" s="306"/>
      <c r="O811" s="348">
        <f>O792</f>
        <v>0</v>
      </c>
      <c r="P811" s="309"/>
      <c r="Q811" s="306">
        <f>ROUND(O811*$C811*$G$797,0)</f>
        <v>0</v>
      </c>
      <c r="R811" s="306"/>
      <c r="S811" s="348">
        <f>S792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 hidden="1">
      <c r="A812" s="294" t="s">
        <v>453</v>
      </c>
      <c r="B812" s="1"/>
      <c r="C812" s="304">
        <v>0</v>
      </c>
      <c r="D812" s="348">
        <f>'Rate Design Work eff 10-14-16'!D812</f>
        <v>-25.54</v>
      </c>
      <c r="E812" s="309"/>
      <c r="F812" s="306">
        <f>ROUND(D812*C812*$D$745,0)</f>
        <v>0</v>
      </c>
      <c r="G812" s="348">
        <f ca="1">G793</f>
        <v>-26.02</v>
      </c>
      <c r="H812" s="309"/>
      <c r="I812" s="306">
        <f ca="1">ROUND(G812*$C812*$G$797,0)</f>
        <v>0</v>
      </c>
      <c r="J812" s="306"/>
      <c r="K812" s="348">
        <f ca="1">K793</f>
        <v>-26.02</v>
      </c>
      <c r="L812" s="309"/>
      <c r="M812" s="306">
        <f ca="1">ROUND(K812*$C812*$G$797,0)</f>
        <v>0</v>
      </c>
      <c r="N812" s="306"/>
      <c r="O812" s="348">
        <f>O793</f>
        <v>0</v>
      </c>
      <c r="P812" s="309"/>
      <c r="Q812" s="306">
        <f>ROUND(O812*$C812*$G$797,0)</f>
        <v>0</v>
      </c>
      <c r="R812" s="306"/>
      <c r="S812" s="348">
        <f>S793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 hidden="1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 hidden="1">
      <c r="A814" s="294" t="s">
        <v>454</v>
      </c>
      <c r="B814" s="1"/>
      <c r="C814" s="304">
        <f>'Rate Design Work eff 10-14-16'!C814</f>
        <v>10034</v>
      </c>
      <c r="D814" s="370">
        <f>'Rate Design Work eff 10-14-16'!D814</f>
        <v>6.9180000000000001</v>
      </c>
      <c r="E814" s="306" t="s">
        <v>364</v>
      </c>
      <c r="F814" s="306">
        <f>ROUND(D814*C814/100*D797,0)</f>
        <v>-7</v>
      </c>
      <c r="G814" s="370">
        <f ca="1">G795</f>
        <v>7.0350000000000001</v>
      </c>
      <c r="H814" s="306" t="s">
        <v>364</v>
      </c>
      <c r="I814" s="306">
        <f ca="1">ROUND(G814/100*$C814*$G$797,0)</f>
        <v>-7</v>
      </c>
      <c r="J814" s="306"/>
      <c r="K814" s="370" t="e">
        <f ca="1">K795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O795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S795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 hidden="1">
      <c r="A815" s="308" t="s">
        <v>390</v>
      </c>
      <c r="B815" s="1"/>
      <c r="C815" s="304">
        <v>0</v>
      </c>
      <c r="D815" s="360">
        <f>'Rate Design Work eff 10-14-16'!D815</f>
        <v>56</v>
      </c>
      <c r="E815" s="308" t="s">
        <v>364</v>
      </c>
      <c r="F815" s="306">
        <f>ROUND(D815*C815,0)</f>
        <v>0</v>
      </c>
      <c r="G815" s="360">
        <f ca="1">G796</f>
        <v>57</v>
      </c>
      <c r="H815" s="308" t="s">
        <v>364</v>
      </c>
      <c r="I815" s="306">
        <f ca="1">ROUND(G815/100*$C815*$G$797,0)</f>
        <v>0</v>
      </c>
      <c r="J815" s="306"/>
      <c r="K815" s="360" t="str">
        <f>K796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O796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S796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 hidden="1">
      <c r="A816" s="308" t="s">
        <v>433</v>
      </c>
      <c r="B816" s="1"/>
      <c r="C816" s="304">
        <f>'Rate Design Work eff 10-14-16'!C816</f>
        <v>12</v>
      </c>
      <c r="D816" s="283">
        <f>'Rate Design Work eff 10-14-16'!D816</f>
        <v>60</v>
      </c>
      <c r="E816" s="1"/>
      <c r="F816" s="306">
        <f>ROUND(D816*$C816,0)</f>
        <v>720</v>
      </c>
      <c r="G816" s="283">
        <f>$G$764</f>
        <v>60</v>
      </c>
      <c r="H816" s="1"/>
      <c r="I816" s="306">
        <f>ROUND(G816*$C816,0)</f>
        <v>720</v>
      </c>
      <c r="J816" s="306"/>
      <c r="K816" s="283" t="str">
        <f>$K$764</f>
        <v xml:space="preserve"> </v>
      </c>
      <c r="L816" s="1"/>
      <c r="M816" s="306">
        <f>ROUND(K816*$C816,0)</f>
        <v>0</v>
      </c>
      <c r="N816" s="306"/>
      <c r="O816" s="283" t="e">
        <f>$O$764</f>
        <v>#DIV/0!</v>
      </c>
      <c r="P816" s="1"/>
      <c r="Q816" s="306" t="e">
        <f>ROUND(O816*$C816,0)</f>
        <v>#DIV/0!</v>
      </c>
      <c r="R816" s="306"/>
      <c r="S816" s="283" t="e">
        <f>$S$764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2" hidden="1">
      <c r="A817" s="308" t="s">
        <v>434</v>
      </c>
      <c r="B817" s="1"/>
      <c r="C817" s="304">
        <f>'Rate Design Work eff 10-14-16'!C817</f>
        <v>456.00326456013363</v>
      </c>
      <c r="D817" s="324">
        <f>'Rate Design Work eff 10-14-16'!D817</f>
        <v>-30</v>
      </c>
      <c r="E817" s="306" t="s">
        <v>364</v>
      </c>
      <c r="F817" s="306">
        <f>ROUND(D817*$C817/100,0)</f>
        <v>-137</v>
      </c>
      <c r="G817" s="324">
        <f>$G$765</f>
        <v>-30</v>
      </c>
      <c r="H817" s="306" t="s">
        <v>364</v>
      </c>
      <c r="I817" s="306">
        <f>ROUND(G817*$C817/100,0)</f>
        <v>-137</v>
      </c>
      <c r="J817" s="306"/>
      <c r="K817" s="324">
        <f>$K$765</f>
        <v>-30</v>
      </c>
      <c r="L817" s="306" t="s">
        <v>364</v>
      </c>
      <c r="M817" s="306">
        <f>ROUND(K817*$C817/100,0)</f>
        <v>-137</v>
      </c>
      <c r="N817" s="306"/>
      <c r="O817" s="324">
        <f>$O$765</f>
        <v>0</v>
      </c>
      <c r="P817" s="306" t="s">
        <v>364</v>
      </c>
      <c r="Q817" s="306">
        <f>ROUND(O817*$C817/100,0)</f>
        <v>0</v>
      </c>
      <c r="R817" s="306"/>
      <c r="S817" s="324">
        <f>$S$765</f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2" hidden="1">
      <c r="A818" s="1" t="s">
        <v>371</v>
      </c>
      <c r="B818" s="1"/>
      <c r="C818" s="304">
        <f>SUM(C795:C795)</f>
        <v>110142584.89494899</v>
      </c>
      <c r="D818" s="315"/>
      <c r="E818" s="308"/>
      <c r="F818" s="2">
        <f>SUM(F775:F817)</f>
        <v>9535124</v>
      </c>
      <c r="G818" s="315"/>
      <c r="H818" s="308"/>
      <c r="I818" s="2">
        <f ca="1">SUM(I775:I817)</f>
        <v>9699230</v>
      </c>
      <c r="J818" s="2"/>
      <c r="K818" s="315"/>
      <c r="L818" s="308"/>
      <c r="M818" s="2" t="e">
        <f ca="1">SUM(M775:M817)</f>
        <v>#REF!</v>
      </c>
      <c r="N818" s="2"/>
      <c r="O818" s="315"/>
      <c r="P818" s="308"/>
      <c r="Q818" s="2" t="e">
        <f ca="1">SUM(Q775:Q817)</f>
        <v>#DIV/0!</v>
      </c>
      <c r="R818" s="2"/>
      <c r="S818" s="315"/>
      <c r="T818" s="308"/>
      <c r="U818" s="2" t="e">
        <f ca="1">SUM(U775:U817)</f>
        <v>#DIV/0!</v>
      </c>
      <c r="V818" s="20"/>
      <c r="W818" s="74"/>
      <c r="X818" s="74"/>
      <c r="Y818" s="74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</row>
    <row r="819" spans="1:42" hidden="1">
      <c r="A819" s="1" t="s">
        <v>353</v>
      </c>
      <c r="B819" s="1"/>
      <c r="C819" s="334">
        <f ca="1">'Table 2'!H101</f>
        <v>1885731.2072950637</v>
      </c>
      <c r="D819" s="294"/>
      <c r="E819" s="294"/>
      <c r="F819" s="295">
        <f ca="1">'Table 3'!E101</f>
        <v>142267.21150160185</v>
      </c>
      <c r="G819" s="294"/>
      <c r="H819" s="294"/>
      <c r="I819" s="295">
        <f ca="1">F819</f>
        <v>142267.21150160185</v>
      </c>
      <c r="J819" s="51"/>
      <c r="K819" s="294"/>
      <c r="L819" s="294"/>
      <c r="M819" s="295" t="e">
        <f ca="1">M768/I768*I819</f>
        <v>#DIV/0!</v>
      </c>
      <c r="N819" s="51"/>
      <c r="O819" s="294"/>
      <c r="P819" s="294"/>
      <c r="Q819" s="295" t="e">
        <f ca="1">Q768/I768*I819</f>
        <v>#DIV/0!</v>
      </c>
      <c r="R819" s="51"/>
      <c r="S819" s="294"/>
      <c r="T819" s="294"/>
      <c r="U819" s="295" t="e">
        <f ca="1">U768/I768*I819</f>
        <v>#DIV/0!</v>
      </c>
      <c r="V819" s="429"/>
      <c r="W819" s="272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2" ht="16.5" hidden="1" thickBot="1">
      <c r="A820" s="1" t="s">
        <v>372</v>
      </c>
      <c r="B820" s="1"/>
      <c r="C820" s="351">
        <f ca="1">SUM(C818:C819)</f>
        <v>112028316.10224405</v>
      </c>
      <c r="D820" s="327"/>
      <c r="E820" s="330"/>
      <c r="F820" s="329">
        <f ca="1">F818+F819</f>
        <v>9677391.2115016021</v>
      </c>
      <c r="G820" s="327"/>
      <c r="H820" s="330"/>
      <c r="I820" s="329">
        <f ca="1">I818+I819</f>
        <v>9841497.2115016021</v>
      </c>
      <c r="J820" s="307"/>
      <c r="K820" s="327"/>
      <c r="L820" s="330"/>
      <c r="M820" s="329" t="e">
        <f ca="1">M818+M819</f>
        <v>#REF!</v>
      </c>
      <c r="N820" s="329"/>
      <c r="O820" s="327"/>
      <c r="P820" s="330"/>
      <c r="Q820" s="329" t="e">
        <f ca="1">Q818+Q819</f>
        <v>#DIV/0!</v>
      </c>
      <c r="R820" s="329"/>
      <c r="S820" s="327"/>
      <c r="T820" s="330"/>
      <c r="U820" s="329" t="e">
        <f ca="1">U818+U819</f>
        <v>#DIV/0!</v>
      </c>
      <c r="V820" s="396"/>
      <c r="W820" s="455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2" ht="16.5" hidden="1" thickTop="1">
      <c r="A821" s="1"/>
      <c r="B821" s="1"/>
      <c r="C821" s="26"/>
      <c r="D821" s="336" t="s">
        <v>31</v>
      </c>
      <c r="E821" s="23"/>
      <c r="F821" s="307"/>
      <c r="G821" s="371" t="s">
        <v>31</v>
      </c>
      <c r="H821" s="23"/>
      <c r="I821" s="257" t="s">
        <v>31</v>
      </c>
      <c r="J821" s="257"/>
      <c r="K821" s="371" t="s">
        <v>31</v>
      </c>
      <c r="L821" s="23"/>
      <c r="M821" s="257" t="s">
        <v>31</v>
      </c>
      <c r="N821" s="257"/>
      <c r="O821" s="371" t="s">
        <v>31</v>
      </c>
      <c r="P821" s="23"/>
      <c r="Q821" s="257" t="s">
        <v>31</v>
      </c>
      <c r="R821" s="257"/>
      <c r="S821" s="371" t="s">
        <v>31</v>
      </c>
      <c r="T821" s="23"/>
      <c r="U821" s="257" t="s">
        <v>31</v>
      </c>
      <c r="V821" s="20"/>
      <c r="W821" s="74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2" hidden="1">
      <c r="A822" s="278" t="s">
        <v>457</v>
      </c>
      <c r="B822" s="1"/>
      <c r="C822" s="21"/>
      <c r="D822" s="322"/>
      <c r="E822" s="1"/>
      <c r="F822" s="2"/>
      <c r="G822" s="322"/>
      <c r="H822" s="1"/>
      <c r="I822" s="2"/>
      <c r="J822" s="2"/>
      <c r="K822" s="322"/>
      <c r="L822" s="1"/>
      <c r="M822" s="2"/>
      <c r="N822" s="2"/>
      <c r="O822" s="322"/>
      <c r="P822" s="1"/>
      <c r="Q822" s="2"/>
      <c r="R822" s="2"/>
      <c r="S822" s="322"/>
      <c r="T822" s="1"/>
      <c r="U822" s="2"/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2" hidden="1">
      <c r="A823" s="294" t="s">
        <v>458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2" hidden="1">
      <c r="A824" s="308"/>
      <c r="B824" s="1"/>
      <c r="C824" s="21"/>
      <c r="D824" s="322"/>
      <c r="E824" s="1"/>
      <c r="F824" s="365"/>
      <c r="G824" s="322"/>
      <c r="H824" s="1"/>
      <c r="I824" s="366"/>
      <c r="J824" s="366"/>
      <c r="K824" s="322"/>
      <c r="L824" s="1"/>
      <c r="M824" s="366"/>
      <c r="N824" s="366"/>
      <c r="O824" s="322"/>
      <c r="P824" s="1"/>
      <c r="Q824" s="366"/>
      <c r="R824" s="366"/>
      <c r="S824" s="322"/>
      <c r="T824" s="1"/>
      <c r="U824" s="366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2" hidden="1">
      <c r="A825" s="294" t="s">
        <v>439</v>
      </c>
      <c r="B825" s="1"/>
      <c r="C825" s="304"/>
      <c r="D825" s="2" t="s">
        <v>31</v>
      </c>
      <c r="E825" s="1"/>
      <c r="F825" s="1"/>
      <c r="G825" s="2" t="s">
        <v>31</v>
      </c>
      <c r="H825" s="1"/>
      <c r="I825" s="1"/>
      <c r="J825" s="1"/>
      <c r="K825" s="2" t="s">
        <v>31</v>
      </c>
      <c r="L825" s="1"/>
      <c r="M825" s="1"/>
      <c r="N825" s="1"/>
      <c r="O825" s="2" t="s">
        <v>31</v>
      </c>
      <c r="P825" s="1"/>
      <c r="Q825" s="1"/>
      <c r="R825" s="1"/>
      <c r="S825" s="2" t="s">
        <v>31</v>
      </c>
      <c r="T825" s="1"/>
      <c r="U825" s="1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2" hidden="1">
      <c r="A826" s="294" t="s">
        <v>440</v>
      </c>
      <c r="B826" s="1"/>
      <c r="C826" s="304">
        <f>'Rate Design Work eff 10-14-16'!C827</f>
        <v>434.48258292673</v>
      </c>
      <c r="D826" s="322">
        <f>'Rate Design Work eff 10-14-16'!D827</f>
        <v>0</v>
      </c>
      <c r="E826" s="309"/>
      <c r="F826" s="306">
        <f>ROUND(D826*C826,0)</f>
        <v>0</v>
      </c>
      <c r="G826" s="322">
        <f>$G$721</f>
        <v>0</v>
      </c>
      <c r="H826" s="309"/>
      <c r="I826" s="306">
        <f>ROUND(G826*$C826,0)</f>
        <v>0</v>
      </c>
      <c r="J826" s="306"/>
      <c r="K826" s="322">
        <f>$K$721</f>
        <v>0</v>
      </c>
      <c r="L826" s="309"/>
      <c r="M826" s="306">
        <f>ROUND(K826*$C826,0)</f>
        <v>0</v>
      </c>
      <c r="N826" s="306"/>
      <c r="O826" s="322" t="str">
        <f>$O$721</f>
        <v xml:space="preserve"> </v>
      </c>
      <c r="P826" s="309"/>
      <c r="Q826" s="306">
        <f>ROUND(O826*$C826,0)</f>
        <v>0</v>
      </c>
      <c r="R826" s="306"/>
      <c r="S826" s="322" t="str">
        <f>$S$721</f>
        <v xml:space="preserve"> </v>
      </c>
      <c r="T826" s="309"/>
      <c r="U826" s="306">
        <f>ROUND(S826*$C826,0)</f>
        <v>0</v>
      </c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2" hidden="1">
      <c r="A827" s="294" t="s">
        <v>441</v>
      </c>
      <c r="B827" s="1"/>
      <c r="C827" s="304">
        <f>'Rate Design Work eff 10-14-16'!C828</f>
        <v>0</v>
      </c>
      <c r="D827" s="322"/>
      <c r="E827" s="309"/>
      <c r="F827" s="306"/>
      <c r="G827" s="322"/>
      <c r="H827" s="309"/>
      <c r="I827" s="306"/>
      <c r="J827" s="306"/>
      <c r="K827" s="322"/>
      <c r="L827" s="309"/>
      <c r="M827" s="306"/>
      <c r="N827" s="306"/>
      <c r="O827" s="322"/>
      <c r="P827" s="309"/>
      <c r="Q827" s="306"/>
      <c r="R827" s="306"/>
      <c r="S827" s="322"/>
      <c r="T827" s="309"/>
      <c r="U827" s="306"/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2" hidden="1">
      <c r="A828" s="294" t="s">
        <v>442</v>
      </c>
      <c r="B828" s="1"/>
      <c r="C828" s="304">
        <f>'Rate Design Work eff 10-14-16'!C829</f>
        <v>1120.6084940984899</v>
      </c>
      <c r="D828" s="322">
        <f>'Rate Design Work eff 10-14-16'!D829</f>
        <v>0</v>
      </c>
      <c r="E828" s="309"/>
      <c r="F828" s="306">
        <f>ROUND(D828*C828,0)</f>
        <v>0</v>
      </c>
      <c r="G828" s="322">
        <f>$G$723</f>
        <v>0</v>
      </c>
      <c r="H828" s="309"/>
      <c r="I828" s="306">
        <f>ROUND(G828*$C828,0)</f>
        <v>0</v>
      </c>
      <c r="J828" s="306"/>
      <c r="K828" s="322">
        <f>$K$723</f>
        <v>0</v>
      </c>
      <c r="L828" s="309"/>
      <c r="M828" s="306">
        <f>ROUND(K828*$C828,0)</f>
        <v>0</v>
      </c>
      <c r="N828" s="306"/>
      <c r="O828" s="322" t="str">
        <f>$O$723</f>
        <v xml:space="preserve"> </v>
      </c>
      <c r="P828" s="309"/>
      <c r="Q828" s="306">
        <f>ROUND(O828*$C828,0)</f>
        <v>0</v>
      </c>
      <c r="R828" s="306"/>
      <c r="S828" s="322" t="str">
        <f>$S$723</f>
        <v xml:space="preserve"> </v>
      </c>
      <c r="T828" s="309"/>
      <c r="U828" s="306">
        <f>ROUND(S828*$C828,0)</f>
        <v>0</v>
      </c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2" hidden="1">
      <c r="A829" s="294" t="s">
        <v>443</v>
      </c>
      <c r="B829" s="1"/>
      <c r="C829" s="304">
        <f>'Rate Design Work eff 10-14-16'!C830</f>
        <v>116.7917084633</v>
      </c>
      <c r="D829" s="322">
        <f>'Rate Design Work eff 10-14-16'!D830</f>
        <v>362</v>
      </c>
      <c r="E829" s="309"/>
      <c r="F829" s="306">
        <f>ROUND(D829*C829,0)</f>
        <v>42279</v>
      </c>
      <c r="G829" s="322">
        <f ca="1">$G$724</f>
        <v>370</v>
      </c>
      <c r="H829" s="309"/>
      <c r="I829" s="306">
        <f ca="1">ROUND(G829*$C829,0)</f>
        <v>43213</v>
      </c>
      <c r="J829" s="306"/>
      <c r="K829" s="322">
        <f ca="1">$K$724</f>
        <v>370</v>
      </c>
      <c r="L829" s="309"/>
      <c r="M829" s="306">
        <f ca="1">ROUND(K829*$C829,0)</f>
        <v>43213</v>
      </c>
      <c r="N829" s="306"/>
      <c r="O829" s="322" t="str">
        <f>$O$724</f>
        <v xml:space="preserve"> </v>
      </c>
      <c r="P829" s="309"/>
      <c r="Q829" s="306">
        <f>ROUND(O829*$C829,0)</f>
        <v>0</v>
      </c>
      <c r="R829" s="306"/>
      <c r="S829" s="322" t="str">
        <f>$S$724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2" hidden="1">
      <c r="A830" s="294" t="s">
        <v>444</v>
      </c>
      <c r="B830" s="1"/>
      <c r="C830" s="304">
        <f>'Rate Design Work eff 10-14-16'!C831</f>
        <v>2.3342464038064201</v>
      </c>
      <c r="D830" s="322">
        <f>'Rate Design Work eff 10-14-16'!D831</f>
        <v>1479</v>
      </c>
      <c r="E830" s="309"/>
      <c r="F830" s="306">
        <f>ROUND(D830*C830,0)</f>
        <v>3452</v>
      </c>
      <c r="G830" s="322">
        <f ca="1">$G$725</f>
        <v>1504</v>
      </c>
      <c r="H830" s="309"/>
      <c r="I830" s="306">
        <f ca="1">ROUND(G830*$C830,0)</f>
        <v>3511</v>
      </c>
      <c r="J830" s="306"/>
      <c r="K830" s="322">
        <f ca="1">$K$725</f>
        <v>1504</v>
      </c>
      <c r="L830" s="309"/>
      <c r="M830" s="306">
        <f ca="1">ROUND(K830*$C830,0)</f>
        <v>3511</v>
      </c>
      <c r="N830" s="306"/>
      <c r="O830" s="322" t="str">
        <f>$O$725</f>
        <v xml:space="preserve"> </v>
      </c>
      <c r="P830" s="309"/>
      <c r="Q830" s="306">
        <f>ROUND(O830*$C830,0)</f>
        <v>0</v>
      </c>
      <c r="R830" s="306"/>
      <c r="S830" s="322" t="str">
        <f>$S$725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2" hidden="1">
      <c r="A831" s="294" t="s">
        <v>352</v>
      </c>
      <c r="B831" s="1"/>
      <c r="C831" s="304">
        <f>SUM(C826:C830)</f>
        <v>1674.2170318923263</v>
      </c>
      <c r="D831" s="322"/>
      <c r="E831" s="309"/>
      <c r="F831" s="306"/>
      <c r="G831" s="322"/>
      <c r="H831" s="309"/>
      <c r="I831" s="306"/>
      <c r="J831" s="306"/>
      <c r="K831" s="322"/>
      <c r="L831" s="309"/>
      <c r="M831" s="306"/>
      <c r="N831" s="306"/>
      <c r="O831" s="322"/>
      <c r="P831" s="309"/>
      <c r="Q831" s="306"/>
      <c r="R831" s="306"/>
      <c r="S831" s="322"/>
      <c r="T831" s="309"/>
      <c r="U831" s="306"/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2" hidden="1">
      <c r="A832" s="294" t="s">
        <v>445</v>
      </c>
      <c r="B832" s="1"/>
      <c r="C832" s="304">
        <f>'Rate Design Work eff 10-14-16'!C833</f>
        <v>12986.161111111121</v>
      </c>
      <c r="D832" s="322"/>
      <c r="E832" s="306"/>
      <c r="F832" s="306"/>
      <c r="G832" s="322"/>
      <c r="H832" s="306"/>
      <c r="I832" s="306"/>
      <c r="J832" s="306"/>
      <c r="K832" s="322"/>
      <c r="L832" s="306"/>
      <c r="M832" s="306"/>
      <c r="N832" s="306"/>
      <c r="O832" s="322"/>
      <c r="P832" s="306"/>
      <c r="Q832" s="306"/>
      <c r="R832" s="306"/>
      <c r="S832" s="322"/>
      <c r="T832" s="306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4" hidden="1">
      <c r="A833" s="294" t="s">
        <v>104</v>
      </c>
      <c r="B833" s="1"/>
      <c r="C833" s="304">
        <f>'Rate Design Work eff 10-14-16'!C834</f>
        <v>2055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4" hidden="1">
      <c r="A834" s="294" t="s">
        <v>446</v>
      </c>
      <c r="B834" s="1"/>
      <c r="C834" s="304"/>
      <c r="D834" s="322"/>
      <c r="E834" s="309"/>
      <c r="F834" s="306"/>
      <c r="G834" s="322"/>
      <c r="H834" s="309"/>
      <c r="I834" s="306"/>
      <c r="J834" s="306"/>
      <c r="K834" s="322"/>
      <c r="L834" s="309"/>
      <c r="M834" s="306"/>
      <c r="N834" s="306"/>
      <c r="O834" s="322"/>
      <c r="P834" s="309"/>
      <c r="Q834" s="306"/>
      <c r="R834" s="306"/>
      <c r="S834" s="322"/>
      <c r="T834" s="309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4" hidden="1">
      <c r="A835" s="294" t="s">
        <v>447</v>
      </c>
      <c r="B835" s="1"/>
      <c r="C835" s="304">
        <f>'Rate Design Work eff 10-14-16'!C836</f>
        <v>1124.0429012132199</v>
      </c>
      <c r="D835" s="322">
        <f>'Rate Design Work eff 10-14-16'!D836</f>
        <v>25.64</v>
      </c>
      <c r="E835" s="309"/>
      <c r="F835" s="306">
        <f>ROUND(D835*C835,0)</f>
        <v>28820</v>
      </c>
      <c r="G835" s="322">
        <f ca="1">$G$730</f>
        <v>26.02</v>
      </c>
      <c r="H835" s="309"/>
      <c r="I835" s="306">
        <f ca="1">ROUND(G835*$C835,0)</f>
        <v>29248</v>
      </c>
      <c r="J835" s="306"/>
      <c r="K835" s="322">
        <f ca="1">$K$730</f>
        <v>26.02</v>
      </c>
      <c r="L835" s="309"/>
      <c r="M835" s="306">
        <f ca="1">ROUND(K835*$C835,0)</f>
        <v>29248</v>
      </c>
      <c r="N835" s="306"/>
      <c r="O835" s="322" t="str">
        <f>$O$730</f>
        <v xml:space="preserve"> </v>
      </c>
      <c r="P835" s="309"/>
      <c r="Q835" s="306">
        <f>ROUND(O835*$C835,0)</f>
        <v>0</v>
      </c>
      <c r="R835" s="306"/>
      <c r="S835" s="322" t="str">
        <f>$S$730</f>
        <v xml:space="preserve"> </v>
      </c>
      <c r="T835" s="309"/>
      <c r="U835" s="306">
        <f>ROUND(S835*$C835,0)</f>
        <v>0</v>
      </c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4" hidden="1">
      <c r="A836" s="294" t="s">
        <v>448</v>
      </c>
      <c r="B836" s="1"/>
      <c r="C836" s="304"/>
      <c r="D836" s="322"/>
      <c r="E836" s="309"/>
      <c r="F836" s="306"/>
      <c r="G836" s="322"/>
      <c r="H836" s="309"/>
      <c r="I836" s="306"/>
      <c r="J836" s="306"/>
      <c r="K836" s="322"/>
      <c r="L836" s="309"/>
      <c r="M836" s="306"/>
      <c r="N836" s="306"/>
      <c r="O836" s="322"/>
      <c r="P836" s="309"/>
      <c r="Q836" s="306"/>
      <c r="R836" s="306"/>
      <c r="S836" s="322"/>
      <c r="T836" s="309"/>
      <c r="U836" s="306"/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4" hidden="1">
      <c r="A837" s="294" t="s">
        <v>442</v>
      </c>
      <c r="B837" s="1"/>
      <c r="C837" s="304">
        <f>'Rate Design Work eff 10-14-16'!C838</f>
        <v>13343.474759320199</v>
      </c>
      <c r="D837" s="322">
        <f>'Rate Design Work eff 10-14-16'!D838</f>
        <v>25.54</v>
      </c>
      <c r="E837" s="309"/>
      <c r="F837" s="306">
        <f>ROUND(D837*C837,0)</f>
        <v>340792</v>
      </c>
      <c r="G837" s="322">
        <f ca="1">$G$732</f>
        <v>26.02</v>
      </c>
      <c r="H837" s="309"/>
      <c r="I837" s="306">
        <f ca="1">ROUND(G837*$C837,0)</f>
        <v>347197</v>
      </c>
      <c r="J837" s="306"/>
      <c r="K837" s="322">
        <f ca="1">$K$732</f>
        <v>26.02</v>
      </c>
      <c r="L837" s="309"/>
      <c r="M837" s="306">
        <f ca="1">ROUND(K837*$C837,0)</f>
        <v>347197</v>
      </c>
      <c r="N837" s="306"/>
      <c r="O837" s="322" t="str">
        <f>$O$732</f>
        <v xml:space="preserve"> </v>
      </c>
      <c r="P837" s="309"/>
      <c r="Q837" s="306">
        <f>ROUND(O837*$C837,0)</f>
        <v>0</v>
      </c>
      <c r="R837" s="306"/>
      <c r="S837" s="322" t="str">
        <f>$S$732</f>
        <v xml:space="preserve"> </v>
      </c>
      <c r="T837" s="309"/>
      <c r="U837" s="306">
        <f>ROUND(S837*$C837,0)</f>
        <v>0</v>
      </c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4" hidden="1">
      <c r="A838" s="294" t="s">
        <v>443</v>
      </c>
      <c r="B838" s="1"/>
      <c r="C838" s="304">
        <f>'Rate Design Work eff 10-14-16'!C839</f>
        <v>11633.663662691</v>
      </c>
      <c r="D838" s="322">
        <f>'Rate Design Work eff 10-14-16'!D839</f>
        <v>17.79</v>
      </c>
      <c r="E838" s="309"/>
      <c r="F838" s="306">
        <f>ROUND(D838*C838,0)</f>
        <v>206963</v>
      </c>
      <c r="G838" s="322">
        <f ca="1">$G$733</f>
        <v>18.101388370764003</v>
      </c>
      <c r="H838" s="309"/>
      <c r="I838" s="306">
        <f ca="1">ROUND(G838*$C838,0)</f>
        <v>210585</v>
      </c>
      <c r="J838" s="306"/>
      <c r="K838" s="322">
        <f ca="1">$K$733</f>
        <v>18.101388370764003</v>
      </c>
      <c r="L838" s="309"/>
      <c r="M838" s="306">
        <f ca="1">ROUND(K838*$C838,0)</f>
        <v>210585</v>
      </c>
      <c r="N838" s="306"/>
      <c r="O838" s="322" t="str">
        <f>$O$733</f>
        <v xml:space="preserve"> </v>
      </c>
      <c r="P838" s="309"/>
      <c r="Q838" s="306">
        <f>ROUND(O838*$C838,0)</f>
        <v>0</v>
      </c>
      <c r="R838" s="306"/>
      <c r="S838" s="322" t="str">
        <f>$S$733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4" hidden="1">
      <c r="A839" s="294" t="s">
        <v>444</v>
      </c>
      <c r="B839" s="1"/>
      <c r="C839" s="304">
        <f>'Rate Design Work eff 10-14-16'!C840</f>
        <v>854.37523643290297</v>
      </c>
      <c r="D839" s="322">
        <f>'Rate Design Work eff 10-14-16'!D840</f>
        <v>13.92</v>
      </c>
      <c r="E839" s="309"/>
      <c r="F839" s="306">
        <f>ROUND(D839*C839,0)</f>
        <v>11893</v>
      </c>
      <c r="G839" s="322">
        <f ca="1">$G$734</f>
        <v>14.155824964645021</v>
      </c>
      <c r="H839" s="309"/>
      <c r="I839" s="306">
        <f ca="1">ROUND(G839*$C839,0)</f>
        <v>12094</v>
      </c>
      <c r="J839" s="306"/>
      <c r="K839" s="322">
        <f ca="1">$K$734</f>
        <v>14.155824964645021</v>
      </c>
      <c r="L839" s="309"/>
      <c r="M839" s="306">
        <f ca="1">ROUND(K839*$C839,0)</f>
        <v>12094</v>
      </c>
      <c r="N839" s="306"/>
      <c r="O839" s="322" t="str">
        <f>$O$734</f>
        <v xml:space="preserve"> </v>
      </c>
      <c r="P839" s="309"/>
      <c r="Q839" s="306">
        <f>ROUND(O839*$C839,0)</f>
        <v>0</v>
      </c>
      <c r="R839" s="306"/>
      <c r="S839" s="322" t="str">
        <f>$S$734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4" hidden="1">
      <c r="A840" s="294" t="s">
        <v>450</v>
      </c>
      <c r="B840" s="1"/>
      <c r="C840" s="304">
        <f>'Rate Design Work eff 10-14-16'!C841</f>
        <v>272.36067141268398</v>
      </c>
      <c r="D840" s="322">
        <f>'Rate Design Work eff 10-14-16'!D841</f>
        <v>76.930000000000007</v>
      </c>
      <c r="E840" s="309"/>
      <c r="F840" s="306">
        <f>ROUND(D840*C840,0)</f>
        <v>20953</v>
      </c>
      <c r="G840" s="322">
        <f ca="1">$G$735</f>
        <v>78.06</v>
      </c>
      <c r="H840" s="309"/>
      <c r="I840" s="306">
        <f ca="1">ROUND(G840*$C840,0)</f>
        <v>21260</v>
      </c>
      <c r="J840" s="306"/>
      <c r="K840" s="322">
        <f ca="1">$K$735</f>
        <v>78.06</v>
      </c>
      <c r="L840" s="309"/>
      <c r="M840" s="306">
        <f ca="1">ROUND(K840*$C840,0)</f>
        <v>21260</v>
      </c>
      <c r="N840" s="306"/>
      <c r="O840" s="322" t="str">
        <f>$O$735</f>
        <v xml:space="preserve"> </v>
      </c>
      <c r="P840" s="309"/>
      <c r="Q840" s="306">
        <f>ROUND(O840*$C840,0)</f>
        <v>0</v>
      </c>
      <c r="R840" s="306"/>
      <c r="S840" s="322" t="str">
        <f>$S$735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4" hidden="1">
      <c r="A841" s="294" t="s">
        <v>451</v>
      </c>
      <c r="B841" s="1"/>
      <c r="C841" s="304">
        <f>'Rate Design Work eff 10-14-16'!C842</f>
        <v>388.32518925146098</v>
      </c>
      <c r="D841" s="322">
        <f>'Rate Design Work eff 10-14-16'!D842</f>
        <v>153.22</v>
      </c>
      <c r="E841" s="309"/>
      <c r="F841" s="306">
        <f>ROUND(D841*C841,0)</f>
        <v>59499</v>
      </c>
      <c r="G841" s="322">
        <f ca="1">$G$736</f>
        <v>156.12</v>
      </c>
      <c r="H841" s="309"/>
      <c r="I841" s="306">
        <f ca="1">ROUND(G841*$C841,0)</f>
        <v>60625</v>
      </c>
      <c r="J841" s="306"/>
      <c r="K841" s="322">
        <f ca="1">$K$736</f>
        <v>156.12</v>
      </c>
      <c r="L841" s="309"/>
      <c r="M841" s="306">
        <f ca="1">ROUND(K841*$C841,0)</f>
        <v>60625</v>
      </c>
      <c r="N841" s="306"/>
      <c r="O841" s="322" t="str">
        <f>$O$736</f>
        <v xml:space="preserve"> </v>
      </c>
      <c r="P841" s="309"/>
      <c r="Q841" s="306">
        <f>ROUND(O841*$C841,0)</f>
        <v>0</v>
      </c>
      <c r="R841" s="306"/>
      <c r="S841" s="322" t="str">
        <f>$S$736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4" hidden="1">
      <c r="A842" s="294" t="s">
        <v>452</v>
      </c>
      <c r="B842" s="1"/>
      <c r="C842" s="304"/>
      <c r="D842" s="322"/>
      <c r="E842" s="309"/>
      <c r="F842" s="306"/>
      <c r="G842" s="322"/>
      <c r="H842" s="309"/>
      <c r="I842" s="306"/>
      <c r="J842" s="306"/>
      <c r="K842" s="322"/>
      <c r="L842" s="309"/>
      <c r="M842" s="306"/>
      <c r="N842" s="306"/>
      <c r="O842" s="322"/>
      <c r="P842" s="309"/>
      <c r="Q842" s="306"/>
      <c r="R842" s="306"/>
      <c r="S842" s="322"/>
      <c r="T842" s="309"/>
      <c r="U842" s="306"/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4" hidden="1">
      <c r="A843" s="294" t="s">
        <v>447</v>
      </c>
      <c r="B843" s="1"/>
      <c r="C843" s="304">
        <f>'Rate Design Work eff 10-14-16'!C844</f>
        <v>26.1506861099434</v>
      </c>
      <c r="D843" s="348">
        <f>'Rate Design Work eff 10-14-16'!D844</f>
        <v>-25.64</v>
      </c>
      <c r="E843" s="309"/>
      <c r="F843" s="306">
        <f>ROUND(D843*C843,0)</f>
        <v>-671</v>
      </c>
      <c r="G843" s="348">
        <f ca="1">-G835</f>
        <v>-26.02</v>
      </c>
      <c r="H843" s="309"/>
      <c r="I843" s="306">
        <f ca="1">ROUND(G843*$C843,0)</f>
        <v>-680</v>
      </c>
      <c r="J843" s="306"/>
      <c r="K843" s="348">
        <f ca="1">-K835</f>
        <v>-26.02</v>
      </c>
      <c r="L843" s="309"/>
      <c r="M843" s="306">
        <f ca="1">ROUND(K843*$C843,0)</f>
        <v>-680</v>
      </c>
      <c r="N843" s="306"/>
      <c r="O843" s="348">
        <f>-O835</f>
        <v>0</v>
      </c>
      <c r="P843" s="309"/>
      <c r="Q843" s="306">
        <f>ROUND(O843*$C843,0)</f>
        <v>0</v>
      </c>
      <c r="R843" s="306"/>
      <c r="S843" s="348">
        <f>-S835</f>
        <v>0</v>
      </c>
      <c r="T843" s="309"/>
      <c r="U843" s="306">
        <f>ROUND(S843*$C843,0)</f>
        <v>0</v>
      </c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4" hidden="1">
      <c r="A844" s="294" t="s">
        <v>453</v>
      </c>
      <c r="B844" s="1"/>
      <c r="C844" s="304">
        <f>'Rate Design Work eff 10-14-16'!C845</f>
        <v>193.01451727485201</v>
      </c>
      <c r="D844" s="348">
        <f>'Rate Design Work eff 10-14-16'!D845</f>
        <v>-25.54</v>
      </c>
      <c r="E844" s="309"/>
      <c r="F844" s="306">
        <f>ROUND(D844*C844,0)</f>
        <v>-4930</v>
      </c>
      <c r="G844" s="348">
        <f ca="1">-G837</f>
        <v>-26.02</v>
      </c>
      <c r="H844" s="309"/>
      <c r="I844" s="306">
        <f ca="1">ROUND(G844*$C844,0)</f>
        <v>-5022</v>
      </c>
      <c r="J844" s="306"/>
      <c r="K844" s="348">
        <f ca="1">-K837</f>
        <v>-26.02</v>
      </c>
      <c r="L844" s="309"/>
      <c r="M844" s="306">
        <f ca="1">ROUND(K844*$C844,0)</f>
        <v>-5022</v>
      </c>
      <c r="N844" s="306"/>
      <c r="O844" s="348">
        <f>-O837</f>
        <v>0</v>
      </c>
      <c r="P844" s="309"/>
      <c r="Q844" s="306">
        <f>ROUND(O844*$C844,0)</f>
        <v>0</v>
      </c>
      <c r="R844" s="306"/>
      <c r="S844" s="348">
        <f>-S837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4" hidden="1">
      <c r="A845" s="308" t="s">
        <v>416</v>
      </c>
      <c r="B845" s="1"/>
      <c r="C845" s="304"/>
      <c r="D845" s="322"/>
      <c r="E845" s="306"/>
      <c r="F845" s="306"/>
      <c r="G845" s="322"/>
      <c r="H845" s="306"/>
      <c r="I845" s="306"/>
      <c r="J845" s="306"/>
      <c r="K845" s="322"/>
      <c r="L845" s="306"/>
      <c r="M845" s="306"/>
      <c r="N845" s="306"/>
      <c r="O845" s="322"/>
      <c r="P845" s="306"/>
      <c r="Q845" s="306"/>
      <c r="R845" s="306"/>
      <c r="S845" s="322"/>
      <c r="T845" s="306"/>
      <c r="U845" s="306"/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4" hidden="1">
      <c r="A846" s="294" t="s">
        <v>454</v>
      </c>
      <c r="B846" s="1"/>
      <c r="C846" s="304">
        <f>'Rate Design Work eff 10-14-16'!C847</f>
        <v>48181287</v>
      </c>
      <c r="D846" s="367">
        <f>'Rate Design Work eff 10-14-16'!D847</f>
        <v>6.9180000000000001</v>
      </c>
      <c r="E846" s="306" t="s">
        <v>364</v>
      </c>
      <c r="F846" s="306">
        <f>ROUND(D846/100*C846,0)</f>
        <v>3333181</v>
      </c>
      <c r="G846" s="367">
        <f ca="1">$G$741</f>
        <v>7.0350000000000001</v>
      </c>
      <c r="H846" s="306" t="s">
        <v>364</v>
      </c>
      <c r="I846" s="306">
        <f ca="1">ROUND(G846/100*$C846,0)</f>
        <v>3389554</v>
      </c>
      <c r="J846" s="306"/>
      <c r="K846" s="367" t="e">
        <f ca="1">$K$741</f>
        <v>#REF!</v>
      </c>
      <c r="L846" s="306" t="s">
        <v>364</v>
      </c>
      <c r="M846" s="306" t="e">
        <f ca="1">ROUND(K846/100*$C846,0)</f>
        <v>#REF!</v>
      </c>
      <c r="N846" s="306"/>
      <c r="O846" s="367" t="e">
        <f ca="1">$O$741</f>
        <v>#DIV/0!</v>
      </c>
      <c r="P846" s="306" t="s">
        <v>364</v>
      </c>
      <c r="Q846" s="306" t="e">
        <f ca="1">ROUND(O846/100*$C846,0)</f>
        <v>#DIV/0!</v>
      </c>
      <c r="R846" s="306"/>
      <c r="S846" s="367" t="e">
        <f ca="1">$S$741</f>
        <v>#DIV/0!</v>
      </c>
      <c r="T846" s="306" t="s">
        <v>364</v>
      </c>
      <c r="U846" s="306" t="e">
        <f ca="1">ROUND(S846/100*$C846,0)</f>
        <v>#DIV/0!</v>
      </c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4" hidden="1">
      <c r="A847" s="308" t="s">
        <v>390</v>
      </c>
      <c r="B847" s="1"/>
      <c r="C847" s="304">
        <f>'Rate Design Work eff 10-14-16'!C848</f>
        <v>16797</v>
      </c>
      <c r="D847" s="324">
        <f>'Rate Design Work eff 10-14-16'!D848</f>
        <v>56</v>
      </c>
      <c r="E847" s="308" t="s">
        <v>364</v>
      </c>
      <c r="F847" s="306">
        <f>ROUND(D847*C847/100,0)</f>
        <v>9406</v>
      </c>
      <c r="G847" s="324">
        <f ca="1">$G$742</f>
        <v>57</v>
      </c>
      <c r="H847" s="308" t="s">
        <v>364</v>
      </c>
      <c r="I847" s="306">
        <f ca="1">ROUND(G847*$C847/100,0)</f>
        <v>9574</v>
      </c>
      <c r="J847" s="306"/>
      <c r="K847" s="324" t="str">
        <f>$K$742</f>
        <v xml:space="preserve"> </v>
      </c>
      <c r="L847" s="308" t="s">
        <v>364</v>
      </c>
      <c r="M847" s="306">
        <f>ROUND(K847*$C847/100,0)</f>
        <v>0</v>
      </c>
      <c r="N847" s="306"/>
      <c r="O847" s="324" t="e">
        <f ca="1">$O$742</f>
        <v>#DIV/0!</v>
      </c>
      <c r="P847" s="308" t="s">
        <v>364</v>
      </c>
      <c r="Q847" s="306" t="e">
        <f ca="1">ROUND(O847*$C847/100,0)</f>
        <v>#DIV/0!</v>
      </c>
      <c r="R847" s="306"/>
      <c r="S847" s="324" t="e">
        <f ca="1">$S$742</f>
        <v>#DIV/0!</v>
      </c>
      <c r="T847" s="308" t="s">
        <v>364</v>
      </c>
      <c r="U847" s="306" t="e">
        <f ca="1">ROUND(S847*$C847/100,0)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4" s="1118" customFormat="1" hidden="1">
      <c r="A848" s="968" t="s">
        <v>891</v>
      </c>
      <c r="C848" s="1122">
        <f>C846</f>
        <v>48181287</v>
      </c>
      <c r="D848" s="254">
        <f>'Rate Design Work eff 10-14-16'!D849</f>
        <v>0</v>
      </c>
      <c r="E848" s="1119"/>
      <c r="F848" s="1123"/>
      <c r="G848" s="1135">
        <f>G743</f>
        <v>0</v>
      </c>
      <c r="H848" s="1000" t="s">
        <v>364</v>
      </c>
      <c r="I848" s="1000">
        <f>ROUND(G848*$C848/100,0)</f>
        <v>0</v>
      </c>
      <c r="J848" s="1000"/>
      <c r="K848" s="1135" t="str">
        <f>K743</f>
        <v xml:space="preserve"> </v>
      </c>
      <c r="L848" s="1000" t="s">
        <v>364</v>
      </c>
      <c r="M848" s="1000">
        <f>ROUND(K848*$C848/100,0)</f>
        <v>0</v>
      </c>
      <c r="N848" s="1000"/>
      <c r="O848" s="1135" t="str">
        <f>O743</f>
        <v xml:space="preserve"> </v>
      </c>
      <c r="P848" s="1000" t="s">
        <v>364</v>
      </c>
      <c r="Q848" s="1000">
        <f>ROUND(O848*$C848/100,0)</f>
        <v>0</v>
      </c>
      <c r="R848" s="1000"/>
      <c r="S848" s="1135">
        <f>S743</f>
        <v>0</v>
      </c>
      <c r="T848" s="1000" t="s">
        <v>364</v>
      </c>
      <c r="U848" s="1000">
        <f>ROUND(S848*$C848/100,0)</f>
        <v>0</v>
      </c>
      <c r="W848" s="784"/>
      <c r="Z848" s="1125"/>
      <c r="AA848" s="1125"/>
      <c r="AF848" s="1119"/>
      <c r="AG848" s="1119"/>
      <c r="AH848" s="1119"/>
      <c r="AI848" s="1119"/>
      <c r="AJ848" s="1119"/>
      <c r="AK848" s="1119"/>
      <c r="AL848" s="1119"/>
      <c r="AM848" s="1119"/>
      <c r="AN848" s="1119"/>
      <c r="AO848" s="1119"/>
      <c r="AP848" s="1119"/>
      <c r="AR848" s="1124"/>
    </row>
    <row r="849" spans="1:42" hidden="1">
      <c r="A849" s="345" t="s">
        <v>391</v>
      </c>
      <c r="B849" s="1"/>
      <c r="C849" s="304"/>
      <c r="D849" s="317">
        <f>'Rate Design Work eff 10-14-16'!D850</f>
        <v>-0.01</v>
      </c>
      <c r="E849" s="1"/>
      <c r="F849" s="306"/>
      <c r="G849" s="317">
        <v>-0.01</v>
      </c>
      <c r="H849" s="1"/>
      <c r="I849" s="306"/>
      <c r="J849" s="306"/>
      <c r="K849" s="317">
        <v>-0.01</v>
      </c>
      <c r="L849" s="1"/>
      <c r="M849" s="306"/>
      <c r="N849" s="306"/>
      <c r="O849" s="317">
        <v>-0.01</v>
      </c>
      <c r="P849" s="1"/>
      <c r="Q849" s="306"/>
      <c r="R849" s="306"/>
      <c r="S849" s="317">
        <v>-0.01</v>
      </c>
      <c r="T849" s="1"/>
      <c r="U849" s="306"/>
      <c r="V849" s="20"/>
      <c r="W849" s="74"/>
      <c r="X849" s="74"/>
      <c r="Y849" s="74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</row>
    <row r="850" spans="1:42" hidden="1">
      <c r="A850" s="294" t="s">
        <v>380</v>
      </c>
      <c r="B850" s="1"/>
      <c r="C850" s="304">
        <v>0</v>
      </c>
      <c r="D850" s="369">
        <f>'Rate Design Work eff 10-14-16'!D851</f>
        <v>0</v>
      </c>
      <c r="E850" s="309"/>
      <c r="F850" s="306">
        <f>ROUND(D850*C850,0)</f>
        <v>0</v>
      </c>
      <c r="G850" s="369">
        <f>G826</f>
        <v>0</v>
      </c>
      <c r="H850" s="309"/>
      <c r="I850" s="306">
        <f>ROUND(G850*$C850*$G$849,0)</f>
        <v>0</v>
      </c>
      <c r="J850" s="306"/>
      <c r="K850" s="369">
        <f>K826</f>
        <v>0</v>
      </c>
      <c r="L850" s="309"/>
      <c r="M850" s="306">
        <f>ROUND(K850*$C850*$G$849,0)</f>
        <v>0</v>
      </c>
      <c r="N850" s="306"/>
      <c r="O850" s="369" t="str">
        <f>O826</f>
        <v xml:space="preserve"> </v>
      </c>
      <c r="P850" s="309"/>
      <c r="Q850" s="306">
        <f>ROUND(O850*$C850*$G$849,0)</f>
        <v>0</v>
      </c>
      <c r="R850" s="306"/>
      <c r="S850" s="369" t="str">
        <f>S826</f>
        <v xml:space="preserve"> </v>
      </c>
      <c r="T850" s="309"/>
      <c r="U850" s="306">
        <f>ROUND(S850*$C850*$G$849,0)</f>
        <v>0</v>
      </c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2" hidden="1">
      <c r="A851" s="294" t="s">
        <v>381</v>
      </c>
      <c r="B851" s="1"/>
      <c r="C851" s="304"/>
      <c r="D851" s="369"/>
      <c r="E851" s="309"/>
      <c r="F851" s="306"/>
      <c r="G851" s="369"/>
      <c r="H851" s="309"/>
      <c r="I851" s="306"/>
      <c r="J851" s="306"/>
      <c r="K851" s="369"/>
      <c r="L851" s="309"/>
      <c r="M851" s="306"/>
      <c r="N851" s="306"/>
      <c r="O851" s="369"/>
      <c r="P851" s="309"/>
      <c r="Q851" s="306"/>
      <c r="R851" s="306"/>
      <c r="S851" s="369"/>
      <c r="T851" s="309"/>
      <c r="U851" s="306"/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2" hidden="1">
      <c r="A852" s="294" t="s">
        <v>442</v>
      </c>
      <c r="B852" s="1"/>
      <c r="C852" s="304">
        <v>0</v>
      </c>
      <c r="D852" s="369">
        <f>'Rate Design Work eff 10-14-16'!D853</f>
        <v>0</v>
      </c>
      <c r="E852" s="309"/>
      <c r="F852" s="306">
        <f>ROUND(D852*C852,0)</f>
        <v>0</v>
      </c>
      <c r="G852" s="369">
        <f>G828</f>
        <v>0</v>
      </c>
      <c r="H852" s="309"/>
      <c r="I852" s="306">
        <f>ROUND(G852*$C852*$G$849,0)</f>
        <v>0</v>
      </c>
      <c r="J852" s="306"/>
      <c r="K852" s="369">
        <f>K828</f>
        <v>0</v>
      </c>
      <c r="L852" s="309"/>
      <c r="M852" s="306">
        <f>ROUND(K852*$C852*$G$849,0)</f>
        <v>0</v>
      </c>
      <c r="N852" s="306"/>
      <c r="O852" s="369" t="str">
        <f>O828</f>
        <v xml:space="preserve"> </v>
      </c>
      <c r="P852" s="309"/>
      <c r="Q852" s="306">
        <f>ROUND(O852*$C852*$G$849,0)</f>
        <v>0</v>
      </c>
      <c r="R852" s="306"/>
      <c r="S852" s="369" t="str">
        <f>S828</f>
        <v xml:space="preserve"> </v>
      </c>
      <c r="T852" s="309"/>
      <c r="U852" s="306">
        <f>ROUND(S852*$C852*$G$849,0)</f>
        <v>0</v>
      </c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2" hidden="1">
      <c r="A853" s="294" t="s">
        <v>443</v>
      </c>
      <c r="B853" s="1"/>
      <c r="C853" s="304">
        <v>0</v>
      </c>
      <c r="D853" s="369">
        <f>'Rate Design Work eff 10-14-16'!D854</f>
        <v>362</v>
      </c>
      <c r="E853" s="309"/>
      <c r="F853" s="306">
        <f>ROUND(D853*C853,0)</f>
        <v>0</v>
      </c>
      <c r="G853" s="369">
        <f ca="1">G829</f>
        <v>370</v>
      </c>
      <c r="H853" s="309"/>
      <c r="I853" s="306">
        <f ca="1">ROUND(G853*$C853*$G$849,0)</f>
        <v>0</v>
      </c>
      <c r="J853" s="306"/>
      <c r="K853" s="369">
        <f ca="1">K829</f>
        <v>370</v>
      </c>
      <c r="L853" s="309"/>
      <c r="M853" s="306">
        <f ca="1">ROUND(K853*$C853*$G$849,0)</f>
        <v>0</v>
      </c>
      <c r="N853" s="306"/>
      <c r="O853" s="369" t="str">
        <f>O829</f>
        <v xml:space="preserve"> </v>
      </c>
      <c r="P853" s="309"/>
      <c r="Q853" s="306">
        <f>ROUND(O853*$C853*$G$849,0)</f>
        <v>0</v>
      </c>
      <c r="R853" s="306"/>
      <c r="S853" s="369" t="str">
        <f>S829</f>
        <v xml:space="preserve"> </v>
      </c>
      <c r="T853" s="309"/>
      <c r="U853" s="306">
        <f>ROUND(S853*$C853*$G$849,0)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2" hidden="1">
      <c r="A854" s="294" t="s">
        <v>444</v>
      </c>
      <c r="B854" s="1"/>
      <c r="C854" s="304">
        <v>0</v>
      </c>
      <c r="D854" s="369">
        <f>'Rate Design Work eff 10-14-16'!D855</f>
        <v>1479</v>
      </c>
      <c r="E854" s="309"/>
      <c r="F854" s="306">
        <f>ROUND(D854*C854,0)</f>
        <v>0</v>
      </c>
      <c r="G854" s="369">
        <f ca="1">G830</f>
        <v>1504</v>
      </c>
      <c r="H854" s="309"/>
      <c r="I854" s="306">
        <f ca="1">ROUND(G854*$C854*$G$849,0)</f>
        <v>0</v>
      </c>
      <c r="J854" s="306"/>
      <c r="K854" s="369">
        <f ca="1">K830</f>
        <v>1504</v>
      </c>
      <c r="L854" s="309"/>
      <c r="M854" s="306">
        <f ca="1">ROUND(K854*$C854*$G$849,0)</f>
        <v>0</v>
      </c>
      <c r="N854" s="306"/>
      <c r="O854" s="369" t="str">
        <f>O830</f>
        <v xml:space="preserve"> </v>
      </c>
      <c r="P854" s="309"/>
      <c r="Q854" s="306">
        <f>ROUND(O854*$C854*$G$849,0)</f>
        <v>0</v>
      </c>
      <c r="R854" s="306"/>
      <c r="S854" s="369" t="str">
        <f>S830</f>
        <v xml:space="preserve"> </v>
      </c>
      <c r="T854" s="309"/>
      <c r="U854" s="306">
        <f>ROUND(S854*$C854*$G$849,0)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2" hidden="1">
      <c r="A855" s="294" t="s">
        <v>380</v>
      </c>
      <c r="B855" s="1"/>
      <c r="C855" s="304">
        <v>0</v>
      </c>
      <c r="D855" s="369">
        <f>'Rate Design Work eff 10-14-16'!D856</f>
        <v>25.64</v>
      </c>
      <c r="E855" s="309"/>
      <c r="F855" s="306">
        <f>ROUND(D855*C855,0)</f>
        <v>0</v>
      </c>
      <c r="G855" s="369">
        <f ca="1">G835</f>
        <v>26.02</v>
      </c>
      <c r="H855" s="309"/>
      <c r="I855" s="306">
        <f ca="1">ROUND(G855*$C855*$G$849,0)</f>
        <v>0</v>
      </c>
      <c r="J855" s="306"/>
      <c r="K855" s="369">
        <f ca="1">K835</f>
        <v>26.02</v>
      </c>
      <c r="L855" s="309"/>
      <c r="M855" s="306">
        <f ca="1">ROUND(K855*$C855*$G$849,0)</f>
        <v>0</v>
      </c>
      <c r="N855" s="306"/>
      <c r="O855" s="369" t="str">
        <f>O835</f>
        <v xml:space="preserve"> </v>
      </c>
      <c r="P855" s="309"/>
      <c r="Q855" s="306">
        <f>ROUND(O855*$C855*$G$849,0)</f>
        <v>0</v>
      </c>
      <c r="R855" s="306"/>
      <c r="S855" s="369" t="str">
        <f>S835</f>
        <v xml:space="preserve"> </v>
      </c>
      <c r="T855" s="309"/>
      <c r="U855" s="306">
        <f>ROUND(S855*$C855*$G$849,0)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2" hidden="1">
      <c r="A856" s="294" t="s">
        <v>381</v>
      </c>
      <c r="B856" s="1"/>
      <c r="C856" s="304"/>
      <c r="D856" s="369"/>
      <c r="E856" s="309"/>
      <c r="F856" s="306"/>
      <c r="G856" s="369"/>
      <c r="H856" s="309"/>
      <c r="I856" s="306"/>
      <c r="J856" s="306"/>
      <c r="K856" s="369"/>
      <c r="L856" s="309"/>
      <c r="M856" s="306"/>
      <c r="N856" s="306"/>
      <c r="O856" s="369"/>
      <c r="P856" s="309"/>
      <c r="Q856" s="306"/>
      <c r="R856" s="306"/>
      <c r="S856" s="369"/>
      <c r="T856" s="309"/>
      <c r="U856" s="306"/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2" hidden="1">
      <c r="A857" s="294" t="s">
        <v>442</v>
      </c>
      <c r="B857" s="1"/>
      <c r="C857" s="304">
        <v>0</v>
      </c>
      <c r="D857" s="369">
        <f>'Rate Design Work eff 10-14-16'!D858</f>
        <v>25.54</v>
      </c>
      <c r="E857" s="309"/>
      <c r="F857" s="306">
        <f>ROUND(D857*$C857*$D$745,0)</f>
        <v>0</v>
      </c>
      <c r="G857" s="369">
        <f ca="1">G837</f>
        <v>26.02</v>
      </c>
      <c r="H857" s="309"/>
      <c r="I857" s="306">
        <f ca="1">ROUND(G857*$C857*$G$849,0)</f>
        <v>0</v>
      </c>
      <c r="J857" s="306"/>
      <c r="K857" s="369">
        <f ca="1">K837</f>
        <v>26.02</v>
      </c>
      <c r="L857" s="309"/>
      <c r="M857" s="306">
        <f ca="1">ROUND(K857*$C857*$G$849,0)</f>
        <v>0</v>
      </c>
      <c r="N857" s="306"/>
      <c r="O857" s="369" t="str">
        <f>O837</f>
        <v xml:space="preserve"> </v>
      </c>
      <c r="P857" s="309"/>
      <c r="Q857" s="306">
        <f>ROUND(O857*$C857*$G$849,0)</f>
        <v>0</v>
      </c>
      <c r="R857" s="306"/>
      <c r="S857" s="369" t="str">
        <f>S837</f>
        <v xml:space="preserve"> </v>
      </c>
      <c r="T857" s="309"/>
      <c r="U857" s="306">
        <f>ROUND(S857*$C857*$G$849,0)</f>
        <v>0</v>
      </c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2" hidden="1">
      <c r="A858" s="294" t="s">
        <v>443</v>
      </c>
      <c r="B858" s="1"/>
      <c r="C858" s="304">
        <v>0</v>
      </c>
      <c r="D858" s="369">
        <f>'Rate Design Work eff 10-14-16'!D859</f>
        <v>17.79</v>
      </c>
      <c r="E858" s="309"/>
      <c r="F858" s="306">
        <f>ROUND(D858*$C858*$D$745,0)</f>
        <v>0</v>
      </c>
      <c r="G858" s="369">
        <f ca="1">G838</f>
        <v>18.101388370764003</v>
      </c>
      <c r="H858" s="309"/>
      <c r="I858" s="306">
        <f ca="1">ROUND(G858*$C858*$G$849,0)</f>
        <v>0</v>
      </c>
      <c r="J858" s="306"/>
      <c r="K858" s="369">
        <f ca="1">K838</f>
        <v>18.101388370764003</v>
      </c>
      <c r="L858" s="309"/>
      <c r="M858" s="306">
        <f ca="1">ROUND(K858*$C858*$G$849,0)</f>
        <v>0</v>
      </c>
      <c r="N858" s="306"/>
      <c r="O858" s="369" t="str">
        <f>O838</f>
        <v xml:space="preserve"> </v>
      </c>
      <c r="P858" s="309"/>
      <c r="Q858" s="306">
        <f>ROUND(O858*$C858*$G$849,0)</f>
        <v>0</v>
      </c>
      <c r="R858" s="306"/>
      <c r="S858" s="369" t="str">
        <f>S838</f>
        <v xml:space="preserve"> </v>
      </c>
      <c r="T858" s="309"/>
      <c r="U858" s="306">
        <f>ROUND(S858*$C858*$G$849,0)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2" hidden="1">
      <c r="A859" s="294" t="s">
        <v>444</v>
      </c>
      <c r="B859" s="1"/>
      <c r="C859" s="304">
        <v>0</v>
      </c>
      <c r="D859" s="369">
        <f>'Rate Design Work eff 10-14-16'!D860</f>
        <v>13.92</v>
      </c>
      <c r="E859" s="309"/>
      <c r="F859" s="306">
        <f>ROUND(D859*$C859*$D$745,0)</f>
        <v>0</v>
      </c>
      <c r="G859" s="369">
        <f ca="1">G839</f>
        <v>14.155824964645021</v>
      </c>
      <c r="H859" s="309"/>
      <c r="I859" s="306">
        <f ca="1">ROUND(G859*$C859*$G$849,0)</f>
        <v>0</v>
      </c>
      <c r="J859" s="306"/>
      <c r="K859" s="369">
        <f ca="1">K839</f>
        <v>14.155824964645021</v>
      </c>
      <c r="L859" s="309"/>
      <c r="M859" s="306">
        <f ca="1">ROUND(K859*$C859*$G$849,0)</f>
        <v>0</v>
      </c>
      <c r="N859" s="306"/>
      <c r="O859" s="369" t="str">
        <f>O839</f>
        <v xml:space="preserve"> </v>
      </c>
      <c r="P859" s="309"/>
      <c r="Q859" s="306">
        <f>ROUND(O859*$C859*$G$849,0)</f>
        <v>0</v>
      </c>
      <c r="R859" s="306"/>
      <c r="S859" s="369" t="str">
        <f>S839</f>
        <v xml:space="preserve"> </v>
      </c>
      <c r="T859" s="309"/>
      <c r="U859" s="306">
        <f>ROUND(S859*$C859*$G$849,0)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2" hidden="1">
      <c r="A860" s="294" t="s">
        <v>455</v>
      </c>
      <c r="B860" s="1"/>
      <c r="C860" s="304">
        <v>0</v>
      </c>
      <c r="D860" s="338">
        <f>'Rate Design Work eff 10-14-16'!D861</f>
        <v>76.930000000000007</v>
      </c>
      <c r="E860" s="309"/>
      <c r="F860" s="306">
        <f>ROUND(D860*$C860*$D$745,0)</f>
        <v>0</v>
      </c>
      <c r="G860" s="338">
        <f ca="1">G840</f>
        <v>78.06</v>
      </c>
      <c r="H860" s="309"/>
      <c r="I860" s="306">
        <f ca="1">ROUND(G860*$C860*$G$849,0)</f>
        <v>0</v>
      </c>
      <c r="J860" s="306"/>
      <c r="K860" s="338">
        <f ca="1">K840</f>
        <v>78.06</v>
      </c>
      <c r="L860" s="309"/>
      <c r="M860" s="306">
        <f ca="1">ROUND(K860*$C860*$G$849,0)</f>
        <v>0</v>
      </c>
      <c r="N860" s="306"/>
      <c r="O860" s="338" t="str">
        <f>O840</f>
        <v xml:space="preserve"> </v>
      </c>
      <c r="P860" s="309"/>
      <c r="Q860" s="306">
        <f>ROUND(O860*$C860*$G$849,0)</f>
        <v>0</v>
      </c>
      <c r="R860" s="306"/>
      <c r="S860" s="338" t="str">
        <f>S840</f>
        <v xml:space="preserve"> </v>
      </c>
      <c r="T860" s="309"/>
      <c r="U860" s="306">
        <f>ROUND(S860*$C860*$G$849,0)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2" hidden="1">
      <c r="A861" s="294" t="s">
        <v>456</v>
      </c>
      <c r="B861" s="1"/>
      <c r="C861" s="304">
        <v>0</v>
      </c>
      <c r="D861" s="338">
        <f>'Rate Design Work eff 10-14-16'!D862</f>
        <v>153.22</v>
      </c>
      <c r="E861" s="309"/>
      <c r="F861" s="306">
        <f>ROUND(D861*$C861*$D$745,0)</f>
        <v>0</v>
      </c>
      <c r="G861" s="338">
        <f ca="1">G841</f>
        <v>156.12</v>
      </c>
      <c r="H861" s="309"/>
      <c r="I861" s="306">
        <f ca="1">ROUND(G861*$C861*$G$849,0)</f>
        <v>0</v>
      </c>
      <c r="J861" s="306"/>
      <c r="K861" s="338">
        <f ca="1">K841</f>
        <v>156.12</v>
      </c>
      <c r="L861" s="309"/>
      <c r="M861" s="306">
        <f ca="1">ROUND(K861*$C861*$G$849,0)</f>
        <v>0</v>
      </c>
      <c r="N861" s="306"/>
      <c r="O861" s="338" t="str">
        <f>O841</f>
        <v xml:space="preserve"> </v>
      </c>
      <c r="P861" s="309"/>
      <c r="Q861" s="306">
        <f>ROUND(O861*$C861*$G$849,0)</f>
        <v>0</v>
      </c>
      <c r="R861" s="306"/>
      <c r="S861" s="338" t="str">
        <f>S841</f>
        <v xml:space="preserve"> </v>
      </c>
      <c r="T861" s="309"/>
      <c r="U861" s="306">
        <f>ROUND(S861*$C861*$G$849,0)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2" hidden="1">
      <c r="A862" s="294" t="s">
        <v>452</v>
      </c>
      <c r="B862" s="1"/>
      <c r="C862" s="304"/>
      <c r="D862" s="322"/>
      <c r="E862" s="309"/>
      <c r="F862" s="306"/>
      <c r="G862" s="322"/>
      <c r="H862" s="309"/>
      <c r="I862" s="306"/>
      <c r="J862" s="306"/>
      <c r="K862" s="322"/>
      <c r="L862" s="309"/>
      <c r="M862" s="306"/>
      <c r="N862" s="306"/>
      <c r="O862" s="322"/>
      <c r="P862" s="309"/>
      <c r="Q862" s="306"/>
      <c r="R862" s="306"/>
      <c r="S862" s="322"/>
      <c r="T862" s="309"/>
      <c r="U862" s="306"/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2" hidden="1">
      <c r="A863" s="294" t="s">
        <v>447</v>
      </c>
      <c r="B863" s="1"/>
      <c r="C863" s="304">
        <v>0</v>
      </c>
      <c r="D863" s="348">
        <f>'Rate Design Work eff 10-14-16'!D864</f>
        <v>-25.64</v>
      </c>
      <c r="E863" s="309"/>
      <c r="F863" s="306">
        <f>ROUND(D863*$C863*$D$745,0)</f>
        <v>0</v>
      </c>
      <c r="G863" s="348">
        <f ca="1">G843</f>
        <v>-26.02</v>
      </c>
      <c r="H863" s="309"/>
      <c r="I863" s="306">
        <f ca="1">ROUND(G863*$C863*$G$849,0)</f>
        <v>0</v>
      </c>
      <c r="J863" s="306"/>
      <c r="K863" s="348">
        <f ca="1">K843</f>
        <v>-26.02</v>
      </c>
      <c r="L863" s="309"/>
      <c r="M863" s="306">
        <f ca="1">ROUND(K863*$C863*$G$849,0)</f>
        <v>0</v>
      </c>
      <c r="N863" s="306"/>
      <c r="O863" s="348">
        <f>O843</f>
        <v>0</v>
      </c>
      <c r="P863" s="309"/>
      <c r="Q863" s="306">
        <f>ROUND(O863*$C863*$G$849,0)</f>
        <v>0</v>
      </c>
      <c r="R863" s="306"/>
      <c r="S863" s="348">
        <f>S843</f>
        <v>0</v>
      </c>
      <c r="T863" s="309"/>
      <c r="U863" s="306">
        <f>ROUND(S863*$C863*$G$849,0)</f>
        <v>0</v>
      </c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2" hidden="1">
      <c r="A864" s="294" t="s">
        <v>453</v>
      </c>
      <c r="B864" s="1"/>
      <c r="C864" s="304">
        <v>0</v>
      </c>
      <c r="D864" s="348">
        <f>'Rate Design Work eff 10-14-16'!D865</f>
        <v>-25.54</v>
      </c>
      <c r="E864" s="309"/>
      <c r="F864" s="306">
        <f>ROUND(D864*$C864*$D$745,0)</f>
        <v>0</v>
      </c>
      <c r="G864" s="348">
        <f ca="1">G844</f>
        <v>-26.02</v>
      </c>
      <c r="H864" s="309"/>
      <c r="I864" s="306">
        <f ca="1">ROUND(G864*$C864*$G$849,0)</f>
        <v>0</v>
      </c>
      <c r="J864" s="306"/>
      <c r="K864" s="348">
        <f ca="1">K844</f>
        <v>-26.02</v>
      </c>
      <c r="L864" s="309"/>
      <c r="M864" s="306">
        <f ca="1">ROUND(K864*$C864*$G$849,0)</f>
        <v>0</v>
      </c>
      <c r="N864" s="306"/>
      <c r="O864" s="348">
        <f>O844</f>
        <v>0</v>
      </c>
      <c r="P864" s="309"/>
      <c r="Q864" s="306">
        <f>ROUND(O864*$C864*$G$849,0)</f>
        <v>0</v>
      </c>
      <c r="R864" s="306"/>
      <c r="S864" s="348">
        <f>S844</f>
        <v>0</v>
      </c>
      <c r="T864" s="309"/>
      <c r="U864" s="306">
        <f>ROUND(S864*$C864*$G$849,0)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 hidden="1">
      <c r="A865" s="308" t="s">
        <v>416</v>
      </c>
      <c r="B865" s="1"/>
      <c r="C865" s="304"/>
      <c r="D865" s="369"/>
      <c r="E865" s="306"/>
      <c r="F865" s="306"/>
      <c r="G865" s="369"/>
      <c r="H865" s="306"/>
      <c r="I865" s="306"/>
      <c r="J865" s="306"/>
      <c r="K865" s="369"/>
      <c r="L865" s="306"/>
      <c r="M865" s="306"/>
      <c r="N865" s="306"/>
      <c r="O865" s="369"/>
      <c r="P865" s="306"/>
      <c r="Q865" s="306"/>
      <c r="R865" s="306"/>
      <c r="S865" s="369"/>
      <c r="T865" s="306"/>
      <c r="U865" s="306"/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 hidden="1">
      <c r="A866" s="294" t="s">
        <v>454</v>
      </c>
      <c r="B866" s="1"/>
      <c r="C866" s="304">
        <v>0</v>
      </c>
      <c r="D866" s="370">
        <f>'Rate Design Work eff 10-14-16'!D867</f>
        <v>6.9180000000000001</v>
      </c>
      <c r="E866" s="306" t="s">
        <v>364</v>
      </c>
      <c r="F866" s="306">
        <f>ROUND(D866/100*C866*$D$745,0)</f>
        <v>0</v>
      </c>
      <c r="G866" s="370">
        <f ca="1">G846</f>
        <v>7.0350000000000001</v>
      </c>
      <c r="H866" s="306" t="s">
        <v>364</v>
      </c>
      <c r="I866" s="306">
        <f ca="1">ROUND(G866/100*$C866*$G$849,0)</f>
        <v>0</v>
      </c>
      <c r="J866" s="306"/>
      <c r="K866" s="370" t="e">
        <f ca="1">K846</f>
        <v>#REF!</v>
      </c>
      <c r="L866" s="306" t="s">
        <v>364</v>
      </c>
      <c r="M866" s="306" t="e">
        <f ca="1">ROUND(K866/100*$C866*$G$849,0)</f>
        <v>#REF!</v>
      </c>
      <c r="N866" s="306"/>
      <c r="O866" s="370" t="e">
        <f ca="1">O846</f>
        <v>#DIV/0!</v>
      </c>
      <c r="P866" s="306" t="s">
        <v>364</v>
      </c>
      <c r="Q866" s="306" t="e">
        <f ca="1">ROUND(O866/100*$C866*$G$849,0)</f>
        <v>#DIV/0!</v>
      </c>
      <c r="R866" s="306"/>
      <c r="S866" s="370" t="e">
        <f ca="1">S846</f>
        <v>#DIV/0!</v>
      </c>
      <c r="T866" s="306" t="s">
        <v>364</v>
      </c>
      <c r="U866" s="306" t="e">
        <f ca="1">ROUND(S866/100*$C866*$G$849,0)</f>
        <v>#DIV/0!</v>
      </c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 hidden="1">
      <c r="A867" s="308" t="s">
        <v>390</v>
      </c>
      <c r="B867" s="1"/>
      <c r="C867" s="304">
        <v>0</v>
      </c>
      <c r="D867" s="360">
        <f>'Rate Design Work eff 10-14-16'!D868</f>
        <v>56</v>
      </c>
      <c r="E867" s="308" t="s">
        <v>364</v>
      </c>
      <c r="F867" s="306">
        <f>ROUND(D867/100*C867*$D$745,0)</f>
        <v>0</v>
      </c>
      <c r="G867" s="360">
        <f ca="1">G847</f>
        <v>57</v>
      </c>
      <c r="H867" s="308" t="s">
        <v>364</v>
      </c>
      <c r="I867" s="306">
        <f ca="1">ROUND(G867/100*$C867*$G$849,0)</f>
        <v>0</v>
      </c>
      <c r="J867" s="306"/>
      <c r="K867" s="360" t="str">
        <f>K847</f>
        <v xml:space="preserve"> </v>
      </c>
      <c r="L867" s="308" t="s">
        <v>364</v>
      </c>
      <c r="M867" s="306">
        <f>ROUND(K867/100*$C867*$G$849,0)</f>
        <v>0</v>
      </c>
      <c r="N867" s="306"/>
      <c r="O867" s="360" t="e">
        <f ca="1">O847</f>
        <v>#DIV/0!</v>
      </c>
      <c r="P867" s="308" t="s">
        <v>364</v>
      </c>
      <c r="Q867" s="306" t="e">
        <f ca="1">ROUND(O867/100*$C867*$G$849,0)</f>
        <v>#DIV/0!</v>
      </c>
      <c r="R867" s="306"/>
      <c r="S867" s="360" t="e">
        <f ca="1">S847</f>
        <v>#DIV/0!</v>
      </c>
      <c r="T867" s="308" t="s">
        <v>364</v>
      </c>
      <c r="U867" s="306" t="e">
        <f ca="1">ROUND(S867/100*$C867*$G$849,0)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 hidden="1">
      <c r="A868" s="308" t="s">
        <v>433</v>
      </c>
      <c r="B868" s="1"/>
      <c r="C868" s="304">
        <v>0</v>
      </c>
      <c r="D868" s="283">
        <f>'Rate Design Work eff 10-14-16'!D869</f>
        <v>60</v>
      </c>
      <c r="E868" s="1"/>
      <c r="F868" s="306">
        <f>ROUND(D868*$C868,0)</f>
        <v>0</v>
      </c>
      <c r="G868" s="283">
        <f>$G$764</f>
        <v>60</v>
      </c>
      <c r="H868" s="1"/>
      <c r="I868" s="306">
        <f>ROUND(G868*$C868,0)</f>
        <v>0</v>
      </c>
      <c r="J868" s="306"/>
      <c r="K868" s="283" t="str">
        <f>$K$764</f>
        <v xml:space="preserve"> </v>
      </c>
      <c r="L868" s="1"/>
      <c r="M868" s="306">
        <f>ROUND(K868*$C868,0)</f>
        <v>0</v>
      </c>
      <c r="N868" s="306"/>
      <c r="O868" s="283" t="e">
        <f>$O$764</f>
        <v>#DIV/0!</v>
      </c>
      <c r="P868" s="1"/>
      <c r="Q868" s="306" t="e">
        <f>ROUND(O868*$C868,0)</f>
        <v>#DIV/0!</v>
      </c>
      <c r="R868" s="306"/>
      <c r="S868" s="283" t="e">
        <f>$S$764</f>
        <v>#DIV/0!</v>
      </c>
      <c r="T868" s="1"/>
      <c r="U868" s="306" t="e">
        <f>ROUND(S868*$C868,0)</f>
        <v>#DIV/0!</v>
      </c>
      <c r="V868" s="20"/>
      <c r="W868" s="32" t="s">
        <v>31</v>
      </c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 hidden="1">
      <c r="A869" s="308" t="s">
        <v>434</v>
      </c>
      <c r="B869" s="1"/>
      <c r="C869" s="304">
        <v>0</v>
      </c>
      <c r="D869" s="324">
        <f>'Rate Design Work eff 10-14-16'!D870</f>
        <v>-30</v>
      </c>
      <c r="E869" s="306" t="s">
        <v>364</v>
      </c>
      <c r="F869" s="306">
        <f>ROUND(D869*$C869/100,0)</f>
        <v>0</v>
      </c>
      <c r="G869" s="324">
        <f>$G$765</f>
        <v>-30</v>
      </c>
      <c r="H869" s="306" t="s">
        <v>364</v>
      </c>
      <c r="I869" s="306">
        <f>ROUND(G869*$C869/100,0)</f>
        <v>0</v>
      </c>
      <c r="J869" s="306"/>
      <c r="K869" s="324">
        <f>$K$765</f>
        <v>-30</v>
      </c>
      <c r="L869" s="306" t="s">
        <v>364</v>
      </c>
      <c r="M869" s="306">
        <f>ROUND(K869*$C869/100,0)</f>
        <v>0</v>
      </c>
      <c r="N869" s="306"/>
      <c r="O869" s="324">
        <f>$O$765</f>
        <v>0</v>
      </c>
      <c r="P869" s="306" t="s">
        <v>364</v>
      </c>
      <c r="Q869" s="306">
        <f>ROUND(O869*$C869/100,0)</f>
        <v>0</v>
      </c>
      <c r="R869" s="306"/>
      <c r="S869" s="324">
        <f>$S$765</f>
        <v>0</v>
      </c>
      <c r="T869" s="306" t="s">
        <v>364</v>
      </c>
      <c r="U869" s="306">
        <f>ROUND(S869*$C869/100,0)</f>
        <v>0</v>
      </c>
      <c r="V869" s="20"/>
      <c r="W869" s="74"/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 s="1118" customFormat="1" hidden="1">
      <c r="A870" s="968" t="s">
        <v>891</v>
      </c>
      <c r="C870" s="1122">
        <f>C866</f>
        <v>0</v>
      </c>
      <c r="D870" s="254">
        <f>'Rate Design Work eff 10-14-16'!D871</f>
        <v>0</v>
      </c>
      <c r="E870" s="1119"/>
      <c r="F870" s="1123"/>
      <c r="G870" s="1135">
        <f>G766</f>
        <v>0</v>
      </c>
      <c r="H870" s="1000" t="s">
        <v>364</v>
      </c>
      <c r="I870" s="306">
        <f>ROUND(G870/100*$C870*$G$849,0)</f>
        <v>0</v>
      </c>
      <c r="J870" s="306"/>
      <c r="K870" s="1135" t="str">
        <f>K766</f>
        <v xml:space="preserve"> </v>
      </c>
      <c r="L870" s="1000" t="s">
        <v>364</v>
      </c>
      <c r="M870" s="306">
        <f>ROUND(K870/100*$C870*$G$849,0)</f>
        <v>0</v>
      </c>
      <c r="N870" s="306"/>
      <c r="O870" s="1135" t="str">
        <f>O766</f>
        <v xml:space="preserve"> </v>
      </c>
      <c r="P870" s="1000" t="s">
        <v>364</v>
      </c>
      <c r="Q870" s="306">
        <f>ROUND(O870/100*$C870*$G$849,0)</f>
        <v>0</v>
      </c>
      <c r="R870" s="306"/>
      <c r="S870" s="1135">
        <f>S766</f>
        <v>0</v>
      </c>
      <c r="T870" s="1000" t="s">
        <v>364</v>
      </c>
      <c r="U870" s="306">
        <f>ROUND(S870/100*$C870*$G$849,0)</f>
        <v>0</v>
      </c>
      <c r="W870" s="784"/>
      <c r="Z870" s="1125"/>
      <c r="AA870" s="1125"/>
      <c r="AF870" s="1119"/>
      <c r="AG870" s="1119"/>
      <c r="AH870" s="1119"/>
      <c r="AI870" s="1119"/>
      <c r="AJ870" s="1119"/>
      <c r="AK870" s="1119"/>
      <c r="AL870" s="1119"/>
      <c r="AM870" s="1119"/>
      <c r="AN870" s="1119"/>
      <c r="AO870" s="1119"/>
      <c r="AP870" s="1119"/>
      <c r="AR870" s="1124"/>
    </row>
    <row r="871" spans="1:44" hidden="1">
      <c r="A871" s="1" t="s">
        <v>371</v>
      </c>
      <c r="B871" s="1"/>
      <c r="C871" s="304">
        <f>SUM(C846:C846)</f>
        <v>48181287</v>
      </c>
      <c r="D871" s="315"/>
      <c r="E871" s="308"/>
      <c r="F871" s="2">
        <f>SUM(F826:F869)</f>
        <v>4051637</v>
      </c>
      <c r="G871" s="315"/>
      <c r="H871" s="308"/>
      <c r="I871" s="2">
        <f ca="1">SUM(I826:I870)</f>
        <v>4121159</v>
      </c>
      <c r="J871" s="2"/>
      <c r="K871" s="315"/>
      <c r="L871" s="308"/>
      <c r="M871" s="2" t="e">
        <f ca="1">SUM(M826:M870)</f>
        <v>#REF!</v>
      </c>
      <c r="N871" s="2"/>
      <c r="O871" s="315"/>
      <c r="P871" s="308"/>
      <c r="Q871" s="2" t="e">
        <f ca="1">SUM(Q826:Q870)</f>
        <v>#DIV/0!</v>
      </c>
      <c r="R871" s="2"/>
      <c r="S871" s="315"/>
      <c r="T871" s="308"/>
      <c r="U871" s="2" t="e">
        <f ca="1">SUM(U826:U870)</f>
        <v>#DIV/0!</v>
      </c>
      <c r="V871" s="20"/>
      <c r="W871" s="74"/>
      <c r="X871" s="74"/>
      <c r="Y871" s="74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</row>
    <row r="872" spans="1:44" hidden="1">
      <c r="A872" s="1" t="s">
        <v>353</v>
      </c>
      <c r="B872" s="1"/>
      <c r="C872" s="334">
        <f ca="1">'Table 2'!H102</f>
        <v>665268.792704936</v>
      </c>
      <c r="D872" s="294"/>
      <c r="E872" s="294"/>
      <c r="F872" s="295">
        <f ca="1">'Table 3'!E102</f>
        <v>50732.788498398135</v>
      </c>
      <c r="G872" s="294"/>
      <c r="H872" s="294"/>
      <c r="I872" s="295">
        <f ca="1">F872</f>
        <v>50732.788498398135</v>
      </c>
      <c r="J872" s="51"/>
      <c r="K872" s="294"/>
      <c r="L872" s="294"/>
      <c r="M872" s="295" t="e">
        <f ca="1">M768/I768*I872</f>
        <v>#DIV/0!</v>
      </c>
      <c r="N872" s="51"/>
      <c r="O872" s="294"/>
      <c r="P872" s="294"/>
      <c r="Q872" s="295" t="e">
        <f ca="1">Q768/I768*I872</f>
        <v>#DIV/0!</v>
      </c>
      <c r="R872" s="51"/>
      <c r="S872" s="294"/>
      <c r="T872" s="294"/>
      <c r="U872" s="295" t="e">
        <f ca="1">U768/I768*I872</f>
        <v>#DIV/0!</v>
      </c>
      <c r="V872" s="429"/>
      <c r="W872" s="272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 ht="16.5" hidden="1" thickBot="1">
      <c r="A873" s="1" t="s">
        <v>372</v>
      </c>
      <c r="B873" s="1"/>
      <c r="C873" s="351">
        <f ca="1">SUM(C871:C872)</f>
        <v>48846555.792704932</v>
      </c>
      <c r="D873" s="327"/>
      <c r="E873" s="330"/>
      <c r="F873" s="329">
        <f ca="1">F871+F872</f>
        <v>4102369.7884983979</v>
      </c>
      <c r="G873" s="327"/>
      <c r="H873" s="330"/>
      <c r="I873" s="329">
        <f ca="1">I871+I872</f>
        <v>4171891.7884983979</v>
      </c>
      <c r="J873" s="307"/>
      <c r="K873" s="327"/>
      <c r="L873" s="330"/>
      <c r="M873" s="329" t="e">
        <f ca="1">M871+M872</f>
        <v>#REF!</v>
      </c>
      <c r="N873" s="329"/>
      <c r="O873" s="327"/>
      <c r="P873" s="330"/>
      <c r="Q873" s="329" t="e">
        <f ca="1">Q871+Q872</f>
        <v>#DIV/0!</v>
      </c>
      <c r="R873" s="329"/>
      <c r="S873" s="327"/>
      <c r="T873" s="330"/>
      <c r="U873" s="329" t="e">
        <f ca="1">U871+U872</f>
        <v>#DIV/0!</v>
      </c>
      <c r="V873" s="396"/>
      <c r="W873" s="455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hidden="1" thickTop="1">
      <c r="A874" s="1"/>
      <c r="B874" s="1"/>
      <c r="C874" s="26"/>
      <c r="D874" s="336"/>
      <c r="E874" s="23"/>
      <c r="F874" s="307"/>
      <c r="G874" s="336"/>
      <c r="H874" s="23"/>
      <c r="I874" s="307"/>
      <c r="J874" s="307"/>
      <c r="K874" s="336"/>
      <c r="L874" s="23"/>
      <c r="M874" s="307"/>
      <c r="N874" s="307"/>
      <c r="O874" s="336"/>
      <c r="P874" s="23"/>
      <c r="Q874" s="307"/>
      <c r="R874" s="307"/>
      <c r="S874" s="336"/>
      <c r="T874" s="23"/>
      <c r="U874" s="307"/>
      <c r="V874" s="1280"/>
      <c r="W874" s="1280"/>
      <c r="X874" s="1280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idden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396"/>
      <c r="W875" s="396"/>
      <c r="X875" s="396"/>
      <c r="Y875" s="32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 hidden="1">
      <c r="A876" s="288"/>
      <c r="B876" s="363"/>
      <c r="C876" s="288"/>
      <c r="D876" s="1"/>
      <c r="E876" s="288"/>
      <c r="F876" s="364" t="s">
        <v>31</v>
      </c>
      <c r="G876" s="288"/>
      <c r="H876" s="288"/>
      <c r="I876" s="288"/>
      <c r="J876" s="288"/>
      <c r="K876" s="288"/>
      <c r="L876" s="288"/>
      <c r="M876" s="288"/>
      <c r="N876" s="288"/>
      <c r="O876" s="288"/>
      <c r="P876" s="288"/>
      <c r="Q876" s="288"/>
      <c r="R876" s="288"/>
      <c r="S876" s="288"/>
      <c r="T876" s="288"/>
      <c r="U876" s="288"/>
      <c r="V876" s="20"/>
      <c r="W876" s="74"/>
      <c r="X876" s="74"/>
      <c r="Y876" s="74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78" t="s">
        <v>459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406" t="s">
        <v>900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308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 t="s">
        <v>383</v>
      </c>
      <c r="B880" s="1"/>
      <c r="C880" s="304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461</v>
      </c>
      <c r="B881" s="1"/>
      <c r="C881" s="304">
        <f>'Rate Design Work eff 10-14-16'!C882</f>
        <v>12</v>
      </c>
      <c r="D881" s="369">
        <f>'Rate Design Work eff 10-14-16'!D882</f>
        <v>1386</v>
      </c>
      <c r="E881" s="306"/>
      <c r="F881" s="2">
        <f>ROUND(D881*C881,0)</f>
        <v>16632</v>
      </c>
      <c r="G881" s="369">
        <f ca="1">G960</f>
        <v>1411</v>
      </c>
      <c r="H881" s="306"/>
      <c r="I881" s="2">
        <f ca="1">ROUND(G881*$C881,0)</f>
        <v>16932</v>
      </c>
      <c r="J881" s="2"/>
      <c r="K881" s="369">
        <f ca="1">K960</f>
        <v>1411</v>
      </c>
      <c r="L881" s="306"/>
      <c r="M881" s="2">
        <f ca="1">'Rate Design Work eff 10-14-16'!M882</f>
        <v>16932</v>
      </c>
      <c r="N881" s="2"/>
      <c r="O881" s="369" t="str">
        <f>O960</f>
        <v xml:space="preserve"> </v>
      </c>
      <c r="P881" s="306"/>
      <c r="Q881" s="2">
        <f>'Rate Design Work eff 10-14-16'!Q882</f>
        <v>0</v>
      </c>
      <c r="R881" s="2"/>
      <c r="S881" s="369" t="str">
        <f>S960</f>
        <v xml:space="preserve"> </v>
      </c>
      <c r="T881" s="306"/>
      <c r="U881" s="2">
        <f>'Rate Design Work eff 10-14-16'!U882</f>
        <v>0</v>
      </c>
      <c r="W881" s="1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462</v>
      </c>
      <c r="B882" s="1"/>
      <c r="C882" s="304">
        <f>'Rate Design Work eff 10-14-16'!C883</f>
        <v>0</v>
      </c>
      <c r="D882" s="369">
        <f>'Rate Design Work eff 10-14-16'!D883</f>
        <v>1675</v>
      </c>
      <c r="E882" s="309"/>
      <c r="F882" s="2">
        <f>ROUND(D882*C882,0)</f>
        <v>0</v>
      </c>
      <c r="G882" s="369">
        <f ca="1">G961</f>
        <v>1703</v>
      </c>
      <c r="H882" s="309"/>
      <c r="I882" s="2">
        <f ca="1">ROUND(G882*$C882,0)</f>
        <v>0</v>
      </c>
      <c r="J882" s="2"/>
      <c r="K882" s="369">
        <f ca="1">K961</f>
        <v>1703</v>
      </c>
      <c r="L882" s="309"/>
      <c r="M882" s="2">
        <f ca="1">'Rate Design Work eff 10-14-16'!M883</f>
        <v>0</v>
      </c>
      <c r="N882" s="2"/>
      <c r="O882" s="369" t="str">
        <f>O961</f>
        <v xml:space="preserve"> </v>
      </c>
      <c r="P882" s="309"/>
      <c r="Q882" s="2">
        <f>'Rate Design Work eff 10-14-16'!Q883</f>
        <v>0</v>
      </c>
      <c r="R882" s="2"/>
      <c r="S882" s="369" t="str">
        <f>S961</f>
        <v xml:space="preserve"> </v>
      </c>
      <c r="T882" s="309"/>
      <c r="U882" s="2">
        <f>'Rate Design Work eff 10-14-16'!U883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384</v>
      </c>
      <c r="B883" s="1"/>
      <c r="C883" s="304">
        <f>SUM(C881:C882)</f>
        <v>12</v>
      </c>
      <c r="D883" s="369"/>
      <c r="E883" s="306"/>
      <c r="F883" s="2" t="s">
        <v>31</v>
      </c>
      <c r="G883" s="369" t="str">
        <f>W924</f>
        <v xml:space="preserve"> </v>
      </c>
      <c r="H883" s="306"/>
      <c r="I883" s="2" t="s">
        <v>31</v>
      </c>
      <c r="J883" s="2"/>
      <c r="K883" s="369">
        <f>Z924</f>
        <v>0</v>
      </c>
      <c r="L883" s="306"/>
      <c r="M883" s="2" t="s">
        <v>31</v>
      </c>
      <c r="N883" s="2"/>
      <c r="O883" s="369">
        <f>AD924</f>
        <v>0</v>
      </c>
      <c r="P883" s="306"/>
      <c r="Q883" s="2" t="s">
        <v>31</v>
      </c>
      <c r="R883" s="2"/>
      <c r="S883" s="369">
        <f>AH924</f>
        <v>0</v>
      </c>
      <c r="T883" s="306"/>
      <c r="U883" s="2" t="s">
        <v>31</v>
      </c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463</v>
      </c>
      <c r="B884" s="1"/>
      <c r="C884" s="304">
        <f>'Rate Design Work eff 10-14-16'!C885</f>
        <v>23896</v>
      </c>
      <c r="D884" s="369">
        <f>'Rate Design Work eff 10-14-16'!D885</f>
        <v>1.1000000000000001</v>
      </c>
      <c r="E884" s="306"/>
      <c r="F884" s="2">
        <f>ROUND(D884*C884,0)</f>
        <v>26286</v>
      </c>
      <c r="G884" s="369">
        <f ca="1">G963</f>
        <v>1.1200000000000001</v>
      </c>
      <c r="H884" s="306"/>
      <c r="I884" s="2">
        <f ca="1">ROUND(G884*$C884,0)</f>
        <v>26764</v>
      </c>
      <c r="J884" s="2"/>
      <c r="K884" s="369">
        <f ca="1">K963</f>
        <v>1.1200000000000001</v>
      </c>
      <c r="L884" s="306"/>
      <c r="M884" s="2">
        <f ca="1">'Rate Design Work eff 10-14-16'!M885</f>
        <v>26764</v>
      </c>
      <c r="N884" s="2"/>
      <c r="O884" s="369" t="str">
        <f>O963</f>
        <v xml:space="preserve"> </v>
      </c>
      <c r="P884" s="306"/>
      <c r="Q884" s="2">
        <f>'Rate Design Work eff 10-14-16'!Q885</f>
        <v>0</v>
      </c>
      <c r="R884" s="2"/>
      <c r="S884" s="369" t="str">
        <f>S963</f>
        <v xml:space="preserve"> </v>
      </c>
      <c r="T884" s="306"/>
      <c r="U884" s="2">
        <f>'Rate Design Work eff 10-14-16'!U885</f>
        <v>0</v>
      </c>
      <c r="W884" s="14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464</v>
      </c>
      <c r="B885" s="1"/>
      <c r="C885" s="304">
        <f>'Rate Design Work eff 10-14-16'!C886</f>
        <v>0</v>
      </c>
      <c r="D885" s="369">
        <f>'Rate Design Work eff 10-14-16'!D886</f>
        <v>0.99</v>
      </c>
      <c r="E885" s="306"/>
      <c r="F885" s="2">
        <f>ROUND(D885*C885,0)</f>
        <v>0</v>
      </c>
      <c r="G885" s="369">
        <f ca="1">G964</f>
        <v>1.01</v>
      </c>
      <c r="H885" s="306"/>
      <c r="I885" s="2">
        <f ca="1">ROUND(G885*$C885,0)</f>
        <v>0</v>
      </c>
      <c r="J885" s="2"/>
      <c r="K885" s="369">
        <f ca="1">K964</f>
        <v>1.01</v>
      </c>
      <c r="L885" s="306"/>
      <c r="M885" s="2">
        <f ca="1">'Rate Design Work eff 10-14-16'!M886</f>
        <v>0</v>
      </c>
      <c r="N885" s="2"/>
      <c r="O885" s="369" t="str">
        <f>O964</f>
        <v xml:space="preserve"> </v>
      </c>
      <c r="P885" s="306"/>
      <c r="Q885" s="2">
        <f>'Rate Design Work eff 10-14-16'!Q886</f>
        <v>0</v>
      </c>
      <c r="R885" s="2"/>
      <c r="S885" s="369" t="str">
        <f>S964</f>
        <v xml:space="preserve"> </v>
      </c>
      <c r="T885" s="306"/>
      <c r="U885" s="2">
        <f>'Rate Design Work eff 10-14-16'!U886</f>
        <v>0</v>
      </c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294" t="s">
        <v>393</v>
      </c>
      <c r="B886" s="1"/>
      <c r="C886" s="304">
        <f>'Rate Design Work eff 10-14-16'!C887</f>
        <v>19015</v>
      </c>
      <c r="D886" s="369">
        <f>'Rate Design Work eff 10-14-16'!D887</f>
        <v>7.83</v>
      </c>
      <c r="E886" s="306"/>
      <c r="F886" s="2">
        <f>ROUND(D886*C886,0)</f>
        <v>148887</v>
      </c>
      <c r="G886" s="369">
        <f ca="1">G965</f>
        <v>7.97</v>
      </c>
      <c r="H886" s="306"/>
      <c r="I886" s="2">
        <f ca="1">ROUND(G886*$C886,0)</f>
        <v>151550</v>
      </c>
      <c r="J886" s="2"/>
      <c r="K886" s="369" t="e">
        <f ca="1">K965</f>
        <v>#DIV/0!</v>
      </c>
      <c r="L886" s="306"/>
      <c r="M886" s="2" t="e">
        <f ca="1">'Rate Design Work eff 10-14-16'!M887</f>
        <v>#DIV/0!</v>
      </c>
      <c r="N886" s="2"/>
      <c r="O886" s="369" t="e">
        <f ca="1">O965</f>
        <v>#DIV/0!</v>
      </c>
      <c r="P886" s="306"/>
      <c r="Q886" s="2" t="e">
        <f ca="1">'Rate Design Work eff 10-14-16'!Q887</f>
        <v>#DIV/0!</v>
      </c>
      <c r="R886" s="2"/>
      <c r="S886" s="369" t="e">
        <f ca="1">S965</f>
        <v>#DIV/0!</v>
      </c>
      <c r="T886" s="306"/>
      <c r="U886" s="2" t="e">
        <f ca="1">'Rate Design Work eff 10-14-16'!U887</f>
        <v>#DIV/0!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308" t="s">
        <v>416</v>
      </c>
      <c r="B887" s="1"/>
      <c r="C887" s="304"/>
      <c r="D887" s="369"/>
      <c r="E887" s="306"/>
      <c r="F887" s="2"/>
      <c r="G887" s="369"/>
      <c r="H887" s="306"/>
      <c r="I887" s="2"/>
      <c r="J887" s="2"/>
      <c r="K887" s="369"/>
      <c r="L887" s="306"/>
      <c r="M887" s="2"/>
      <c r="N887" s="2"/>
      <c r="O887" s="369"/>
      <c r="P887" s="306"/>
      <c r="Q887" s="2"/>
      <c r="R887" s="2"/>
      <c r="S887" s="369"/>
      <c r="T887" s="306"/>
      <c r="U887" s="2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454</v>
      </c>
      <c r="B888" s="1"/>
      <c r="C888" s="304">
        <f>'Rate Design Work eff 10-14-16'!C889</f>
        <v>2245825</v>
      </c>
      <c r="D888" s="372">
        <f>'Rate Design Work eff 10-14-16'!D889</f>
        <v>4.6630000000000003</v>
      </c>
      <c r="E888" s="306" t="s">
        <v>364</v>
      </c>
      <c r="F888" s="2">
        <f>ROUND(D888/100*C888,0)</f>
        <v>104723</v>
      </c>
      <c r="G888" s="372">
        <f ca="1">G967</f>
        <v>4.7409999999999997</v>
      </c>
      <c r="H888" s="306" t="s">
        <v>364</v>
      </c>
      <c r="I888" s="2">
        <f ca="1">ROUND(G888/100*$C888,0)</f>
        <v>106475</v>
      </c>
      <c r="J888" s="2"/>
      <c r="K888" s="372" t="str">
        <f>K967</f>
        <v xml:space="preserve"> </v>
      </c>
      <c r="L888" s="306" t="s">
        <v>31</v>
      </c>
      <c r="M888" s="2">
        <f>'Rate Design Work eff 10-14-16'!M889</f>
        <v>0</v>
      </c>
      <c r="N888" s="2"/>
      <c r="O888" s="372" t="e">
        <f ca="1">O967</f>
        <v>#DIV/0!</v>
      </c>
      <c r="P888" s="306" t="s">
        <v>364</v>
      </c>
      <c r="Q888" s="2" t="e">
        <f ca="1">'Rate Design Work eff 10-14-16'!Q889</f>
        <v>#DIV/0!</v>
      </c>
      <c r="R888" s="2"/>
      <c r="S888" s="372" t="e">
        <f ca="1">S967</f>
        <v>#DIV/0!</v>
      </c>
      <c r="T888" s="306" t="s">
        <v>364</v>
      </c>
      <c r="U888" s="2" t="e">
        <f ca="1">'Rate Design Work eff 10-14-16'!U889</f>
        <v>#DIV/0!</v>
      </c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390</v>
      </c>
      <c r="B889" s="1"/>
      <c r="C889" s="304">
        <f>'Rate Design Work eff 10-14-16'!C890</f>
        <v>0</v>
      </c>
      <c r="D889" s="369">
        <f>'Rate Design Work eff 10-14-16'!D890</f>
        <v>0.55000000000000004</v>
      </c>
      <c r="E889" s="306"/>
      <c r="F889" s="2">
        <f>ROUND(D889*C889,0)</f>
        <v>0</v>
      </c>
      <c r="G889" s="369">
        <f ca="1">G968</f>
        <v>0.56000000000000005</v>
      </c>
      <c r="H889" s="306"/>
      <c r="I889" s="2">
        <f ca="1">ROUND(G889*$C889,0)</f>
        <v>0</v>
      </c>
      <c r="J889" s="2"/>
      <c r="K889" s="369" t="str">
        <f>K968</f>
        <v xml:space="preserve"> </v>
      </c>
      <c r="L889" s="306"/>
      <c r="M889" s="2">
        <f>'Rate Design Work eff 10-14-16'!M890</f>
        <v>0</v>
      </c>
      <c r="N889" s="2"/>
      <c r="O889" s="369" t="e">
        <f ca="1">O968</f>
        <v>#DIV/0!</v>
      </c>
      <c r="P889" s="306"/>
      <c r="Q889" s="2" t="e">
        <f ca="1">'Rate Design Work eff 10-14-16'!Q890</f>
        <v>#DIV/0!</v>
      </c>
      <c r="R889" s="2"/>
      <c r="S889" s="369" t="e">
        <f ca="1">S968</f>
        <v>#DIV/0!</v>
      </c>
      <c r="T889" s="306"/>
      <c r="U889" s="2" t="e">
        <f ca="1">'Rate Design Work eff 10-14-16'!U890</f>
        <v>#DIV/0!</v>
      </c>
      <c r="V889" s="304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294" t="s">
        <v>418</v>
      </c>
      <c r="B890" s="1"/>
      <c r="C890" s="304">
        <f>'Rate Design Work eff 10-14-16'!C891</f>
        <v>0</v>
      </c>
      <c r="D890" s="373">
        <f>'Rate Design Work eff 10-14-16'!D891</f>
        <v>5.9999999999999995E-4</v>
      </c>
      <c r="E890" s="306"/>
      <c r="F890" s="2">
        <f>ROUND(D890*C890,0)</f>
        <v>0</v>
      </c>
      <c r="G890" s="373">
        <v>5.9999999999999995E-4</v>
      </c>
      <c r="H890" s="306"/>
      <c r="I890" s="2">
        <f>ROUND(G890*$C890,0)</f>
        <v>0</v>
      </c>
      <c r="J890" s="2"/>
      <c r="K890" s="373">
        <v>0</v>
      </c>
      <c r="L890" s="306"/>
      <c r="M890" s="2">
        <f>'Rate Design Work eff 10-14-16'!M891</f>
        <v>0</v>
      </c>
      <c r="N890" s="2"/>
      <c r="O890" s="373" t="e">
        <f ca="1">O889/G889*G890</f>
        <v>#DIV/0!</v>
      </c>
      <c r="P890" s="306"/>
      <c r="Q890" s="2">
        <f>'Rate Design Work eff 10-14-16'!Q891</f>
        <v>0</v>
      </c>
      <c r="R890" s="2"/>
      <c r="S890" s="373" t="e">
        <f ca="1">S889/G889*G890</f>
        <v>#DIV/0!</v>
      </c>
      <c r="T890" s="306"/>
      <c r="U890" s="2">
        <f>'Rate Design Work eff 10-14-16'!U891</f>
        <v>0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423</v>
      </c>
      <c r="B891" s="1"/>
      <c r="C891" s="304">
        <f>'Rate Design Work eff 10-14-16'!C892</f>
        <v>4985</v>
      </c>
      <c r="D891" s="319">
        <f>'Rate Design Work eff 10-14-16'!D892</f>
        <v>3.92</v>
      </c>
      <c r="E891" s="306"/>
      <c r="F891" s="306">
        <f>ROUND(D891*$C891,0)</f>
        <v>19541</v>
      </c>
      <c r="G891" s="319">
        <f ca="1">ROUND(G886/2,3)</f>
        <v>3.9849999999999999</v>
      </c>
      <c r="H891" s="306"/>
      <c r="I891" s="306">
        <f ca="1">ROUND($C891*G891,0)</f>
        <v>19865</v>
      </c>
      <c r="J891" s="306"/>
      <c r="K891" s="319" t="e">
        <f ca="1">ROUND(K886/2,3)</f>
        <v>#DIV/0!</v>
      </c>
      <c r="L891" s="306"/>
      <c r="M891" s="2" t="e">
        <f ca="1">'Rate Design Work eff 10-14-16'!M892</f>
        <v>#DIV/0!</v>
      </c>
      <c r="N891" s="306"/>
      <c r="O891" s="319" t="e">
        <f ca="1">ROUND(O886/2,3)</f>
        <v>#DIV/0!</v>
      </c>
      <c r="P891" s="306"/>
      <c r="Q891" s="2" t="e">
        <f ca="1">'Rate Design Work eff 10-14-16'!Q892</f>
        <v>#DIV/0!</v>
      </c>
      <c r="R891" s="306"/>
      <c r="S891" s="319" t="e">
        <f ca="1">ROUND(S886/2,3)</f>
        <v>#DIV/0!</v>
      </c>
      <c r="T891" s="306"/>
      <c r="U891" s="2" t="e">
        <f ca="1">'Rate Design Work eff 10-14-16'!U892</f>
        <v>#DIV/0!</v>
      </c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424</v>
      </c>
      <c r="B892" s="1"/>
      <c r="C892" s="304">
        <f>'Rate Design Work eff 10-14-16'!C893</f>
        <v>100</v>
      </c>
      <c r="D892" s="319">
        <f>'Rate Design Work eff 10-14-16'!D893</f>
        <v>31.32</v>
      </c>
      <c r="E892" s="306"/>
      <c r="F892" s="306">
        <f>ROUND(D892*$C892,0)</f>
        <v>3132</v>
      </c>
      <c r="G892" s="319">
        <f ca="1">G886*4</f>
        <v>31.88</v>
      </c>
      <c r="H892" s="306"/>
      <c r="I892" s="306">
        <f ca="1">ROUND($C892*G892,0)</f>
        <v>3188</v>
      </c>
      <c r="J892" s="306"/>
      <c r="K892" s="319" t="e">
        <f ca="1">K886*4</f>
        <v>#DIV/0!</v>
      </c>
      <c r="L892" s="306"/>
      <c r="M892" s="2" t="e">
        <f ca="1">'Rate Design Work eff 10-14-16'!M893</f>
        <v>#DIV/0!</v>
      </c>
      <c r="N892" s="306"/>
      <c r="O892" s="319" t="e">
        <f ca="1">O886*4</f>
        <v>#DIV/0!</v>
      </c>
      <c r="P892" s="306"/>
      <c r="Q892" s="2" t="e">
        <f ca="1">'Rate Design Work eff 10-14-16'!Q893</f>
        <v>#DIV/0!</v>
      </c>
      <c r="R892" s="306"/>
      <c r="S892" s="319" t="e">
        <f ca="1">S886*4</f>
        <v>#DIV/0!</v>
      </c>
      <c r="T892" s="306"/>
      <c r="U892" s="2" t="e">
        <f ca="1">'Rate Design Work eff 10-14-16'!U893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3" t="s">
        <v>425</v>
      </c>
      <c r="B893" s="288"/>
      <c r="C893" s="304">
        <f>'Rate Design Work eff 10-14-16'!C894</f>
        <v>175</v>
      </c>
      <c r="D893" s="377">
        <f>'Rate Design Work eff 10-14-16'!D894</f>
        <v>18.652000000000001</v>
      </c>
      <c r="E893" s="306" t="s">
        <v>364</v>
      </c>
      <c r="F893" s="306">
        <f>ROUND($C893*D893/100,0)</f>
        <v>33</v>
      </c>
      <c r="G893" s="377">
        <f ca="1">(G888+G894)*4</f>
        <v>18.963999999999999</v>
      </c>
      <c r="H893" s="306" t="s">
        <v>364</v>
      </c>
      <c r="I893" s="306">
        <f ca="1">ROUND($C893*G893/100,0)</f>
        <v>33</v>
      </c>
      <c r="J893" s="306"/>
      <c r="K893" s="377" t="s">
        <v>31</v>
      </c>
      <c r="L893" s="306" t="s">
        <v>31</v>
      </c>
      <c r="M893" s="2">
        <f>'Rate Design Work eff 10-14-16'!M894</f>
        <v>0</v>
      </c>
      <c r="N893" s="306"/>
      <c r="O893" s="377" t="e">
        <f ca="1">(O888+O894)*4</f>
        <v>#DIV/0!</v>
      </c>
      <c r="P893" s="306" t="s">
        <v>364</v>
      </c>
      <c r="Q893" s="2" t="e">
        <f ca="1">'Rate Design Work eff 10-14-16'!Q894</f>
        <v>#DIV/0!</v>
      </c>
      <c r="R893" s="306"/>
      <c r="S893" s="377" t="e">
        <f ca="1">(S888+S894)*4</f>
        <v>#DIV/0!</v>
      </c>
      <c r="T893" s="306" t="s">
        <v>364</v>
      </c>
      <c r="U893" s="2" t="e">
        <f ca="1">'Rate Design Work eff 10-14-16'!U894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 s="1118" customFormat="1" hidden="1">
      <c r="A894" s="968" t="s">
        <v>891</v>
      </c>
      <c r="C894" s="1122">
        <f>C888</f>
        <v>2245825</v>
      </c>
      <c r="D894" s="254">
        <f>'Rate Design Work eff 10-14-16'!D895</f>
        <v>0</v>
      </c>
      <c r="E894" s="1119"/>
      <c r="F894" s="1123"/>
      <c r="G894" s="1136">
        <f>G949</f>
        <v>0</v>
      </c>
      <c r="H894" s="1000" t="s">
        <v>364</v>
      </c>
      <c r="I894" s="1123">
        <f>ROUND(G894/100*$C894,0)</f>
        <v>0</v>
      </c>
      <c r="J894" s="1123"/>
      <c r="K894" s="1136" t="str">
        <f>K949</f>
        <v xml:space="preserve"> </v>
      </c>
      <c r="L894" s="1000" t="s">
        <v>31</v>
      </c>
      <c r="M894" s="2">
        <f>'Rate Design Work eff 10-14-16'!M895</f>
        <v>0</v>
      </c>
      <c r="N894" s="1123"/>
      <c r="O894" s="1136" t="str">
        <f>O949</f>
        <v xml:space="preserve"> </v>
      </c>
      <c r="P894" s="1000" t="s">
        <v>31</v>
      </c>
      <c r="Q894" s="2">
        <f>'Rate Design Work eff 10-14-16'!Q895</f>
        <v>0</v>
      </c>
      <c r="R894" s="1123"/>
      <c r="S894" s="1136">
        <f>S949</f>
        <v>0</v>
      </c>
      <c r="T894" s="1000" t="s">
        <v>364</v>
      </c>
      <c r="U894" s="2">
        <f>'Rate Design Work eff 10-14-16'!U895</f>
        <v>0</v>
      </c>
      <c r="W894" s="784"/>
      <c r="Z894" s="1125"/>
      <c r="AA894" s="1125"/>
      <c r="AF894" s="1119"/>
      <c r="AG894" s="1119"/>
      <c r="AH894" s="1119"/>
      <c r="AI894" s="1119"/>
      <c r="AJ894" s="1119"/>
      <c r="AK894" s="1119"/>
      <c r="AL894" s="1119"/>
      <c r="AM894" s="1119"/>
      <c r="AN894" s="1119"/>
      <c r="AO894" s="1119"/>
      <c r="AP894" s="1119"/>
      <c r="AR894" s="1124"/>
    </row>
    <row r="895" spans="1:44">
      <c r="A895" s="1" t="s">
        <v>371</v>
      </c>
      <c r="B895" s="1"/>
      <c r="C895" s="304">
        <f>C894</f>
        <v>2245825</v>
      </c>
      <c r="D895" s="315"/>
      <c r="E895" s="1"/>
      <c r="F895" s="2">
        <f>SUM(F881:F893)</f>
        <v>319234</v>
      </c>
      <c r="G895" s="315"/>
      <c r="H895" s="1"/>
      <c r="I895" s="2">
        <f ca="1">SUM(I881:I894)</f>
        <v>324807</v>
      </c>
      <c r="J895" s="2"/>
      <c r="K895" s="315"/>
      <c r="L895" s="1"/>
      <c r="M895" s="2" t="e">
        <f ca="1">SUM(M881:M894)</f>
        <v>#DIV/0!</v>
      </c>
      <c r="N895" s="2"/>
      <c r="O895" s="315"/>
      <c r="P895" s="1"/>
      <c r="Q895" s="2" t="e">
        <f ca="1">SUM(Q881:Q894)</f>
        <v>#DIV/0!</v>
      </c>
      <c r="R895" s="2"/>
      <c r="S895" s="315"/>
      <c r="T895" s="1"/>
      <c r="U895" s="2" t="e">
        <f ca="1">SUM(U881:U894)</f>
        <v>#DIV/0!</v>
      </c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</row>
    <row r="896" spans="1:44">
      <c r="A896" s="1" t="s">
        <v>353</v>
      </c>
      <c r="B896" s="1"/>
      <c r="C896" s="304">
        <f ca="1">'Table 2'!H79</f>
        <v>6982.7291342675553</v>
      </c>
      <c r="D896" s="294"/>
      <c r="E896" s="294"/>
      <c r="F896" s="326">
        <f ca="1">'Table 3'!E79</f>
        <v>1009.9054190115011</v>
      </c>
      <c r="G896" s="294"/>
      <c r="H896" s="294"/>
      <c r="I896" s="326">
        <f ca="1">F896</f>
        <v>1009.9054190115011</v>
      </c>
      <c r="J896" s="307"/>
      <c r="K896" s="294"/>
      <c r="L896" s="294"/>
      <c r="M896" s="738" t="e">
        <f ca="1">$I$896*V954/(V954+$W$954+$X$954)</f>
        <v>#DIV/0!</v>
      </c>
      <c r="N896" s="51"/>
      <c r="O896" s="294"/>
      <c r="P896" s="294"/>
      <c r="Q896" s="738" t="e">
        <f ca="1">$I$896*W954/(V954+$W$954+$X$954)</f>
        <v>#DIV/0!</v>
      </c>
      <c r="R896" s="51"/>
      <c r="S896" s="294"/>
      <c r="T896" s="294"/>
      <c r="U896" s="738" t="e">
        <f ca="1">$I$896*X954/($V$954+$W$954+$X$954)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 ht="16.5" thickBot="1">
      <c r="A897" s="1" t="s">
        <v>372</v>
      </c>
      <c r="B897" s="1"/>
      <c r="C897" s="378">
        <f ca="1">SUM(C895)+C896</f>
        <v>2252807.7291342677</v>
      </c>
      <c r="D897" s="327"/>
      <c r="E897" s="330"/>
      <c r="F897" s="329">
        <f ca="1">F895+F896</f>
        <v>320243.90541901148</v>
      </c>
      <c r="G897" s="327"/>
      <c r="H897" s="330"/>
      <c r="I897" s="329">
        <f ca="1">I895+I896</f>
        <v>325816.90541901148</v>
      </c>
      <c r="J897" s="329"/>
      <c r="K897" s="327"/>
      <c r="L897" s="330"/>
      <c r="M897" s="329" t="e">
        <f ca="1">M895+M896</f>
        <v>#DIV/0!</v>
      </c>
      <c r="N897" s="329"/>
      <c r="O897" s="327"/>
      <c r="P897" s="330"/>
      <c r="Q897" s="329" t="e">
        <f ca="1">Q895+Q896</f>
        <v>#DIV/0!</v>
      </c>
      <c r="R897" s="329"/>
      <c r="S897" s="327"/>
      <c r="T897" s="330"/>
      <c r="U897" s="329" t="e">
        <f ca="1">U895+U896</f>
        <v>#DIV/0!</v>
      </c>
      <c r="V897" s="757" t="s">
        <v>354</v>
      </c>
      <c r="W897" s="778">
        <f ca="1">'Rate Spread targets'!Q28*1000</f>
        <v>325669.30108519114</v>
      </c>
      <c r="X897" s="1417">
        <f ca="1">(I897-F897)/F897</f>
        <v>1.7402360843395945E-2</v>
      </c>
      <c r="Y897" s="751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Top="1">
      <c r="A898" s="1"/>
      <c r="B898" s="1"/>
      <c r="C898" s="21"/>
      <c r="D898" s="322"/>
      <c r="E898" s="1"/>
      <c r="F898" s="2"/>
      <c r="G898" s="322"/>
      <c r="H898" s="1"/>
      <c r="I898" s="365"/>
      <c r="J898" s="365"/>
      <c r="K898" s="322"/>
      <c r="L898" s="1"/>
      <c r="M898" s="365"/>
      <c r="N898" s="365"/>
      <c r="O898" s="322"/>
      <c r="P898" s="1"/>
      <c r="Q898" s="365"/>
      <c r="R898" s="365"/>
      <c r="S898" s="322"/>
      <c r="T898" s="1"/>
      <c r="U898" s="365"/>
      <c r="V898" s="112" t="s">
        <v>257</v>
      </c>
      <c r="W898" s="780">
        <f ca="1">W897-I897</f>
        <v>-147.60433382034535</v>
      </c>
      <c r="X898" s="785" t="s">
        <v>31</v>
      </c>
      <c r="Y898" s="795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>
      <c r="A899" s="278" t="s">
        <v>466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20"/>
      <c r="W899" s="74"/>
      <c r="X899" s="74"/>
      <c r="Y899" s="74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94" t="s">
        <v>467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308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 t="s">
        <v>383</v>
      </c>
      <c r="B902" s="1"/>
      <c r="C902" s="304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461</v>
      </c>
      <c r="B903" s="1"/>
      <c r="C903" s="304">
        <f t="shared" ref="C903:C908" si="141">C922+C1091</f>
        <v>781.84848484848533</v>
      </c>
      <c r="D903" s="322"/>
      <c r="E903" s="306"/>
      <c r="F903" s="2">
        <f>F922+F1091</f>
        <v>1087943</v>
      </c>
      <c r="G903" s="322"/>
      <c r="H903" s="306"/>
      <c r="I903" s="2">
        <f ca="1">I922+I1091</f>
        <v>1107359</v>
      </c>
      <c r="J903" s="2"/>
      <c r="K903" s="322"/>
      <c r="L903" s="306"/>
      <c r="M903" s="2">
        <f ca="1">M922+M1091</f>
        <v>1107359</v>
      </c>
      <c r="N903" s="2"/>
      <c r="O903" s="322"/>
      <c r="P903" s="306"/>
      <c r="Q903" s="2">
        <f>Q922+Q1091</f>
        <v>0</v>
      </c>
      <c r="R903" s="2"/>
      <c r="S903" s="322"/>
      <c r="T903" s="306"/>
      <c r="U903" s="2">
        <f>U922+U1091</f>
        <v>0</v>
      </c>
      <c r="W903" s="55" t="s">
        <v>31</v>
      </c>
      <c r="X903" s="3"/>
      <c r="Y903" s="3"/>
      <c r="AG903" s="314"/>
      <c r="AH903" s="314"/>
      <c r="AN903" s="20"/>
      <c r="AO903" s="20"/>
      <c r="AP903" s="20"/>
      <c r="AQ903" s="20"/>
      <c r="AR903" s="20"/>
      <c r="AS903" s="20"/>
    </row>
    <row r="904" spans="1:45">
      <c r="A904" s="308" t="s">
        <v>462</v>
      </c>
      <c r="B904" s="1"/>
      <c r="C904" s="304">
        <f t="shared" si="141"/>
        <v>12.033333333333299</v>
      </c>
      <c r="D904" s="322"/>
      <c r="E904" s="309"/>
      <c r="F904" s="2">
        <f>F923+F1092</f>
        <v>31010</v>
      </c>
      <c r="G904" s="322"/>
      <c r="H904" s="309"/>
      <c r="I904" s="2">
        <f ca="1">I923+I1092</f>
        <v>32237</v>
      </c>
      <c r="J904" s="2"/>
      <c r="K904" s="322"/>
      <c r="L904" s="309"/>
      <c r="M904" s="2">
        <f ca="1">M923+M1092</f>
        <v>32237</v>
      </c>
      <c r="N904" s="2"/>
      <c r="O904" s="322"/>
      <c r="P904" s="309"/>
      <c r="Q904" s="2">
        <f>Q923+Q1092</f>
        <v>0</v>
      </c>
      <c r="R904" s="2"/>
      <c r="S904" s="322"/>
      <c r="T904" s="309"/>
      <c r="U904" s="2">
        <f>U923+U1092</f>
        <v>0</v>
      </c>
      <c r="W904" s="55" t="s">
        <v>31</v>
      </c>
      <c r="X904" s="3"/>
      <c r="Y904" s="3"/>
      <c r="Z904" s="106"/>
      <c r="AA904" s="106"/>
      <c r="AB904" s="106"/>
      <c r="AC904" s="106"/>
      <c r="AD904" s="106"/>
      <c r="AE904" s="106"/>
      <c r="AF904" s="222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384</v>
      </c>
      <c r="B905" s="1"/>
      <c r="C905" s="304">
        <f t="shared" si="141"/>
        <v>793.88181818181874</v>
      </c>
      <c r="D905" s="322"/>
      <c r="E905" s="306"/>
      <c r="F905" s="2"/>
      <c r="G905" s="322"/>
      <c r="H905" s="306"/>
      <c r="I905" s="2"/>
      <c r="J905" s="2"/>
      <c r="K905" s="322"/>
      <c r="L905" s="306"/>
      <c r="M905" s="2"/>
      <c r="N905" s="2"/>
      <c r="O905" s="322"/>
      <c r="P905" s="306"/>
      <c r="Q905" s="2"/>
      <c r="R905" s="2"/>
      <c r="S905" s="322"/>
      <c r="T905" s="306"/>
      <c r="U905" s="2"/>
      <c r="W905" s="305"/>
      <c r="X905" s="3"/>
      <c r="Y905" s="3"/>
      <c r="Z905" s="106"/>
      <c r="AA905" s="106"/>
      <c r="AB905" s="106"/>
      <c r="AC905" s="106"/>
      <c r="AD905" s="106"/>
      <c r="AE905" s="106"/>
      <c r="AF905" s="222"/>
      <c r="AN905" s="20"/>
      <c r="AO905" s="20"/>
      <c r="AP905" s="20"/>
      <c r="AQ905" s="20"/>
      <c r="AR905" s="20"/>
      <c r="AS905" s="20"/>
    </row>
    <row r="906" spans="1:45">
      <c r="A906" s="308" t="s">
        <v>463</v>
      </c>
      <c r="B906" s="1"/>
      <c r="C906" s="304">
        <f t="shared" si="141"/>
        <v>1152406.7586206889</v>
      </c>
      <c r="D906" s="322"/>
      <c r="E906" s="306"/>
      <c r="F906" s="2">
        <f>F925+F1094</f>
        <v>1142947</v>
      </c>
      <c r="G906" s="322"/>
      <c r="H906" s="306"/>
      <c r="I906" s="2">
        <f ca="1">I925+I1094</f>
        <v>1163685</v>
      </c>
      <c r="J906" s="2"/>
      <c r="K906" s="322"/>
      <c r="L906" s="306"/>
      <c r="M906" s="2">
        <f ca="1">M925+M1094</f>
        <v>1163685</v>
      </c>
      <c r="N906" s="2"/>
      <c r="O906" s="322"/>
      <c r="P906" s="306"/>
      <c r="Q906" s="2">
        <f>Q925+Q1094</f>
        <v>0</v>
      </c>
      <c r="R906" s="2"/>
      <c r="S906" s="322"/>
      <c r="T906" s="306"/>
      <c r="U906" s="2">
        <f>U925+U1094</f>
        <v>0</v>
      </c>
      <c r="W906" s="55" t="s">
        <v>31</v>
      </c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464</v>
      </c>
      <c r="B907" s="1"/>
      <c r="C907" s="304">
        <f t="shared" si="141"/>
        <v>703485</v>
      </c>
      <c r="D907" s="322"/>
      <c r="E907" s="306"/>
      <c r="F907" s="2">
        <f>F926+F1095</f>
        <v>168836</v>
      </c>
      <c r="G907" s="322"/>
      <c r="H907" s="306"/>
      <c r="I907" s="2">
        <f ca="1">I926+I1095</f>
        <v>175871</v>
      </c>
      <c r="J907" s="2"/>
      <c r="K907" s="322"/>
      <c r="L907" s="306"/>
      <c r="M907" s="2">
        <f ca="1">M926+M1095</f>
        <v>175871</v>
      </c>
      <c r="N907" s="2"/>
      <c r="O907" s="322"/>
      <c r="P907" s="306"/>
      <c r="Q907" s="2">
        <f>Q926+Q1095</f>
        <v>0</v>
      </c>
      <c r="R907" s="2"/>
      <c r="S907" s="322"/>
      <c r="T907" s="306"/>
      <c r="U907" s="2">
        <f>U926+U1095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294" t="s">
        <v>393</v>
      </c>
      <c r="B908" s="1"/>
      <c r="C908" s="304">
        <f t="shared" si="141"/>
        <v>1624150.3448275861</v>
      </c>
      <c r="D908" s="322"/>
      <c r="E908" s="306"/>
      <c r="F908" s="2">
        <f>F927+F1096</f>
        <v>12543409</v>
      </c>
      <c r="G908" s="322"/>
      <c r="H908" s="306"/>
      <c r="I908" s="2">
        <f ca="1">I927+I1096</f>
        <v>12753358</v>
      </c>
      <c r="J908" s="2"/>
      <c r="K908" s="322"/>
      <c r="L908" s="306"/>
      <c r="M908" s="2" t="e">
        <f ca="1">M927+M1096</f>
        <v>#DIV/0!</v>
      </c>
      <c r="N908" s="2"/>
      <c r="O908" s="322"/>
      <c r="P908" s="306"/>
      <c r="Q908" s="2" t="e">
        <f ca="1">Q927+Q1096</f>
        <v>#DIV/0!</v>
      </c>
      <c r="R908" s="2"/>
      <c r="S908" s="322"/>
      <c r="T908" s="306"/>
      <c r="U908" s="2" t="e">
        <f ca="1">U927+U1096</f>
        <v>#DIV/0!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308" t="s">
        <v>416</v>
      </c>
      <c r="B909" s="1"/>
      <c r="C909" s="304"/>
      <c r="D909" s="322"/>
      <c r="E909" s="306"/>
      <c r="F909" s="2"/>
      <c r="G909" s="322"/>
      <c r="H909" s="306"/>
      <c r="I909" s="2"/>
      <c r="J909" s="2"/>
      <c r="K909" s="322"/>
      <c r="L909" s="306"/>
      <c r="M909" s="2"/>
      <c r="N909" s="2"/>
      <c r="O909" s="322"/>
      <c r="P909" s="306"/>
      <c r="Q909" s="2"/>
      <c r="R909" s="2"/>
      <c r="S909" s="322"/>
      <c r="T909" s="306"/>
      <c r="U909" s="2"/>
      <c r="W909" s="305"/>
      <c r="AI909" s="20"/>
      <c r="AJ909" s="20"/>
      <c r="AK909" s="20"/>
      <c r="AL909" s="20"/>
      <c r="AM909" s="20"/>
      <c r="AN909" s="20"/>
      <c r="AO909" s="20"/>
      <c r="AP909" s="20"/>
    </row>
    <row r="910" spans="1:45">
      <c r="A910" s="308" t="s">
        <v>454</v>
      </c>
      <c r="B910" s="1"/>
      <c r="C910" s="304">
        <f>C929+C1098</f>
        <v>869720303.16002488</v>
      </c>
      <c r="D910" s="957"/>
      <c r="E910" s="306"/>
      <c r="F910" s="2">
        <f>F929+F1098</f>
        <v>40092821</v>
      </c>
      <c r="G910" s="380"/>
      <c r="H910" s="306"/>
      <c r="I910" s="2">
        <f ca="1">I929+I1098</f>
        <v>40771202</v>
      </c>
      <c r="J910" s="2"/>
      <c r="K910" s="380"/>
      <c r="L910" s="306"/>
      <c r="M910" s="2">
        <f>M929+M1098</f>
        <v>0</v>
      </c>
      <c r="N910" s="2"/>
      <c r="O910" s="380"/>
      <c r="P910" s="306"/>
      <c r="Q910" s="2" t="e">
        <f ca="1">Q929+Q1098</f>
        <v>#DIV/0!</v>
      </c>
      <c r="R910" s="2"/>
      <c r="S910" s="380"/>
      <c r="T910" s="306"/>
      <c r="U910" s="2" t="e">
        <f ca="1">U929+U1098</f>
        <v>#DIV/0!</v>
      </c>
      <c r="W910" s="55" t="s">
        <v>31</v>
      </c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390</v>
      </c>
      <c r="B911" s="1"/>
      <c r="C911" s="304">
        <f>C930+C1099</f>
        <v>359083.13939393929</v>
      </c>
      <c r="D911" s="322"/>
      <c r="E911" s="306"/>
      <c r="F911" s="2">
        <f>F930+F1099</f>
        <v>193665</v>
      </c>
      <c r="G911" s="322"/>
      <c r="H911" s="306"/>
      <c r="I911" s="2">
        <f ca="1">I930+I1099</f>
        <v>197256</v>
      </c>
      <c r="J911" s="2"/>
      <c r="K911" s="322"/>
      <c r="L911" s="306"/>
      <c r="M911" s="2">
        <f>M930+M1099</f>
        <v>0</v>
      </c>
      <c r="N911" s="2"/>
      <c r="O911" s="322"/>
      <c r="P911" s="306"/>
      <c r="Q911" s="2" t="e">
        <f ca="1">Q930+Q1099</f>
        <v>#DIV/0!</v>
      </c>
      <c r="R911" s="2"/>
      <c r="S911" s="322"/>
      <c r="T911" s="306"/>
      <c r="U911" s="2" t="e">
        <f ca="1">U930+U1099</f>
        <v>#DIV/0!</v>
      </c>
      <c r="V911" s="305"/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 s="1118" customFormat="1" hidden="1">
      <c r="A912" s="968" t="s">
        <v>891</v>
      </c>
      <c r="C912" s="987">
        <f>C932+C1115</f>
        <v>411242303.16002488</v>
      </c>
      <c r="D912" s="254"/>
      <c r="E912" s="1119"/>
      <c r="F912" s="1123"/>
      <c r="G912" s="250"/>
      <c r="H912" s="1119"/>
      <c r="I912" s="1123">
        <f ca="1">I932+I1115</f>
        <v>29280348</v>
      </c>
      <c r="J912" s="1123"/>
      <c r="K912" s="250"/>
      <c r="L912" s="1119"/>
      <c r="M912" s="1123" t="e">
        <f ca="1">M932+M1115</f>
        <v>#DIV/0!</v>
      </c>
      <c r="N912" s="1123"/>
      <c r="O912" s="250"/>
      <c r="P912" s="1119"/>
      <c r="Q912" s="1123" t="e">
        <f ca="1">Q932+Q1115</f>
        <v>#DIV/0!</v>
      </c>
      <c r="R912" s="1123"/>
      <c r="S912" s="250"/>
      <c r="T912" s="1119"/>
      <c r="U912" s="1123" t="e">
        <f ca="1">U932+U1115</f>
        <v>#DIV/0!</v>
      </c>
      <c r="W912" s="784"/>
      <c r="Z912" s="1125"/>
      <c r="AA912" s="1125"/>
      <c r="AF912" s="1119"/>
      <c r="AG912" s="1119"/>
      <c r="AH912" s="1119"/>
      <c r="AI912" s="1119"/>
      <c r="AJ912" s="1119"/>
      <c r="AK912" s="1119"/>
      <c r="AL912" s="1119"/>
      <c r="AM912" s="1119"/>
      <c r="AN912" s="1119"/>
      <c r="AO912" s="1119"/>
      <c r="AP912" s="1119"/>
      <c r="AR912" s="1124"/>
    </row>
    <row r="913" spans="1:44">
      <c r="A913" s="1" t="s">
        <v>371</v>
      </c>
      <c r="B913" s="1"/>
      <c r="C913" s="304">
        <f>C932+C1102</f>
        <v>869720303.16002488</v>
      </c>
      <c r="D913" s="309"/>
      <c r="E913" s="1"/>
      <c r="F913" s="2">
        <f>F932+F1102</f>
        <v>55260631</v>
      </c>
      <c r="G913" s="2"/>
      <c r="H913" s="1"/>
      <c r="I913" s="2">
        <f ca="1">I932+I1102</f>
        <v>56200968</v>
      </c>
      <c r="J913" s="2"/>
      <c r="K913" s="2"/>
      <c r="L913" s="1"/>
      <c r="M913" s="2" t="e">
        <f ca="1">M932+M1102</f>
        <v>#DIV/0!</v>
      </c>
      <c r="N913" s="2"/>
      <c r="O913" s="2"/>
      <c r="P913" s="1"/>
      <c r="Q913" s="2" t="e">
        <f ca="1">Q932+Q1102</f>
        <v>#DIV/0!</v>
      </c>
      <c r="R913" s="2"/>
      <c r="S913" s="2"/>
      <c r="T913" s="1"/>
      <c r="U913" s="2" t="e">
        <f ca="1">U932+U1102</f>
        <v>#DIV/0!</v>
      </c>
      <c r="AI913" s="20"/>
      <c r="AJ913" s="20"/>
      <c r="AK913" s="20"/>
      <c r="AL913" s="20"/>
      <c r="AM913" s="20"/>
      <c r="AN913" s="20"/>
      <c r="AO913" s="20"/>
      <c r="AP913" s="20"/>
    </row>
    <row r="914" spans="1:44">
      <c r="A914" s="1" t="s">
        <v>353</v>
      </c>
      <c r="B914" s="1"/>
      <c r="C914" s="325">
        <f ca="1">C933+C1103</f>
        <v>3474016.6711449809</v>
      </c>
      <c r="D914" s="294"/>
      <c r="E914" s="294"/>
      <c r="F914" s="738">
        <f ca="1">F933+F1103</f>
        <v>239959.44409985474</v>
      </c>
      <c r="G914" s="294"/>
      <c r="H914" s="294"/>
      <c r="I914" s="738">
        <f ca="1">I933+I1103</f>
        <v>239959.44409985474</v>
      </c>
      <c r="J914" s="51"/>
      <c r="K914" s="294"/>
      <c r="L914" s="294"/>
      <c r="M914" s="738" t="e">
        <f ca="1">M933+M1103</f>
        <v>#DIV/0!</v>
      </c>
      <c r="N914" s="51"/>
      <c r="O914" s="294"/>
      <c r="P914" s="294"/>
      <c r="Q914" s="738" t="e">
        <f ca="1">Q933+Q1103</f>
        <v>#DIV/0!</v>
      </c>
      <c r="R914" s="51"/>
      <c r="S914" s="294"/>
      <c r="T914" s="294"/>
      <c r="U914" s="738" t="e">
        <f ca="1">U933+U1103</f>
        <v>#DIV/0!</v>
      </c>
      <c r="Z914" s="261"/>
      <c r="AA914" s="261"/>
      <c r="AI914" s="20"/>
      <c r="AJ914" s="20"/>
      <c r="AK914" s="20"/>
      <c r="AL914" s="20"/>
      <c r="AM914" s="20"/>
      <c r="AN914" s="20"/>
      <c r="AO914" s="20"/>
      <c r="AP914" s="20"/>
    </row>
    <row r="915" spans="1:44" ht="16.5" thickBot="1">
      <c r="A915" s="1" t="s">
        <v>372</v>
      </c>
      <c r="B915" s="1"/>
      <c r="C915" s="741">
        <f ca="1">SUM(C913:C914)</f>
        <v>873194319.83116984</v>
      </c>
      <c r="D915" s="327"/>
      <c r="E915" s="330"/>
      <c r="F915" s="739">
        <f ca="1">F913+F914</f>
        <v>55500590.444099858</v>
      </c>
      <c r="G915" s="327"/>
      <c r="H915" s="330"/>
      <c r="I915" s="739">
        <f ca="1">I913+I914</f>
        <v>56440927.444099858</v>
      </c>
      <c r="J915" s="51"/>
      <c r="K915" s="327"/>
      <c r="L915" s="330"/>
      <c r="M915" s="739" t="e">
        <f ca="1">M913+M914</f>
        <v>#DIV/0!</v>
      </c>
      <c r="N915" s="51"/>
      <c r="O915" s="327"/>
      <c r="P915" s="330"/>
      <c r="Q915" s="739" t="e">
        <f ca="1">Q913+Q914</f>
        <v>#DIV/0!</v>
      </c>
      <c r="R915" s="51"/>
      <c r="S915" s="327"/>
      <c r="T915" s="330"/>
      <c r="U915" s="739" t="e">
        <f ca="1">U913+U914</f>
        <v>#DIV/0!</v>
      </c>
      <c r="V915" s="757" t="s">
        <v>354</v>
      </c>
      <c r="W915" s="778">
        <f ca="1">('Rate Spread targets'!Q28+'Rate Spread targets'!Q29+'Rate Spread targets'!Q30)*1000</f>
        <v>56766520.145993784</v>
      </c>
      <c r="X915" s="1417">
        <f ca="1">(I915-F915)/F915</f>
        <v>1.6942828760481504E-2</v>
      </c>
      <c r="Y915" s="75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Top="1">
      <c r="A916" s="1"/>
      <c r="B916" s="1"/>
      <c r="C916" s="21"/>
      <c r="D916" s="322" t="s">
        <v>31</v>
      </c>
      <c r="E916" s="1"/>
      <c r="F916" s="2"/>
      <c r="G916" s="338" t="s">
        <v>31</v>
      </c>
      <c r="H916" s="1"/>
      <c r="I916" s="2" t="s">
        <v>31</v>
      </c>
      <c r="J916" s="2"/>
      <c r="K916" s="338" t="s">
        <v>31</v>
      </c>
      <c r="L916" s="1"/>
      <c r="M916" s="2" t="s">
        <v>31</v>
      </c>
      <c r="N916" s="2"/>
      <c r="O916" s="338" t="s">
        <v>31</v>
      </c>
      <c r="P916" s="1"/>
      <c r="Q916" s="2" t="s">
        <v>31</v>
      </c>
      <c r="R916" s="2"/>
      <c r="S916" s="338" t="s">
        <v>31</v>
      </c>
      <c r="T916" s="1"/>
      <c r="U916" s="2" t="s">
        <v>31</v>
      </c>
      <c r="V916" s="112" t="s">
        <v>257</v>
      </c>
      <c r="W916" s="780">
        <f ca="1">W915-I915-I897</f>
        <v>-224.20352508581709</v>
      </c>
      <c r="X916" s="783" t="s">
        <v>31</v>
      </c>
      <c r="Y916" s="794"/>
      <c r="AI916" s="20"/>
      <c r="AJ916" s="20"/>
      <c r="AK916" s="20"/>
      <c r="AL916" s="20"/>
      <c r="AM916" s="20"/>
      <c r="AN916" s="20"/>
      <c r="AO916" s="20"/>
      <c r="AP916" s="20"/>
    </row>
    <row r="917" spans="1:44">
      <c r="A917" s="1"/>
      <c r="B917" s="1"/>
      <c r="C917" s="21"/>
      <c r="D917" s="322"/>
      <c r="E917" s="1"/>
      <c r="F917" s="2" t="s">
        <v>31</v>
      </c>
      <c r="G917" s="322"/>
      <c r="H917" s="1"/>
      <c r="I917" s="365"/>
      <c r="J917" s="365"/>
      <c r="K917" s="322"/>
      <c r="L917" s="1"/>
      <c r="M917" s="365"/>
      <c r="N917" s="365"/>
      <c r="O917" s="322"/>
      <c r="P917" s="1"/>
      <c r="Q917" s="365"/>
      <c r="R917" s="365"/>
      <c r="S917" s="322"/>
      <c r="T917" s="1"/>
      <c r="U917" s="365"/>
      <c r="X917" s="74"/>
      <c r="Y917" s="74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278" t="s">
        <v>466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401"/>
      <c r="W918" s="74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94" t="s">
        <v>468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20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308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W920" s="74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 t="s">
        <v>383</v>
      </c>
      <c r="B921" s="1"/>
      <c r="C921" s="304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20"/>
      <c r="Y921" s="20"/>
      <c r="Z921" s="69" t="s">
        <v>31</v>
      </c>
      <c r="AH921" s="19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</row>
    <row r="922" spans="1:44">
      <c r="A922" s="308" t="s">
        <v>461</v>
      </c>
      <c r="B922" s="1"/>
      <c r="C922" s="304">
        <f>C940+C997</f>
        <v>781.84848484848533</v>
      </c>
      <c r="D922" s="398"/>
      <c r="E922" s="306"/>
      <c r="F922" s="306">
        <f>F940+F997</f>
        <v>1087943</v>
      </c>
      <c r="H922" s="306"/>
      <c r="I922" s="306">
        <f ca="1">I940+I997</f>
        <v>1107359</v>
      </c>
      <c r="J922" s="2"/>
      <c r="L922" s="306"/>
      <c r="M922" s="306">
        <f ca="1">M940+M997</f>
        <v>1107359</v>
      </c>
      <c r="N922" s="2"/>
      <c r="P922" s="306"/>
      <c r="Q922" s="306">
        <f>Q940+Q997</f>
        <v>0</v>
      </c>
      <c r="R922" s="2"/>
      <c r="T922" s="306"/>
      <c r="U922" s="306">
        <f>U940+U997</f>
        <v>0</v>
      </c>
      <c r="W922" s="322">
        <f ca="1">G960</f>
        <v>1411</v>
      </c>
      <c r="X922" s="14">
        <f ca="1">(W922-D940)/D940</f>
        <v>1.8037518037518036E-2</v>
      </c>
      <c r="Y922" s="14"/>
      <c r="AB922" s="106"/>
      <c r="AC922" s="222"/>
      <c r="AD922" s="106"/>
      <c r="AE922" s="222"/>
      <c r="AF922" s="106"/>
      <c r="AG922" s="106"/>
      <c r="AH922" s="71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462</v>
      </c>
      <c r="B923" s="1"/>
      <c r="C923" s="304">
        <f>C941+C998</f>
        <v>0</v>
      </c>
      <c r="D923" s="398"/>
      <c r="E923" s="309"/>
      <c r="F923" s="306">
        <f>F941+F998</f>
        <v>0</v>
      </c>
      <c r="H923" s="309"/>
      <c r="I923" s="306">
        <f ca="1">I941+I998</f>
        <v>0</v>
      </c>
      <c r="J923" s="2"/>
      <c r="L923" s="309"/>
      <c r="M923" s="306">
        <f ca="1">M941+M998</f>
        <v>0</v>
      </c>
      <c r="N923" s="2"/>
      <c r="P923" s="309"/>
      <c r="Q923" s="306">
        <f>Q941+Q998</f>
        <v>0</v>
      </c>
      <c r="R923" s="2"/>
      <c r="T923" s="309"/>
      <c r="U923" s="306">
        <f>U941+U998</f>
        <v>0</v>
      </c>
      <c r="W923" s="322">
        <f ca="1">G961</f>
        <v>1703</v>
      </c>
      <c r="X923" s="14">
        <f ca="1">(W923-D941)/D941</f>
        <v>1.671641791044776E-2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384</v>
      </c>
      <c r="B924" s="1"/>
      <c r="C924" s="304">
        <f t="shared" ref="C924" si="142">C1056+C1075</f>
        <v>781.84848484848544</v>
      </c>
      <c r="D924" s="398"/>
      <c r="E924" s="306"/>
      <c r="F924" s="306">
        <f t="shared" ref="F924" si="143">F1056+F1075</f>
        <v>0</v>
      </c>
      <c r="H924" s="306"/>
      <c r="I924" s="306">
        <f t="shared" ref="I924" si="144">I1056+I1075</f>
        <v>0</v>
      </c>
      <c r="J924" s="2"/>
      <c r="L924" s="306"/>
      <c r="M924" s="306">
        <f t="shared" ref="M924" si="145">M1056+M1075</f>
        <v>0</v>
      </c>
      <c r="N924" s="2"/>
      <c r="P924" s="306"/>
      <c r="Q924" s="306">
        <f t="shared" ref="Q924" si="146">Q1056+Q1075</f>
        <v>0</v>
      </c>
      <c r="R924" s="2"/>
      <c r="T924" s="306"/>
      <c r="U924" s="306">
        <f t="shared" ref="U924" si="147">U1056+U1075</f>
        <v>0</v>
      </c>
      <c r="W924" s="322" t="s">
        <v>31</v>
      </c>
      <c r="X924" s="305"/>
      <c r="Y924" s="305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463</v>
      </c>
      <c r="B925" s="1"/>
      <c r="C925" s="304">
        <f>C943+C1000</f>
        <v>1152406.7586206889</v>
      </c>
      <c r="D925" s="398"/>
      <c r="E925" s="306"/>
      <c r="F925" s="306">
        <f>F943+F1000</f>
        <v>1142947</v>
      </c>
      <c r="H925" s="306"/>
      <c r="I925" s="306">
        <f ca="1">I943+I1000</f>
        <v>1163685</v>
      </c>
      <c r="J925" s="2"/>
      <c r="L925" s="306"/>
      <c r="M925" s="306">
        <f ca="1">M943+M1000</f>
        <v>1163685</v>
      </c>
      <c r="N925" s="2"/>
      <c r="P925" s="306"/>
      <c r="Q925" s="306">
        <f>Q943+Q1000</f>
        <v>0</v>
      </c>
      <c r="R925" s="2"/>
      <c r="T925" s="306"/>
      <c r="U925" s="306">
        <f>U943+U1000</f>
        <v>0</v>
      </c>
      <c r="W925" s="322">
        <f ca="1">G963</f>
        <v>1.1200000000000001</v>
      </c>
      <c r="X925" s="14">
        <f ca="1">(W925-D943)/D943</f>
        <v>1.8181818181818195E-2</v>
      </c>
      <c r="Y925" s="14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464</v>
      </c>
      <c r="B926" s="1"/>
      <c r="C926" s="304">
        <f>C944+C1001</f>
        <v>0</v>
      </c>
      <c r="D926" s="398"/>
      <c r="E926" s="306"/>
      <c r="F926" s="306">
        <f>F944+F1001</f>
        <v>0</v>
      </c>
      <c r="H926" s="306"/>
      <c r="I926" s="306">
        <f ca="1">I944+I1001</f>
        <v>0</v>
      </c>
      <c r="J926" s="2"/>
      <c r="L926" s="306"/>
      <c r="M926" s="306">
        <f ca="1">M944+M1001</f>
        <v>0</v>
      </c>
      <c r="N926" s="2"/>
      <c r="P926" s="306"/>
      <c r="Q926" s="306">
        <f>Q944+Q1001</f>
        <v>0</v>
      </c>
      <c r="R926" s="2"/>
      <c r="T926" s="306"/>
      <c r="U926" s="306">
        <f>U944+U1001</f>
        <v>0</v>
      </c>
      <c r="W926" s="322">
        <f ca="1">G964</f>
        <v>1.01</v>
      </c>
      <c r="X926" s="14">
        <f ca="1">(W926-D944)/D944</f>
        <v>2.0202020202020221E-2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294" t="s">
        <v>393</v>
      </c>
      <c r="B927" s="1"/>
      <c r="C927" s="304">
        <f>C945+C1002</f>
        <v>939556.34482758609</v>
      </c>
      <c r="D927" s="398"/>
      <c r="E927" s="306"/>
      <c r="F927" s="306">
        <f>F945+F1002</f>
        <v>7326803</v>
      </c>
      <c r="H927" s="306"/>
      <c r="I927" s="306">
        <f ca="1">I945+I1002</f>
        <v>7454600</v>
      </c>
      <c r="J927" s="2"/>
      <c r="L927" s="306"/>
      <c r="M927" s="306" t="e">
        <f ca="1">M945+M1002</f>
        <v>#DIV/0!</v>
      </c>
      <c r="N927" s="2"/>
      <c r="P927" s="306"/>
      <c r="Q927" s="306" t="e">
        <f ca="1">Q945+Q1002</f>
        <v>#DIV/0!</v>
      </c>
      <c r="R927" s="2"/>
      <c r="T927" s="306"/>
      <c r="U927" s="306" t="e">
        <f ca="1">U945+U1002</f>
        <v>#DIV/0!</v>
      </c>
      <c r="W927" s="322">
        <f ca="1">G965</f>
        <v>7.97</v>
      </c>
      <c r="X927" s="14">
        <f ca="1">(W927-D945)/D945</f>
        <v>1.7879948914431631E-2</v>
      </c>
      <c r="Y927" s="14"/>
      <c r="AA927" s="74"/>
      <c r="AB927" s="714"/>
      <c r="AC927" s="710"/>
      <c r="AD927" s="714"/>
      <c r="AE927" s="710"/>
      <c r="AF927" s="714"/>
      <c r="AG927" s="74"/>
      <c r="AH927" s="710"/>
      <c r="AI927" s="20"/>
      <c r="AJ927" s="20"/>
      <c r="AK927" s="20"/>
      <c r="AL927" s="20"/>
      <c r="AM927" s="20"/>
      <c r="AN927" s="20"/>
      <c r="AO927" s="20"/>
      <c r="AP927" s="20"/>
    </row>
    <row r="928" spans="1:44">
      <c r="A928" s="308" t="s">
        <v>416</v>
      </c>
      <c r="B928" s="1"/>
      <c r="C928" s="64" t="s">
        <v>31</v>
      </c>
      <c r="D928" s="398"/>
      <c r="E928" s="306"/>
      <c r="F928" s="850" t="s">
        <v>31</v>
      </c>
      <c r="H928" s="306"/>
      <c r="I928" s="850" t="s">
        <v>31</v>
      </c>
      <c r="J928" s="2"/>
      <c r="L928" s="306"/>
      <c r="M928" s="850" t="s">
        <v>31</v>
      </c>
      <c r="N928" s="2"/>
      <c r="P928" s="306"/>
      <c r="Q928" s="850" t="s">
        <v>31</v>
      </c>
      <c r="R928" s="2"/>
      <c r="T928" s="306"/>
      <c r="U928" s="850" t="s">
        <v>31</v>
      </c>
      <c r="W928" s="322" t="s">
        <v>31</v>
      </c>
      <c r="X928" s="305"/>
      <c r="Y928" s="305"/>
      <c r="AA928" s="74"/>
      <c r="AB928" s="20"/>
      <c r="AC928" s="20"/>
      <c r="AD928" s="40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454</v>
      </c>
      <c r="B929" s="1"/>
      <c r="C929" s="304">
        <f>C947+C1004</f>
        <v>411242303.16002488</v>
      </c>
      <c r="D929" s="398"/>
      <c r="E929" s="306"/>
      <c r="F929" s="306">
        <f>F947+F1004</f>
        <v>19135792</v>
      </c>
      <c r="H929" s="306"/>
      <c r="I929" s="306">
        <f ca="1">I947+I1004</f>
        <v>19456560</v>
      </c>
      <c r="J929" s="2"/>
      <c r="L929" s="306"/>
      <c r="M929" s="306">
        <f>M947+M1004</f>
        <v>0</v>
      </c>
      <c r="N929" s="2"/>
      <c r="P929" s="306"/>
      <c r="Q929" s="306" t="e">
        <f ca="1">Q947+Q1004</f>
        <v>#DIV/0!</v>
      </c>
      <c r="R929" s="2"/>
      <c r="T929" s="306"/>
      <c r="U929" s="306" t="e">
        <f ca="1">U947+U1004</f>
        <v>#DIV/0!</v>
      </c>
      <c r="W929" s="777" t="s">
        <v>31</v>
      </c>
      <c r="X929" s="55" t="s">
        <v>31</v>
      </c>
      <c r="Y929" s="14"/>
      <c r="AA929" s="74"/>
      <c r="AB929" s="20"/>
      <c r="AC929" s="20"/>
      <c r="AD929" s="714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390</v>
      </c>
      <c r="B930" s="1"/>
      <c r="C930" s="304">
        <f>C948+C1005</f>
        <v>175542.2727272723</v>
      </c>
      <c r="D930" s="398"/>
      <c r="E930" s="306"/>
      <c r="F930" s="306">
        <f>F948+F1005</f>
        <v>96388</v>
      </c>
      <c r="H930" s="306"/>
      <c r="I930" s="306">
        <f ca="1">I948+I1005</f>
        <v>98144</v>
      </c>
      <c r="J930" s="2"/>
      <c r="L930" s="306"/>
      <c r="M930" s="306">
        <f>M948+M1005</f>
        <v>0</v>
      </c>
      <c r="N930" s="2"/>
      <c r="P930" s="306"/>
      <c r="Q930" s="306" t="e">
        <f ca="1">Q948+Q1005</f>
        <v>#DIV/0!</v>
      </c>
      <c r="R930" s="2"/>
      <c r="T930" s="306"/>
      <c r="U930" s="306" t="e">
        <f ca="1">U948+U1005</f>
        <v>#DIV/0!</v>
      </c>
      <c r="W930" s="322">
        <f ca="1">G948</f>
        <v>0.56000000000000005</v>
      </c>
      <c r="X930" s="14">
        <f ca="1">(W930-D948)/D948</f>
        <v>1.8181818181818195E-2</v>
      </c>
      <c r="Y930" s="14"/>
      <c r="AA930" s="74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 s="1118" customFormat="1" hidden="1">
      <c r="A931" s="968" t="s">
        <v>891</v>
      </c>
      <c r="C931" s="304">
        <f>C949+C1006</f>
        <v>411242303.16002488</v>
      </c>
      <c r="D931" s="254"/>
      <c r="E931" s="1119"/>
      <c r="F931" s="306">
        <f>F949+F1006</f>
        <v>0</v>
      </c>
      <c r="G931" s="250"/>
      <c r="H931" s="1119"/>
      <c r="I931" s="306">
        <f>I949+I1006</f>
        <v>0</v>
      </c>
      <c r="J931" s="1123"/>
      <c r="K931" s="250"/>
      <c r="L931" s="1119"/>
      <c r="M931" s="306">
        <f>M949+M1006</f>
        <v>0</v>
      </c>
      <c r="N931" s="1123"/>
      <c r="O931" s="250"/>
      <c r="P931" s="1119"/>
      <c r="Q931" s="306">
        <f>Q949+Q1006</f>
        <v>0</v>
      </c>
      <c r="R931" s="1123"/>
      <c r="S931" s="250"/>
      <c r="T931" s="1119"/>
      <c r="U931" s="306">
        <f>U949+U1006</f>
        <v>0</v>
      </c>
      <c r="W931" s="784"/>
      <c r="Z931" s="1125"/>
      <c r="AA931" s="1125"/>
      <c r="AF931" s="1119"/>
      <c r="AG931" s="1119"/>
      <c r="AH931" s="1119"/>
      <c r="AI931" s="1119"/>
      <c r="AJ931" s="1119"/>
      <c r="AK931" s="1119"/>
      <c r="AL931" s="1119"/>
      <c r="AM931" s="1119"/>
      <c r="AN931" s="1119"/>
      <c r="AO931" s="1119"/>
      <c r="AP931" s="1119"/>
      <c r="AR931" s="1124"/>
    </row>
    <row r="932" spans="1:44">
      <c r="A932" s="1" t="s">
        <v>371</v>
      </c>
      <c r="B932" s="1"/>
      <c r="C932" s="304">
        <f>C951+C1008</f>
        <v>411242303.16002488</v>
      </c>
      <c r="D932" s="309"/>
      <c r="E932" s="1"/>
      <c r="F932" s="306">
        <f>F951+F1008</f>
        <v>28789873</v>
      </c>
      <c r="G932" s="2"/>
      <c r="H932" s="1"/>
      <c r="I932" s="306">
        <f ca="1">I951+I1008</f>
        <v>29280348</v>
      </c>
      <c r="J932" s="2"/>
      <c r="K932" s="2"/>
      <c r="L932" s="1"/>
      <c r="M932" s="306" t="e">
        <f ca="1">M951+M1008</f>
        <v>#DIV/0!</v>
      </c>
      <c r="N932" s="2"/>
      <c r="O932" s="2"/>
      <c r="P932" s="1"/>
      <c r="Q932" s="306" t="e">
        <f ca="1">Q951+Q1008</f>
        <v>#DIV/0!</v>
      </c>
      <c r="R932" s="2"/>
      <c r="S932" s="2"/>
      <c r="T932" s="1"/>
      <c r="U932" s="306" t="e">
        <f ca="1">U951+U1008</f>
        <v>#DIV/0!</v>
      </c>
      <c r="V932" s="20"/>
      <c r="X932" s="74"/>
      <c r="Y932" s="74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</row>
    <row r="933" spans="1:44">
      <c r="A933" s="1" t="s">
        <v>353</v>
      </c>
      <c r="B933" s="1"/>
      <c r="C933" s="293">
        <f ca="1">C952+C1009</f>
        <v>2048514.8230398428</v>
      </c>
      <c r="D933" s="294"/>
      <c r="E933" s="294"/>
      <c r="F933" s="738">
        <f ca="1">F952+F1009</f>
        <v>156326.57925890732</v>
      </c>
      <c r="G933" s="294"/>
      <c r="H933" s="294"/>
      <c r="I933" s="738">
        <f ca="1">I952+I1009</f>
        <v>156326.57925890732</v>
      </c>
      <c r="J933" s="51"/>
      <c r="K933" s="294"/>
      <c r="L933" s="294"/>
      <c r="M933" s="738" t="e">
        <f ca="1">M952+M1009</f>
        <v>#DIV/0!</v>
      </c>
      <c r="N933" s="51"/>
      <c r="O933" s="294"/>
      <c r="P933" s="294"/>
      <c r="Q933" s="738" t="e">
        <f ca="1">Q952+Q1009</f>
        <v>#DIV/0!</v>
      </c>
      <c r="R933" s="51"/>
      <c r="S933" s="294"/>
      <c r="T933" s="294"/>
      <c r="U933" s="738" t="e">
        <f ca="1">U952+U1009</f>
        <v>#DIV/0!</v>
      </c>
      <c r="V933" s="429"/>
      <c r="W933" s="272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 ht="16.5" thickBot="1">
      <c r="A934" s="1" t="s">
        <v>372</v>
      </c>
      <c r="B934" s="1"/>
      <c r="C934" s="1287">
        <f ca="1">C953+C1010</f>
        <v>413290817.98306477</v>
      </c>
      <c r="D934" s="327"/>
      <c r="E934" s="330"/>
      <c r="F934" s="740">
        <f ca="1">F953+F1010</f>
        <v>28946199.579258908</v>
      </c>
      <c r="G934" s="327"/>
      <c r="H934" s="330"/>
      <c r="I934" s="740">
        <f ca="1">I953+I1010</f>
        <v>29436674.579258908</v>
      </c>
      <c r="J934" s="51"/>
      <c r="K934" s="327"/>
      <c r="L934" s="330"/>
      <c r="M934" s="740" t="e">
        <f ca="1">M953+M1010</f>
        <v>#DIV/0!</v>
      </c>
      <c r="N934" s="51"/>
      <c r="O934" s="327"/>
      <c r="P934" s="330"/>
      <c r="Q934" s="740" t="e">
        <f ca="1">Q953+Q1010</f>
        <v>#DIV/0!</v>
      </c>
      <c r="R934" s="51"/>
      <c r="S934" s="327"/>
      <c r="T934" s="330"/>
      <c r="U934" s="740" t="e">
        <f ca="1">U953+U1010</f>
        <v>#DIV/0!</v>
      </c>
      <c r="V934" s="757" t="s">
        <v>354</v>
      </c>
      <c r="W934" s="778">
        <f ca="1">('Rate Spread targets'!Q29+'Rate Spread targets'!Q28)*1000</f>
        <v>29762259.432958066</v>
      </c>
      <c r="X934" s="1417">
        <f ca="1">(I934-F934)/F934</f>
        <v>1.6944366000690627E-2</v>
      </c>
      <c r="Y934" s="751"/>
      <c r="Z934" s="88" t="s">
        <v>31</v>
      </c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Top="1">
      <c r="A935" s="1"/>
      <c r="B935" s="1"/>
      <c r="C935" s="335"/>
      <c r="D935" s="336"/>
      <c r="E935" s="23"/>
      <c r="F935" s="51"/>
      <c r="G935" s="336"/>
      <c r="H935" s="23"/>
      <c r="I935" s="51"/>
      <c r="J935" s="51"/>
      <c r="K935" s="336"/>
      <c r="L935" s="23"/>
      <c r="M935" s="51"/>
      <c r="N935" s="51"/>
      <c r="O935" s="336"/>
      <c r="P935" s="23"/>
      <c r="Q935" s="51"/>
      <c r="R935" s="51"/>
      <c r="S935" s="336"/>
      <c r="T935" s="23"/>
      <c r="U935" s="51" t="s">
        <v>31</v>
      </c>
      <c r="V935" s="760" t="s">
        <v>257</v>
      </c>
      <c r="W935" s="781">
        <f ca="1">W934-I897-I953-I1010</f>
        <v>-232.05171985179186</v>
      </c>
      <c r="X935" s="758"/>
      <c r="Y935" s="74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>
      <c r="A936" s="278" t="s">
        <v>466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74"/>
      <c r="Y936" s="74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94" t="s">
        <v>676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 ca="1">I897+I953+I1010</f>
        <v>29762491.484677918</v>
      </c>
      <c r="W937" s="32" t="s">
        <v>699</v>
      </c>
      <c r="X937" s="796">
        <f ca="1">(V937-(F934+F897))/(F934+F897)</f>
        <v>1.6949377544275231E-2</v>
      </c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308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0"/>
      <c r="W938" s="74"/>
      <c r="X938" s="74"/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 t="s">
        <v>383</v>
      </c>
      <c r="B939" s="1"/>
      <c r="C939" s="304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461</v>
      </c>
      <c r="B940" s="1"/>
      <c r="C940" s="304">
        <f t="shared" ref="C940:C945" si="148">C960+C978</f>
        <v>651.51515151515196</v>
      </c>
      <c r="D940" s="322">
        <f>'Rate Design Work eff 10-14-16'!D941</f>
        <v>1386</v>
      </c>
      <c r="E940" s="306"/>
      <c r="F940" s="2">
        <f>ROUND(D940*C940,0)</f>
        <v>903000</v>
      </c>
      <c r="G940" s="311">
        <f ca="1">'Rate Design Work eff 10-14-16'!G941</f>
        <v>1411</v>
      </c>
      <c r="H940" s="306"/>
      <c r="I940" s="2">
        <f ca="1">ROUND(G940*$C940,0)</f>
        <v>919288</v>
      </c>
      <c r="J940" s="2"/>
      <c r="K940" s="311">
        <f ca="1">'Rate Design Work eff 10-14-16'!K941</f>
        <v>1411</v>
      </c>
      <c r="L940" s="306"/>
      <c r="M940" s="2">
        <f ca="1">'Rate Design Work eff 10-14-16'!M941</f>
        <v>919288</v>
      </c>
      <c r="N940" s="2"/>
      <c r="O940" s="311" t="str">
        <f>'Rate Design Work eff 10-14-16'!O941</f>
        <v xml:space="preserve"> </v>
      </c>
      <c r="P940" s="306"/>
      <c r="Q940" s="2">
        <f>'Rate Design Work eff 10-14-16'!Q941</f>
        <v>0</v>
      </c>
      <c r="R940" s="2"/>
      <c r="S940" s="311" t="str">
        <f>'Rate Design Work eff 10-14-16'!S941</f>
        <v xml:space="preserve"> </v>
      </c>
      <c r="T940" s="306"/>
      <c r="U940" s="2">
        <f>'Rate Design Work eff 10-14-16'!U941</f>
        <v>0</v>
      </c>
      <c r="V940" s="443" t="s">
        <v>31</v>
      </c>
      <c r="X940" s="796">
        <f ca="1">(G940-D940)/D940</f>
        <v>1.8037518037518036E-2</v>
      </c>
      <c r="Y940" s="751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462</v>
      </c>
      <c r="B941" s="1"/>
      <c r="C941" s="304">
        <f t="shared" si="148"/>
        <v>0</v>
      </c>
      <c r="D941" s="322">
        <f>'Rate Design Work eff 10-14-16'!D942</f>
        <v>1675</v>
      </c>
      <c r="E941" s="309"/>
      <c r="F941" s="2">
        <f>ROUND(D941*C941,0)</f>
        <v>0</v>
      </c>
      <c r="G941" s="311">
        <f ca="1">'Rate Design Work eff 10-14-16'!G942</f>
        <v>1703</v>
      </c>
      <c r="H941" s="309"/>
      <c r="I941" s="2">
        <f ca="1">ROUND(G941*$C941,0)</f>
        <v>0</v>
      </c>
      <c r="J941" s="2"/>
      <c r="K941" s="311">
        <f ca="1">'Rate Design Work eff 10-14-16'!K942</f>
        <v>1703</v>
      </c>
      <c r="L941" s="1275"/>
      <c r="M941" s="2">
        <f ca="1">'Rate Design Work eff 10-14-16'!M942</f>
        <v>0</v>
      </c>
      <c r="N941" s="2"/>
      <c r="O941" s="311" t="str">
        <f>'Rate Design Work eff 10-14-16'!O942</f>
        <v xml:space="preserve"> </v>
      </c>
      <c r="P941" s="1275"/>
      <c r="Q941" s="2">
        <f>'Rate Design Work eff 10-14-16'!Q942</f>
        <v>0</v>
      </c>
      <c r="R941" s="2"/>
      <c r="S941" s="311" t="str">
        <f>'Rate Design Work eff 10-14-16'!S942</f>
        <v xml:space="preserve"> </v>
      </c>
      <c r="T941" s="1275"/>
      <c r="U941" s="2">
        <f>'Rate Design Work eff 10-14-16'!U942</f>
        <v>0</v>
      </c>
      <c r="V941" s="20"/>
      <c r="X941" s="796">
        <f ca="1">(G941-D941)/D941</f>
        <v>1.671641791044776E-2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384</v>
      </c>
      <c r="B942" s="1"/>
      <c r="C942" s="304">
        <f t="shared" si="148"/>
        <v>651.51515151515196</v>
      </c>
      <c r="D942" s="322"/>
      <c r="E942" s="306"/>
      <c r="F942" s="2" t="s">
        <v>31</v>
      </c>
      <c r="G942" s="311" t="s">
        <v>31</v>
      </c>
      <c r="H942" s="306"/>
      <c r="I942" s="2" t="s">
        <v>31</v>
      </c>
      <c r="J942" s="2"/>
      <c r="K942" s="311" t="s">
        <v>31</v>
      </c>
      <c r="L942" s="306"/>
      <c r="M942" s="2" t="s">
        <v>31</v>
      </c>
      <c r="N942" s="2"/>
      <c r="O942" s="311" t="s">
        <v>31</v>
      </c>
      <c r="P942" s="306"/>
      <c r="Q942" s="2" t="s">
        <v>31</v>
      </c>
      <c r="R942" s="2"/>
      <c r="S942" s="311" t="s">
        <v>31</v>
      </c>
      <c r="T942" s="306"/>
      <c r="U942" s="2" t="s">
        <v>31</v>
      </c>
      <c r="V942" s="20"/>
      <c r="X942" s="1282"/>
      <c r="Y942" s="74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463</v>
      </c>
      <c r="B943" s="1"/>
      <c r="C943" s="304">
        <f t="shared" si="148"/>
        <v>921479.793103448</v>
      </c>
      <c r="D943" s="322">
        <f>'Rate Design Work eff 10-14-16'!D944</f>
        <v>1.1000000000000001</v>
      </c>
      <c r="E943" s="306"/>
      <c r="F943" s="2">
        <f>ROUND(D943*C943,0)</f>
        <v>1013628</v>
      </c>
      <c r="G943" s="311">
        <f ca="1">'Rate Design Work eff 10-14-16'!G944</f>
        <v>1.1200000000000001</v>
      </c>
      <c r="H943" s="306"/>
      <c r="I943" s="2">
        <f ca="1">ROUND(G943*$C943,0)</f>
        <v>1032057</v>
      </c>
      <c r="J943" s="2"/>
      <c r="K943" s="311">
        <f ca="1">'Rate Design Work eff 10-14-16'!K944</f>
        <v>1.1200000000000001</v>
      </c>
      <c r="L943" s="306"/>
      <c r="M943" s="2">
        <f ca="1">'Rate Design Work eff 10-14-16'!M944</f>
        <v>1032057</v>
      </c>
      <c r="N943" s="2"/>
      <c r="O943" s="311" t="str">
        <f>'Rate Design Work eff 10-14-16'!O944</f>
        <v xml:space="preserve"> </v>
      </c>
      <c r="P943" s="306"/>
      <c r="Q943" s="2">
        <f>'Rate Design Work eff 10-14-16'!Q944</f>
        <v>0</v>
      </c>
      <c r="R943" s="2"/>
      <c r="S943" s="311" t="str">
        <f>'Rate Design Work eff 10-14-16'!S944</f>
        <v xml:space="preserve"> </v>
      </c>
      <c r="T943" s="306"/>
      <c r="U943" s="2">
        <f>'Rate Design Work eff 10-14-16'!U944</f>
        <v>0</v>
      </c>
      <c r="V943" s="20"/>
      <c r="X943" s="796">
        <f ca="1">(G943-D943)/D943</f>
        <v>1.8181818181818195E-2</v>
      </c>
      <c r="Y943" s="751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464</v>
      </c>
      <c r="B944" s="1"/>
      <c r="C944" s="304">
        <f t="shared" si="148"/>
        <v>0</v>
      </c>
      <c r="D944" s="322">
        <f>'Rate Design Work eff 10-14-16'!D945</f>
        <v>0.99</v>
      </c>
      <c r="E944" s="306"/>
      <c r="F944" s="2">
        <f>ROUND(D944*C944,0)</f>
        <v>0</v>
      </c>
      <c r="G944" s="311">
        <f ca="1">'Rate Design Work eff 10-14-16'!G945</f>
        <v>1.01</v>
      </c>
      <c r="H944" s="306"/>
      <c r="I944" s="2">
        <f ca="1">ROUND(G944*$C944,0)</f>
        <v>0</v>
      </c>
      <c r="J944" s="2"/>
      <c r="K944" s="311">
        <f ca="1">'Rate Design Work eff 10-14-16'!K945</f>
        <v>1.01</v>
      </c>
      <c r="L944" s="306"/>
      <c r="M944" s="2">
        <f ca="1">'Rate Design Work eff 10-14-16'!M945</f>
        <v>0</v>
      </c>
      <c r="N944" s="2"/>
      <c r="O944" s="311" t="str">
        <f>'Rate Design Work eff 10-14-16'!O945</f>
        <v xml:space="preserve"> </v>
      </c>
      <c r="P944" s="306"/>
      <c r="Q944" s="2">
        <f>'Rate Design Work eff 10-14-16'!Q945</f>
        <v>0</v>
      </c>
      <c r="R944" s="2"/>
      <c r="S944" s="311" t="str">
        <f>'Rate Design Work eff 10-14-16'!S945</f>
        <v xml:space="preserve"> </v>
      </c>
      <c r="T944" s="306"/>
      <c r="U944" s="2">
        <f>'Rate Design Work eff 10-14-16'!U945</f>
        <v>0</v>
      </c>
      <c r="V944" s="20"/>
      <c r="X944" s="796">
        <f ca="1">(G944-D944)/D944</f>
        <v>2.0202020202020221E-2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294" t="s">
        <v>393</v>
      </c>
      <c r="B945" s="1"/>
      <c r="C945" s="304">
        <f t="shared" si="148"/>
        <v>752533.72413793101</v>
      </c>
      <c r="D945" s="322">
        <f>'Rate Design Work eff 10-14-16'!D946</f>
        <v>7.83</v>
      </c>
      <c r="E945" s="306"/>
      <c r="F945" s="2">
        <f>ROUND(D945*C945,0)</f>
        <v>5892339</v>
      </c>
      <c r="G945" s="311">
        <f ca="1">'Rate Design Work eff 10-14-16'!G946</f>
        <v>7.97</v>
      </c>
      <c r="H945" s="306"/>
      <c r="I945" s="2">
        <f ca="1">ROUND(G945*$C945,0)</f>
        <v>5997694</v>
      </c>
      <c r="J945" s="2"/>
      <c r="K945" s="311" t="e">
        <f ca="1">'Rate Design Work eff 10-14-16'!K946</f>
        <v>#DIV/0!</v>
      </c>
      <c r="L945" s="306"/>
      <c r="M945" s="2" t="e">
        <f ca="1">'Rate Design Work eff 10-14-16'!M946</f>
        <v>#DIV/0!</v>
      </c>
      <c r="N945" s="2"/>
      <c r="O945" s="311" t="e">
        <f ca="1">'Rate Design Work eff 10-14-16'!O946</f>
        <v>#DIV/0!</v>
      </c>
      <c r="P945" s="306"/>
      <c r="Q945" s="2" t="e">
        <f ca="1">'Rate Design Work eff 10-14-16'!Q946</f>
        <v>#DIV/0!</v>
      </c>
      <c r="R945" s="2"/>
      <c r="S945" s="311" t="e">
        <f ca="1">'Rate Design Work eff 10-14-16'!S946</f>
        <v>#DIV/0!</v>
      </c>
      <c r="T945" s="306"/>
      <c r="U945" s="2" t="e">
        <f ca="1">'Rate Design Work eff 10-14-16'!U946</f>
        <v>#DIV/0!</v>
      </c>
      <c r="V945" s="20"/>
      <c r="X945" s="796">
        <f ca="1">(G945-D945)/D945</f>
        <v>1.7879948914431631E-2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308" t="s">
        <v>416</v>
      </c>
      <c r="B946" s="1"/>
      <c r="C946" s="304"/>
      <c r="D946" s="322"/>
      <c r="E946" s="306"/>
      <c r="F946" s="2"/>
      <c r="G946" s="311" t="s">
        <v>31</v>
      </c>
      <c r="H946" s="306"/>
      <c r="I946" s="2"/>
      <c r="J946" s="2"/>
      <c r="K946" s="311" t="s">
        <v>31</v>
      </c>
      <c r="L946" s="306"/>
      <c r="M946" s="2"/>
      <c r="N946" s="2"/>
      <c r="O946" s="311" t="s">
        <v>31</v>
      </c>
      <c r="P946" s="306"/>
      <c r="Q946" s="2"/>
      <c r="R946" s="2"/>
      <c r="S946" s="311" t="s">
        <v>31</v>
      </c>
      <c r="T946" s="306"/>
      <c r="U946" s="2"/>
      <c r="V946" s="20"/>
      <c r="X946" s="1282"/>
      <c r="Y946" s="74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454</v>
      </c>
      <c r="B947" s="1"/>
      <c r="C947" s="304">
        <f>C967+C985</f>
        <v>334945415.26665139</v>
      </c>
      <c r="D947" s="380">
        <f>'Rate Design Work eff 10-14-16'!D948</f>
        <v>4.6630000000000003</v>
      </c>
      <c r="E947" s="306" t="s">
        <v>364</v>
      </c>
      <c r="F947" s="2">
        <f>ROUND(D947/100*C947,0)</f>
        <v>15618505</v>
      </c>
      <c r="G947" s="777">
        <f ca="1">'Rate Design Work eff 10-14-16'!G948</f>
        <v>4.7409999999999997</v>
      </c>
      <c r="H947" s="306" t="s">
        <v>364</v>
      </c>
      <c r="I947" s="2">
        <f ca="1">ROUND(G947/100*$C947,0)</f>
        <v>15879762</v>
      </c>
      <c r="J947" s="2"/>
      <c r="K947" s="777" t="str">
        <f>'Rate Design Work eff 10-14-16'!K948</f>
        <v xml:space="preserve"> </v>
      </c>
      <c r="L947" s="850" t="s">
        <v>31</v>
      </c>
      <c r="M947" s="2">
        <f>'Rate Design Work eff 10-14-16'!M948</f>
        <v>0</v>
      </c>
      <c r="N947" s="2"/>
      <c r="O947" s="777" t="e">
        <f ca="1">'Rate Design Work eff 10-14-16'!O948</f>
        <v>#DIV/0!</v>
      </c>
      <c r="P947" s="306" t="s">
        <v>364</v>
      </c>
      <c r="Q947" s="2" t="e">
        <f ca="1">'Rate Design Work eff 10-14-16'!Q948</f>
        <v>#DIV/0!</v>
      </c>
      <c r="R947" s="2"/>
      <c r="S947" s="777" t="e">
        <f ca="1">'Rate Design Work eff 10-14-16'!S948</f>
        <v>#DIV/0!</v>
      </c>
      <c r="T947" s="306" t="s">
        <v>364</v>
      </c>
      <c r="U947" s="2" t="e">
        <f ca="1">'Rate Design Work eff 10-14-16'!U948</f>
        <v>#DIV/0!</v>
      </c>
      <c r="V947" s="20"/>
      <c r="X947" s="796">
        <f ca="1">((G947+G949)-D947)/D947</f>
        <v>1.6727428693973707E-2</v>
      </c>
      <c r="Y947" s="751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390</v>
      </c>
      <c r="B948" s="1"/>
      <c r="C948" s="304">
        <f>C968+C986</f>
        <v>159554.87878787841</v>
      </c>
      <c r="D948" s="322">
        <f>'Rate Design Work eff 10-14-16'!D949</f>
        <v>0.55000000000000004</v>
      </c>
      <c r="E948" s="306"/>
      <c r="F948" s="2">
        <f>ROUND(D948*C948,0)</f>
        <v>87755</v>
      </c>
      <c r="G948" s="311">
        <f ca="1">'Rate Design Work eff 10-14-16'!G949</f>
        <v>0.56000000000000005</v>
      </c>
      <c r="H948" s="306"/>
      <c r="I948" s="2">
        <f ca="1">ROUND(G948*$C948,0)</f>
        <v>89351</v>
      </c>
      <c r="J948" s="2"/>
      <c r="K948" s="311" t="str">
        <f>'Rate Design Work eff 10-14-16'!K949</f>
        <v xml:space="preserve"> </v>
      </c>
      <c r="L948" s="306"/>
      <c r="M948" s="2">
        <f>'Rate Design Work eff 10-14-16'!M949</f>
        <v>0</v>
      </c>
      <c r="N948" s="2"/>
      <c r="O948" s="311" t="e">
        <f ca="1">'Rate Design Work eff 10-14-16'!O949</f>
        <v>#DIV/0!</v>
      </c>
      <c r="P948" s="306"/>
      <c r="Q948" s="2" t="e">
        <f ca="1">'Rate Design Work eff 10-14-16'!Q949</f>
        <v>#DIV/0!</v>
      </c>
      <c r="R948" s="2"/>
      <c r="S948" s="311" t="e">
        <f ca="1">'Rate Design Work eff 10-14-16'!S949</f>
        <v>#DIV/0!</v>
      </c>
      <c r="T948" s="306"/>
      <c r="U948" s="2" t="e">
        <f ca="1">'Rate Design Work eff 10-14-16'!U949</f>
        <v>#DIV/0!</v>
      </c>
      <c r="V948" s="20"/>
      <c r="X948" s="796">
        <f ca="1">(G948-D948)/D948</f>
        <v>1.8181818181818195E-2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 s="1118" customFormat="1" hidden="1">
      <c r="A949" s="968" t="s">
        <v>891</v>
      </c>
      <c r="C949" s="987">
        <f>C970+C987</f>
        <v>334945415.26665139</v>
      </c>
      <c r="D949" s="254">
        <f>'Rate Design Work eff 10-14-16'!D950</f>
        <v>0</v>
      </c>
      <c r="E949" s="1119"/>
      <c r="F949" s="1123"/>
      <c r="G949" s="1128">
        <f>'Rate Design Work eff 10-14-16'!G950</f>
        <v>0</v>
      </c>
      <c r="H949" s="1000" t="s">
        <v>364</v>
      </c>
      <c r="I949" s="1123">
        <f>ROUND(G949/100*$C949,0)</f>
        <v>0</v>
      </c>
      <c r="J949" s="1123"/>
      <c r="K949" s="1128" t="str">
        <f>'Rate Design Work eff 10-14-16'!K950</f>
        <v xml:space="preserve"> </v>
      </c>
      <c r="L949" s="1000" t="s">
        <v>31</v>
      </c>
      <c r="M949" s="2">
        <f>'Rate Design Work eff 10-14-16'!M950</f>
        <v>0</v>
      </c>
      <c r="N949" s="1000"/>
      <c r="O949" s="1128" t="str">
        <f>'Rate Design Work eff 10-14-16'!O950</f>
        <v xml:space="preserve"> </v>
      </c>
      <c r="P949" s="1000" t="s">
        <v>31</v>
      </c>
      <c r="Q949" s="2">
        <f>'Rate Design Work eff 10-14-16'!Q950</f>
        <v>0</v>
      </c>
      <c r="R949" s="1000"/>
      <c r="S949" s="1128">
        <f>'Rate Design Work eff 10-14-16'!S950</f>
        <v>0</v>
      </c>
      <c r="T949" s="1000" t="s">
        <v>364</v>
      </c>
      <c r="U949" s="2">
        <f>'Rate Design Work eff 10-14-16'!U950</f>
        <v>0</v>
      </c>
      <c r="V949" s="1124">
        <f>'NPC Spread'!G47</f>
        <v>9512953.169853868</v>
      </c>
      <c r="W949" s="784" t="s">
        <v>857</v>
      </c>
      <c r="Z949" s="1125"/>
      <c r="AA949" s="1125"/>
      <c r="AF949" s="1119"/>
      <c r="AG949" s="1119"/>
      <c r="AH949" s="1119"/>
      <c r="AI949" s="1119"/>
      <c r="AJ949" s="1119"/>
      <c r="AK949" s="1119"/>
      <c r="AL949" s="1119"/>
      <c r="AM949" s="1119"/>
      <c r="AN949" s="1119"/>
      <c r="AO949" s="1119"/>
      <c r="AP949" s="1119"/>
      <c r="AR949" s="1124"/>
    </row>
    <row r="950" spans="1:44" s="1256" customFormat="1" hidden="1">
      <c r="A950" s="1255" t="s">
        <v>873</v>
      </c>
      <c r="C950" s="1262"/>
      <c r="D950" s="1268">
        <f>'Rate Design Work eff 10-14-16'!D951</f>
        <v>4.6630000000000003</v>
      </c>
      <c r="E950" s="1266" t="s">
        <v>364</v>
      </c>
      <c r="F950" s="1259"/>
      <c r="G950" s="1260">
        <f ca="1">G947+G949</f>
        <v>4.7409999999999997</v>
      </c>
      <c r="H950" s="1266" t="s">
        <v>364</v>
      </c>
      <c r="I950" s="1259"/>
      <c r="J950" s="1259"/>
      <c r="K950" s="1270" t="s">
        <v>31</v>
      </c>
      <c r="L950" s="1266" t="s">
        <v>31</v>
      </c>
      <c r="M950" s="1266"/>
      <c r="N950" s="1266"/>
      <c r="O950" s="1270" t="e">
        <f ca="1">O947+O949</f>
        <v>#DIV/0!</v>
      </c>
      <c r="P950" s="1266" t="s">
        <v>364</v>
      </c>
      <c r="Q950" s="1266"/>
      <c r="R950" s="1266"/>
      <c r="S950" s="1270" t="e">
        <f ca="1">S947+S949</f>
        <v>#DIV/0!</v>
      </c>
      <c r="T950" s="1266" t="s">
        <v>364</v>
      </c>
      <c r="U950" s="1266"/>
      <c r="V950" s="1283"/>
      <c r="W950" s="1284"/>
      <c r="X950" s="1285">
        <f ca="1">(G950-D950)/D950</f>
        <v>1.6727428693973707E-2</v>
      </c>
      <c r="Z950" s="1286"/>
      <c r="AA950" s="1286"/>
      <c r="AF950" s="1258"/>
      <c r="AG950" s="1258"/>
      <c r="AH950" s="1258"/>
      <c r="AI950" s="1258"/>
      <c r="AJ950" s="1258"/>
      <c r="AK950" s="1258"/>
      <c r="AL950" s="1258"/>
      <c r="AM950" s="1258"/>
      <c r="AN950" s="1258"/>
      <c r="AO950" s="1258"/>
      <c r="AP950" s="1258"/>
      <c r="AR950" s="1283"/>
    </row>
    <row r="951" spans="1:44">
      <c r="A951" s="1" t="s">
        <v>371</v>
      </c>
      <c r="B951" s="1"/>
      <c r="C951" s="304">
        <f>C947</f>
        <v>334945415.26665139</v>
      </c>
      <c r="D951" s="315"/>
      <c r="E951" s="1"/>
      <c r="F951" s="2">
        <f>SUM(F940:F948)</f>
        <v>23515227</v>
      </c>
      <c r="G951" s="315"/>
      <c r="H951" s="1"/>
      <c r="I951" s="2">
        <f ca="1">SUM(I940:I950)</f>
        <v>23918152</v>
      </c>
      <c r="J951" s="2"/>
      <c r="K951" s="772"/>
      <c r="L951" s="1"/>
      <c r="M951" s="2" t="e">
        <f ca="1">SUM(M940:M950)</f>
        <v>#DIV/0!</v>
      </c>
      <c r="N951" s="2"/>
      <c r="O951" s="772"/>
      <c r="P951" s="1"/>
      <c r="Q951" s="2" t="e">
        <f ca="1">SUM(Q940:Q950)</f>
        <v>#DIV/0!</v>
      </c>
      <c r="R951" s="2"/>
      <c r="S951" s="772"/>
      <c r="T951" s="1"/>
      <c r="U951" s="2" t="e">
        <f ca="1">SUM(U940:U950)</f>
        <v>#DIV/0!</v>
      </c>
      <c r="V951" s="20"/>
      <c r="W951" s="74"/>
      <c r="X951" s="74"/>
      <c r="Y951" s="74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</row>
    <row r="952" spans="1:44">
      <c r="A952" s="1" t="s">
        <v>353</v>
      </c>
      <c r="B952" s="1"/>
      <c r="C952" s="304">
        <f ca="1">C971+C989</f>
        <v>1536540.0713919159</v>
      </c>
      <c r="D952" s="294"/>
      <c r="E952" s="294"/>
      <c r="F952" s="326">
        <f ca="1">F971+F989</f>
        <v>117141.36886960629</v>
      </c>
      <c r="G952" s="294"/>
      <c r="H952" s="294"/>
      <c r="I952" s="326">
        <f ca="1">F952</f>
        <v>117141.36886960629</v>
      </c>
      <c r="J952" s="307"/>
      <c r="K952" s="294"/>
      <c r="L952" s="294"/>
      <c r="M952" s="738" t="e">
        <f ca="1">$I$952*V955/($V955+$W$955+$X$955)</f>
        <v>#DIV/0!</v>
      </c>
      <c r="N952" s="51"/>
      <c r="O952" s="294"/>
      <c r="P952" s="294"/>
      <c r="Q952" s="738" t="e">
        <f ca="1">$I$952*W955/($V955+$W$955+$X$955)</f>
        <v>#DIV/0!</v>
      </c>
      <c r="R952" s="51"/>
      <c r="S952" s="294"/>
      <c r="T952" s="294"/>
      <c r="U952" s="738" t="e">
        <f ca="1">$I$952*X955/($V955+$W$955+$X$955)</f>
        <v>#DIV/0!</v>
      </c>
      <c r="V952" s="429"/>
      <c r="W952" s="272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 ht="18" customHeight="1" thickBot="1">
      <c r="A953" s="1" t="s">
        <v>372</v>
      </c>
      <c r="B953" s="1"/>
      <c r="C953" s="378">
        <f ca="1">SUM(C951)+C952</f>
        <v>336481955.33804333</v>
      </c>
      <c r="D953" s="327"/>
      <c r="E953" s="330"/>
      <c r="F953" s="329">
        <f ca="1">F951+F952</f>
        <v>23632368.368869606</v>
      </c>
      <c r="G953" s="327"/>
      <c r="H953" s="330"/>
      <c r="I953" s="329">
        <f ca="1">I951+I952</f>
        <v>24035293.368869606</v>
      </c>
      <c r="J953" s="307"/>
      <c r="K953" s="327"/>
      <c r="L953" s="330"/>
      <c r="M953" s="329" t="e">
        <f ca="1">M951+M952</f>
        <v>#DIV/0!</v>
      </c>
      <c r="N953" s="329"/>
      <c r="O953" s="327"/>
      <c r="P953" s="330"/>
      <c r="Q953" s="329" t="e">
        <f ca="1">Q951+Q952</f>
        <v>#DIV/0!</v>
      </c>
      <c r="R953" s="329"/>
      <c r="S953" s="327"/>
      <c r="T953" s="330"/>
      <c r="U953" s="329" t="e">
        <f ca="1">U951+U952</f>
        <v>#DIV/0!</v>
      </c>
      <c r="V953" s="7"/>
      <c r="W953" s="32"/>
      <c r="X953" s="74"/>
      <c r="Y953" s="74"/>
      <c r="Z953" s="770" t="s">
        <v>31</v>
      </c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6.5" thickTop="1">
      <c r="A954" s="1"/>
      <c r="B954" s="1"/>
      <c r="C954" s="21"/>
      <c r="D954" s="322"/>
      <c r="E954" s="1"/>
      <c r="F954" s="2" t="s">
        <v>31</v>
      </c>
      <c r="G954" s="322"/>
      <c r="H954" s="1"/>
      <c r="I954" s="365"/>
      <c r="J954" s="365"/>
      <c r="K954" s="322"/>
      <c r="L954" s="1"/>
      <c r="M954" s="365"/>
      <c r="N954" s="365"/>
      <c r="O954" s="322"/>
      <c r="P954" s="1"/>
      <c r="Q954" s="365"/>
      <c r="R954" s="365"/>
      <c r="S954" s="322"/>
      <c r="T954" s="1"/>
      <c r="U954" s="365"/>
      <c r="V954" s="1274"/>
      <c r="W954" s="1274"/>
      <c r="X954" s="1274"/>
      <c r="Y954" s="74"/>
      <c r="Z954" s="7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idden="1">
      <c r="A955" s="1"/>
      <c r="B955" s="1"/>
      <c r="C955" s="21"/>
      <c r="D955" s="322"/>
      <c r="E955" s="1"/>
      <c r="F955" s="2"/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396"/>
      <c r="W955" s="396"/>
      <c r="X955" s="396"/>
      <c r="Y955" s="74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 hidden="1">
      <c r="A956" s="278" t="s">
        <v>466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20"/>
      <c r="W956" s="74"/>
      <c r="X956" s="74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 hidden="1">
      <c r="A957" s="294" t="s">
        <v>675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 hidden="1">
      <c r="A958" s="308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 hidden="1">
      <c r="A959" s="308" t="s">
        <v>383</v>
      </c>
      <c r="B959" s="1"/>
      <c r="C959" s="304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 t="s">
        <v>31</v>
      </c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 hidden="1">
      <c r="A960" s="308" t="s">
        <v>461</v>
      </c>
      <c r="B960" s="1"/>
      <c r="C960" s="304">
        <f>'Rate Design Work eff 10-14-16'!C961</f>
        <v>318.69696969696997</v>
      </c>
      <c r="D960" s="322">
        <f>'Rate Design Work eff 10-14-16'!D961</f>
        <v>1386</v>
      </c>
      <c r="E960" s="306"/>
      <c r="F960" s="2">
        <f>ROUND(D960*C960,0)</f>
        <v>441714</v>
      </c>
      <c r="G960" s="322">
        <f ca="1">G940</f>
        <v>1411</v>
      </c>
      <c r="H960" s="306"/>
      <c r="I960" s="2">
        <f ca="1">ROUND(G960*$C960,0)</f>
        <v>449681</v>
      </c>
      <c r="J960" s="2"/>
      <c r="K960" s="322">
        <f ca="1">K940</f>
        <v>1411</v>
      </c>
      <c r="L960" s="306"/>
      <c r="M960" s="2">
        <f ca="1">ROUND(K960*$C960,0)</f>
        <v>449681</v>
      </c>
      <c r="N960" s="2"/>
      <c r="O960" s="322" t="str">
        <f>O940</f>
        <v xml:space="preserve"> </v>
      </c>
      <c r="P960" s="306"/>
      <c r="Q960" s="2">
        <f>ROUND(O960*$C960,0)</f>
        <v>0</v>
      </c>
      <c r="R960" s="2"/>
      <c r="S960" s="322" t="str">
        <f>S940</f>
        <v xml:space="preserve"> </v>
      </c>
      <c r="T960" s="306"/>
      <c r="U960" s="2">
        <f>ROUND(S960*$C960,0)</f>
        <v>0</v>
      </c>
      <c r="V960" s="20"/>
      <c r="W960" s="74"/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 hidden="1">
      <c r="A961" s="308" t="s">
        <v>462</v>
      </c>
      <c r="B961" s="1"/>
      <c r="C961" s="304">
        <f>'Rate Design Work eff 10-14-16'!C962</f>
        <v>0</v>
      </c>
      <c r="D961" s="322">
        <f>'Rate Design Work eff 10-14-16'!D962</f>
        <v>1675</v>
      </c>
      <c r="E961" s="309"/>
      <c r="F961" s="2">
        <f>ROUND(D961*C961,0)</f>
        <v>0</v>
      </c>
      <c r="G961" s="322">
        <f ca="1">G941</f>
        <v>1703</v>
      </c>
      <c r="H961" s="309"/>
      <c r="I961" s="2">
        <f ca="1">ROUND(G961*$C961,0)</f>
        <v>0</v>
      </c>
      <c r="J961" s="2"/>
      <c r="K961" s="322">
        <f ca="1">K941</f>
        <v>1703</v>
      </c>
      <c r="L961" s="309"/>
      <c r="M961" s="2">
        <f ca="1">ROUND(K961*$C961,0)</f>
        <v>0</v>
      </c>
      <c r="N961" s="2"/>
      <c r="O961" s="322" t="str">
        <f>O941</f>
        <v xml:space="preserve"> </v>
      </c>
      <c r="P961" s="309"/>
      <c r="Q961" s="2">
        <f>ROUND(O961*$C961,0)</f>
        <v>0</v>
      </c>
      <c r="R961" s="2"/>
      <c r="S961" s="322" t="str">
        <f>S941</f>
        <v xml:space="preserve"> </v>
      </c>
      <c r="T961" s="309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 hidden="1">
      <c r="A962" s="308" t="s">
        <v>384</v>
      </c>
      <c r="B962" s="1"/>
      <c r="C962" s="304">
        <f>SUM(C960:C961)</f>
        <v>318.69696969696997</v>
      </c>
      <c r="D962" s="322"/>
      <c r="E962" s="306"/>
      <c r="F962" s="2" t="s">
        <v>31</v>
      </c>
      <c r="G962" s="322" t="s">
        <v>31</v>
      </c>
      <c r="H962" s="306"/>
      <c r="I962" s="2" t="s">
        <v>31</v>
      </c>
      <c r="J962" s="2"/>
      <c r="K962" s="322" t="s">
        <v>31</v>
      </c>
      <c r="L962" s="306"/>
      <c r="M962" s="2" t="s">
        <v>31</v>
      </c>
      <c r="N962" s="2"/>
      <c r="O962" s="322" t="s">
        <v>31</v>
      </c>
      <c r="P962" s="306"/>
      <c r="Q962" s="2" t="s">
        <v>31</v>
      </c>
      <c r="R962" s="2"/>
      <c r="S962" s="322" t="s">
        <v>31</v>
      </c>
      <c r="T962" s="306"/>
      <c r="U962" s="2" t="s">
        <v>31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 hidden="1">
      <c r="A963" s="308" t="s">
        <v>463</v>
      </c>
      <c r="B963" s="1"/>
      <c r="C963" s="304">
        <f>'Rate Design Work eff 10-14-16'!C964</f>
        <v>384073</v>
      </c>
      <c r="D963" s="322">
        <f>'Rate Design Work eff 10-14-16'!D964</f>
        <v>1.1000000000000001</v>
      </c>
      <c r="E963" s="306"/>
      <c r="F963" s="2">
        <f>ROUND(D963*C963,0)</f>
        <v>422480</v>
      </c>
      <c r="G963" s="322">
        <f ca="1">G943</f>
        <v>1.1200000000000001</v>
      </c>
      <c r="H963" s="306"/>
      <c r="I963" s="2">
        <f ca="1">ROUND(G963*$C963,0)</f>
        <v>430162</v>
      </c>
      <c r="J963" s="2"/>
      <c r="K963" s="322">
        <f ca="1">K943</f>
        <v>1.1200000000000001</v>
      </c>
      <c r="L963" s="306"/>
      <c r="M963" s="2">
        <f ca="1">ROUND(K963*$C963,0)</f>
        <v>430162</v>
      </c>
      <c r="N963" s="2"/>
      <c r="O963" s="322" t="str">
        <f>O943</f>
        <v xml:space="preserve"> </v>
      </c>
      <c r="P963" s="306"/>
      <c r="Q963" s="2">
        <f>ROUND(O963*$C963,0)</f>
        <v>0</v>
      </c>
      <c r="R963" s="2"/>
      <c r="S963" s="322" t="str">
        <f>S943</f>
        <v xml:space="preserve"> </v>
      </c>
      <c r="T963" s="306"/>
      <c r="U963" s="2">
        <f>ROUND(S963*$C963,0)</f>
        <v>0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 hidden="1">
      <c r="A964" s="308" t="s">
        <v>464</v>
      </c>
      <c r="B964" s="1"/>
      <c r="C964" s="304">
        <f>'Rate Design Work eff 10-14-16'!C965</f>
        <v>0</v>
      </c>
      <c r="D964" s="322">
        <f>'Rate Design Work eff 10-14-16'!D965</f>
        <v>0.99</v>
      </c>
      <c r="E964" s="306"/>
      <c r="F964" s="2">
        <f>ROUND(D964*C964,0)</f>
        <v>0</v>
      </c>
      <c r="G964" s="322">
        <f ca="1">G944</f>
        <v>1.01</v>
      </c>
      <c r="H964" s="306"/>
      <c r="I964" s="2">
        <f ca="1">ROUND(G964*$C964,0)</f>
        <v>0</v>
      </c>
      <c r="J964" s="2"/>
      <c r="K964" s="322">
        <f ca="1">K944</f>
        <v>1.01</v>
      </c>
      <c r="L964" s="306"/>
      <c r="M964" s="2">
        <f ca="1">ROUND(K964*$C964,0)</f>
        <v>0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 hidden="1">
      <c r="A965" s="294" t="s">
        <v>393</v>
      </c>
      <c r="B965" s="1"/>
      <c r="C965" s="304">
        <f>'Rate Design Work eff 10-14-16'!C966</f>
        <v>287401.24137931003</v>
      </c>
      <c r="D965" s="322">
        <f>'Rate Design Work eff 10-14-16'!D966</f>
        <v>7.83</v>
      </c>
      <c r="E965" s="306"/>
      <c r="F965" s="2">
        <f>ROUND(D965*C965,0)</f>
        <v>2250352</v>
      </c>
      <c r="G965" s="322">
        <f ca="1">G945</f>
        <v>7.97</v>
      </c>
      <c r="H965" s="306"/>
      <c r="I965" s="2">
        <f ca="1">ROUND(G965*$C965,0)</f>
        <v>2290588</v>
      </c>
      <c r="J965" s="2"/>
      <c r="K965" s="322" t="e">
        <f ca="1">K945</f>
        <v>#DIV/0!</v>
      </c>
      <c r="L965" s="306"/>
      <c r="M965" s="2" t="e">
        <f ca="1">ROUND(K965*$C965,0)</f>
        <v>#DIV/0!</v>
      </c>
      <c r="N965" s="2"/>
      <c r="O965" s="322" t="e">
        <f ca="1">O945</f>
        <v>#DIV/0!</v>
      </c>
      <c r="P965" s="306"/>
      <c r="Q965" s="2" t="e">
        <f ca="1">ROUND(O965*$C965,0)</f>
        <v>#DIV/0!</v>
      </c>
      <c r="R965" s="2"/>
      <c r="S965" s="322" t="e">
        <f ca="1">S945</f>
        <v>#DIV/0!</v>
      </c>
      <c r="T965" s="306"/>
      <c r="U965" s="2" t="e">
        <f ca="1">ROUND(S965*$C965,0)</f>
        <v>#DIV/0!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 hidden="1">
      <c r="A966" s="308" t="s">
        <v>416</v>
      </c>
      <c r="B966" s="1"/>
      <c r="C966" s="304"/>
      <c r="D966" s="322"/>
      <c r="E966" s="306"/>
      <c r="F966" s="2"/>
      <c r="G966" s="322" t="s">
        <v>31</v>
      </c>
      <c r="H966" s="306"/>
      <c r="I966" s="2"/>
      <c r="J966" s="2"/>
      <c r="K966" s="322" t="s">
        <v>31</v>
      </c>
      <c r="L966" s="306"/>
      <c r="M966" s="2"/>
      <c r="N966" s="2"/>
      <c r="O966" s="322" t="s">
        <v>31</v>
      </c>
      <c r="P966" s="306"/>
      <c r="Q966" s="2"/>
      <c r="R966" s="2"/>
      <c r="S966" s="322" t="s">
        <v>31</v>
      </c>
      <c r="T966" s="306"/>
      <c r="U966" s="2"/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 hidden="1">
      <c r="A967" s="308" t="s">
        <v>454</v>
      </c>
      <c r="B967" s="1"/>
      <c r="C967" s="304">
        <f>'Rate Design Work eff 10-14-16'!C968</f>
        <v>125244965.26665136</v>
      </c>
      <c r="D967" s="380">
        <f>'Rate Design Work eff 10-14-16'!D968</f>
        <v>4.6630000000000003</v>
      </c>
      <c r="E967" s="306" t="s">
        <v>364</v>
      </c>
      <c r="F967" s="2">
        <f>ROUND(D967/100*C967,0)</f>
        <v>5840173</v>
      </c>
      <c r="G967" s="380">
        <f ca="1">G947</f>
        <v>4.7409999999999997</v>
      </c>
      <c r="H967" s="306" t="s">
        <v>364</v>
      </c>
      <c r="I967" s="2">
        <f ca="1">ROUND(G967/100*$C967,0)</f>
        <v>5937864</v>
      </c>
      <c r="J967" s="2"/>
      <c r="K967" s="380" t="str">
        <f>K947</f>
        <v xml:space="preserve"> </v>
      </c>
      <c r="L967" s="306" t="s">
        <v>364</v>
      </c>
      <c r="M967" s="2">
        <f>ROUND(K967/100*$C967,0)</f>
        <v>0</v>
      </c>
      <c r="N967" s="2"/>
      <c r="O967" s="380" t="e">
        <f ca="1">O947</f>
        <v>#DIV/0!</v>
      </c>
      <c r="P967" s="306" t="s">
        <v>364</v>
      </c>
      <c r="Q967" s="2" t="e">
        <f ca="1">ROUND(O967/100*$C967,0)</f>
        <v>#DIV/0!</v>
      </c>
      <c r="R967" s="2"/>
      <c r="S967" s="380" t="e">
        <f ca="1">S947</f>
        <v>#DIV/0!</v>
      </c>
      <c r="T967" s="306" t="s">
        <v>364</v>
      </c>
      <c r="U967" s="2" t="e">
        <f ca="1">ROUND(S967/100*$C967,0)</f>
        <v>#DIV/0!</v>
      </c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 hidden="1">
      <c r="A968" s="308" t="s">
        <v>390</v>
      </c>
      <c r="B968" s="1"/>
      <c r="C968" s="304">
        <f>'Rate Design Work eff 10-14-16'!C969</f>
        <v>30465.6363636364</v>
      </c>
      <c r="D968" s="322">
        <f>'Rate Design Work eff 10-14-16'!D969</f>
        <v>0.55000000000000004</v>
      </c>
      <c r="E968" s="306"/>
      <c r="F968" s="2">
        <f>ROUND(D968*C968,0)</f>
        <v>16756</v>
      </c>
      <c r="G968" s="322">
        <f ca="1">G948</f>
        <v>0.56000000000000005</v>
      </c>
      <c r="H968" s="306"/>
      <c r="I968" s="2">
        <f ca="1">ROUND(G968*$C968,0)</f>
        <v>17061</v>
      </c>
      <c r="J968" s="2"/>
      <c r="K968" s="322" t="str">
        <f>K948</f>
        <v xml:space="preserve"> </v>
      </c>
      <c r="L968" s="306"/>
      <c r="M968" s="2">
        <f>ROUND(K968*$C968,0)</f>
        <v>0</v>
      </c>
      <c r="N968" s="2"/>
      <c r="O968" s="322" t="e">
        <f ca="1">O948</f>
        <v>#DIV/0!</v>
      </c>
      <c r="P968" s="306"/>
      <c r="Q968" s="2" t="e">
        <f ca="1">ROUND(O968*$C968,0)</f>
        <v>#DIV/0!</v>
      </c>
      <c r="R968" s="2"/>
      <c r="S968" s="322" t="e">
        <f ca="1">S948</f>
        <v>#DIV/0!</v>
      </c>
      <c r="T968" s="306"/>
      <c r="U968" s="2" t="e">
        <f ca="1">ROUND(S968*$C968,0)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 s="1118" customFormat="1" hidden="1">
      <c r="A969" s="968" t="s">
        <v>891</v>
      </c>
      <c r="C969" s="1122">
        <f>C967</f>
        <v>125244965.26665136</v>
      </c>
      <c r="D969" s="254">
        <f>'Rate Design Work eff 10-14-16'!D970</f>
        <v>0</v>
      </c>
      <c r="E969" s="1119"/>
      <c r="F969" s="1123"/>
      <c r="G969" s="1128">
        <f>G949</f>
        <v>0</v>
      </c>
      <c r="H969" s="1000" t="s">
        <v>364</v>
      </c>
      <c r="I969" s="1123">
        <f>ROUND(G969*$C969/100,0)</f>
        <v>0</v>
      </c>
      <c r="J969" s="1123"/>
      <c r="K969" s="1128" t="str">
        <f>K949</f>
        <v xml:space="preserve"> </v>
      </c>
      <c r="L969" s="1000" t="s">
        <v>364</v>
      </c>
      <c r="M969" s="1123">
        <f>ROUND(K969*$C969/100,0)</f>
        <v>0</v>
      </c>
      <c r="N969" s="1123"/>
      <c r="O969" s="1128" t="str">
        <f>O949</f>
        <v xml:space="preserve"> </v>
      </c>
      <c r="P969" s="1000" t="s">
        <v>364</v>
      </c>
      <c r="Q969" s="1123">
        <f>ROUND(O969*$C969/100,0)</f>
        <v>0</v>
      </c>
      <c r="R969" s="1123"/>
      <c r="S969" s="1128">
        <f>S949</f>
        <v>0</v>
      </c>
      <c r="T969" s="1000" t="s">
        <v>364</v>
      </c>
      <c r="U969" s="1123">
        <f>ROUND(S969*$C969/100,0)</f>
        <v>0</v>
      </c>
      <c r="W969" s="784"/>
      <c r="Z969" s="1125"/>
      <c r="AA969" s="1125"/>
      <c r="AF969" s="1119"/>
      <c r="AG969" s="1119"/>
      <c r="AH969" s="1119"/>
      <c r="AI969" s="1119"/>
      <c r="AJ969" s="1119"/>
      <c r="AK969" s="1119"/>
      <c r="AL969" s="1119"/>
      <c r="AM969" s="1119"/>
      <c r="AN969" s="1119"/>
      <c r="AO969" s="1119"/>
      <c r="AP969" s="1119"/>
      <c r="AR969" s="1124"/>
    </row>
    <row r="970" spans="1:44" hidden="1">
      <c r="A970" s="1" t="s">
        <v>371</v>
      </c>
      <c r="B970" s="1"/>
      <c r="C970" s="304">
        <f>C967</f>
        <v>125244965.26665136</v>
      </c>
      <c r="D970" s="315"/>
      <c r="E970" s="1"/>
      <c r="F970" s="2">
        <f>SUM(F960:F968)</f>
        <v>8971475</v>
      </c>
      <c r="G970" s="315"/>
      <c r="H970" s="1"/>
      <c r="I970" s="2">
        <f ca="1">SUM(I960:I969)</f>
        <v>9125356</v>
      </c>
      <c r="J970" s="2"/>
      <c r="K970" s="315"/>
      <c r="L970" s="1"/>
      <c r="M970" s="2" t="e">
        <f ca="1">SUM(M960:M969)</f>
        <v>#DIV/0!</v>
      </c>
      <c r="N970" s="2"/>
      <c r="O970" s="315"/>
      <c r="P970" s="1"/>
      <c r="Q970" s="2" t="e">
        <f ca="1">SUM(Q960:Q969)</f>
        <v>#DIV/0!</v>
      </c>
      <c r="R970" s="2"/>
      <c r="S970" s="315"/>
      <c r="T970" s="1"/>
      <c r="U970" s="2" t="e">
        <f ca="1">SUM(U960:U969)</f>
        <v>#DIV/0!</v>
      </c>
      <c r="V970" s="20"/>
      <c r="W970" s="74"/>
      <c r="X970" s="751"/>
      <c r="Y970" s="751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</row>
    <row r="971" spans="1:44" hidden="1">
      <c r="A971" s="1" t="s">
        <v>353</v>
      </c>
      <c r="B971" s="1"/>
      <c r="C971" s="304">
        <f>C970/($C$970+$C$1028)*$C$1065</f>
        <v>884538.49438390473</v>
      </c>
      <c r="D971" s="294"/>
      <c r="E971" s="294"/>
      <c r="F971" s="326">
        <f>F970/($F$970+$F$1028)*$F$1065</f>
        <v>71136.637092439516</v>
      </c>
      <c r="G971" s="294"/>
      <c r="H971" s="294"/>
      <c r="I971" s="326">
        <f>F971</f>
        <v>71136.637092439516</v>
      </c>
      <c r="J971" s="307"/>
      <c r="K971" s="294"/>
      <c r="L971" s="294"/>
      <c r="M971" s="326" t="e">
        <f>$I$971*V955/($V955+$W$955+$X$955)</f>
        <v>#DIV/0!</v>
      </c>
      <c r="N971" s="51"/>
      <c r="O971" s="294"/>
      <c r="P971" s="294"/>
      <c r="Q971" s="326" t="e">
        <f>$I$971*W955/($V955+$W$955+$X$955)</f>
        <v>#DIV/0!</v>
      </c>
      <c r="R971" s="51"/>
      <c r="S971" s="294"/>
      <c r="T971" s="294"/>
      <c r="U971" s="326" t="e">
        <f>$I$971*X955/($V955+$W$955+$X$955)</f>
        <v>#DIV/0!</v>
      </c>
      <c r="V971" s="429"/>
      <c r="W971" s="751" t="s">
        <v>31</v>
      </c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 ht="16.5" hidden="1" thickBot="1">
      <c r="A972" s="1" t="s">
        <v>372</v>
      </c>
      <c r="B972" s="1"/>
      <c r="C972" s="378">
        <f>SUM(C970)+C971</f>
        <v>126129503.76103526</v>
      </c>
      <c r="D972" s="327"/>
      <c r="E972" s="330"/>
      <c r="F972" s="329">
        <f>F970+F971</f>
        <v>9042611.6370924395</v>
      </c>
      <c r="G972" s="327"/>
      <c r="H972" s="330"/>
      <c r="I972" s="329">
        <f ca="1">I970+I971</f>
        <v>9196492.6370924395</v>
      </c>
      <c r="J972" s="307"/>
      <c r="K972" s="327"/>
      <c r="L972" s="330"/>
      <c r="M972" s="329" t="e">
        <f ca="1">M970+M971</f>
        <v>#DIV/0!</v>
      </c>
      <c r="N972" s="329"/>
      <c r="O972" s="327"/>
      <c r="P972" s="330"/>
      <c r="Q972" s="329" t="e">
        <f ca="1">Q970+Q971</f>
        <v>#DIV/0!</v>
      </c>
      <c r="R972" s="329"/>
      <c r="S972" s="327"/>
      <c r="T972" s="330"/>
      <c r="U972" s="329" t="e">
        <f ca="1">U970+U971</f>
        <v>#DIV/0!</v>
      </c>
      <c r="V972" s="396"/>
      <c r="W972" s="751" t="s">
        <v>31</v>
      </c>
      <c r="X972" s="74"/>
      <c r="Y972" s="74"/>
      <c r="Z972" s="770" t="s">
        <v>31</v>
      </c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hidden="1" thickTop="1">
      <c r="A973" s="1"/>
      <c r="B973" s="1"/>
      <c r="C973" s="21"/>
      <c r="D973" s="322"/>
      <c r="E973" s="1"/>
      <c r="F973" s="2"/>
      <c r="G973" s="322"/>
      <c r="H973" s="1"/>
      <c r="I973" s="365"/>
      <c r="J973" s="365"/>
      <c r="K973" s="322"/>
      <c r="L973" s="1"/>
      <c r="M973" s="365"/>
      <c r="N973" s="365"/>
      <c r="O973" s="322"/>
      <c r="P973" s="1"/>
      <c r="Q973" s="365"/>
      <c r="R973" s="365"/>
      <c r="S973" s="322"/>
      <c r="T973" s="1"/>
      <c r="U973" s="365"/>
      <c r="V973" s="20"/>
      <c r="W973" s="74"/>
      <c r="X973" s="74"/>
      <c r="Y973" s="74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idden="1">
      <c r="A974" s="278" t="s">
        <v>466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 hidden="1">
      <c r="A975" s="294" t="s">
        <v>674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 hidden="1">
      <c r="A976" s="308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 hidden="1">
      <c r="A977" s="308" t="s">
        <v>383</v>
      </c>
      <c r="B977" s="1"/>
      <c r="C977" s="304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 hidden="1">
      <c r="A978" s="308" t="s">
        <v>461</v>
      </c>
      <c r="B978" s="1"/>
      <c r="C978" s="304">
        <f>'Rate Design Work eff 10-14-16'!C979</f>
        <v>332.81818181818198</v>
      </c>
      <c r="D978" s="322">
        <f>'Rate Design Work eff 10-14-16'!D979</f>
        <v>1386</v>
      </c>
      <c r="E978" s="306"/>
      <c r="F978" s="2">
        <f>ROUND(D978*C978,0)</f>
        <v>461286</v>
      </c>
      <c r="G978" s="322">
        <f ca="1">G940</f>
        <v>1411</v>
      </c>
      <c r="H978" s="306"/>
      <c r="I978" s="2">
        <f ca="1">ROUND(G978*$C978,0)</f>
        <v>469606</v>
      </c>
      <c r="J978" s="2"/>
      <c r="K978" s="322">
        <f ca="1">K940</f>
        <v>1411</v>
      </c>
      <c r="L978" s="306"/>
      <c r="M978" s="2">
        <f ca="1">ROUND(K978*$C978,0)</f>
        <v>469606</v>
      </c>
      <c r="N978" s="2"/>
      <c r="O978" s="322" t="str">
        <f>O940</f>
        <v xml:space="preserve"> </v>
      </c>
      <c r="P978" s="306"/>
      <c r="Q978" s="2">
        <f>ROUND(O978*$C978,0)</f>
        <v>0</v>
      </c>
      <c r="R978" s="2"/>
      <c r="S978" s="322" t="str">
        <f>S940</f>
        <v xml:space="preserve"> </v>
      </c>
      <c r="T978" s="306"/>
      <c r="U978" s="2">
        <f>ROUND(S978*$C978,0)</f>
        <v>0</v>
      </c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 hidden="1">
      <c r="A979" s="308" t="s">
        <v>462</v>
      </c>
      <c r="B979" s="1"/>
      <c r="C979" s="304">
        <f>'Rate Design Work eff 10-14-16'!C980</f>
        <v>0</v>
      </c>
      <c r="D979" s="322">
        <f>'Rate Design Work eff 10-14-16'!D980</f>
        <v>1675</v>
      </c>
      <c r="E979" s="309"/>
      <c r="F979" s="2">
        <f>ROUND(D979*C979,0)</f>
        <v>0</v>
      </c>
      <c r="G979" s="322">
        <f ca="1">G941</f>
        <v>1703</v>
      </c>
      <c r="H979" s="309"/>
      <c r="I979" s="2">
        <f ca="1">ROUND(G979*$C979,0)</f>
        <v>0</v>
      </c>
      <c r="J979" s="2"/>
      <c r="K979" s="322">
        <f ca="1">K941</f>
        <v>1703</v>
      </c>
      <c r="L979" s="309"/>
      <c r="M979" s="2">
        <f ca="1">ROUND(K979*$C979,0)</f>
        <v>0</v>
      </c>
      <c r="N979" s="2"/>
      <c r="O979" s="322" t="str">
        <f>O941</f>
        <v xml:space="preserve"> </v>
      </c>
      <c r="P979" s="309"/>
      <c r="Q979" s="2">
        <f>ROUND(O979*$C979,0)</f>
        <v>0</v>
      </c>
      <c r="R979" s="2"/>
      <c r="S979" s="322" t="str">
        <f>S941</f>
        <v xml:space="preserve"> </v>
      </c>
      <c r="T979" s="309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 hidden="1">
      <c r="A980" s="308" t="s">
        <v>384</v>
      </c>
      <c r="B980" s="1"/>
      <c r="C980" s="304">
        <f>SUM(C978:C979)</f>
        <v>332.81818181818198</v>
      </c>
      <c r="D980" s="322"/>
      <c r="E980" s="306"/>
      <c r="F980" s="2" t="s">
        <v>31</v>
      </c>
      <c r="G980" s="322" t="s">
        <v>31</v>
      </c>
      <c r="H980" s="306"/>
      <c r="I980" s="2" t="s">
        <v>31</v>
      </c>
      <c r="J980" s="2"/>
      <c r="K980" s="322" t="s">
        <v>31</v>
      </c>
      <c r="L980" s="306"/>
      <c r="M980" s="2" t="s">
        <v>31</v>
      </c>
      <c r="N980" s="2"/>
      <c r="O980" s="322" t="s">
        <v>31</v>
      </c>
      <c r="P980" s="306"/>
      <c r="Q980" s="2" t="s">
        <v>31</v>
      </c>
      <c r="R980" s="2"/>
      <c r="S980" s="322" t="s">
        <v>31</v>
      </c>
      <c r="T980" s="306"/>
      <c r="U980" s="2" t="s">
        <v>31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 hidden="1">
      <c r="A981" s="308" t="s">
        <v>463</v>
      </c>
      <c r="B981" s="1"/>
      <c r="C981" s="304">
        <f>'Rate Design Work eff 10-14-16'!C982</f>
        <v>537406.793103448</v>
      </c>
      <c r="D981" s="322">
        <f>'Rate Design Work eff 10-14-16'!D982</f>
        <v>1.1000000000000001</v>
      </c>
      <c r="E981" s="306"/>
      <c r="F981" s="2">
        <f>ROUND(D981*C981,0)</f>
        <v>591147</v>
      </c>
      <c r="G981" s="322">
        <f ca="1">G943</f>
        <v>1.1200000000000001</v>
      </c>
      <c r="H981" s="306"/>
      <c r="I981" s="2">
        <f ca="1">ROUND(G981*$C981,0)</f>
        <v>601896</v>
      </c>
      <c r="J981" s="2"/>
      <c r="K981" s="322">
        <f ca="1">K943</f>
        <v>1.1200000000000001</v>
      </c>
      <c r="L981" s="306"/>
      <c r="M981" s="2">
        <f ca="1">ROUND(K981*$C981,0)</f>
        <v>601896</v>
      </c>
      <c r="N981" s="2"/>
      <c r="O981" s="322" t="str">
        <f>O943</f>
        <v xml:space="preserve"> </v>
      </c>
      <c r="P981" s="306"/>
      <c r="Q981" s="2">
        <f>ROUND(O981*$C981,0)</f>
        <v>0</v>
      </c>
      <c r="R981" s="2"/>
      <c r="S981" s="322" t="str">
        <f>S943</f>
        <v xml:space="preserve"> </v>
      </c>
      <c r="T981" s="306"/>
      <c r="U981" s="2">
        <f>ROUND(S981*$C981,0)</f>
        <v>0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 hidden="1">
      <c r="A982" s="308" t="s">
        <v>464</v>
      </c>
      <c r="B982" s="1"/>
      <c r="C982" s="304">
        <f>'Rate Design Work eff 10-14-16'!C983</f>
        <v>0</v>
      </c>
      <c r="D982" s="322">
        <f>'Rate Design Work eff 10-14-16'!D983</f>
        <v>0.99</v>
      </c>
      <c r="E982" s="306"/>
      <c r="F982" s="2">
        <f>ROUND(D982*C982,0)</f>
        <v>0</v>
      </c>
      <c r="G982" s="322">
        <f ca="1">G944</f>
        <v>1.01</v>
      </c>
      <c r="H982" s="306"/>
      <c r="I982" s="2">
        <f ca="1">ROUND(G982*$C982,0)</f>
        <v>0</v>
      </c>
      <c r="J982" s="2"/>
      <c r="K982" s="322">
        <f ca="1">K944</f>
        <v>1.01</v>
      </c>
      <c r="L982" s="306"/>
      <c r="M982" s="2">
        <f ca="1">ROUND(K982*$C982,0)</f>
        <v>0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 hidden="1">
      <c r="A983" s="294" t="s">
        <v>393</v>
      </c>
      <c r="B983" s="1"/>
      <c r="C983" s="304">
        <f>'Rate Design Work eff 10-14-16'!C984</f>
        <v>465132.48275862099</v>
      </c>
      <c r="D983" s="322">
        <f>'Rate Design Work eff 10-14-16'!D984</f>
        <v>7.83</v>
      </c>
      <c r="E983" s="306"/>
      <c r="F983" s="2">
        <f>ROUND(D983*C983,0)</f>
        <v>3641987</v>
      </c>
      <c r="G983" s="322">
        <f ca="1">G945</f>
        <v>7.97</v>
      </c>
      <c r="H983" s="306"/>
      <c r="I983" s="2">
        <f ca="1">ROUND(G983*$C983,0)</f>
        <v>3707106</v>
      </c>
      <c r="J983" s="2"/>
      <c r="K983" s="322" t="e">
        <f ca="1">K945</f>
        <v>#DIV/0!</v>
      </c>
      <c r="L983" s="306"/>
      <c r="M983" s="2" t="e">
        <f ca="1">ROUND(K983*$C983,0)</f>
        <v>#DIV/0!</v>
      </c>
      <c r="N983" s="2"/>
      <c r="O983" s="322" t="e">
        <f ca="1">O945</f>
        <v>#DIV/0!</v>
      </c>
      <c r="P983" s="306"/>
      <c r="Q983" s="2" t="e">
        <f ca="1">ROUND(O983*$C983,0)</f>
        <v>#DIV/0!</v>
      </c>
      <c r="R983" s="2"/>
      <c r="S983" s="322" t="e">
        <f ca="1">S945</f>
        <v>#DIV/0!</v>
      </c>
      <c r="T983" s="306"/>
      <c r="U983" s="2" t="e">
        <f ca="1">ROUND(S983*$C983,0)</f>
        <v>#DIV/0!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 hidden="1">
      <c r="A984" s="308" t="s">
        <v>416</v>
      </c>
      <c r="B984" s="1"/>
      <c r="C984" s="304"/>
      <c r="D984" s="322"/>
      <c r="E984" s="306"/>
      <c r="F984" s="2"/>
      <c r="G984" s="322" t="s">
        <v>31</v>
      </c>
      <c r="H984" s="306"/>
      <c r="I984" s="2"/>
      <c r="J984" s="2"/>
      <c r="K984" s="322" t="s">
        <v>31</v>
      </c>
      <c r="L984" s="306"/>
      <c r="M984" s="2"/>
      <c r="N984" s="2"/>
      <c r="O984" s="322" t="s">
        <v>31</v>
      </c>
      <c r="P984" s="306"/>
      <c r="Q984" s="2"/>
      <c r="R984" s="2"/>
      <c r="S984" s="322" t="s">
        <v>31</v>
      </c>
      <c r="T984" s="306"/>
      <c r="U984" s="2"/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 hidden="1">
      <c r="A985" s="308" t="s">
        <v>454</v>
      </c>
      <c r="B985" s="1"/>
      <c r="C985" s="304">
        <f>'Rate Design Work eff 10-14-16'!C986</f>
        <v>209700450</v>
      </c>
      <c r="D985" s="380">
        <f>'Rate Design Work eff 10-14-16'!D986</f>
        <v>4.6630000000000003</v>
      </c>
      <c r="E985" s="306" t="s">
        <v>364</v>
      </c>
      <c r="F985" s="2">
        <f>ROUND(D985/100*C985,0)</f>
        <v>9778332</v>
      </c>
      <c r="G985" s="380">
        <f ca="1">G947</f>
        <v>4.7409999999999997</v>
      </c>
      <c r="H985" s="306" t="s">
        <v>364</v>
      </c>
      <c r="I985" s="2">
        <f ca="1">ROUND(G985/100*$C985,0)</f>
        <v>9941898</v>
      </c>
      <c r="J985" s="2"/>
      <c r="K985" s="380" t="str">
        <f>K947</f>
        <v xml:space="preserve"> </v>
      </c>
      <c r="L985" s="306" t="s">
        <v>364</v>
      </c>
      <c r="M985" s="2">
        <f>ROUND(K985/100*$C985,0)</f>
        <v>0</v>
      </c>
      <c r="N985" s="2"/>
      <c r="O985" s="380" t="e">
        <f ca="1">O947</f>
        <v>#DIV/0!</v>
      </c>
      <c r="P985" s="306" t="s">
        <v>364</v>
      </c>
      <c r="Q985" s="2" t="e">
        <f ca="1">ROUND(O985/100*$C985,0)</f>
        <v>#DIV/0!</v>
      </c>
      <c r="R985" s="2"/>
      <c r="S985" s="380" t="e">
        <f ca="1">S947</f>
        <v>#DIV/0!</v>
      </c>
      <c r="T985" s="306" t="s">
        <v>364</v>
      </c>
      <c r="U985" s="2" t="e">
        <f ca="1">ROUND(S985/100*$C985,0)</f>
        <v>#DIV/0!</v>
      </c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 hidden="1">
      <c r="A986" s="308" t="s">
        <v>390</v>
      </c>
      <c r="B986" s="1"/>
      <c r="C986" s="304">
        <f>'Rate Design Work eff 10-14-16'!C987</f>
        <v>129089.24242424199</v>
      </c>
      <c r="D986" s="322">
        <f>'Rate Design Work eff 10-14-16'!D987</f>
        <v>0.55000000000000004</v>
      </c>
      <c r="E986" s="306"/>
      <c r="F986" s="2">
        <f>ROUND(D986*C986,0)</f>
        <v>70999</v>
      </c>
      <c r="G986" s="322">
        <f ca="1">G948</f>
        <v>0.56000000000000005</v>
      </c>
      <c r="H986" s="306"/>
      <c r="I986" s="2">
        <f ca="1">ROUND(G986*$C986,0)</f>
        <v>72290</v>
      </c>
      <c r="J986" s="2"/>
      <c r="K986" s="322" t="str">
        <f>K948</f>
        <v xml:space="preserve"> </v>
      </c>
      <c r="L986" s="306"/>
      <c r="M986" s="2">
        <f>ROUND(K986*$C986,0)</f>
        <v>0</v>
      </c>
      <c r="N986" s="2"/>
      <c r="O986" s="322" t="e">
        <f ca="1">O948</f>
        <v>#DIV/0!</v>
      </c>
      <c r="P986" s="306"/>
      <c r="Q986" s="2" t="e">
        <f ca="1">ROUND(O986*$C986,0)</f>
        <v>#DIV/0!</v>
      </c>
      <c r="R986" s="2"/>
      <c r="S986" s="322" t="e">
        <f ca="1">S948</f>
        <v>#DIV/0!</v>
      </c>
      <c r="T986" s="306"/>
      <c r="U986" s="2" t="e">
        <f ca="1">ROUND(S986*$C986,0)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 s="1118" customFormat="1" hidden="1">
      <c r="A987" s="968" t="s">
        <v>891</v>
      </c>
      <c r="C987" s="1122">
        <f>C985</f>
        <v>209700450</v>
      </c>
      <c r="D987" s="254">
        <f>'Rate Design Work eff 10-14-16'!D988</f>
        <v>0</v>
      </c>
      <c r="E987" s="1119"/>
      <c r="F987" s="1123"/>
      <c r="G987" s="1128">
        <f>G949</f>
        <v>0</v>
      </c>
      <c r="H987" s="1000" t="s">
        <v>364</v>
      </c>
      <c r="I987" s="1123">
        <f>ROUND(G987*$C987/100,0)</f>
        <v>0</v>
      </c>
      <c r="J987" s="1123"/>
      <c r="K987" s="1128" t="str">
        <f>K949</f>
        <v xml:space="preserve"> </v>
      </c>
      <c r="L987" s="1000" t="s">
        <v>364</v>
      </c>
      <c r="M987" s="1123">
        <f>ROUND(K987*$C987/100,0)</f>
        <v>0</v>
      </c>
      <c r="N987" s="1123"/>
      <c r="O987" s="1128" t="str">
        <f>O949</f>
        <v xml:space="preserve"> </v>
      </c>
      <c r="P987" s="1000" t="s">
        <v>364</v>
      </c>
      <c r="Q987" s="1123">
        <f>ROUND(O987*$C987/100,0)</f>
        <v>0</v>
      </c>
      <c r="R987" s="1123"/>
      <c r="S987" s="1128">
        <f>S949</f>
        <v>0</v>
      </c>
      <c r="T987" s="1000" t="s">
        <v>364</v>
      </c>
      <c r="U987" s="1123">
        <f>ROUND(S987*$C987/100,0)</f>
        <v>0</v>
      </c>
      <c r="W987" s="784"/>
      <c r="Z987" s="1125"/>
      <c r="AA987" s="1125"/>
      <c r="AF987" s="1119"/>
      <c r="AG987" s="1119"/>
      <c r="AH987" s="1119"/>
      <c r="AI987" s="1119"/>
      <c r="AJ987" s="1119"/>
      <c r="AK987" s="1119"/>
      <c r="AL987" s="1119"/>
      <c r="AM987" s="1119"/>
      <c r="AN987" s="1119"/>
      <c r="AO987" s="1119"/>
      <c r="AP987" s="1119"/>
      <c r="AR987" s="1124"/>
    </row>
    <row r="988" spans="1:44" hidden="1">
      <c r="A988" s="1" t="s">
        <v>371</v>
      </c>
      <c r="B988" s="1"/>
      <c r="C988" s="304">
        <f>C985</f>
        <v>209700450</v>
      </c>
      <c r="D988" s="315"/>
      <c r="E988" s="1"/>
      <c r="F988" s="2">
        <f>SUM(F978:F986)</f>
        <v>14543751</v>
      </c>
      <c r="G988" s="315"/>
      <c r="H988" s="1"/>
      <c r="I988" s="2">
        <f ca="1">SUM(I978:I987)</f>
        <v>14792796</v>
      </c>
      <c r="J988" s="2"/>
      <c r="K988" s="315"/>
      <c r="L988" s="1"/>
      <c r="M988" s="2" t="e">
        <f ca="1">SUM(M978:M987)</f>
        <v>#DIV/0!</v>
      </c>
      <c r="N988" s="2"/>
      <c r="O988" s="315"/>
      <c r="P988" s="1"/>
      <c r="Q988" s="2" t="e">
        <f ca="1">SUM(Q978:Q987)</f>
        <v>#DIV/0!</v>
      </c>
      <c r="R988" s="2"/>
      <c r="S988" s="315"/>
      <c r="T988" s="1"/>
      <c r="U988" s="2" t="e">
        <f ca="1">SUM(U978:U987)</f>
        <v>#DIV/0!</v>
      </c>
      <c r="V988" s="7" t="s">
        <v>31</v>
      </c>
      <c r="W988" s="74"/>
      <c r="X988" s="74"/>
      <c r="Y988" s="74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</row>
    <row r="989" spans="1:44" hidden="1">
      <c r="A989" s="1" t="s">
        <v>353</v>
      </c>
      <c r="B989" s="1"/>
      <c r="C989" s="304">
        <f ca="1">C988/($C$988+$C$1046)*$C$1084</f>
        <v>652001.57700801117</v>
      </c>
      <c r="D989" s="294"/>
      <c r="E989" s="294"/>
      <c r="F989" s="326">
        <f ca="1">F988/($F$988+$F$1046)*$F$1084</f>
        <v>46004.73177716678</v>
      </c>
      <c r="G989" s="294"/>
      <c r="H989" s="294"/>
      <c r="I989" s="326">
        <f ca="1">F989</f>
        <v>46004.73177716678</v>
      </c>
      <c r="J989" s="307"/>
      <c r="K989" s="294"/>
      <c r="L989" s="294"/>
      <c r="M989" s="326" t="e">
        <f ca="1">$I$989*V955/($V955+$W$955+$X$955)</f>
        <v>#DIV/0!</v>
      </c>
      <c r="N989" s="51"/>
      <c r="O989" s="294"/>
      <c r="P989" s="294"/>
      <c r="Q989" s="326" t="e">
        <f ca="1">$I$989*W955/($V955+$W$955+$X$955)</f>
        <v>#DIV/0!</v>
      </c>
      <c r="R989" s="51"/>
      <c r="S989" s="294"/>
      <c r="T989" s="294"/>
      <c r="U989" s="326" t="e">
        <f ca="1">$I$989*X955/($V955+$W$955+$X$955)</f>
        <v>#DIV/0!</v>
      </c>
      <c r="V989" s="429"/>
      <c r="W989" s="272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 ht="16.5" hidden="1" thickBot="1">
      <c r="A990" s="1" t="s">
        <v>372</v>
      </c>
      <c r="B990" s="1"/>
      <c r="C990" s="378">
        <f ca="1">SUM(C988)+C989</f>
        <v>210352451.57700801</v>
      </c>
      <c r="D990" s="327"/>
      <c r="E990" s="330"/>
      <c r="F990" s="329">
        <f ca="1">F988+F989</f>
        <v>14589755.731777167</v>
      </c>
      <c r="G990" s="327"/>
      <c r="H990" s="330"/>
      <c r="I990" s="329">
        <f ca="1">I988+I989</f>
        <v>14838800.731777167</v>
      </c>
      <c r="J990" s="307"/>
      <c r="K990" s="327"/>
      <c r="L990" s="330"/>
      <c r="M990" s="329" t="e">
        <f ca="1">M988+M989</f>
        <v>#DIV/0!</v>
      </c>
      <c r="N990" s="329"/>
      <c r="O990" s="327"/>
      <c r="P990" s="330"/>
      <c r="Q990" s="329" t="e">
        <f ca="1">Q988+Q989</f>
        <v>#DIV/0!</v>
      </c>
      <c r="R990" s="329"/>
      <c r="S990" s="327"/>
      <c r="T990" s="330"/>
      <c r="U990" s="329" t="e">
        <f ca="1">U988+U989</f>
        <v>#DIV/0!</v>
      </c>
      <c r="V990" s="396"/>
      <c r="W990" s="455"/>
      <c r="X990" s="74"/>
      <c r="Y990" s="74"/>
      <c r="Z990" s="770" t="s">
        <v>31</v>
      </c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hidden="1" thickTop="1">
      <c r="A991" s="1"/>
      <c r="B991" s="1"/>
      <c r="C991" s="21"/>
      <c r="D991" s="322"/>
      <c r="E991" s="1"/>
      <c r="F991" s="2"/>
      <c r="G991" s="322"/>
      <c r="H991" s="1"/>
      <c r="I991" s="365"/>
      <c r="J991" s="365"/>
      <c r="K991" s="322"/>
      <c r="L991" s="1"/>
      <c r="M991" s="365"/>
      <c r="N991" s="365"/>
      <c r="O991" s="322"/>
      <c r="P991" s="1"/>
      <c r="Q991" s="365"/>
      <c r="R991" s="365"/>
      <c r="S991" s="322"/>
      <c r="T991" s="1"/>
      <c r="U991" s="365"/>
      <c r="W991" s="74"/>
      <c r="X991" s="751" t="s">
        <v>31</v>
      </c>
      <c r="Y991" s="751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idden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/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49">C1018+C1036</f>
        <v>130.3333333333334</v>
      </c>
      <c r="D997" s="322">
        <f>'Rate Design Work eff 10-14-16'!D997</f>
        <v>1419</v>
      </c>
      <c r="E997" s="306"/>
      <c r="F997" s="2">
        <f>ROUND(D997*C997,0)</f>
        <v>184943</v>
      </c>
      <c r="G997" s="311">
        <f ca="1">'Rate Design Work eff 10-14-16'!G997</f>
        <v>1443</v>
      </c>
      <c r="H997" s="306"/>
      <c r="I997" s="2">
        <f ca="1">ROUND(G997*$C997,0)</f>
        <v>188071</v>
      </c>
      <c r="J997" s="2"/>
      <c r="K997" s="311">
        <f ca="1">'Rate Design Work eff 10-14-16'!K997</f>
        <v>1443</v>
      </c>
      <c r="L997" s="306"/>
      <c r="M997" s="2">
        <f ca="1">'Rate Design Work eff 10-14-16'!M997</f>
        <v>188071</v>
      </c>
      <c r="N997" s="2"/>
      <c r="O997" s="311" t="str">
        <f>'Rate Design Work eff 10-14-16'!O997</f>
        <v xml:space="preserve"> </v>
      </c>
      <c r="P997" s="306"/>
      <c r="Q997" s="2">
        <f>'Rate Design Work eff 10-14-16'!Q997</f>
        <v>0</v>
      </c>
      <c r="R997" s="2"/>
      <c r="S997" s="311" t="str">
        <f>'Rate Design Work eff 10-14-16'!S997</f>
        <v xml:space="preserve"> </v>
      </c>
      <c r="T997" s="306"/>
      <c r="U997" s="2">
        <f>'Rate Design Work eff 10-14-16'!U997</f>
        <v>0</v>
      </c>
      <c r="V997" s="20"/>
      <c r="X997" s="796">
        <f ca="1">(G997-D997)/D997</f>
        <v>1.6913319238900635E-2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49"/>
        <v>0</v>
      </c>
      <c r="D998" s="322">
        <f>'Rate Design Work eff 10-14-16'!D998</f>
        <v>1707</v>
      </c>
      <c r="E998" s="309"/>
      <c r="F998" s="2">
        <f>ROUND(D998*C998,0)</f>
        <v>0</v>
      </c>
      <c r="G998" s="311">
        <f ca="1">'Rate Design Work eff 10-14-16'!G998</f>
        <v>1736</v>
      </c>
      <c r="H998" s="309"/>
      <c r="I998" s="2">
        <f ca="1">ROUND(G998*$C998,0)</f>
        <v>0</v>
      </c>
      <c r="J998" s="2"/>
      <c r="K998" s="311">
        <f ca="1">'Rate Design Work eff 10-14-16'!K998</f>
        <v>1736</v>
      </c>
      <c r="L998" s="1275"/>
      <c r="M998" s="2">
        <f ca="1">'Rate Design Work eff 10-14-16'!M998</f>
        <v>0</v>
      </c>
      <c r="N998" s="2"/>
      <c r="O998" s="311" t="str">
        <f>'Rate Design Work eff 10-14-16'!O998</f>
        <v xml:space="preserve"> </v>
      </c>
      <c r="P998" s="1275"/>
      <c r="Q998" s="2">
        <f>'Rate Design Work eff 10-14-16'!Q998</f>
        <v>0</v>
      </c>
      <c r="R998" s="2"/>
      <c r="S998" s="311" t="str">
        <f>'Rate Design Work eff 10-14-16'!S998</f>
        <v xml:space="preserve"> </v>
      </c>
      <c r="T998" s="1275"/>
      <c r="U998" s="2">
        <f>'Rate Design Work eff 10-14-16'!U998</f>
        <v>0</v>
      </c>
      <c r="V998" s="20"/>
      <c r="X998" s="796">
        <f ca="1">(G998-D998)/D998</f>
        <v>1.698886936145284E-2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49"/>
        <v>130.3333333333334</v>
      </c>
      <c r="D999" s="322"/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49"/>
        <v>230926.96551724101</v>
      </c>
      <c r="D1000" s="322">
        <f>'Rate Design Work eff 10-14-16'!D1000</f>
        <v>0.56000000000000005</v>
      </c>
      <c r="E1000" s="306"/>
      <c r="F1000" s="2">
        <f>ROUND(D1000*C1000,0)</f>
        <v>129319</v>
      </c>
      <c r="G1000" s="311">
        <f ca="1">'Rate Design Work eff 10-14-16'!G1000</f>
        <v>0.56999999999999995</v>
      </c>
      <c r="H1000" s="306"/>
      <c r="I1000" s="2">
        <f ca="1">ROUND(G1000*$C1000,0)</f>
        <v>131628</v>
      </c>
      <c r="J1000" s="2"/>
      <c r="K1000" s="311">
        <f ca="1">'Rate Design Work eff 10-14-16'!K1000</f>
        <v>0.56999999999999995</v>
      </c>
      <c r="L1000" s="306"/>
      <c r="M1000" s="2">
        <f ca="1">'Rate Design Work eff 10-14-16'!M1000</f>
        <v>131628</v>
      </c>
      <c r="N1000" s="2"/>
      <c r="O1000" s="311" t="str">
        <f>'Rate Design Work eff 10-14-16'!O1000</f>
        <v xml:space="preserve"> </v>
      </c>
      <c r="P1000" s="306"/>
      <c r="Q1000" s="2">
        <f>'Rate Design Work eff 10-14-16'!Q1000</f>
        <v>0</v>
      </c>
      <c r="R1000" s="2"/>
      <c r="S1000" s="311" t="str">
        <f>'Rate Design Work eff 10-14-16'!S1000</f>
        <v xml:space="preserve"> </v>
      </c>
      <c r="T1000" s="306"/>
      <c r="U1000" s="2">
        <f>'Rate Design Work eff 10-14-16'!U1000</f>
        <v>0</v>
      </c>
      <c r="X1000" s="796">
        <f ca="1">(G1000-D1000)/D1000</f>
        <v>1.7857142857142672E-2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49"/>
        <v>0</v>
      </c>
      <c r="D1001" s="322">
        <f>'Rate Design Work eff 10-14-16'!D1001</f>
        <v>0.45</v>
      </c>
      <c r="E1001" s="306"/>
      <c r="F1001" s="2">
        <f>ROUND(D1001*C1001,0)</f>
        <v>0</v>
      </c>
      <c r="G1001" s="311">
        <f ca="1">'Rate Design Work eff 10-14-16'!G1001</f>
        <v>0.46</v>
      </c>
      <c r="H1001" s="306"/>
      <c r="I1001" s="2">
        <f ca="1">ROUND(G1001*$C1001,0)</f>
        <v>0</v>
      </c>
      <c r="J1001" s="2"/>
      <c r="K1001" s="311">
        <f ca="1">'Rate Design Work eff 10-14-16'!K1001</f>
        <v>0.46</v>
      </c>
      <c r="L1001" s="306"/>
      <c r="M1001" s="2">
        <f ca="1">'Rate Design Work eff 10-14-16'!M1001</f>
        <v>0</v>
      </c>
      <c r="N1001" s="2"/>
      <c r="O1001" s="311" t="str">
        <f>'Rate Design Work eff 10-14-16'!O1001</f>
        <v xml:space="preserve"> </v>
      </c>
      <c r="P1001" s="306"/>
      <c r="Q1001" s="2">
        <f>'Rate Design Work eff 10-14-16'!Q1001</f>
        <v>0</v>
      </c>
      <c r="R1001" s="2"/>
      <c r="S1001" s="311" t="str">
        <f>'Rate Design Work eff 10-14-16'!S1001</f>
        <v xml:space="preserve"> </v>
      </c>
      <c r="T1001" s="306"/>
      <c r="U1001" s="2">
        <f>'Rate Design Work eff 10-14-16'!U1001</f>
        <v>0</v>
      </c>
      <c r="V1001" s="20"/>
      <c r="X1001" s="796">
        <f ca="1">(G1001-D1001)/D1001</f>
        <v>2.222222222222224E-2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49"/>
        <v>187022.62068965501</v>
      </c>
      <c r="D1002" s="322">
        <f>'Rate Design Work eff 10-14-16'!D1002</f>
        <v>7.67</v>
      </c>
      <c r="E1002" s="306"/>
      <c r="F1002" s="2">
        <f>ROUND(D1002*C1002,0)</f>
        <v>1434464</v>
      </c>
      <c r="G1002" s="311">
        <f ca="1">'Rate Design Work eff 10-14-16'!G1002</f>
        <v>7.79</v>
      </c>
      <c r="H1002" s="306"/>
      <c r="I1002" s="2">
        <f ca="1">ROUND(G1002*$C1002,0)</f>
        <v>1456906</v>
      </c>
      <c r="J1002" s="2"/>
      <c r="K1002" s="311" t="e">
        <f ca="1">'Rate Design Work eff 10-14-16'!K1002</f>
        <v>#DIV/0!</v>
      </c>
      <c r="L1002" s="306"/>
      <c r="M1002" s="2" t="e">
        <f ca="1">'Rate Design Work eff 10-14-16'!M1002</f>
        <v>#DIV/0!</v>
      </c>
      <c r="N1002" s="2"/>
      <c r="O1002" s="311" t="e">
        <f ca="1">'Rate Design Work eff 10-14-16'!O1002</f>
        <v>#DIV/0!</v>
      </c>
      <c r="P1002" s="306"/>
      <c r="Q1002" s="2" t="e">
        <f ca="1">'Rate Design Work eff 10-14-16'!Q1002</f>
        <v>#DIV/0!</v>
      </c>
      <c r="R1002" s="2"/>
      <c r="S1002" s="311" t="e">
        <f ca="1">'Rate Design Work eff 10-14-16'!S1002</f>
        <v>#DIV/0!</v>
      </c>
      <c r="T1002" s="306"/>
      <c r="U1002" s="2" t="e">
        <f ca="1">'Rate Design Work eff 10-14-16'!U1002</f>
        <v>#DIV/0!</v>
      </c>
      <c r="V1002" s="20"/>
      <c r="X1002" s="796">
        <f ca="1">(G1002-D1002)/D1002</f>
        <v>1.5645371577574983E-2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/>
      <c r="E1003" s="306"/>
      <c r="F1003" s="2"/>
      <c r="G1003" s="311" t="s">
        <v>31</v>
      </c>
      <c r="H1003" s="306"/>
      <c r="I1003" s="2"/>
      <c r="J1003" s="2"/>
      <c r="K1003" s="311" t="s">
        <v>31</v>
      </c>
      <c r="L1003" s="306"/>
      <c r="M1003" s="2"/>
      <c r="N1003" s="2"/>
      <c r="O1003" s="311" t="s">
        <v>31</v>
      </c>
      <c r="P1003" s="306"/>
      <c r="Q1003" s="2"/>
      <c r="R1003" s="2"/>
      <c r="S1003" s="3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f>'Rate Design Work eff 10-14-16'!D1004</f>
        <v>4.6099999999999994</v>
      </c>
      <c r="E1004" s="306" t="s">
        <v>364</v>
      </c>
      <c r="F1004" s="2">
        <f>ROUND(D1004/100*C1004,0)</f>
        <v>3517287</v>
      </c>
      <c r="G1004" s="777">
        <f ca="1">'Rate Design Work eff 10-14-16'!G1004</f>
        <v>4.6879999999999997</v>
      </c>
      <c r="H1004" s="306" t="s">
        <v>364</v>
      </c>
      <c r="I1004" s="2">
        <f ca="1">ROUND(G1004/100*$C1004,0)</f>
        <v>3576798</v>
      </c>
      <c r="J1004" s="2"/>
      <c r="K1004" s="777" t="str">
        <f>'Rate Design Work eff 10-14-16'!K1004</f>
        <v xml:space="preserve"> </v>
      </c>
      <c r="L1004" s="850" t="s">
        <v>31</v>
      </c>
      <c r="M1004" s="2">
        <f>'Rate Design Work eff 10-14-16'!M1004</f>
        <v>0</v>
      </c>
      <c r="N1004" s="2"/>
      <c r="O1004" s="777" t="e">
        <f ca="1">'Rate Design Work eff 10-14-16'!O1004</f>
        <v>#DIV/0!</v>
      </c>
      <c r="P1004" s="306" t="s">
        <v>364</v>
      </c>
      <c r="Q1004" s="2" t="e">
        <f ca="1">'Rate Design Work eff 10-14-16'!Q1004</f>
        <v>#DIV/0!</v>
      </c>
      <c r="R1004" s="2"/>
      <c r="S1004" s="777" t="e">
        <f ca="1">'Rate Design Work eff 10-14-16'!S1004</f>
        <v>#DIV/0!</v>
      </c>
      <c r="T1004" s="306" t="s">
        <v>364</v>
      </c>
      <c r="U1004" s="2" t="e">
        <f ca="1">'Rate Design Work eff 10-14-16'!U1004</f>
        <v>#DIV/0!</v>
      </c>
      <c r="V1004" s="20"/>
      <c r="X1004" s="796">
        <f ca="1">((G1004+G1006)-D1004)/D1004</f>
        <v>1.6919739696312431E-2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f>'Rate Design Work eff 10-14-16'!D1005</f>
        <v>0.54</v>
      </c>
      <c r="E1005" s="306"/>
      <c r="F1005" s="2">
        <f>ROUND(D1005*C1005,0)</f>
        <v>8633</v>
      </c>
      <c r="G1005" s="311">
        <f ca="1">'Rate Design Work eff 10-14-16'!G1005</f>
        <v>0.55000000000000004</v>
      </c>
      <c r="H1005" s="306"/>
      <c r="I1005" s="2">
        <f ca="1">ROUND(G1005*$C1005,0)</f>
        <v>8793</v>
      </c>
      <c r="J1005" s="2"/>
      <c r="K1005" s="311" t="str">
        <f>'Rate Design Work eff 10-14-16'!K1005</f>
        <v xml:space="preserve"> </v>
      </c>
      <c r="L1005" s="306"/>
      <c r="M1005" s="2">
        <f>'Rate Design Work eff 10-14-16'!M1005</f>
        <v>0</v>
      </c>
      <c r="N1005" s="2"/>
      <c r="O1005" s="311" t="e">
        <f ca="1">'Rate Design Work eff 10-14-16'!O1005</f>
        <v>#DIV/0!</v>
      </c>
      <c r="P1005" s="306"/>
      <c r="Q1005" s="2" t="e">
        <f ca="1">'Rate Design Work eff 10-14-16'!Q1005</f>
        <v>#DIV/0!</v>
      </c>
      <c r="R1005" s="2"/>
      <c r="S1005" s="311" t="e">
        <f ca="1">'Rate Design Work eff 10-14-16'!S1005</f>
        <v>#DIV/0!</v>
      </c>
      <c r="T1005" s="306"/>
      <c r="U1005" s="2" t="e">
        <f ca="1">'Rate Design Work eff 10-14-16'!U1005</f>
        <v>#DIV/0!</v>
      </c>
      <c r="V1005" s="20"/>
      <c r="X1005" s="796">
        <f ca="1">(G1005-D1005)/D1005</f>
        <v>1.8518518518518535E-2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f>'Rate Design Work eff 10-14-16'!D1006</f>
        <v>0</v>
      </c>
      <c r="E1006" s="1119"/>
      <c r="F1006" s="1123"/>
      <c r="G1006" s="1128">
        <f>'Rate Design Work eff 10-14-16'!G1006</f>
        <v>0</v>
      </c>
      <c r="H1006" s="1000" t="s">
        <v>364</v>
      </c>
      <c r="I1006" s="1123">
        <f>ROUND(G1006/100*$C1006,0)</f>
        <v>0</v>
      </c>
      <c r="J1006" s="1123"/>
      <c r="K1006" s="1128" t="str">
        <f>'Rate Design Work eff 10-14-16'!K1006</f>
        <v xml:space="preserve"> </v>
      </c>
      <c r="L1006" s="1000" t="s">
        <v>31</v>
      </c>
      <c r="M1006" s="2">
        <f>'Rate Design Work eff 10-14-16'!M1006</f>
        <v>0</v>
      </c>
      <c r="N1006" s="1000"/>
      <c r="O1006" s="1128" t="str">
        <f>'Rate Design Work eff 10-14-16'!O1006</f>
        <v xml:space="preserve"> </v>
      </c>
      <c r="P1006" s="1000" t="s">
        <v>31</v>
      </c>
      <c r="Q1006" s="2">
        <f>'Rate Design Work eff 10-14-16'!Q1006</f>
        <v>0</v>
      </c>
      <c r="R1006" s="1000"/>
      <c r="S1006" s="1128">
        <f>'Rate Design Work eff 10-14-16'!S1006</f>
        <v>0</v>
      </c>
      <c r="T1006" s="1000" t="s">
        <v>364</v>
      </c>
      <c r="U1006" s="2">
        <f>'Rate Design Work eff 10-14-16'!U1006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f>'Rate Design Work eff 10-14-16'!D1007</f>
        <v>4.6099999999999994</v>
      </c>
      <c r="E1007" s="1266" t="s">
        <v>364</v>
      </c>
      <c r="F1007" s="1259"/>
      <c r="G1007" s="1260">
        <f ca="1">G1004+G1006</f>
        <v>4.6879999999999997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1.6919739696312431E-2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5274646</v>
      </c>
      <c r="G1008" s="315"/>
      <c r="H1008" s="1"/>
      <c r="I1008" s="2">
        <f ca="1">SUM(I997:I1007)</f>
        <v>5362196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6">
        <f ca="1">F1029+F1047</f>
        <v>39185.210389301043</v>
      </c>
      <c r="G1009" s="294"/>
      <c r="H1009" s="294"/>
      <c r="I1009" s="326">
        <f ca="1">F1009</f>
        <v>39185.210389301043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5313831.2103893012</v>
      </c>
      <c r="G1010" s="327"/>
      <c r="H1010" s="330"/>
      <c r="I1010" s="329">
        <f ca="1">I1008+I1009</f>
        <v>5401381.2103893012</v>
      </c>
      <c r="J1010" s="307"/>
      <c r="K1010" s="327"/>
      <c r="L1010" s="330"/>
      <c r="M1010" s="329" t="e">
        <f ca="1">SUM(M1008:M1009)</f>
        <v>#DIV/0!</v>
      </c>
      <c r="N1010" s="329"/>
      <c r="O1010" s="327"/>
      <c r="P1010" s="330"/>
      <c r="Q1010" s="329" t="e">
        <f ca="1">SUM(Q1008:Q1009)</f>
        <v>#DIV/0!</v>
      </c>
      <c r="R1010" s="329"/>
      <c r="S1010" s="327"/>
      <c r="T1010" s="330"/>
      <c r="U1010" s="329" t="e">
        <f ca="1">SUM(U1008:U1009)</f>
        <v>#DIV/0!</v>
      </c>
      <c r="V1010" s="396" t="s">
        <v>31</v>
      </c>
      <c r="W1010" s="751" t="s">
        <v>31</v>
      </c>
      <c r="X1010" s="703">
        <f ca="1">(I1010-F1010)/F1010</f>
        <v>1.6475871463291346E-2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hidden="1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 hidden="1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 hidden="1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 hidden="1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 hidden="1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 hidden="1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 hidden="1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 hidden="1">
      <c r="A1018" s="308" t="s">
        <v>461</v>
      </c>
      <c r="B1018" s="1"/>
      <c r="C1018" s="304">
        <f>'Rate Design Work eff 10-14-16'!C1018</f>
        <v>106.57575757575761</v>
      </c>
      <c r="D1018" s="322">
        <f>'Rate Design Work eff 10-14-16'!D1018</f>
        <v>1419</v>
      </c>
      <c r="E1018" s="306"/>
      <c r="F1018" s="2">
        <f>ROUND(D1018*C1018,0)</f>
        <v>151231</v>
      </c>
      <c r="G1018" s="322">
        <f ca="1">G997</f>
        <v>1443</v>
      </c>
      <c r="H1018" s="306"/>
      <c r="I1018" s="2">
        <f ca="1">ROUND(G1018*$C1018,0)</f>
        <v>153789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 hidden="1">
      <c r="A1019" s="308" t="s">
        <v>462</v>
      </c>
      <c r="B1019" s="1"/>
      <c r="C1019" s="304">
        <f>'Rate Design Work eff 10-14-16'!C1019</f>
        <v>0</v>
      </c>
      <c r="D1019" s="322">
        <f>'Rate Design Work eff 10-14-16'!D1019</f>
        <v>1707</v>
      </c>
      <c r="E1019" s="309"/>
      <c r="F1019" s="2">
        <f>ROUND(D1019*C1019,0)</f>
        <v>0</v>
      </c>
      <c r="G1019" s="322">
        <f ca="1">G998</f>
        <v>1736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 hidden="1">
      <c r="A1020" s="308" t="s">
        <v>384</v>
      </c>
      <c r="B1020" s="1"/>
      <c r="C1020" s="304">
        <f>SUM(C1018:C1019)</f>
        <v>106.57575757575761</v>
      </c>
      <c r="D1020" s="322"/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 hidden="1">
      <c r="A1021" s="308" t="s">
        <v>463</v>
      </c>
      <c r="B1021" s="1"/>
      <c r="C1021" s="304">
        <f>'Rate Design Work eff 10-14-16'!C1021</f>
        <v>201387.96551724101</v>
      </c>
      <c r="D1021" s="322">
        <f>'Rate Design Work eff 10-14-16'!D1021</f>
        <v>0.56000000000000005</v>
      </c>
      <c r="E1021" s="306"/>
      <c r="F1021" s="2">
        <f>ROUND(D1021*C1021,0)</f>
        <v>112777</v>
      </c>
      <c r="G1021" s="322">
        <f ca="1">G1000</f>
        <v>0.56999999999999995</v>
      </c>
      <c r="H1021" s="306"/>
      <c r="I1021" s="2">
        <f ca="1">ROUND(G1021*$C1021,0)</f>
        <v>114791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 hidden="1">
      <c r="A1022" s="308" t="s">
        <v>464</v>
      </c>
      <c r="B1022" s="1"/>
      <c r="C1022" s="304">
        <f>'Rate Design Work eff 10-14-16'!C1022</f>
        <v>0</v>
      </c>
      <c r="D1022" s="322">
        <f>'Rate Design Work eff 10-14-16'!D1022</f>
        <v>0.45</v>
      </c>
      <c r="E1022" s="306"/>
      <c r="F1022" s="2">
        <f>ROUND(D1022*C1022,0)</f>
        <v>0</v>
      </c>
      <c r="G1022" s="322">
        <f ca="1">G1001</f>
        <v>0.46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 hidden="1">
      <c r="A1023" s="294" t="s">
        <v>393</v>
      </c>
      <c r="B1023" s="1"/>
      <c r="C1023" s="304">
        <f>'Rate Design Work eff 10-14-16'!C1023</f>
        <v>162363.62068965501</v>
      </c>
      <c r="D1023" s="322">
        <f>'Rate Design Work eff 10-14-16'!D1023</f>
        <v>7.67</v>
      </c>
      <c r="E1023" s="306"/>
      <c r="F1023" s="2">
        <f>ROUND(D1023*C1023,0)</f>
        <v>1245329</v>
      </c>
      <c r="G1023" s="322">
        <f ca="1">G1002</f>
        <v>7.79</v>
      </c>
      <c r="H1023" s="306"/>
      <c r="I1023" s="2">
        <f ca="1">ROUND(G1023*$C1023,0)</f>
        <v>1264813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 hidden="1">
      <c r="A1024" s="308" t="s">
        <v>416</v>
      </c>
      <c r="B1024" s="1"/>
      <c r="C1024" s="304"/>
      <c r="D1024" s="322"/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 hidden="1">
      <c r="A1025" s="308" t="s">
        <v>454</v>
      </c>
      <c r="B1025" s="1"/>
      <c r="C1025" s="304">
        <f>'Rate Design Work eff 10-14-16'!C1025</f>
        <v>69500087.893373474</v>
      </c>
      <c r="D1025" s="380">
        <f>'Rate Design Work eff 10-14-16'!D1025</f>
        <v>4.6099999999999994</v>
      </c>
      <c r="E1025" s="306" t="s">
        <v>364</v>
      </c>
      <c r="F1025" s="2">
        <f>ROUND(D1025/100*C1025,0)</f>
        <v>3203954</v>
      </c>
      <c r="G1025" s="380">
        <f ca="1">G1004</f>
        <v>4.6879999999999997</v>
      </c>
      <c r="H1025" s="306" t="s">
        <v>364</v>
      </c>
      <c r="I1025" s="2">
        <f ca="1">ROUND(G1025/100*$C1025,0)</f>
        <v>3258164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 hidden="1">
      <c r="A1026" s="308" t="s">
        <v>390</v>
      </c>
      <c r="B1026" s="1"/>
      <c r="C1026" s="304">
        <f>'Rate Design Work eff 10-14-16'!C1026</f>
        <v>14336.3939393939</v>
      </c>
      <c r="D1026" s="322">
        <f>'Rate Design Work eff 10-14-16'!D1026</f>
        <v>0.54</v>
      </c>
      <c r="E1026" s="306"/>
      <c r="F1026" s="2">
        <f>ROUND(D1026*C1026,0)</f>
        <v>7742</v>
      </c>
      <c r="G1026" s="322">
        <f ca="1">G1005</f>
        <v>0.55000000000000004</v>
      </c>
      <c r="H1026" s="306"/>
      <c r="I1026" s="2">
        <f ca="1">ROUND(G1026*$C1026,0)</f>
        <v>7885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891</v>
      </c>
      <c r="C1027" s="1122">
        <f>C1025</f>
        <v>69500087.893373474</v>
      </c>
      <c r="D1027" s="254">
        <f>'Rate Design Work eff 10-14-16'!D1027</f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 hidden="1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4721033</v>
      </c>
      <c r="G1028" s="315"/>
      <c r="H1028" s="1"/>
      <c r="I1028" s="2">
        <f ca="1">SUM(I1018:I1027)</f>
        <v>4799442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 hidden="1">
      <c r="A1029" s="1" t="s">
        <v>353</v>
      </c>
      <c r="B1029" s="1"/>
      <c r="C1029" s="304">
        <f>C1028/($C$970+$C$1028)*$C$1065</f>
        <v>490842.11068979814</v>
      </c>
      <c r="D1029" s="294"/>
      <c r="E1029" s="294"/>
      <c r="F1029" s="326">
        <f>F1028/($F$970+$F$1028)*$F$1065</f>
        <v>37434.024084381999</v>
      </c>
      <c r="G1029" s="294"/>
      <c r="H1029" s="294"/>
      <c r="I1029" s="326">
        <f>F1029</f>
        <v>37434.024084381999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hidden="1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4758467.0240843818</v>
      </c>
      <c r="G1030" s="327"/>
      <c r="H1030" s="330"/>
      <c r="I1030" s="329">
        <f ca="1">I1028+I1029</f>
        <v>4836876.0240843818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hidden="1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 hidden="1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 hidden="1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 hidden="1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 hidden="1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 hidden="1">
      <c r="A1036" s="308" t="s">
        <v>461</v>
      </c>
      <c r="B1036" s="1"/>
      <c r="C1036" s="304">
        <f>'Rate Design Work eff 10-14-16'!C1036</f>
        <v>23.7575757575758</v>
      </c>
      <c r="D1036" s="322">
        <f>'Rate Design Work eff 10-14-16'!D1036</f>
        <v>1419</v>
      </c>
      <c r="E1036" s="306"/>
      <c r="F1036" s="2">
        <f>ROUND(D1036*C1036,0)</f>
        <v>33712</v>
      </c>
      <c r="G1036" s="322">
        <f ca="1">G997</f>
        <v>1443</v>
      </c>
      <c r="H1036" s="306"/>
      <c r="I1036" s="2">
        <f ca="1">ROUND(G1036*$C1036,0)</f>
        <v>34282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 hidden="1">
      <c r="A1037" s="308" t="s">
        <v>462</v>
      </c>
      <c r="B1037" s="1"/>
      <c r="C1037" s="304">
        <f>'Rate Design Work eff 10-14-16'!C1037</f>
        <v>0</v>
      </c>
      <c r="D1037" s="322">
        <f>'Rate Design Work eff 10-14-16'!D1037</f>
        <v>1707</v>
      </c>
      <c r="E1037" s="309"/>
      <c r="F1037" s="2">
        <f>ROUND(D1037*C1037,0)</f>
        <v>0</v>
      </c>
      <c r="G1037" s="322">
        <f ca="1">G998</f>
        <v>1736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 hidden="1">
      <c r="A1038" s="308" t="s">
        <v>384</v>
      </c>
      <c r="B1038" s="1"/>
      <c r="C1038" s="304">
        <f>SUM(C1036:C1037)</f>
        <v>23.7575757575758</v>
      </c>
      <c r="D1038" s="322"/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 hidden="1">
      <c r="A1039" s="308" t="s">
        <v>463</v>
      </c>
      <c r="B1039" s="1"/>
      <c r="C1039" s="304">
        <f>'Rate Design Work eff 10-14-16'!C1039</f>
        <v>29539</v>
      </c>
      <c r="D1039" s="322">
        <f>'Rate Design Work eff 10-14-16'!D1039</f>
        <v>0.56000000000000005</v>
      </c>
      <c r="E1039" s="306"/>
      <c r="F1039" s="2">
        <f>ROUND(D1039*C1039,0)</f>
        <v>16542</v>
      </c>
      <c r="G1039" s="322">
        <f ca="1">G1000</f>
        <v>0.56999999999999995</v>
      </c>
      <c r="H1039" s="306"/>
      <c r="I1039" s="2">
        <f ca="1">ROUND(G1039*$C1039,0)</f>
        <v>16837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 hidden="1">
      <c r="A1040" s="308" t="s">
        <v>464</v>
      </c>
      <c r="B1040" s="1"/>
      <c r="C1040" s="304">
        <f>'Rate Design Work eff 10-14-16'!C1040</f>
        <v>0</v>
      </c>
      <c r="D1040" s="322">
        <f>'Rate Design Work eff 10-14-16'!D1040</f>
        <v>0.45</v>
      </c>
      <c r="E1040" s="306"/>
      <c r="F1040" s="2">
        <f>ROUND(D1040*C1040,0)</f>
        <v>0</v>
      </c>
      <c r="G1040" s="322">
        <f ca="1">G1001</f>
        <v>0.46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 hidden="1">
      <c r="A1041" s="294" t="s">
        <v>393</v>
      </c>
      <c r="B1041" s="1"/>
      <c r="C1041" s="304">
        <f>'Rate Design Work eff 10-14-16'!C1041</f>
        <v>24659</v>
      </c>
      <c r="D1041" s="322">
        <f>'Rate Design Work eff 10-14-16'!D1041</f>
        <v>7.67</v>
      </c>
      <c r="E1041" s="306"/>
      <c r="F1041" s="2">
        <f>ROUND(D1041*C1041,0)</f>
        <v>189135</v>
      </c>
      <c r="G1041" s="322">
        <f ca="1">G1002</f>
        <v>7.79</v>
      </c>
      <c r="H1041" s="306"/>
      <c r="I1041" s="2">
        <f ca="1">ROUND(G1041*$C1041,0)</f>
        <v>192094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 hidden="1">
      <c r="A1042" s="308" t="s">
        <v>416</v>
      </c>
      <c r="B1042" s="1"/>
      <c r="C1042" s="304"/>
      <c r="D1042" s="322"/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 hidden="1">
      <c r="A1043" s="308" t="s">
        <v>454</v>
      </c>
      <c r="B1043" s="1"/>
      <c r="C1043" s="304">
        <f>'Rate Design Work eff 10-14-16'!C1043</f>
        <v>6796800</v>
      </c>
      <c r="D1043" s="380">
        <f>'Rate Design Work eff 10-14-16'!D1043</f>
        <v>4.6099999999999994</v>
      </c>
      <c r="E1043" s="306" t="s">
        <v>364</v>
      </c>
      <c r="F1043" s="2">
        <f>ROUND(D1043/100*C1043,0)</f>
        <v>313332</v>
      </c>
      <c r="G1043" s="380">
        <f ca="1">G1004</f>
        <v>4.6879999999999997</v>
      </c>
      <c r="H1043" s="306" t="s">
        <v>364</v>
      </c>
      <c r="I1043" s="2">
        <f ca="1">ROUND(G1043/100*$C1043,0)</f>
        <v>318634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 hidden="1">
      <c r="A1044" s="308" t="s">
        <v>390</v>
      </c>
      <c r="B1044" s="1"/>
      <c r="C1044" s="304">
        <f>'Rate Design Work eff 10-14-16'!C1044</f>
        <v>1651</v>
      </c>
      <c r="D1044" s="322">
        <f>'Rate Design Work eff 10-14-16'!D1044</f>
        <v>0.54</v>
      </c>
      <c r="E1044" s="306"/>
      <c r="F1044" s="2">
        <f>ROUND(D1044*C1044,0)</f>
        <v>892</v>
      </c>
      <c r="G1044" s="322">
        <f ca="1">G1005</f>
        <v>0.55000000000000004</v>
      </c>
      <c r="H1044" s="306"/>
      <c r="I1044" s="2">
        <f ca="1">ROUND(G1044*$C1044,0)</f>
        <v>908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891</v>
      </c>
      <c r="C1045" s="1122">
        <f>C1043</f>
        <v>6796800</v>
      </c>
      <c r="D1045" s="254">
        <f>'Rate Design Work eff 10-14-16'!D1045</f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 hidden="1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553613</v>
      </c>
      <c r="G1046" s="315"/>
      <c r="H1046" s="1"/>
      <c r="I1046" s="2">
        <f ca="1">SUM(I1036:I1045)</f>
        <v>562755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 hidden="1">
      <c r="A1047" s="1" t="s">
        <v>353</v>
      </c>
      <c r="B1047" s="1"/>
      <c r="C1047" s="304">
        <f ca="1">C1046/($C$988+$C$1046)*$C$1084</f>
        <v>21132.640958128846</v>
      </c>
      <c r="D1047" s="294"/>
      <c r="E1047" s="294"/>
      <c r="F1047" s="326">
        <f ca="1">F1046/($F$988+$F$1046)*$F$1084</f>
        <v>1751.1863049190426</v>
      </c>
      <c r="G1047" s="294"/>
      <c r="H1047" s="294"/>
      <c r="I1047" s="326">
        <f ca="1">F1047</f>
        <v>1751.1863049190426</v>
      </c>
      <c r="J1047" s="307"/>
      <c r="K1047" s="294"/>
      <c r="L1047" s="294"/>
      <c r="M1047" s="326" t="e">
        <f ca="1">$I$1047*V1012/(V1012+$W$1012+$X$1012)</f>
        <v>#DIV/0!</v>
      </c>
      <c r="N1047" s="51"/>
      <c r="O1047" s="294"/>
      <c r="P1047" s="294"/>
      <c r="Q1047" s="326" t="e">
        <f ca="1">$I$1047*W1012/(V1012+$W$1012+$X$1012)</f>
        <v>#DIV/0!</v>
      </c>
      <c r="R1047" s="51"/>
      <c r="S1047" s="294"/>
      <c r="T1047" s="294"/>
      <c r="U1047" s="326" t="e">
        <f ca="1">$I$1047*X1012/(V1012+$W$1012+$X$1012)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hidden="1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555364.18630491907</v>
      </c>
      <c r="G1048" s="327"/>
      <c r="H1048" s="330"/>
      <c r="I1048" s="329">
        <f ca="1">I1046+I1047</f>
        <v>564506.18630491907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hidden="1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 hidden="1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 hidden="1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 hidden="1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 hidden="1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 hidden="1">
      <c r="A1054" s="308" t="s">
        <v>461</v>
      </c>
      <c r="B1054" s="1"/>
      <c r="C1054" s="304">
        <f t="shared" ref="C1054:C1059" si="150">C1018+C960</f>
        <v>425.27272727272759</v>
      </c>
      <c r="D1054" s="322"/>
      <c r="E1054" s="306"/>
      <c r="F1054" s="2">
        <f>F1018+F960</f>
        <v>592945</v>
      </c>
      <c r="G1054" s="322"/>
      <c r="H1054" s="306"/>
      <c r="I1054" s="2">
        <f ca="1">I1018+I960</f>
        <v>603470</v>
      </c>
      <c r="J1054" s="2"/>
      <c r="K1054" s="322"/>
      <c r="L1054" s="306"/>
      <c r="M1054" s="2">
        <f ca="1">M1018+M960</f>
        <v>603470</v>
      </c>
      <c r="N1054" s="2"/>
      <c r="O1054" s="322"/>
      <c r="P1054" s="306"/>
      <c r="Q1054" s="2">
        <f>Q1018+Q960</f>
        <v>0</v>
      </c>
      <c r="R1054" s="2"/>
      <c r="S1054" s="322"/>
      <c r="T1054" s="306"/>
      <c r="U1054" s="2">
        <f>U1018+U960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 hidden="1">
      <c r="A1055" s="308" t="s">
        <v>462</v>
      </c>
      <c r="B1055" s="1"/>
      <c r="C1055" s="304">
        <f t="shared" si="150"/>
        <v>0</v>
      </c>
      <c r="D1055" s="322"/>
      <c r="E1055" s="309"/>
      <c r="F1055" s="2">
        <f>F1019+F961</f>
        <v>0</v>
      </c>
      <c r="G1055" s="322"/>
      <c r="H1055" s="309"/>
      <c r="I1055" s="2">
        <f ca="1">I1019+I961</f>
        <v>0</v>
      </c>
      <c r="J1055" s="2"/>
      <c r="K1055" s="322"/>
      <c r="L1055" s="309"/>
      <c r="M1055" s="2">
        <f ca="1">M1019+M961</f>
        <v>0</v>
      </c>
      <c r="N1055" s="2"/>
      <c r="O1055" s="322"/>
      <c r="P1055" s="309"/>
      <c r="Q1055" s="2">
        <f>Q1019+Q961</f>
        <v>0</v>
      </c>
      <c r="R1055" s="2"/>
      <c r="S1055" s="322"/>
      <c r="T1055" s="309"/>
      <c r="U1055" s="2">
        <f>U1019+U961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 hidden="1">
      <c r="A1056" s="308" t="s">
        <v>384</v>
      </c>
      <c r="B1056" s="1"/>
      <c r="C1056" s="304">
        <f t="shared" si="150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 hidden="1">
      <c r="A1057" s="308" t="s">
        <v>463</v>
      </c>
      <c r="B1057" s="1"/>
      <c r="C1057" s="304">
        <f t="shared" si="150"/>
        <v>585460.96551724104</v>
      </c>
      <c r="D1057" s="322"/>
      <c r="E1057" s="306"/>
      <c r="F1057" s="2">
        <f>F1021+F963</f>
        <v>535257</v>
      </c>
      <c r="G1057" s="322"/>
      <c r="H1057" s="306"/>
      <c r="I1057" s="2">
        <f ca="1">I1021+I963</f>
        <v>544953</v>
      </c>
      <c r="J1057" s="2"/>
      <c r="K1057" s="322"/>
      <c r="L1057" s="306"/>
      <c r="M1057" s="2">
        <f ca="1">M1021+M963</f>
        <v>544953</v>
      </c>
      <c r="N1057" s="2"/>
      <c r="O1057" s="322"/>
      <c r="P1057" s="306"/>
      <c r="Q1057" s="2">
        <f>Q1021+Q963</f>
        <v>0</v>
      </c>
      <c r="R1057" s="2"/>
      <c r="S1057" s="322"/>
      <c r="T1057" s="306"/>
      <c r="U1057" s="2">
        <f>U1021+U963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 hidden="1">
      <c r="A1058" s="308" t="s">
        <v>464</v>
      </c>
      <c r="B1058" s="1"/>
      <c r="C1058" s="304">
        <f t="shared" si="150"/>
        <v>0</v>
      </c>
      <c r="D1058" s="322"/>
      <c r="E1058" s="306"/>
      <c r="F1058" s="2">
        <f>F1022+F964</f>
        <v>0</v>
      </c>
      <c r="G1058" s="322"/>
      <c r="H1058" s="306"/>
      <c r="I1058" s="2">
        <f ca="1">I1022+I964</f>
        <v>0</v>
      </c>
      <c r="J1058" s="2"/>
      <c r="K1058" s="322"/>
      <c r="L1058" s="306"/>
      <c r="M1058" s="2">
        <f ca="1">M1022+M964</f>
        <v>0</v>
      </c>
      <c r="N1058" s="2"/>
      <c r="O1058" s="322"/>
      <c r="P1058" s="306"/>
      <c r="Q1058" s="2">
        <f>Q1022+Q964</f>
        <v>0</v>
      </c>
      <c r="R1058" s="2"/>
      <c r="S1058" s="322"/>
      <c r="T1058" s="306"/>
      <c r="U1058" s="2">
        <f>U1022+U964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 hidden="1">
      <c r="A1059" s="294" t="s">
        <v>393</v>
      </c>
      <c r="B1059" s="1"/>
      <c r="C1059" s="304">
        <f t="shared" si="150"/>
        <v>449764.86206896504</v>
      </c>
      <c r="D1059" s="322"/>
      <c r="E1059" s="306"/>
      <c r="F1059" s="2">
        <f>F1023+F965</f>
        <v>3495681</v>
      </c>
      <c r="G1059" s="322"/>
      <c r="H1059" s="306"/>
      <c r="I1059" s="2">
        <f ca="1">I1023+I965</f>
        <v>3555401</v>
      </c>
      <c r="J1059" s="2"/>
      <c r="K1059" s="322"/>
      <c r="L1059" s="306"/>
      <c r="M1059" s="2" t="e">
        <f ca="1">M1023+M965</f>
        <v>#DIV/0!</v>
      </c>
      <c r="N1059" s="2"/>
      <c r="O1059" s="322"/>
      <c r="P1059" s="306"/>
      <c r="Q1059" s="2" t="e">
        <f ca="1">Q1023+Q965</f>
        <v>#DIV/0!</v>
      </c>
      <c r="R1059" s="2"/>
      <c r="S1059" s="322"/>
      <c r="T1059" s="306"/>
      <c r="U1059" s="2" t="e">
        <f ca="1">U1023+U965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 hidden="1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 hidden="1">
      <c r="A1061" s="308" t="s">
        <v>454</v>
      </c>
      <c r="B1061" s="1"/>
      <c r="C1061" s="304">
        <f>C1025+C967</f>
        <v>194745053.16002482</v>
      </c>
      <c r="D1061" s="380"/>
      <c r="E1061" s="306"/>
      <c r="F1061" s="2">
        <f>F1025+F967</f>
        <v>9044127</v>
      </c>
      <c r="G1061" s="380"/>
      <c r="H1061" s="306"/>
      <c r="I1061" s="2">
        <f ca="1">I1025+I967</f>
        <v>9196028</v>
      </c>
      <c r="J1061" s="2"/>
      <c r="K1061" s="380"/>
      <c r="L1061" s="306"/>
      <c r="M1061" s="2">
        <f>M1025+M967</f>
        <v>0</v>
      </c>
      <c r="N1061" s="2"/>
      <c r="O1061" s="380"/>
      <c r="P1061" s="306"/>
      <c r="Q1061" s="2" t="e">
        <f ca="1">Q1025+Q967</f>
        <v>#DIV/0!</v>
      </c>
      <c r="R1061" s="2"/>
      <c r="S1061" s="380"/>
      <c r="T1061" s="306"/>
      <c r="U1061" s="2" t="e">
        <f ca="1">U1025+U967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 hidden="1">
      <c r="A1062" s="308" t="s">
        <v>390</v>
      </c>
      <c r="B1062" s="1"/>
      <c r="C1062" s="304">
        <f>C1026+C968</f>
        <v>44802.030303030304</v>
      </c>
      <c r="D1062" s="322"/>
      <c r="E1062" s="306"/>
      <c r="F1062" s="2">
        <f>F1026+F968</f>
        <v>24498</v>
      </c>
      <c r="G1062" s="322"/>
      <c r="H1062" s="306"/>
      <c r="I1062" s="2">
        <f ca="1">I1026+I968</f>
        <v>24946</v>
      </c>
      <c r="J1062" s="2"/>
      <c r="K1062" s="322"/>
      <c r="L1062" s="306"/>
      <c r="M1062" s="2">
        <f>M1026+M968</f>
        <v>0</v>
      </c>
      <c r="N1062" s="2"/>
      <c r="O1062" s="322"/>
      <c r="P1062" s="306"/>
      <c r="Q1062" s="2" t="e">
        <f ca="1">Q1026+Q968</f>
        <v>#DIV/0!</v>
      </c>
      <c r="R1062" s="2"/>
      <c r="S1062" s="322"/>
      <c r="T1062" s="306"/>
      <c r="U1062" s="2" t="e">
        <f ca="1">U1026+U968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891</v>
      </c>
      <c r="C1063" s="987">
        <f>C1027+C969</f>
        <v>194745053.16002482</v>
      </c>
      <c r="D1063" s="254"/>
      <c r="E1063" s="1119"/>
      <c r="F1063" s="1123"/>
      <c r="G1063" s="250"/>
      <c r="H1063" s="1119"/>
      <c r="I1063" s="1123">
        <f>I1027+I969</f>
        <v>0</v>
      </c>
      <c r="J1063" s="1123"/>
      <c r="K1063" s="250"/>
      <c r="L1063" s="1119"/>
      <c r="M1063" s="1123">
        <f>M1027+M969</f>
        <v>0</v>
      </c>
      <c r="N1063" s="1123"/>
      <c r="O1063" s="250"/>
      <c r="P1063" s="1119"/>
      <c r="Q1063" s="1123">
        <f>Q1027+Q969</f>
        <v>0</v>
      </c>
      <c r="R1063" s="1123"/>
      <c r="S1063" s="250"/>
      <c r="T1063" s="1119"/>
      <c r="U1063" s="1123">
        <f>U1027+U969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 hidden="1">
      <c r="A1064" s="1" t="s">
        <v>371</v>
      </c>
      <c r="B1064" s="1"/>
      <c r="C1064" s="304">
        <f>C1028+C970</f>
        <v>194745053.16002482</v>
      </c>
      <c r="D1064" s="315"/>
      <c r="E1064" s="1"/>
      <c r="F1064" s="2">
        <f>F1028+F970</f>
        <v>13692508</v>
      </c>
      <c r="G1064" s="315"/>
      <c r="H1064" s="1"/>
      <c r="I1064" s="2">
        <f ca="1">I1028+I970</f>
        <v>13924798</v>
      </c>
      <c r="J1064" s="2"/>
      <c r="K1064" s="315"/>
      <c r="L1064" s="1"/>
      <c r="M1064" s="2" t="e">
        <f ca="1">M1028+M970</f>
        <v>#DIV/0!</v>
      </c>
      <c r="N1064" s="2"/>
      <c r="O1064" s="315"/>
      <c r="P1064" s="1"/>
      <c r="Q1064" s="2" t="e">
        <f ca="1">Q1028+Q970</f>
        <v>#DIV/0!</v>
      </c>
      <c r="R1064" s="2"/>
      <c r="S1064" s="315"/>
      <c r="T1064" s="1"/>
      <c r="U1064" s="2" t="e">
        <f ca="1">U1028+U970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 hidden="1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$I$1065*V1012/(V1012+$W$1012+$X$1012)</f>
        <v>#DIV/0!</v>
      </c>
      <c r="N1065" s="51"/>
      <c r="O1065" s="294"/>
      <c r="P1065" s="294"/>
      <c r="Q1065" s="738" t="e">
        <f>$I$1065*W1012/(V1012+$W$1012+$X$1012)</f>
        <v>#DIV/0!</v>
      </c>
      <c r="R1065" s="51"/>
      <c r="S1065" s="294"/>
      <c r="T1065" s="294"/>
      <c r="U1065" s="738" t="e">
        <f>$I$1065*X1012/(V1012+$W$1012+$X$1012)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hidden="1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13801078.661176821</v>
      </c>
      <c r="G1066" s="327"/>
      <c r="H1066" s="330"/>
      <c r="I1066" s="740">
        <f ca="1">I1064+I1065</f>
        <v>14033368.661176821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hidden="1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 hidden="1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 hidden="1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 hidden="1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 hidden="1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 hidden="1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 hidden="1">
      <c r="A1073" s="308" t="s">
        <v>461</v>
      </c>
      <c r="B1073" s="1"/>
      <c r="C1073" s="304">
        <f t="shared" ref="C1073:C1078" si="151">C1036+C978</f>
        <v>356.57575757575779</v>
      </c>
      <c r="D1073" s="322"/>
      <c r="E1073" s="306"/>
      <c r="F1073" s="2">
        <f>F1036+F978</f>
        <v>494998</v>
      </c>
      <c r="G1073" s="322"/>
      <c r="H1073" s="306"/>
      <c r="I1073" s="2">
        <f ca="1">I1036+I978</f>
        <v>503888</v>
      </c>
      <c r="J1073" s="2"/>
      <c r="K1073" s="322"/>
      <c r="L1073" s="306"/>
      <c r="M1073" s="2">
        <f ca="1">M1036+M978</f>
        <v>503888</v>
      </c>
      <c r="N1073" s="2"/>
      <c r="O1073" s="322"/>
      <c r="P1073" s="306"/>
      <c r="Q1073" s="2">
        <f>Q1036+Q978</f>
        <v>0</v>
      </c>
      <c r="R1073" s="2"/>
      <c r="S1073" s="322"/>
      <c r="T1073" s="306"/>
      <c r="U1073" s="2">
        <f>U1036+U978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 hidden="1">
      <c r="A1074" s="308" t="s">
        <v>462</v>
      </c>
      <c r="B1074" s="1"/>
      <c r="C1074" s="304">
        <f t="shared" si="151"/>
        <v>0</v>
      </c>
      <c r="D1074" s="322"/>
      <c r="E1074" s="309"/>
      <c r="F1074" s="2">
        <f>F1037+F979</f>
        <v>0</v>
      </c>
      <c r="G1074" s="322"/>
      <c r="H1074" s="309"/>
      <c r="I1074" s="2">
        <f ca="1">I1037+I979</f>
        <v>0</v>
      </c>
      <c r="J1074" s="2"/>
      <c r="K1074" s="322"/>
      <c r="L1074" s="309"/>
      <c r="M1074" s="2">
        <f ca="1">M1037+M979</f>
        <v>0</v>
      </c>
      <c r="N1074" s="2"/>
      <c r="O1074" s="322"/>
      <c r="P1074" s="309"/>
      <c r="Q1074" s="2">
        <f>Q1037+Q979</f>
        <v>0</v>
      </c>
      <c r="R1074" s="2"/>
      <c r="S1074" s="322"/>
      <c r="T1074" s="309"/>
      <c r="U1074" s="2">
        <f>U1037+U979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 hidden="1">
      <c r="A1075" s="308" t="s">
        <v>384</v>
      </c>
      <c r="B1075" s="1"/>
      <c r="C1075" s="304">
        <f t="shared" si="151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 hidden="1">
      <c r="A1076" s="308" t="s">
        <v>463</v>
      </c>
      <c r="B1076" s="1"/>
      <c r="C1076" s="304">
        <f t="shared" si="151"/>
        <v>566945.793103448</v>
      </c>
      <c r="D1076" s="322"/>
      <c r="E1076" s="306"/>
      <c r="F1076" s="2">
        <f>F1039+F981</f>
        <v>607689</v>
      </c>
      <c r="G1076" s="322"/>
      <c r="H1076" s="306"/>
      <c r="I1076" s="2">
        <f ca="1">I1039+I981</f>
        <v>618733</v>
      </c>
      <c r="J1076" s="2"/>
      <c r="K1076" s="322"/>
      <c r="L1076" s="306"/>
      <c r="M1076" s="2">
        <f ca="1">M1039+M981</f>
        <v>618733</v>
      </c>
      <c r="N1076" s="2"/>
      <c r="O1076" s="322"/>
      <c r="P1076" s="306"/>
      <c r="Q1076" s="2">
        <f>Q1039+Q981</f>
        <v>0</v>
      </c>
      <c r="R1076" s="2"/>
      <c r="S1076" s="322"/>
      <c r="T1076" s="306"/>
      <c r="U1076" s="2">
        <f>U1039+U981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 hidden="1">
      <c r="A1077" s="308" t="s">
        <v>464</v>
      </c>
      <c r="B1077" s="1"/>
      <c r="C1077" s="304">
        <f t="shared" si="151"/>
        <v>0</v>
      </c>
      <c r="D1077" s="322"/>
      <c r="E1077" s="306"/>
      <c r="F1077" s="2">
        <f>F1040+F982</f>
        <v>0</v>
      </c>
      <c r="G1077" s="322"/>
      <c r="H1077" s="306"/>
      <c r="I1077" s="2">
        <f ca="1">I1040+I982</f>
        <v>0</v>
      </c>
      <c r="J1077" s="2"/>
      <c r="K1077" s="322"/>
      <c r="L1077" s="306"/>
      <c r="M1077" s="2">
        <f ca="1">M1040+M982</f>
        <v>0</v>
      </c>
      <c r="N1077" s="2"/>
      <c r="O1077" s="322"/>
      <c r="P1077" s="306"/>
      <c r="Q1077" s="2">
        <f>Q1040+Q982</f>
        <v>0</v>
      </c>
      <c r="R1077" s="2"/>
      <c r="S1077" s="322"/>
      <c r="T1077" s="306"/>
      <c r="U1077" s="2">
        <f>U1040+U982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 hidden="1">
      <c r="A1078" s="294" t="s">
        <v>393</v>
      </c>
      <c r="B1078" s="1"/>
      <c r="C1078" s="304">
        <f t="shared" si="151"/>
        <v>489791.48275862099</v>
      </c>
      <c r="D1078" s="322"/>
      <c r="E1078" s="306"/>
      <c r="F1078" s="2">
        <f>F1041+F983</f>
        <v>3831122</v>
      </c>
      <c r="G1078" s="322"/>
      <c r="H1078" s="306"/>
      <c r="I1078" s="2">
        <f ca="1">I1041+I983</f>
        <v>3899200</v>
      </c>
      <c r="J1078" s="2"/>
      <c r="K1078" s="322"/>
      <c r="L1078" s="306"/>
      <c r="M1078" s="2" t="e">
        <f ca="1">M1041+M983</f>
        <v>#DIV/0!</v>
      </c>
      <c r="N1078" s="2"/>
      <c r="O1078" s="322"/>
      <c r="P1078" s="306"/>
      <c r="Q1078" s="2" t="e">
        <f ca="1">Q1041+Q983</f>
        <v>#DIV/0!</v>
      </c>
      <c r="R1078" s="2"/>
      <c r="S1078" s="322"/>
      <c r="T1078" s="306"/>
      <c r="U1078" s="2" t="e">
        <f ca="1">U1041+U983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 hidden="1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 hidden="1">
      <c r="A1080" s="308" t="s">
        <v>454</v>
      </c>
      <c r="B1080" s="1"/>
      <c r="C1080" s="304">
        <f>C1043+C985</f>
        <v>216497250</v>
      </c>
      <c r="D1080" s="380"/>
      <c r="E1080" s="306"/>
      <c r="F1080" s="2">
        <f>F1043+F985</f>
        <v>10091664</v>
      </c>
      <c r="G1080" s="380"/>
      <c r="H1080" s="306"/>
      <c r="I1080" s="2">
        <f ca="1">I1043+I985</f>
        <v>10260532</v>
      </c>
      <c r="J1080" s="2"/>
      <c r="K1080" s="380"/>
      <c r="L1080" s="306"/>
      <c r="M1080" s="2">
        <f>M1043+M985</f>
        <v>0</v>
      </c>
      <c r="N1080" s="2"/>
      <c r="O1080" s="380"/>
      <c r="P1080" s="306"/>
      <c r="Q1080" s="2" t="e">
        <f ca="1">Q1043+Q985</f>
        <v>#DIV/0!</v>
      </c>
      <c r="R1080" s="2"/>
      <c r="S1080" s="380"/>
      <c r="T1080" s="306"/>
      <c r="U1080" s="2" t="e">
        <f ca="1">U1043+U985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 hidden="1">
      <c r="A1081" s="308" t="s">
        <v>390</v>
      </c>
      <c r="B1081" s="1"/>
      <c r="C1081" s="304">
        <f>C1044+C986</f>
        <v>130740.24242424199</v>
      </c>
      <c r="D1081" s="322"/>
      <c r="E1081" s="306"/>
      <c r="F1081" s="2">
        <f>F1044+F986</f>
        <v>71891</v>
      </c>
      <c r="G1081" s="322"/>
      <c r="H1081" s="306"/>
      <c r="I1081" s="2">
        <f ca="1">I1044+I986</f>
        <v>73198</v>
      </c>
      <c r="J1081" s="2"/>
      <c r="K1081" s="322"/>
      <c r="L1081" s="306"/>
      <c r="M1081" s="2">
        <f>M1044+M986</f>
        <v>0</v>
      </c>
      <c r="N1081" s="2"/>
      <c r="O1081" s="322"/>
      <c r="P1081" s="306"/>
      <c r="Q1081" s="2" t="e">
        <f ca="1">Q1044+Q986</f>
        <v>#DIV/0!</v>
      </c>
      <c r="R1081" s="2"/>
      <c r="S1081" s="322"/>
      <c r="T1081" s="306"/>
      <c r="U1081" s="2" t="e">
        <f ca="1">U1044+U986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891</v>
      </c>
      <c r="C1082" s="987">
        <f>C1045+C987</f>
        <v>216497250</v>
      </c>
      <c r="D1082" s="254"/>
      <c r="E1082" s="1119"/>
      <c r="F1082" s="1123"/>
      <c r="G1082" s="250"/>
      <c r="H1082" s="1119"/>
      <c r="I1082" s="1123">
        <f>I1045+I987</f>
        <v>0</v>
      </c>
      <c r="J1082" s="1123"/>
      <c r="K1082" s="250"/>
      <c r="L1082" s="1119"/>
      <c r="M1082" s="1123">
        <f>M1045+M987</f>
        <v>0</v>
      </c>
      <c r="N1082" s="1123"/>
      <c r="O1082" s="250"/>
      <c r="P1082" s="1119"/>
      <c r="Q1082" s="1123">
        <f>Q1045+Q987</f>
        <v>0</v>
      </c>
      <c r="R1082" s="1123"/>
      <c r="S1082" s="250"/>
      <c r="T1082" s="1119"/>
      <c r="U1082" s="1123">
        <f>U1045+U987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 hidden="1">
      <c r="A1083" s="1" t="s">
        <v>371</v>
      </c>
      <c r="B1083" s="1"/>
      <c r="C1083" s="335">
        <f>C1046+C988</f>
        <v>216497250</v>
      </c>
      <c r="D1083" s="315"/>
      <c r="E1083" s="1"/>
      <c r="F1083" s="51">
        <f>F1046+F988</f>
        <v>15097364</v>
      </c>
      <c r="G1083" s="315"/>
      <c r="H1083" s="1"/>
      <c r="I1083" s="51">
        <f ca="1">I1046+I988</f>
        <v>15355551</v>
      </c>
      <c r="J1083" s="51"/>
      <c r="K1083" s="315"/>
      <c r="L1083" s="1"/>
      <c r="M1083" s="51" t="e">
        <f ca="1">M1046+M988</f>
        <v>#DIV/0!</v>
      </c>
      <c r="N1083" s="51"/>
      <c r="O1083" s="315"/>
      <c r="P1083" s="1"/>
      <c r="Q1083" s="51" t="e">
        <f ca="1">Q1046+Q988</f>
        <v>#DIV/0!</v>
      </c>
      <c r="R1083" s="51"/>
      <c r="S1083" s="315"/>
      <c r="T1083" s="1"/>
      <c r="U1083" s="51" t="e">
        <f ca="1">U1046+U988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 hidden="1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$I$1084*V1012/(V1012+$W$1012+$X$1012)</f>
        <v>#DIV/0!</v>
      </c>
      <c r="N1084" s="51"/>
      <c r="O1084" s="294"/>
      <c r="P1084" s="294"/>
      <c r="Q1084" s="738" t="e">
        <f ca="1">$I$1084*W1012/(V1012+$W$1012+$X$1012)</f>
        <v>#DIV/0!</v>
      </c>
      <c r="R1084" s="51"/>
      <c r="S1084" s="294"/>
      <c r="T1084" s="294"/>
      <c r="U1084" s="738" t="e">
        <f ca="1">$I$1084*X1012/(V1012+$W$1012+$X$1012)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hidden="1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15145119.918082086</v>
      </c>
      <c r="G1085" s="327"/>
      <c r="H1085" s="330"/>
      <c r="I1085" s="739">
        <f ca="1">I1083+I1084</f>
        <v>15403306.918082086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f>'Rate Design Work eff 10-14-16'!C1091</f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'Rate Design Work eff 10-14-16'!M1091</f>
        <v>0</v>
      </c>
      <c r="N1091" s="2"/>
      <c r="O1091" s="311" t="s">
        <v>31</v>
      </c>
      <c r="P1091" s="306"/>
      <c r="Q1091" s="2">
        <f>'Rate Design Work eff 10-14-16'!Q1091</f>
        <v>0</v>
      </c>
      <c r="R1091" s="2"/>
      <c r="S1091" s="311" t="s">
        <v>31</v>
      </c>
      <c r="T1091" s="306"/>
      <c r="U1091" s="2">
        <f>'Rate Design Work eff 10-14-16'!U1091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f>'Rate Design Work eff 10-14-16'!C1092</f>
        <v>12.033333333333299</v>
      </c>
      <c r="D1092" s="322">
        <f>'Rate Design Work eff 10-14-16'!D1092</f>
        <v>2577</v>
      </c>
      <c r="E1092" s="309"/>
      <c r="F1092" s="2">
        <f>ROUND(C1092*D1092,0)</f>
        <v>31010</v>
      </c>
      <c r="G1092" s="311">
        <f ca="1">'Rate Design Work eff 10-14-16'!G1092</f>
        <v>2679</v>
      </c>
      <c r="H1092" s="309"/>
      <c r="I1092" s="2">
        <f ca="1">ROUND(G1092*$C1092,0)</f>
        <v>32237</v>
      </c>
      <c r="J1092" s="2"/>
      <c r="K1092" s="311">
        <f ca="1">'Rate Design Work eff 10-14-16'!K1092</f>
        <v>2679</v>
      </c>
      <c r="L1092" s="1275"/>
      <c r="M1092" s="2">
        <f ca="1">'Rate Design Work eff 10-14-16'!M1092</f>
        <v>32237</v>
      </c>
      <c r="N1092" s="2"/>
      <c r="O1092" s="311" t="str">
        <f>'Rate Design Work eff 10-14-16'!O1092</f>
        <v xml:space="preserve"> </v>
      </c>
      <c r="P1092" s="1275"/>
      <c r="Q1092" s="2">
        <f>'Rate Design Work eff 10-14-16'!Q1092</f>
        <v>0</v>
      </c>
      <c r="R1092" s="2"/>
      <c r="S1092" s="311" t="str">
        <f>'Rate Design Work eff 10-14-16'!S1092</f>
        <v xml:space="preserve"> </v>
      </c>
      <c r="T1092" s="1275"/>
      <c r="U1092" s="2">
        <f>'Rate Design Work eff 10-14-16'!U1092</f>
        <v>0</v>
      </c>
      <c r="V1092" s="20"/>
      <c r="X1092" s="796">
        <f ca="1">(G1092-D1092)/D1092</f>
        <v>3.9580908032596042E-2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/>
      <c r="E1093" s="306"/>
      <c r="F1093" s="2" t="s">
        <v>31</v>
      </c>
      <c r="G1093" s="322" t="s">
        <v>31</v>
      </c>
      <c r="H1093" s="306"/>
      <c r="I1093" s="2" t="s">
        <v>31</v>
      </c>
      <c r="J1093" s="2"/>
      <c r="K1093" s="322" t="s">
        <v>31</v>
      </c>
      <c r="L1093" s="306"/>
      <c r="M1093" s="2" t="s">
        <v>31</v>
      </c>
      <c r="N1093" s="2"/>
      <c r="O1093" s="322" t="s">
        <v>31</v>
      </c>
      <c r="P1093" s="306"/>
      <c r="Q1093" s="2" t="s">
        <v>31</v>
      </c>
      <c r="R1093" s="2"/>
      <c r="S1093" s="322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/>
      <c r="E1094" s="306"/>
      <c r="F1094" s="2">
        <f>ROUND(C1094*D1094,0)</f>
        <v>0</v>
      </c>
      <c r="G1094" s="322" t="s">
        <v>31</v>
      </c>
      <c r="H1094" s="306"/>
      <c r="I1094" s="2">
        <f>ROUND(G1094*$C1094,0)</f>
        <v>0</v>
      </c>
      <c r="J1094" s="2"/>
      <c r="K1094" s="322" t="s">
        <v>31</v>
      </c>
      <c r="L1094" s="306"/>
      <c r="M1094" s="2">
        <f>'Rate Design Work eff 10-14-16'!M1094</f>
        <v>0</v>
      </c>
      <c r="N1094" s="2"/>
      <c r="O1094" s="322" t="s">
        <v>31</v>
      </c>
      <c r="P1094" s="306"/>
      <c r="Q1094" s="2">
        <f>'Rate Design Work eff 10-14-16'!Q1094</f>
        <v>0</v>
      </c>
      <c r="R1094" s="2"/>
      <c r="S1094" s="322" t="s">
        <v>31</v>
      </c>
      <c r="T1094" s="306"/>
      <c r="U1094" s="2">
        <f>'Rate Design Work eff 10-14-16'!U1094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f>'Rate Design Work eff 10-14-16'!C1095</f>
        <v>703485</v>
      </c>
      <c r="D1095" s="322">
        <f>'Rate Design Work eff 10-14-16'!D1095</f>
        <v>0.24</v>
      </c>
      <c r="E1095" s="306"/>
      <c r="F1095" s="2">
        <f>ROUND(C1095*D1095,0)</f>
        <v>168836</v>
      </c>
      <c r="G1095" s="311">
        <f ca="1">'Rate Design Work eff 10-14-16'!G1095</f>
        <v>0.25</v>
      </c>
      <c r="H1095" s="306"/>
      <c r="I1095" s="2">
        <f ca="1">ROUND(G1095*$C1095,0)</f>
        <v>175871</v>
      </c>
      <c r="J1095" s="2"/>
      <c r="K1095" s="311">
        <f ca="1">'Rate Design Work eff 10-14-16'!K1095</f>
        <v>0.25</v>
      </c>
      <c r="L1095" s="306"/>
      <c r="M1095" s="2">
        <f ca="1">'Rate Design Work eff 10-14-16'!M1095</f>
        <v>175871</v>
      </c>
      <c r="N1095" s="2"/>
      <c r="O1095" s="311" t="str">
        <f>'Rate Design Work eff 10-14-16'!O1095</f>
        <v xml:space="preserve"> </v>
      </c>
      <c r="P1095" s="306"/>
      <c r="Q1095" s="2">
        <f>'Rate Design Work eff 10-14-16'!Q1095</f>
        <v>0</v>
      </c>
      <c r="R1095" s="2"/>
      <c r="S1095" s="311" t="str">
        <f>'Rate Design Work eff 10-14-16'!S1095</f>
        <v xml:space="preserve"> </v>
      </c>
      <c r="T1095" s="306"/>
      <c r="U1095" s="2">
        <f>'Rate Design Work eff 10-14-16'!U1095</f>
        <v>0</v>
      </c>
      <c r="V1095" s="20"/>
      <c r="X1095" s="796">
        <f ca="1">(G1095-D1095)/D1095</f>
        <v>4.1666666666666706E-2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f>'Rate Design Work eff 10-14-16'!C1096</f>
        <v>684594</v>
      </c>
      <c r="D1096" s="322">
        <f>'Rate Design Work eff 10-14-16'!D1096</f>
        <v>7.62</v>
      </c>
      <c r="E1096" s="306"/>
      <c r="F1096" s="2">
        <f>ROUND(C1096*D1096,0)</f>
        <v>5216606</v>
      </c>
      <c r="G1096" s="311">
        <f ca="1">'Rate Design Work eff 10-14-16'!G1096</f>
        <v>7.74</v>
      </c>
      <c r="H1096" s="306"/>
      <c r="I1096" s="2">
        <f ca="1">ROUND(G1096*$C1096,0)</f>
        <v>5298758</v>
      </c>
      <c r="J1096" s="2"/>
      <c r="K1096" s="311" t="e">
        <f ca="1">'Rate Design Work eff 10-14-16'!K1096</f>
        <v>#DIV/0!</v>
      </c>
      <c r="L1096" s="306"/>
      <c r="M1096" s="2" t="e">
        <f ca="1">'Rate Design Work eff 10-14-16'!M1096</f>
        <v>#DIV/0!</v>
      </c>
      <c r="N1096" s="2"/>
      <c r="O1096" s="311" t="e">
        <f ca="1">'Rate Design Work eff 10-14-16'!O1096</f>
        <v>#DIV/0!</v>
      </c>
      <c r="P1096" s="306"/>
      <c r="Q1096" s="2" t="e">
        <f ca="1">'Rate Design Work eff 10-14-16'!Q1096</f>
        <v>#DIV/0!</v>
      </c>
      <c r="R1096" s="2"/>
      <c r="S1096" s="311" t="e">
        <f ca="1">'Rate Design Work eff 10-14-16'!S1096</f>
        <v>#DIV/0!</v>
      </c>
      <c r="T1096" s="306"/>
      <c r="U1096" s="2" t="e">
        <f ca="1">'Rate Design Work eff 10-14-16'!U1096</f>
        <v>#DIV/0!</v>
      </c>
      <c r="V1096" s="20"/>
      <c r="X1096" s="796">
        <f ca="1">(G1096-D1096)/D1096</f>
        <v>1.5748031496063006E-2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/>
      <c r="E1097" s="306"/>
      <c r="F1097" s="2"/>
      <c r="G1097" s="398" t="s">
        <v>31</v>
      </c>
      <c r="H1097" s="306"/>
      <c r="I1097" s="2"/>
      <c r="J1097" s="2"/>
      <c r="K1097" s="398" t="s">
        <v>31</v>
      </c>
      <c r="L1097" s="306"/>
      <c r="M1097" s="2"/>
      <c r="N1097" s="2"/>
      <c r="O1097" s="398" t="s">
        <v>31</v>
      </c>
      <c r="P1097" s="306"/>
      <c r="Q1097" s="2"/>
      <c r="R1097" s="2"/>
      <c r="S1097" s="398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f>'Rate Design Work eff 10-14-16'!C1098</f>
        <v>458478000</v>
      </c>
      <c r="D1098" s="367">
        <f>'Rate Design Work eff 10-14-16'!D1098</f>
        <v>4.5709999999999997</v>
      </c>
      <c r="E1098" s="306" t="s">
        <v>364</v>
      </c>
      <c r="F1098" s="2">
        <f>ROUND(C1098/100*D1098,0)</f>
        <v>20957029</v>
      </c>
      <c r="G1098" s="367">
        <f ca="1">'Rate Design Work eff 10-14-16'!G1098</f>
        <v>4.649</v>
      </c>
      <c r="H1098" s="306" t="s">
        <v>364</v>
      </c>
      <c r="I1098" s="2">
        <f ca="1">ROUND(G1098/100*$C1098,0)</f>
        <v>21314642</v>
      </c>
      <c r="J1098" s="2"/>
      <c r="K1098" s="367" t="str">
        <f>'Rate Design Work eff 10-14-16'!K1098</f>
        <v xml:space="preserve"> </v>
      </c>
      <c r="L1098" s="850" t="s">
        <v>31</v>
      </c>
      <c r="M1098" s="2">
        <f>'Rate Design Work eff 10-14-16'!M1098</f>
        <v>0</v>
      </c>
      <c r="N1098" s="2"/>
      <c r="O1098" s="367" t="e">
        <f ca="1">'Rate Design Work eff 10-14-16'!O1098</f>
        <v>#DIV/0!</v>
      </c>
      <c r="P1098" s="306" t="s">
        <v>364</v>
      </c>
      <c r="Q1098" s="2" t="e">
        <f ca="1">'Rate Design Work eff 10-14-16'!Q1098</f>
        <v>#DIV/0!</v>
      </c>
      <c r="R1098" s="2"/>
      <c r="S1098" s="367" t="e">
        <f ca="1">'Rate Design Work eff 10-14-16'!S1098</f>
        <v>#DIV/0!</v>
      </c>
      <c r="T1098" s="306" t="s">
        <v>364</v>
      </c>
      <c r="U1098" s="2" t="e">
        <f ca="1">'Rate Design Work eff 10-14-16'!U1098</f>
        <v>#DIV/0!</v>
      </c>
      <c r="V1098" s="20"/>
      <c r="X1098" s="796">
        <f ca="1">((G1098+G1100)-D1098)/D1098</f>
        <v>1.7064099759352504E-2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f>'Rate Design Work eff 10-14-16'!C1099</f>
        <v>183540.86666666699</v>
      </c>
      <c r="D1099" s="322">
        <f>'Rate Design Work eff 10-14-16'!D1099</f>
        <v>0.53</v>
      </c>
      <c r="E1099" s="306"/>
      <c r="F1099" s="2">
        <f>ROUND(C1099*D1099,0)</f>
        <v>97277</v>
      </c>
      <c r="G1099" s="311">
        <f ca="1">'Rate Design Work eff 10-14-16'!G1099</f>
        <v>0.54</v>
      </c>
      <c r="H1099" s="306"/>
      <c r="I1099" s="2">
        <f ca="1">ROUND(G1099*$C1099,0)</f>
        <v>99112</v>
      </c>
      <c r="J1099" s="2"/>
      <c r="K1099" s="311" t="str">
        <f>'Rate Design Work eff 10-14-16'!K1099</f>
        <v xml:space="preserve"> </v>
      </c>
      <c r="L1099" s="306"/>
      <c r="M1099" s="2">
        <f>'Rate Design Work eff 10-14-16'!M1099</f>
        <v>0</v>
      </c>
      <c r="N1099" s="2"/>
      <c r="O1099" s="311" t="e">
        <f ca="1">'Rate Design Work eff 10-14-16'!O1099</f>
        <v>#DIV/0!</v>
      </c>
      <c r="P1099" s="306"/>
      <c r="Q1099" s="2" t="e">
        <f ca="1">'Rate Design Work eff 10-14-16'!Q1099</f>
        <v>#DIV/0!</v>
      </c>
      <c r="R1099" s="2"/>
      <c r="S1099" s="311" t="e">
        <f ca="1">'Rate Design Work eff 10-14-16'!S1099</f>
        <v>#DIV/0!</v>
      </c>
      <c r="T1099" s="306"/>
      <c r="U1099" s="2" t="e">
        <f ca="1">'Rate Design Work eff 10-14-16'!U1099</f>
        <v>#DIV/0!</v>
      </c>
      <c r="V1099" s="20"/>
      <c r="X1099" s="796">
        <f ca="1">(G1099-D1099)/D1099</f>
        <v>1.8867924528301903E-2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f>'Rate Design Work eff 10-14-16'!D1100</f>
        <v>0</v>
      </c>
      <c r="E1100" s="1119"/>
      <c r="F1100" s="1123"/>
      <c r="G1100" s="1128">
        <f>'Rate Design Work eff 10-14-16'!G1100</f>
        <v>0</v>
      </c>
      <c r="H1100" s="1000" t="s">
        <v>364</v>
      </c>
      <c r="I1100" s="1000">
        <f>ROUND(G1100*$C1100/100,0)</f>
        <v>0</v>
      </c>
      <c r="J1100" s="1000"/>
      <c r="K1100" s="1128" t="str">
        <f>'Rate Design Work eff 10-14-16'!K1100</f>
        <v xml:space="preserve"> </v>
      </c>
      <c r="L1100" s="1000" t="s">
        <v>31</v>
      </c>
      <c r="M1100" s="2">
        <f>'Rate Design Work eff 10-14-16'!M1100</f>
        <v>0</v>
      </c>
      <c r="N1100" s="1000"/>
      <c r="O1100" s="1128" t="str">
        <f>'Rate Design Work eff 10-14-16'!O1100</f>
        <v xml:space="preserve"> </v>
      </c>
      <c r="P1100" s="1000" t="s">
        <v>31</v>
      </c>
      <c r="Q1100" s="2">
        <f>'Rate Design Work eff 10-14-16'!Q1100</f>
        <v>0</v>
      </c>
      <c r="R1100" s="1000"/>
      <c r="S1100" s="1128">
        <f>'Rate Design Work eff 10-14-16'!S1100</f>
        <v>0</v>
      </c>
      <c r="T1100" s="1000" t="s">
        <v>364</v>
      </c>
      <c r="U1100" s="2">
        <f>'Rate Design Work eff 10-14-16'!U1100</f>
        <v>0</v>
      </c>
      <c r="V1100" s="1124">
        <f>'NPC Spread'!H33</f>
        <v>13164524.379283957</v>
      </c>
      <c r="W1100" s="784" t="s">
        <v>857</v>
      </c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f>'Rate Design Work eff 10-14-16'!D1101</f>
        <v>4.5709999999999997</v>
      </c>
      <c r="E1101" s="1266" t="s">
        <v>364</v>
      </c>
      <c r="F1101" s="1259"/>
      <c r="G1101" s="1270">
        <f ca="1">G1098+G1100</f>
        <v>4.649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1.7064099759352504E-2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26470758</v>
      </c>
      <c r="G1102" s="315"/>
      <c r="H1102" s="1"/>
      <c r="I1102" s="2">
        <f ca="1">SUM(I1091:I1101)</f>
        <v>26920620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26554390.864840947</v>
      </c>
      <c r="G1104" s="327"/>
      <c r="H1104" s="330"/>
      <c r="I1104" s="329">
        <f ca="1">I1102+I1103</f>
        <v>27004252.864840947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targets'!Q30*1000</f>
        <v>27004260.713035714</v>
      </c>
      <c r="X1104" s="1417">
        <f ca="1">(I1104-F1104)/F1104</f>
        <v>1.6941153057878459E-2</v>
      </c>
      <c r="Y1104" s="751"/>
      <c r="Z1104" s="770" t="s">
        <v>31</v>
      </c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781">
        <f ca="1">W1104-I1104</f>
        <v>7.8481947667896748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 hidden="1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 hidden="1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f>'Rate Design Work eff 10-14-16'!C1112</f>
        <v>13549.416232977699</v>
      </c>
      <c r="D1112" s="250">
        <f>'Rate Design Work eff 10-14-16'!D1112</f>
        <v>8.57</v>
      </c>
      <c r="F1112" s="2">
        <f t="shared" ref="F1112:F1121" si="152">ROUND(C1112*D1112,0)</f>
        <v>116118</v>
      </c>
      <c r="G1112" s="250">
        <f>'Rate Design Work eff 10-14-16'!G1112</f>
        <v>8.7200000000000006</v>
      </c>
      <c r="I1112" s="2">
        <f>ROUND(G1112*$C1112,0)</f>
        <v>118151</v>
      </c>
      <c r="J1112" s="2"/>
      <c r="K1112" s="250" t="e">
        <f>'Rate Design Work eff 10-14-16'!K1112</f>
        <v>#DIV/0!</v>
      </c>
      <c r="M1112" s="2" t="e">
        <f>'Rate Design Work eff 10-14-16'!M1112</f>
        <v>#DIV/0!</v>
      </c>
      <c r="N1112" s="2"/>
      <c r="O1112" s="250" t="e">
        <f>'Rate Design Work eff 10-14-16'!O1112</f>
        <v>#DIV/0!</v>
      </c>
      <c r="Q1112" s="2" t="e">
        <f>'Rate Design Work eff 10-14-16'!Q1112</f>
        <v>#DIV/0!</v>
      </c>
      <c r="R1112" s="2"/>
      <c r="S1112" s="250" t="e">
        <f>'Rate Design Work eff 10-14-16'!S1112</f>
        <v>#DIV/0!</v>
      </c>
      <c r="U1112" s="2" t="e">
        <f>'Rate Design Work eff 10-14-16'!U1112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f>'Rate Design Work eff 10-14-16'!C1113</f>
        <v>19571.021805529799</v>
      </c>
      <c r="D1113" s="250">
        <f>'Rate Design Work eff 10-14-16'!D1113</f>
        <v>10.29</v>
      </c>
      <c r="F1113" s="2">
        <f t="shared" si="152"/>
        <v>201386</v>
      </c>
      <c r="G1113" s="250">
        <f>'Rate Design Work eff 10-14-16'!G1113</f>
        <v>10.47</v>
      </c>
      <c r="I1113" s="2">
        <f t="shared" ref="I1113:I1131" si="153">ROUND(G1113*$C1113,0)</f>
        <v>204909</v>
      </c>
      <c r="J1113" s="2"/>
      <c r="K1113" s="250" t="e">
        <f>'Rate Design Work eff 10-14-16'!K1113</f>
        <v>#DIV/0!</v>
      </c>
      <c r="M1113" s="2" t="e">
        <f>'Rate Design Work eff 10-14-16'!M1113</f>
        <v>#DIV/0!</v>
      </c>
      <c r="N1113" s="2"/>
      <c r="O1113" s="250" t="e">
        <f>'Rate Design Work eff 10-14-16'!O1113</f>
        <v>#DIV/0!</v>
      </c>
      <c r="Q1113" s="2" t="e">
        <f>'Rate Design Work eff 10-14-16'!Q1113</f>
        <v>#DIV/0!</v>
      </c>
      <c r="R1113" s="2"/>
      <c r="S1113" s="250" t="e">
        <f>'Rate Design Work eff 10-14-16'!S1113</f>
        <v>#DIV/0!</v>
      </c>
      <c r="U1113" s="2" t="e">
        <f>'Rate Design Work eff 10-14-16'!U1113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f>'Rate Design Work eff 10-14-16'!C1114</f>
        <v>0</v>
      </c>
      <c r="D1114" s="250">
        <f>'Rate Design Work eff 10-14-16'!D1114</f>
        <v>32.68</v>
      </c>
      <c r="F1114" s="2">
        <f t="shared" si="152"/>
        <v>0</v>
      </c>
      <c r="G1114" s="250">
        <f>'Rate Design Work eff 10-14-16'!G1114</f>
        <v>33.24</v>
      </c>
      <c r="I1114" s="2">
        <f t="shared" si="153"/>
        <v>0</v>
      </c>
      <c r="J1114" s="2"/>
      <c r="K1114" s="250" t="e">
        <f>'Rate Design Work eff 10-14-16'!K1114</f>
        <v>#DIV/0!</v>
      </c>
      <c r="M1114" s="2" t="e">
        <f>'Rate Design Work eff 10-14-16'!M1114</f>
        <v>#DIV/0!</v>
      </c>
      <c r="N1114" s="2"/>
      <c r="O1114" s="250" t="e">
        <f>'Rate Design Work eff 10-14-16'!O1114</f>
        <v>#DIV/0!</v>
      </c>
      <c r="Q1114" s="2" t="e">
        <f>'Rate Design Work eff 10-14-16'!Q1114</f>
        <v>#DIV/0!</v>
      </c>
      <c r="R1114" s="2"/>
      <c r="S1114" s="250" t="e">
        <f>'Rate Design Work eff 10-14-16'!S1114</f>
        <v>#DIV/0!</v>
      </c>
      <c r="U1114" s="2" t="e">
        <f>'Rate Design Work eff 10-14-16'!U1114</f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f>'Rate Design Work eff 10-14-16'!C1115</f>
        <v>0</v>
      </c>
      <c r="D1115" s="250">
        <f>'Rate Design Work eff 10-14-16'!D1115</f>
        <v>25.41</v>
      </c>
      <c r="F1115" s="2">
        <f t="shared" si="152"/>
        <v>0</v>
      </c>
      <c r="G1115" s="250">
        <f>'Rate Design Work eff 10-14-16'!G1115</f>
        <v>25.84</v>
      </c>
      <c r="I1115" s="2">
        <f t="shared" si="153"/>
        <v>0</v>
      </c>
      <c r="J1115" s="2"/>
      <c r="K1115" s="250" t="e">
        <f>'Rate Design Work eff 10-14-16'!K1115</f>
        <v>#DIV/0!</v>
      </c>
      <c r="M1115" s="2" t="e">
        <f>'Rate Design Work eff 10-14-16'!M1115</f>
        <v>#DIV/0!</v>
      </c>
      <c r="N1115" s="2"/>
      <c r="O1115" s="250" t="e">
        <f>'Rate Design Work eff 10-14-16'!O1115</f>
        <v>#DIV/0!</v>
      </c>
      <c r="Q1115" s="2" t="e">
        <f>'Rate Design Work eff 10-14-16'!Q1115</f>
        <v>#DIV/0!</v>
      </c>
      <c r="R1115" s="2"/>
      <c r="S1115" s="250" t="e">
        <f>'Rate Design Work eff 10-14-16'!S1115</f>
        <v>#DIV/0!</v>
      </c>
      <c r="U1115" s="2" t="e">
        <f>'Rate Design Work eff 10-14-16'!U1115</f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f>'Rate Design Work eff 10-14-16'!C1116</f>
        <v>936.93671211539902</v>
      </c>
      <c r="D1116" s="250">
        <f>'Rate Design Work eff 10-14-16'!D1116</f>
        <v>13.15</v>
      </c>
      <c r="F1116" s="2">
        <f t="shared" si="152"/>
        <v>12321</v>
      </c>
      <c r="G1116" s="250">
        <f>'Rate Design Work eff 10-14-16'!G1116</f>
        <v>13.37</v>
      </c>
      <c r="I1116" s="2">
        <f t="shared" si="153"/>
        <v>12527</v>
      </c>
      <c r="J1116" s="2"/>
      <c r="K1116" s="250" t="e">
        <f>'Rate Design Work eff 10-14-16'!K1116</f>
        <v>#DIV/0!</v>
      </c>
      <c r="M1116" s="2" t="e">
        <f>'Rate Design Work eff 10-14-16'!M1116</f>
        <v>#DIV/0!</v>
      </c>
      <c r="N1116" s="2"/>
      <c r="O1116" s="250" t="e">
        <f>'Rate Design Work eff 10-14-16'!O1116</f>
        <v>#DIV/0!</v>
      </c>
      <c r="Q1116" s="2" t="e">
        <f>'Rate Design Work eff 10-14-16'!Q1116</f>
        <v>#DIV/0!</v>
      </c>
      <c r="R1116" s="2"/>
      <c r="S1116" s="250" t="e">
        <f>'Rate Design Work eff 10-14-16'!S1116</f>
        <v>#DIV/0!</v>
      </c>
      <c r="U1116" s="2" t="e">
        <f>'Rate Design Work eff 10-14-16'!U1116</f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f>'Rate Design Work eff 10-14-16'!C1117</f>
        <v>0</v>
      </c>
      <c r="D1117" s="250">
        <f>'Rate Design Work eff 10-14-16'!D1117</f>
        <v>33.85</v>
      </c>
      <c r="F1117" s="2">
        <f t="shared" si="152"/>
        <v>0</v>
      </c>
      <c r="G1117" s="250">
        <f>'Rate Design Work eff 10-14-16'!G1117</f>
        <v>34.43</v>
      </c>
      <c r="I1117" s="2">
        <f t="shared" si="153"/>
        <v>0</v>
      </c>
      <c r="J1117" s="2"/>
      <c r="K1117" s="250" t="e">
        <f>'Rate Design Work eff 10-14-16'!K1117</f>
        <v>#DIV/0!</v>
      </c>
      <c r="M1117" s="2" t="e">
        <f>'Rate Design Work eff 10-14-16'!M1117</f>
        <v>#DIV/0!</v>
      </c>
      <c r="N1117" s="2"/>
      <c r="O1117" s="250" t="e">
        <f>'Rate Design Work eff 10-14-16'!O1117</f>
        <v>#DIV/0!</v>
      </c>
      <c r="Q1117" s="2" t="e">
        <f>'Rate Design Work eff 10-14-16'!Q1117</f>
        <v>#DIV/0!</v>
      </c>
      <c r="R1117" s="2"/>
      <c r="S1117" s="250" t="e">
        <f>'Rate Design Work eff 10-14-16'!S1117</f>
        <v>#DIV/0!</v>
      </c>
      <c r="U1117" s="2" t="e">
        <f>'Rate Design Work eff 10-14-16'!U1117</f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f>'Rate Design Work eff 10-14-16'!C1118</f>
        <v>0</v>
      </c>
      <c r="D1118" s="250">
        <f>'Rate Design Work eff 10-14-16'!D1118</f>
        <v>26.62</v>
      </c>
      <c r="F1118" s="2">
        <f t="shared" si="152"/>
        <v>0</v>
      </c>
      <c r="G1118" s="250">
        <f>'Rate Design Work eff 10-14-16'!G1118</f>
        <v>27.07</v>
      </c>
      <c r="I1118" s="2">
        <f t="shared" si="153"/>
        <v>0</v>
      </c>
      <c r="J1118" s="2"/>
      <c r="K1118" s="250" t="e">
        <f>'Rate Design Work eff 10-14-16'!K1118</f>
        <v>#DIV/0!</v>
      </c>
      <c r="M1118" s="2" t="e">
        <f>'Rate Design Work eff 10-14-16'!M1118</f>
        <v>#DIV/0!</v>
      </c>
      <c r="N1118" s="2"/>
      <c r="O1118" s="250" t="e">
        <f>'Rate Design Work eff 10-14-16'!O1118</f>
        <v>#DIV/0!</v>
      </c>
      <c r="Q1118" s="2" t="e">
        <f>'Rate Design Work eff 10-14-16'!Q1118</f>
        <v>#DIV/0!</v>
      </c>
      <c r="R1118" s="2"/>
      <c r="S1118" s="250" t="e">
        <f>'Rate Design Work eff 10-14-16'!S1118</f>
        <v>#DIV/0!</v>
      </c>
      <c r="U1118" s="2" t="e">
        <f>'Rate Design Work eff 10-14-16'!U1118</f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f>'Rate Design Work eff 10-14-16'!C1119</f>
        <v>19952.514273228699</v>
      </c>
      <c r="D1119" s="250">
        <f>'Rate Design Work eff 10-14-16'!D1119</f>
        <v>15.01</v>
      </c>
      <c r="F1119" s="2">
        <f t="shared" si="152"/>
        <v>299487</v>
      </c>
      <c r="G1119" s="250">
        <f>'Rate Design Work eff 10-14-16'!G1119</f>
        <v>15.27</v>
      </c>
      <c r="I1119" s="2">
        <f t="shared" si="153"/>
        <v>304675</v>
      </c>
      <c r="J1119" s="2"/>
      <c r="K1119" s="250" t="e">
        <f>'Rate Design Work eff 10-14-16'!K1119</f>
        <v>#DIV/0!</v>
      </c>
      <c r="M1119" s="2" t="e">
        <f>'Rate Design Work eff 10-14-16'!M1119</f>
        <v>#DIV/0!</v>
      </c>
      <c r="N1119" s="2"/>
      <c r="O1119" s="250" t="e">
        <f>'Rate Design Work eff 10-14-16'!O1119</f>
        <v>#DIV/0!</v>
      </c>
      <c r="Q1119" s="2" t="e">
        <f>'Rate Design Work eff 10-14-16'!Q1119</f>
        <v>#DIV/0!</v>
      </c>
      <c r="R1119" s="2"/>
      <c r="S1119" s="250" t="e">
        <f>'Rate Design Work eff 10-14-16'!S1119</f>
        <v>#DIV/0!</v>
      </c>
      <c r="U1119" s="2" t="e">
        <f>'Rate Design Work eff 10-14-16'!U1119</f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f>'Rate Design Work eff 10-14-16'!C1120</f>
        <v>1982.0024720791801</v>
      </c>
      <c r="D1120" s="250">
        <f>'Rate Design Work eff 10-14-16'!D1120</f>
        <v>19.04</v>
      </c>
      <c r="F1120" s="2">
        <f t="shared" si="152"/>
        <v>37737</v>
      </c>
      <c r="G1120" s="250">
        <f>'Rate Design Work eff 10-14-16'!G1120</f>
        <v>19.36</v>
      </c>
      <c r="I1120" s="2">
        <f t="shared" si="153"/>
        <v>38372</v>
      </c>
      <c r="J1120" s="2"/>
      <c r="K1120" s="250" t="e">
        <f>'Rate Design Work eff 10-14-16'!K1120</f>
        <v>#DIV/0!</v>
      </c>
      <c r="M1120" s="2" t="e">
        <f>'Rate Design Work eff 10-14-16'!M1120</f>
        <v>#DIV/0!</v>
      </c>
      <c r="N1120" s="2"/>
      <c r="O1120" s="250" t="e">
        <f>'Rate Design Work eff 10-14-16'!O1120</f>
        <v>#DIV/0!</v>
      </c>
      <c r="Q1120" s="2" t="e">
        <f>'Rate Design Work eff 10-14-16'!Q1120</f>
        <v>#DIV/0!</v>
      </c>
      <c r="R1120" s="2"/>
      <c r="S1120" s="250" t="e">
        <f>'Rate Design Work eff 10-14-16'!S1120</f>
        <v>#DIV/0!</v>
      </c>
      <c r="U1120" s="2" t="e">
        <f>'Rate Design Work eff 10-14-16'!U1120</f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f>'Rate Design Work eff 10-14-16'!C1121</f>
        <v>3479.9991629691299</v>
      </c>
      <c r="D1121" s="250">
        <f>'Rate Design Work eff 10-14-16'!D1121</f>
        <v>25.13</v>
      </c>
      <c r="F1121" s="2">
        <f t="shared" si="152"/>
        <v>87452</v>
      </c>
      <c r="G1121" s="250">
        <f>'Rate Design Work eff 10-14-16'!G1121</f>
        <v>25.56</v>
      </c>
      <c r="I1121" s="2">
        <f>ROUND(G1121*$C1121,0)</f>
        <v>88949</v>
      </c>
      <c r="J1121" s="2"/>
      <c r="K1121" s="250" t="e">
        <f>'Rate Design Work eff 10-14-16'!K1121</f>
        <v>#DIV/0!</v>
      </c>
      <c r="M1121" s="2" t="e">
        <f>'Rate Design Work eff 10-14-16'!M1121</f>
        <v>#DIV/0!</v>
      </c>
      <c r="N1121" s="2"/>
      <c r="O1121" s="250" t="e">
        <f>'Rate Design Work eff 10-14-16'!O1121</f>
        <v>#DIV/0!</v>
      </c>
      <c r="Q1121" s="2" t="e">
        <f>'Rate Design Work eff 10-14-16'!Q1121</f>
        <v>#DIV/0!</v>
      </c>
      <c r="R1121" s="2"/>
      <c r="S1121" s="250" t="e">
        <f>'Rate Design Work eff 10-14-16'!S1121</f>
        <v>#DIV/0!</v>
      </c>
      <c r="U1121" s="2" t="e">
        <f>'Rate Design Work eff 10-14-16'!U1121</f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f>'Rate Design Work eff 10-14-16'!C1123</f>
        <v>26.521225423076601</v>
      </c>
      <c r="D1123" s="250">
        <f>'Rate Design Work eff 10-14-16'!D1123</f>
        <v>9.48</v>
      </c>
      <c r="F1123" s="2">
        <f>ROUND(C1123*D1123,0)</f>
        <v>251</v>
      </c>
      <c r="G1123" s="250">
        <f>'Rate Design Work eff 10-14-16'!G1123</f>
        <v>9.64</v>
      </c>
      <c r="I1123" s="2">
        <f>ROUND(G1123*$C1123,0)</f>
        <v>256</v>
      </c>
      <c r="J1123" s="2"/>
      <c r="K1123" s="250" t="e">
        <f>'Rate Design Work eff 10-14-16'!K1123</f>
        <v>#DIV/0!</v>
      </c>
      <c r="M1123" s="2" t="e">
        <f>'Rate Design Work eff 10-14-16'!M1123</f>
        <v>#DIV/0!</v>
      </c>
      <c r="N1123" s="2"/>
      <c r="O1123" s="250" t="e">
        <f>'Rate Design Work eff 10-14-16'!O1123</f>
        <v>#DIV/0!</v>
      </c>
      <c r="Q1123" s="2" t="e">
        <f>'Rate Design Work eff 10-14-16'!Q1123</f>
        <v>#DIV/0!</v>
      </c>
      <c r="R1123" s="2"/>
      <c r="S1123" s="250" t="e">
        <f>'Rate Design Work eff 10-14-16'!S1123</f>
        <v>#DIV/0!</v>
      </c>
      <c r="U1123" s="2" t="e">
        <f>'Rate Design Work eff 10-14-16'!U1123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f>'Rate Design Work eff 10-14-16'!C1124</f>
        <v>27.733736654054098</v>
      </c>
      <c r="D1124" s="250">
        <f>'Rate Design Work eff 10-14-16'!D1124</f>
        <v>11.95</v>
      </c>
      <c r="F1124" s="2">
        <f>ROUND(C1124*D1124,0)</f>
        <v>331</v>
      </c>
      <c r="G1124" s="250">
        <f>'Rate Design Work eff 10-14-16'!G1124</f>
        <v>12.15</v>
      </c>
      <c r="I1124" s="2">
        <f>ROUND(G1124*$C1124,0)</f>
        <v>337</v>
      </c>
      <c r="J1124" s="2"/>
      <c r="K1124" s="250" t="e">
        <f>'Rate Design Work eff 10-14-16'!K1124</f>
        <v>#DIV/0!</v>
      </c>
      <c r="M1124" s="2" t="e">
        <f>'Rate Design Work eff 10-14-16'!M1124</f>
        <v>#DIV/0!</v>
      </c>
      <c r="N1124" s="2"/>
      <c r="O1124" s="250" t="e">
        <f>'Rate Design Work eff 10-14-16'!O1124</f>
        <v>#DIV/0!</v>
      </c>
      <c r="Q1124" s="2" t="e">
        <f>'Rate Design Work eff 10-14-16'!Q1124</f>
        <v>#DIV/0!</v>
      </c>
      <c r="R1124" s="2"/>
      <c r="S1124" s="250" t="e">
        <f>'Rate Design Work eff 10-14-16'!S1124</f>
        <v>#DIV/0!</v>
      </c>
      <c r="U1124" s="2" t="e">
        <f>'Rate Design Work eff 10-14-16'!U1124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f>'Rate Design Work eff 10-14-16'!C1125</f>
        <v>55.638368302961503</v>
      </c>
      <c r="D1125" s="250">
        <f>'Rate Design Work eff 10-14-16'!D1125</f>
        <v>19.86</v>
      </c>
      <c r="F1125" s="2">
        <f>ROUND(C1125*D1125,0)</f>
        <v>1105</v>
      </c>
      <c r="G1125" s="250">
        <f>'Rate Design Work eff 10-14-16'!G1125</f>
        <v>20.2</v>
      </c>
      <c r="I1125" s="2">
        <f>ROUND(G1125*$C1125,0)</f>
        <v>1124</v>
      </c>
      <c r="J1125" s="2"/>
      <c r="K1125" s="250" t="e">
        <f>'Rate Design Work eff 10-14-16'!K1125</f>
        <v>#DIV/0!</v>
      </c>
      <c r="M1125" s="2" t="e">
        <f>'Rate Design Work eff 10-14-16'!M1125</f>
        <v>#DIV/0!</v>
      </c>
      <c r="N1125" s="2"/>
      <c r="O1125" s="250" t="e">
        <f>'Rate Design Work eff 10-14-16'!O1125</f>
        <v>#DIV/0!</v>
      </c>
      <c r="Q1125" s="2" t="e">
        <f>'Rate Design Work eff 10-14-16'!Q1125</f>
        <v>#DIV/0!</v>
      </c>
      <c r="R1125" s="2"/>
      <c r="S1125" s="250" t="e">
        <f>'Rate Design Work eff 10-14-16'!S1125</f>
        <v>#DIV/0!</v>
      </c>
      <c r="U1125" s="2" t="e">
        <f>'Rate Design Work eff 10-14-16'!U1125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f>'Rate Design Work eff 10-14-16'!C1126</f>
        <v>33.215584669332003</v>
      </c>
      <c r="D1126" s="250">
        <f>'Rate Design Work eff 10-14-16'!D1126</f>
        <v>25.06</v>
      </c>
      <c r="F1126" s="2">
        <f>ROUND(C1126*D1126,0)</f>
        <v>832</v>
      </c>
      <c r="G1126" s="250">
        <f>'Rate Design Work eff 10-14-16'!G1126</f>
        <v>25.49</v>
      </c>
      <c r="I1126" s="2">
        <f>ROUND(G1126*$C1126,0)</f>
        <v>847</v>
      </c>
      <c r="J1126" s="2"/>
      <c r="K1126" s="250" t="e">
        <f>'Rate Design Work eff 10-14-16'!K1126</f>
        <v>#DIV/0!</v>
      </c>
      <c r="M1126" s="2" t="e">
        <f>'Rate Design Work eff 10-14-16'!M1126</f>
        <v>#DIV/0!</v>
      </c>
      <c r="N1126" s="2"/>
      <c r="O1126" s="250" t="e">
        <f>'Rate Design Work eff 10-14-16'!O1126</f>
        <v>#DIV/0!</v>
      </c>
      <c r="Q1126" s="2" t="e">
        <f>'Rate Design Work eff 10-14-16'!Q1126</f>
        <v>#DIV/0!</v>
      </c>
      <c r="R1126" s="2"/>
      <c r="S1126" s="250" t="e">
        <f>'Rate Design Work eff 10-14-16'!S1126</f>
        <v>#DIV/0!</v>
      </c>
      <c r="U1126" s="2" t="e">
        <f>'Rate Design Work eff 10-14-16'!U1126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f>'Rate Design Work eff 10-14-16'!C1128</f>
        <v>0</v>
      </c>
      <c r="D1128" s="250">
        <f>'Rate Design Work eff 10-14-16'!D1128</f>
        <v>31.34</v>
      </c>
      <c r="F1128" s="2">
        <f t="shared" ref="F1128:F1134" si="154">ROUND(C1128*D1128,0)</f>
        <v>0</v>
      </c>
      <c r="G1128" s="250">
        <f>'Rate Design Work eff 10-14-16'!G1128</f>
        <v>31.87</v>
      </c>
      <c r="I1128" s="2">
        <f>ROUND(G1128*$C1128,0)</f>
        <v>0</v>
      </c>
      <c r="J1128" s="2"/>
      <c r="K1128" s="250" t="e">
        <f>'Rate Design Work eff 10-14-16'!K1128</f>
        <v>#DIV/0!</v>
      </c>
      <c r="M1128" s="2" t="e">
        <f>'Rate Design Work eff 10-14-16'!M1128</f>
        <v>#DIV/0!</v>
      </c>
      <c r="N1128" s="2"/>
      <c r="O1128" s="250" t="e">
        <f>'Rate Design Work eff 10-14-16'!O1128</f>
        <v>#DIV/0!</v>
      </c>
      <c r="Q1128" s="2" t="e">
        <f>'Rate Design Work eff 10-14-16'!Q1128</f>
        <v>#DIV/0!</v>
      </c>
      <c r="R1128" s="2"/>
      <c r="S1128" s="250" t="e">
        <f>'Rate Design Work eff 10-14-16'!S1128</f>
        <v>#DIV/0!</v>
      </c>
      <c r="U1128" s="2" t="e">
        <f>'Rate Design Work eff 10-14-16'!U1128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f>'Rate Design Work eff 10-14-16'!C1129</f>
        <v>0</v>
      </c>
      <c r="D1129" s="250">
        <f>'Rate Design Work eff 10-14-16'!D1129</f>
        <v>26.14</v>
      </c>
      <c r="F1129" s="2">
        <f t="shared" si="154"/>
        <v>0</v>
      </c>
      <c r="G1129" s="250">
        <f>'Rate Design Work eff 10-14-16'!G1129</f>
        <v>26.58</v>
      </c>
      <c r="I1129" s="2">
        <f t="shared" si="153"/>
        <v>0</v>
      </c>
      <c r="J1129" s="2"/>
      <c r="K1129" s="250" t="e">
        <f>'Rate Design Work eff 10-14-16'!K1129</f>
        <v>#DIV/0!</v>
      </c>
      <c r="M1129" s="2" t="e">
        <f>'Rate Design Work eff 10-14-16'!M1129</f>
        <v>#DIV/0!</v>
      </c>
      <c r="N1129" s="2"/>
      <c r="O1129" s="250" t="e">
        <f>'Rate Design Work eff 10-14-16'!O1129</f>
        <v>#DIV/0!</v>
      </c>
      <c r="Q1129" s="2" t="e">
        <f>'Rate Design Work eff 10-14-16'!Q1129</f>
        <v>#DIV/0!</v>
      </c>
      <c r="R1129" s="2"/>
      <c r="S1129" s="250" t="e">
        <f>'Rate Design Work eff 10-14-16'!S1129</f>
        <v>#DIV/0!</v>
      </c>
      <c r="U1129" s="2" t="e">
        <f>'Rate Design Work eff 10-14-16'!U1129</f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f>'Rate Design Work eff 10-14-16'!C1130</f>
        <v>0</v>
      </c>
      <c r="D1130" s="250">
        <f>'Rate Design Work eff 10-14-16'!D1130</f>
        <v>24.09</v>
      </c>
      <c r="F1130" s="2">
        <f t="shared" si="154"/>
        <v>0</v>
      </c>
      <c r="G1130" s="250">
        <f>'Rate Design Work eff 10-14-16'!G1130</f>
        <v>24.5</v>
      </c>
      <c r="I1130" s="2">
        <f>ROUND(G1130*$C1130,0)</f>
        <v>0</v>
      </c>
      <c r="J1130" s="2"/>
      <c r="K1130" s="250" t="e">
        <f>'Rate Design Work eff 10-14-16'!K1130</f>
        <v>#DIV/0!</v>
      </c>
      <c r="M1130" s="2" t="e">
        <f>'Rate Design Work eff 10-14-16'!M1130</f>
        <v>#DIV/0!</v>
      </c>
      <c r="N1130" s="2"/>
      <c r="O1130" s="250" t="e">
        <f>'Rate Design Work eff 10-14-16'!O1130</f>
        <v>#DIV/0!</v>
      </c>
      <c r="Q1130" s="2" t="e">
        <f>'Rate Design Work eff 10-14-16'!Q1130</f>
        <v>#DIV/0!</v>
      </c>
      <c r="R1130" s="2"/>
      <c r="S1130" s="250" t="e">
        <f>'Rate Design Work eff 10-14-16'!S1130</f>
        <v>#DIV/0!</v>
      </c>
      <c r="U1130" s="2" t="e">
        <f>'Rate Design Work eff 10-14-16'!U1130</f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f>'Rate Design Work eff 10-14-16'!C1131</f>
        <v>0</v>
      </c>
      <c r="D1131" s="250">
        <f>'Rate Design Work eff 10-14-16'!D1131</f>
        <v>35.21</v>
      </c>
      <c r="F1131" s="2">
        <f t="shared" si="154"/>
        <v>0</v>
      </c>
      <c r="G1131" s="250">
        <f>'Rate Design Work eff 10-14-16'!G1131</f>
        <v>35.81</v>
      </c>
      <c r="I1131" s="2">
        <f t="shared" si="153"/>
        <v>0</v>
      </c>
      <c r="J1131" s="2"/>
      <c r="K1131" s="250" t="e">
        <f>'Rate Design Work eff 10-14-16'!K1131</f>
        <v>#DIV/0!</v>
      </c>
      <c r="M1131" s="2" t="e">
        <f>'Rate Design Work eff 10-14-16'!M1131</f>
        <v>#DIV/0!</v>
      </c>
      <c r="N1131" s="2"/>
      <c r="O1131" s="250" t="e">
        <f>'Rate Design Work eff 10-14-16'!O1131</f>
        <v>#DIV/0!</v>
      </c>
      <c r="Q1131" s="2" t="e">
        <f>'Rate Design Work eff 10-14-16'!Q1131</f>
        <v>#DIV/0!</v>
      </c>
      <c r="R1131" s="2"/>
      <c r="S1131" s="250" t="e">
        <f>'Rate Design Work eff 10-14-16'!S1131</f>
        <v>#DIV/0!</v>
      </c>
      <c r="U1131" s="2" t="e">
        <f>'Rate Design Work eff 10-14-16'!U1131</f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f>'Rate Design Work eff 10-14-16'!C1132</f>
        <v>0</v>
      </c>
      <c r="D1132" s="250">
        <f>'Rate Design Work eff 10-14-16'!D1132</f>
        <v>28.35</v>
      </c>
      <c r="F1132" s="2">
        <f t="shared" si="154"/>
        <v>0</v>
      </c>
      <c r="G1132" s="250">
        <f>'Rate Design Work eff 10-14-16'!G1132</f>
        <v>28.83</v>
      </c>
      <c r="I1132" s="2">
        <f>ROUND(G1132*$C1132,0)</f>
        <v>0</v>
      </c>
      <c r="J1132" s="2"/>
      <c r="K1132" s="250" t="e">
        <f>'Rate Design Work eff 10-14-16'!K1132</f>
        <v>#DIV/0!</v>
      </c>
      <c r="M1132" s="2" t="e">
        <f>'Rate Design Work eff 10-14-16'!M1132</f>
        <v>#DIV/0!</v>
      </c>
      <c r="N1132" s="2"/>
      <c r="O1132" s="250" t="e">
        <f>'Rate Design Work eff 10-14-16'!O1132</f>
        <v>#DIV/0!</v>
      </c>
      <c r="Q1132" s="2" t="e">
        <f>'Rate Design Work eff 10-14-16'!Q1132</f>
        <v>#DIV/0!</v>
      </c>
      <c r="R1132" s="2"/>
      <c r="S1132" s="250" t="e">
        <f>'Rate Design Work eff 10-14-16'!S1132</f>
        <v>#DIV/0!</v>
      </c>
      <c r="U1132" s="2" t="e">
        <f>'Rate Design Work eff 10-14-16'!U1132</f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f>'Rate Design Work eff 10-14-16'!C1133</f>
        <v>0</v>
      </c>
      <c r="D1133" s="250">
        <f>'Rate Design Work eff 10-14-16'!D1133</f>
        <v>27.86</v>
      </c>
      <c r="F1133" s="2">
        <f t="shared" si="154"/>
        <v>0</v>
      </c>
      <c r="G1133" s="250">
        <f>'Rate Design Work eff 10-14-16'!G1133</f>
        <v>28.33</v>
      </c>
      <c r="I1133" s="2">
        <f>ROUND(G1133*$C1133,0)</f>
        <v>0</v>
      </c>
      <c r="J1133" s="2"/>
      <c r="K1133" s="250" t="e">
        <f>'Rate Design Work eff 10-14-16'!K1133</f>
        <v>#DIV/0!</v>
      </c>
      <c r="M1133" s="2" t="e">
        <f>'Rate Design Work eff 10-14-16'!M1133</f>
        <v>#DIV/0!</v>
      </c>
      <c r="N1133" s="2"/>
      <c r="O1133" s="250" t="e">
        <f>'Rate Design Work eff 10-14-16'!O1133</f>
        <v>#DIV/0!</v>
      </c>
      <c r="Q1133" s="2" t="e">
        <f>'Rate Design Work eff 10-14-16'!Q1133</f>
        <v>#DIV/0!</v>
      </c>
      <c r="R1133" s="2"/>
      <c r="S1133" s="250" t="e">
        <f>'Rate Design Work eff 10-14-16'!S1133</f>
        <v>#DIV/0!</v>
      </c>
      <c r="U1133" s="2" t="e">
        <f>'Rate Design Work eff 10-14-16'!U1133</f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f>'Rate Design Work eff 10-14-16'!C1134</f>
        <v>0</v>
      </c>
      <c r="D1134" s="250">
        <f>'Rate Design Work eff 10-14-16'!D1134</f>
        <v>30.33</v>
      </c>
      <c r="F1134" s="2">
        <f t="shared" si="154"/>
        <v>0</v>
      </c>
      <c r="G1134" s="250">
        <f>'Rate Design Work eff 10-14-16'!G1134</f>
        <v>30.85</v>
      </c>
      <c r="I1134" s="2">
        <f>ROUND(G1134*$C1134,0)</f>
        <v>0</v>
      </c>
      <c r="J1134" s="2"/>
      <c r="K1134" s="250" t="e">
        <f>'Rate Design Work eff 10-14-16'!K1134</f>
        <v>#DIV/0!</v>
      </c>
      <c r="M1134" s="2" t="e">
        <f>'Rate Design Work eff 10-14-16'!M1134</f>
        <v>#DIV/0!</v>
      </c>
      <c r="N1134" s="2"/>
      <c r="O1134" s="250" t="e">
        <f>'Rate Design Work eff 10-14-16'!O1134</f>
        <v>#DIV/0!</v>
      </c>
      <c r="Q1134" s="2" t="e">
        <f>'Rate Design Work eff 10-14-16'!Q1134</f>
        <v>#DIV/0!</v>
      </c>
      <c r="R1134" s="2"/>
      <c r="S1134" s="250" t="e">
        <f>'Rate Design Work eff 10-14-16'!S1134</f>
        <v>#DIV/0!</v>
      </c>
      <c r="U1134" s="2" t="e">
        <f>'Rate Design Work eff 10-14-16'!U1134</f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f>'Rate Design Work eff 10-14-16'!C1135</f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903</v>
      </c>
      <c r="C1136" s="1122">
        <f>C1137</f>
        <v>3883379.6674147383</v>
      </c>
      <c r="D1136" s="254">
        <f>'Rate Design Work eff 10-14-16'!D1136</f>
        <v>0</v>
      </c>
      <c r="E1136" s="1119"/>
      <c r="F1136" s="1123"/>
      <c r="G1136" s="1128">
        <f>'Rate Design Work eff 10-14-16'!G1136</f>
        <v>0</v>
      </c>
      <c r="H1136" s="1000" t="s">
        <v>364</v>
      </c>
      <c r="I1136" s="1000">
        <f>ROUND(G1136*$C1136/100,0)</f>
        <v>0</v>
      </c>
      <c r="J1136" s="1000"/>
      <c r="K1136" s="1128" t="str">
        <f>'Rate Design Work eff 10-14-16'!K1136</f>
        <v xml:space="preserve"> </v>
      </c>
      <c r="L1136" s="1126" t="s">
        <v>31</v>
      </c>
      <c r="M1136" s="2">
        <f>'Rate Design Work eff 10-14-16'!M1136</f>
        <v>0</v>
      </c>
      <c r="N1136" s="1123"/>
      <c r="O1136" s="1128" t="str">
        <f>'Rate Design Work eff 10-14-16'!O1136</f>
        <v xml:space="preserve"> </v>
      </c>
      <c r="P1136" s="1126" t="s">
        <v>31</v>
      </c>
      <c r="Q1136" s="2">
        <f>'Rate Design Work eff 10-14-16'!Q1136</f>
        <v>0</v>
      </c>
      <c r="R1136" s="1123"/>
      <c r="S1136" s="1128">
        <f>'Rate Design Work eff 10-14-16'!S1136</f>
        <v>0</v>
      </c>
      <c r="T1136" s="1126" t="s">
        <v>364</v>
      </c>
      <c r="U1136" s="2">
        <f>'Rate Design Work eff 10-14-16'!U1136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757020</v>
      </c>
      <c r="G1137" s="254"/>
      <c r="H1137" s="20"/>
      <c r="I1137" s="257">
        <f>SUM(I1112:I1136)</f>
        <v>770147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$I$1138*V1143/($V$1143+$W$1143+$X$1143)</f>
        <v>#DIV/0!</v>
      </c>
      <c r="N1138" s="51"/>
      <c r="O1138" s="294"/>
      <c r="P1138" s="294"/>
      <c r="Q1138" s="257" t="e">
        <f>$I$1138*W1143/($V$1143+$W$1143+$X$1143)</f>
        <v>#DIV/0!</v>
      </c>
      <c r="R1138" s="51"/>
      <c r="S1138" s="294"/>
      <c r="T1138" s="294"/>
      <c r="U1138" s="257" t="e">
        <f>$I$1138*X1143/($V$1143+$W$1143+$X$1143)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768973.20538016257</v>
      </c>
      <c r="G1139" s="297"/>
      <c r="H1139" s="297"/>
      <c r="I1139" s="259">
        <f>I1137+I1138</f>
        <v>782100.20538016257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786">
        <f ca="1">'Rate Spread targets'!Q38*1000</f>
        <v>782000.72542123613</v>
      </c>
      <c r="X1139" s="1417">
        <f>(I1139-F1139)/F1139</f>
        <v>1.7070815872589885E-2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A1140" s="1304" t="s">
        <v>902</v>
      </c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1305"/>
      <c r="W1140" s="395"/>
      <c r="X1140" s="1306"/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 t="s">
        <v>31</v>
      </c>
      <c r="V1141" s="762" t="s">
        <v>257</v>
      </c>
      <c r="W1141" s="781">
        <f ca="1">W1139-I1139</f>
        <v>-99.479958926443942</v>
      </c>
      <c r="X1141" s="1087">
        <v>-0.13519999999999999</v>
      </c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 ht="18" hidden="1" customHeight="1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 t="s">
        <v>31</v>
      </c>
      <c r="V1142" s="719"/>
      <c r="W1142" s="719"/>
      <c r="X1142" s="719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 hidden="1">
      <c r="C1143" s="335"/>
      <c r="D1143" s="51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401"/>
      <c r="W1143" s="401"/>
      <c r="X1143" s="401"/>
      <c r="Y1143" s="751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 hidden="1">
      <c r="A1144" s="1"/>
      <c r="B1144" s="1"/>
      <c r="C1144" s="21"/>
      <c r="D1144" s="21" t="s">
        <v>31</v>
      </c>
      <c r="E1144" s="21"/>
      <c r="F1144" s="2"/>
      <c r="G1144" s="21" t="s">
        <v>31</v>
      </c>
      <c r="H1144" s="21"/>
      <c r="I1144" s="2" t="s">
        <v>31</v>
      </c>
      <c r="J1144" s="2"/>
      <c r="K1144" s="21" t="s">
        <v>31</v>
      </c>
      <c r="L1144" s="21"/>
      <c r="M1144" s="2" t="s">
        <v>31</v>
      </c>
      <c r="N1144" s="2"/>
      <c r="O1144" s="21" t="s">
        <v>31</v>
      </c>
      <c r="P1144" s="21"/>
      <c r="Q1144" s="2" t="s">
        <v>31</v>
      </c>
      <c r="R1144" s="2"/>
      <c r="S1144" s="21" t="s">
        <v>31</v>
      </c>
      <c r="T1144" s="21"/>
      <c r="U1144" s="2" t="s">
        <v>31</v>
      </c>
      <c r="W1144" s="3"/>
      <c r="X1144" s="3"/>
      <c r="Y1144" s="226"/>
      <c r="AA1144" s="262"/>
      <c r="AB1144" s="262"/>
      <c r="AC1144" s="262"/>
      <c r="AD1144" s="262"/>
      <c r="AE1144" s="262"/>
      <c r="AF1144" s="263"/>
      <c r="AG1144" s="263"/>
      <c r="AH1144" s="20"/>
      <c r="AI1144" s="20"/>
      <c r="AJ1144" s="20"/>
      <c r="AK1144" s="20"/>
      <c r="AL1144" s="20"/>
      <c r="AM1144" s="20"/>
      <c r="AN1144" s="20"/>
      <c r="AO1144" s="20"/>
      <c r="AP1144" s="20"/>
    </row>
    <row r="1145" spans="1:44">
      <c r="A1145" s="278" t="s">
        <v>476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63"/>
      <c r="W1145" s="272"/>
      <c r="X1145" s="263"/>
      <c r="Y1145" s="263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 t="s">
        <v>477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/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63"/>
      <c r="AH1147" s="263"/>
      <c r="AI1147" s="263"/>
      <c r="AJ1147" s="263"/>
      <c r="AK1147" s="263"/>
      <c r="AL1147" s="20"/>
      <c r="AM1147" s="20"/>
      <c r="AN1147" s="20"/>
      <c r="AO1147" s="20"/>
      <c r="AP1147" s="20"/>
    </row>
    <row r="1148" spans="1:44">
      <c r="A1148" s="1" t="s">
        <v>478</v>
      </c>
      <c r="B1148" s="1"/>
      <c r="C1148" s="21"/>
      <c r="D1148" s="283"/>
      <c r="E1148" s="1"/>
      <c r="F1148" s="397">
        <f>'Rate Design Work eff 10-14-16'!F1147</f>
        <v>19085.726609179299</v>
      </c>
      <c r="G1148" s="283"/>
      <c r="H1148" s="1"/>
      <c r="I1148" s="2">
        <f>'Rate Design Work eff 10-14-16'!I1147</f>
        <v>19085.726609179299</v>
      </c>
      <c r="J1148" s="2"/>
      <c r="K1148" s="283"/>
      <c r="L1148" s="1"/>
      <c r="M1148" s="2">
        <f>I1148</f>
        <v>19085.726609179299</v>
      </c>
      <c r="N1148" s="2"/>
      <c r="O1148" s="283"/>
      <c r="P1148" s="1"/>
      <c r="Q1148" s="2" t="s">
        <v>31</v>
      </c>
      <c r="R1148" s="2"/>
      <c r="S1148" s="283"/>
      <c r="T1148" s="1"/>
      <c r="U1148" s="2" t="str">
        <f>Q1148</f>
        <v xml:space="preserve"> </v>
      </c>
      <c r="V1148" s="20"/>
      <c r="W1148" s="74"/>
      <c r="X1148" s="74" t="s">
        <v>31</v>
      </c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479</v>
      </c>
      <c r="B1149" s="1"/>
      <c r="C1149" s="249">
        <f>'Rate Design Work eff 10-14-16'!C1148</f>
        <v>209541.66875847799</v>
      </c>
      <c r="D1149" s="367">
        <f>'Rate Design Work eff 10-14-16'!D1148</f>
        <v>8.0410000000000004</v>
      </c>
      <c r="E1149" s="1" t="s">
        <v>364</v>
      </c>
      <c r="F1149" s="399">
        <f>ROUND(D1149*C1149/100,0)</f>
        <v>16849</v>
      </c>
      <c r="G1149" s="367">
        <f>'Rate Design Work eff 10-14-16'!G1148</f>
        <v>8.3360000000000003</v>
      </c>
      <c r="H1149" s="1" t="s">
        <v>364</v>
      </c>
      <c r="I1149" s="2">
        <f>ROUND(G1149*$C1149/100,0)</f>
        <v>17467</v>
      </c>
      <c r="J1149" s="2"/>
      <c r="K1149" s="367" t="e">
        <f>'Rate Design Work eff 10-14-16'!K1148</f>
        <v>#DIV/0!</v>
      </c>
      <c r="L1149" s="1" t="s">
        <v>364</v>
      </c>
      <c r="M1149" s="2" t="e">
        <f>'Rate Design Work eff 10-14-16'!M1148</f>
        <v>#DIV/0!</v>
      </c>
      <c r="N1149" s="2"/>
      <c r="O1149" s="367" t="e">
        <f>'Rate Design Work eff 10-14-16'!O1148</f>
        <v>#DIV/0!</v>
      </c>
      <c r="P1149" s="1" t="s">
        <v>364</v>
      </c>
      <c r="Q1149" s="2" t="e">
        <f>'Rate Design Work eff 10-14-16'!Q1148</f>
        <v>#DIV/0!</v>
      </c>
      <c r="R1149" s="2"/>
      <c r="S1149" s="367" t="e">
        <f>'Rate Design Work eff 10-14-16'!S1148</f>
        <v>#DIV/0!</v>
      </c>
      <c r="T1149" s="1" t="s">
        <v>364</v>
      </c>
      <c r="U1149" s="2" t="e">
        <f>'Rate Design Work eff 10-14-16'!U1148</f>
        <v>#DIV/0!</v>
      </c>
      <c r="V1149" s="20"/>
      <c r="W1149" s="74"/>
      <c r="X1149" s="74"/>
      <c r="Y1149" s="74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480</v>
      </c>
      <c r="B1150" s="1"/>
      <c r="C1150" s="249">
        <f>'Rate Design Work eff 10-14-16'!C1149</f>
        <v>0</v>
      </c>
      <c r="D1150" s="367">
        <f>'Rate Design Work eff 10-14-16'!D1149</f>
        <v>8.9979999999999993</v>
      </c>
      <c r="E1150" s="1" t="s">
        <v>364</v>
      </c>
      <c r="F1150" s="399">
        <f>ROUND(D1150*C1150/100,0)</f>
        <v>0</v>
      </c>
      <c r="G1150" s="367">
        <f>'Rate Design Work eff 10-14-16'!G1149</f>
        <v>9.3279999999999994</v>
      </c>
      <c r="H1150" s="1" t="s">
        <v>364</v>
      </c>
      <c r="I1150" s="2">
        <f>ROUND(G1150*$C1150/100,0)</f>
        <v>0</v>
      </c>
      <c r="J1150" s="2"/>
      <c r="K1150" s="367" t="e">
        <f>'Rate Design Work eff 10-14-16'!K1149</f>
        <v>#DIV/0!</v>
      </c>
      <c r="L1150" s="1" t="s">
        <v>364</v>
      </c>
      <c r="M1150" s="2" t="e">
        <f>'Rate Design Work eff 10-14-16'!M1149</f>
        <v>#DIV/0!</v>
      </c>
      <c r="N1150" s="2"/>
      <c r="O1150" s="367" t="e">
        <f>'Rate Design Work eff 10-14-16'!O1149</f>
        <v>#DIV/0!</v>
      </c>
      <c r="P1150" s="1" t="s">
        <v>364</v>
      </c>
      <c r="Q1150" s="2" t="e">
        <f>'Rate Design Work eff 10-14-16'!Q1149</f>
        <v>#DIV/0!</v>
      </c>
      <c r="R1150" s="2"/>
      <c r="S1150" s="367" t="e">
        <f>'Rate Design Work eff 10-14-16'!S1149</f>
        <v>#DIV/0!</v>
      </c>
      <c r="T1150" s="1" t="s">
        <v>364</v>
      </c>
      <c r="U1150" s="2" t="e">
        <f>'Rate Design Work eff 10-14-16'!U1149</f>
        <v>#DIV/0!</v>
      </c>
      <c r="V1150" s="20"/>
      <c r="W1150" s="74"/>
      <c r="X1150" s="20"/>
      <c r="Y1150" s="20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>
      <c r="A1151" s="1" t="s">
        <v>352</v>
      </c>
      <c r="B1151" s="1"/>
      <c r="C1151" s="249">
        <f>'Rate Design Work eff 10-14-16'!C1150</f>
        <v>14</v>
      </c>
      <c r="D1151" s="400"/>
      <c r="E1151" s="1"/>
      <c r="F1151" s="2"/>
      <c r="G1151" s="400"/>
      <c r="H1151" s="1"/>
      <c r="I1151" s="2"/>
      <c r="J1151" s="2"/>
      <c r="K1151" s="400"/>
      <c r="L1151" s="1"/>
      <c r="M1151" s="2"/>
      <c r="N1151" s="2"/>
      <c r="O1151" s="400"/>
      <c r="P1151" s="1"/>
      <c r="Q1151" s="2"/>
      <c r="R1151" s="2"/>
      <c r="S1151" s="400"/>
      <c r="T1151" s="1"/>
      <c r="U1151" s="2"/>
      <c r="V1151" s="20"/>
      <c r="W1151" s="74"/>
      <c r="X1151" s="74"/>
      <c r="Y1151" s="74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</row>
    <row r="1152" spans="1:44" s="1118" customFormat="1" hidden="1">
      <c r="A1152" s="968" t="s">
        <v>891</v>
      </c>
      <c r="C1152" s="1122">
        <f>C1154</f>
        <v>209541.66875847799</v>
      </c>
      <c r="D1152" s="254">
        <f>'Rate Design Work eff 10-14-16'!D1151</f>
        <v>0</v>
      </c>
      <c r="E1152" s="1119"/>
      <c r="F1152" s="1123"/>
      <c r="G1152" s="1128">
        <v>0</v>
      </c>
      <c r="H1152" s="1000" t="s">
        <v>364</v>
      </c>
      <c r="I1152" s="1000">
        <f>ROUND(G1152*$C1152/100,0)</f>
        <v>0</v>
      </c>
      <c r="J1152" s="1000"/>
      <c r="K1152" s="1128" t="s">
        <v>31</v>
      </c>
      <c r="L1152" s="1126" t="s">
        <v>31</v>
      </c>
      <c r="M1152" s="2">
        <f>'Rate Design Work eff 10-14-16'!M1151</f>
        <v>0</v>
      </c>
      <c r="N1152" s="1123"/>
      <c r="O1152" s="1128" t="s">
        <v>31</v>
      </c>
      <c r="P1152" s="1126" t="s">
        <v>31</v>
      </c>
      <c r="Q1152" s="2">
        <f>'Rate Design Work eff 10-14-16'!Q1151</f>
        <v>0</v>
      </c>
      <c r="R1152" s="1123"/>
      <c r="S1152" s="1128">
        <f>'Rate Design Work eff 10-14-16'!S1151</f>
        <v>0</v>
      </c>
      <c r="T1152" s="1126" t="s">
        <v>364</v>
      </c>
      <c r="U1152" s="2">
        <f>'Rate Design Work eff 10-14-16'!U1151</f>
        <v>0</v>
      </c>
      <c r="V1152" s="1124">
        <f>'NPC Spread'!J52</f>
        <v>4829.6597009163306</v>
      </c>
      <c r="W1152" s="784" t="s">
        <v>857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 s="1118" customFormat="1" hidden="1">
      <c r="A1153" s="1255" t="s">
        <v>874</v>
      </c>
      <c r="B1153" s="1256"/>
      <c r="C1153" s="1269"/>
      <c r="D1153" s="1270">
        <f>'Rate Design Work eff 10-14-16'!D1152</f>
        <v>8.0410000000000004</v>
      </c>
      <c r="E1153" s="1261" t="s">
        <v>364</v>
      </c>
      <c r="F1153" s="1259"/>
      <c r="G1153" s="1270">
        <f>G1149+G1152</f>
        <v>8.3360000000000003</v>
      </c>
      <c r="H1153" s="1261" t="s">
        <v>364</v>
      </c>
      <c r="I1153" s="1266"/>
      <c r="J1153" s="1266"/>
      <c r="K1153" s="1270" t="e">
        <f>K1149+K1152</f>
        <v>#DIV/0!</v>
      </c>
      <c r="L1153" s="1261" t="s">
        <v>364</v>
      </c>
      <c r="M1153" s="1266"/>
      <c r="N1153" s="1266"/>
      <c r="O1153" s="1270" t="e">
        <f>O1149+O1152</f>
        <v>#DIV/0!</v>
      </c>
      <c r="P1153" s="1261" t="s">
        <v>364</v>
      </c>
      <c r="Q1153" s="1266"/>
      <c r="R1153" s="1266"/>
      <c r="S1153" s="1270" t="e">
        <f>S1149+S1152</f>
        <v>#DIV/0!</v>
      </c>
      <c r="T1153" s="1261" t="s">
        <v>364</v>
      </c>
      <c r="U1153" s="1266"/>
      <c r="V1153" s="1124"/>
      <c r="W1153" s="784"/>
      <c r="X1153" s="795" t="s">
        <v>31</v>
      </c>
      <c r="Z1153" s="1125"/>
      <c r="AA1153" s="1125"/>
      <c r="AF1153" s="1119"/>
      <c r="AG1153" s="1119"/>
      <c r="AH1153" s="1119"/>
      <c r="AI1153" s="1119"/>
      <c r="AJ1153" s="1119"/>
      <c r="AK1153" s="1119"/>
      <c r="AL1153" s="1119"/>
      <c r="AM1153" s="1119"/>
      <c r="AN1153" s="1119"/>
      <c r="AO1153" s="1119"/>
      <c r="AP1153" s="1119"/>
      <c r="AR1153" s="1124"/>
    </row>
    <row r="1154" spans="1:44">
      <c r="A1154" s="3" t="s">
        <v>481</v>
      </c>
      <c r="C1154" s="249">
        <f>SUM(C1149:C1150)</f>
        <v>209541.66875847799</v>
      </c>
      <c r="D1154" s="254"/>
      <c r="E1154" s="20"/>
      <c r="F1154" s="257">
        <f>SUM(F1148:F1150)</f>
        <v>35934.726609179299</v>
      </c>
      <c r="G1154" s="254"/>
      <c r="H1154" s="20"/>
      <c r="I1154" s="257">
        <f>SUM(I1148:I1153)</f>
        <v>36552.726609179299</v>
      </c>
      <c r="J1154" s="257"/>
      <c r="K1154" s="254"/>
      <c r="L1154" s="20"/>
      <c r="M1154" s="257" t="e">
        <f>SUM(M1148:M1153)</f>
        <v>#DIV/0!</v>
      </c>
      <c r="N1154" s="257"/>
      <c r="O1154" s="254"/>
      <c r="P1154" s="20"/>
      <c r="Q1154" s="257" t="e">
        <f>SUM(Q1148:Q1153)</f>
        <v>#DIV/0!</v>
      </c>
      <c r="R1154" s="257"/>
      <c r="S1154" s="254"/>
      <c r="T1154" s="20"/>
      <c r="U1154" s="257" t="e">
        <f>SUM(U1148:U1153)</f>
        <v>#DIV/0!</v>
      </c>
      <c r="V1154" s="20"/>
      <c r="W1154" s="74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>
      <c r="A1155" s="3" t="s">
        <v>482</v>
      </c>
      <c r="C1155" s="249">
        <f ca="1">'Table 2'!H121</f>
        <v>2653.5816237928889</v>
      </c>
      <c r="D1155" s="254"/>
      <c r="E1155" s="20"/>
      <c r="F1155" s="257">
        <f>'Table 3'!E121</f>
        <v>567.41534451217819</v>
      </c>
      <c r="G1155" s="254"/>
      <c r="H1155" s="20"/>
      <c r="I1155" s="257">
        <f>F1155</f>
        <v>567.41534451217819</v>
      </c>
      <c r="J1155" s="257"/>
      <c r="K1155" s="254"/>
      <c r="L1155" s="20"/>
      <c r="M1155" s="257" t="e">
        <f>$I$1155*V1159/($V$1159+$W$1159+$X$1159)</f>
        <v>#DIV/0!</v>
      </c>
      <c r="N1155" s="51"/>
      <c r="O1155" s="294"/>
      <c r="P1155" s="294"/>
      <c r="Q1155" s="257" t="e">
        <f>$I$1155*W1159/($V$1159+$W$1159+$X$1159)</f>
        <v>#DIV/0!</v>
      </c>
      <c r="R1155" s="51"/>
      <c r="S1155" s="294"/>
      <c r="T1155" s="294"/>
      <c r="U1155" s="257" t="e">
        <f>$I$1155*X1159/($V$1159+$W$1159+$X$1159)</f>
        <v>#DIV/0!</v>
      </c>
      <c r="V1155" s="274"/>
      <c r="W1155" s="275"/>
      <c r="X1155" s="74"/>
      <c r="Y1155" s="74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Bot="1">
      <c r="A1156" s="1" t="s">
        <v>9</v>
      </c>
      <c r="B1156" s="1"/>
      <c r="C1156" s="378">
        <f ca="1">C1154+C1155</f>
        <v>212195.25038227087</v>
      </c>
      <c r="D1156" s="962"/>
      <c r="E1156" s="330"/>
      <c r="F1156" s="259">
        <f>F1154+F1155</f>
        <v>36502.141953691476</v>
      </c>
      <c r="G1156" s="962"/>
      <c r="H1156" s="330"/>
      <c r="I1156" s="259">
        <f>I1154+I1155</f>
        <v>37120.141953691476</v>
      </c>
      <c r="J1156" s="297"/>
      <c r="K1156" s="962"/>
      <c r="L1156" s="330"/>
      <c r="M1156" s="259" t="e">
        <f>M1154+M1155</f>
        <v>#DIV/0!</v>
      </c>
      <c r="N1156" s="297"/>
      <c r="O1156" s="962"/>
      <c r="P1156" s="330"/>
      <c r="Q1156" s="259" t="e">
        <f>Q1154+Q1155</f>
        <v>#DIV/0!</v>
      </c>
      <c r="R1156" s="297"/>
      <c r="S1156" s="962"/>
      <c r="T1156" s="330"/>
      <c r="U1156" s="259" t="e">
        <f>U1154+U1155</f>
        <v>#DIV/0!</v>
      </c>
      <c r="V1156" s="761" t="s">
        <v>399</v>
      </c>
      <c r="W1156" s="778">
        <f ca="1">'Rate Spread targets'!Q39*1000</f>
        <v>37120.541115738662</v>
      </c>
      <c r="X1156" s="1417">
        <f>(I1156-F1156)/F1156</f>
        <v>1.6930513304781597E-2</v>
      </c>
      <c r="Y1156" s="79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 ht="16.5" thickTop="1">
      <c r="A1157" s="1"/>
      <c r="B1157" s="1"/>
      <c r="C1157" s="1"/>
      <c r="D1157" s="404" t="s">
        <v>31</v>
      </c>
      <c r="E1157" s="1"/>
      <c r="F1157" s="1"/>
      <c r="G1157" s="404" t="s">
        <v>31</v>
      </c>
      <c r="H1157" s="1"/>
      <c r="I1157" s="2" t="s">
        <v>31</v>
      </c>
      <c r="J1157" s="2"/>
      <c r="K1157" s="404" t="s">
        <v>31</v>
      </c>
      <c r="L1157" s="1"/>
      <c r="M1157" s="2" t="s">
        <v>31</v>
      </c>
      <c r="N1157" s="2"/>
      <c r="O1157" s="404" t="s">
        <v>31</v>
      </c>
      <c r="P1157" s="1"/>
      <c r="Q1157" s="2" t="s">
        <v>31</v>
      </c>
      <c r="R1157" s="2"/>
      <c r="S1157" s="404" t="s">
        <v>31</v>
      </c>
      <c r="T1157" s="1"/>
      <c r="U1157" s="2" t="s">
        <v>31</v>
      </c>
      <c r="V1157" s="762" t="s">
        <v>257</v>
      </c>
      <c r="W1157" s="780">
        <f ca="1">W1156-I1156</f>
        <v>0.3991620471861097</v>
      </c>
      <c r="X1157" s="779" t="s">
        <v>31</v>
      </c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 hidden="1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719"/>
      <c r="W1158" s="719"/>
      <c r="X1158" s="719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 hidden="1">
      <c r="A1159" s="1"/>
      <c r="B1159" s="1"/>
      <c r="C1159" s="1"/>
      <c r="D1159" s="404"/>
      <c r="E1159" s="1"/>
      <c r="F1159" s="1"/>
      <c r="G1159" s="404"/>
      <c r="H1159" s="1"/>
      <c r="I1159" s="2"/>
      <c r="J1159" s="2"/>
      <c r="K1159" s="404"/>
      <c r="L1159" s="1"/>
      <c r="M1159" s="2"/>
      <c r="N1159" s="2"/>
      <c r="O1159" s="404"/>
      <c r="P1159" s="1"/>
      <c r="Q1159" s="2"/>
      <c r="R1159" s="2"/>
      <c r="S1159" s="404"/>
      <c r="T1159" s="1"/>
      <c r="U1159" s="2"/>
      <c r="V1159" s="401"/>
      <c r="W1159" s="401"/>
      <c r="X1159" s="401"/>
      <c r="Y1159" s="226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278" t="s">
        <v>483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 t="s">
        <v>484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/>
      <c r="B1162" s="1"/>
      <c r="C1162" s="1"/>
      <c r="D1162" s="404"/>
      <c r="E1162" s="1"/>
      <c r="F1162" s="1"/>
      <c r="G1162" s="404"/>
      <c r="H1162" s="1"/>
      <c r="I1162" s="1"/>
      <c r="J1162" s="1"/>
      <c r="K1162" s="404"/>
      <c r="L1162" s="1"/>
      <c r="M1162" s="1"/>
      <c r="N1162" s="1"/>
      <c r="O1162" s="404"/>
      <c r="P1162" s="1"/>
      <c r="Q1162" s="1"/>
      <c r="R1162" s="1"/>
      <c r="S1162" s="404"/>
      <c r="T1162" s="1"/>
      <c r="U1162" s="1"/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478</v>
      </c>
      <c r="B1163" s="1"/>
      <c r="C1163" s="21"/>
      <c r="D1163" s="283"/>
      <c r="E1163" s="1"/>
      <c r="F1163" s="397">
        <f>F1178+F1207</f>
        <v>2258.3938334562231</v>
      </c>
      <c r="G1163" s="283"/>
      <c r="H1163" s="1"/>
      <c r="I1163" s="2">
        <f>I1178+I1207</f>
        <v>2258.3938334562231</v>
      </c>
      <c r="J1163" s="2"/>
      <c r="K1163" s="283"/>
      <c r="L1163" s="1"/>
      <c r="M1163" s="2" t="e">
        <f>M1178+M1207</f>
        <v>#REF!</v>
      </c>
      <c r="N1163" s="2"/>
      <c r="O1163" s="283"/>
      <c r="P1163" s="1"/>
      <c r="Q1163" s="2" t="e">
        <f>Q1178+Q1207</f>
        <v>#DIV/0!</v>
      </c>
      <c r="R1163" s="2"/>
      <c r="S1163" s="283"/>
      <c r="T1163" s="1"/>
      <c r="U1163" s="2" t="e">
        <f>U1178+U1207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600</v>
      </c>
      <c r="B1164" s="1"/>
      <c r="C1164" s="249">
        <f>C1194+C1208+C1209</f>
        <v>2331237.4144894434</v>
      </c>
      <c r="D1164" s="799" t="s">
        <v>31</v>
      </c>
      <c r="E1164" s="1" t="s">
        <v>31</v>
      </c>
      <c r="F1164" s="399">
        <f>F1194+F1209</f>
        <v>161462</v>
      </c>
      <c r="G1164" s="799" t="s">
        <v>31</v>
      </c>
      <c r="H1164" s="1" t="s">
        <v>31</v>
      </c>
      <c r="I1164" s="2">
        <f>I1194+I1209</f>
        <v>164236.07225078129</v>
      </c>
      <c r="J1164" s="2"/>
      <c r="K1164" s="799" t="s">
        <v>31</v>
      </c>
      <c r="L1164" s="1" t="s">
        <v>31</v>
      </c>
      <c r="M1164" s="2" t="e">
        <f>M1194+M1209</f>
        <v>#DIV/0!</v>
      </c>
      <c r="N1164" s="2"/>
      <c r="O1164" s="799" t="s">
        <v>31</v>
      </c>
      <c r="P1164" s="1" t="s">
        <v>31</v>
      </c>
      <c r="Q1164" s="2" t="e">
        <f>Q1194+Q1209</f>
        <v>#DIV/0!</v>
      </c>
      <c r="R1164" s="2"/>
      <c r="S1164" s="799" t="s">
        <v>31</v>
      </c>
      <c r="T1164" s="1" t="s">
        <v>31</v>
      </c>
      <c r="U1164" s="2" t="e">
        <f>U1194+U1209</f>
        <v>#DIV/0!</v>
      </c>
      <c r="V1164" s="20"/>
      <c r="W1164" s="74"/>
      <c r="X1164" s="74"/>
      <c r="Y1164" s="74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602</v>
      </c>
      <c r="B1165" s="1"/>
      <c r="C1165" s="249">
        <f>C1195</f>
        <v>2267439.2993954606</v>
      </c>
      <c r="D1165" s="409" t="s">
        <v>31</v>
      </c>
      <c r="E1165" s="1" t="s">
        <v>31</v>
      </c>
      <c r="F1165" s="2">
        <f>F1180+F1181+F1182+F1183+F1184+F1185+F1188+F1189+F1190+F1191+F1192</f>
        <v>157006.87577060485</v>
      </c>
      <c r="G1165" s="409" t="s">
        <v>31</v>
      </c>
      <c r="H1165" s="1" t="s">
        <v>31</v>
      </c>
      <c r="I1165" s="2">
        <f>I1180+I1181+I1182+I1183+I1184+I1185+I1188+I1189+I1190+I1191+I1192</f>
        <v>159739.89404560489</v>
      </c>
      <c r="J1165" s="2"/>
      <c r="K1165" s="409" t="s">
        <v>31</v>
      </c>
      <c r="L1165" s="1" t="s">
        <v>31</v>
      </c>
      <c r="M1165" s="2" t="e">
        <f>M1180+M1181+M1182+M1183+M1184+M1185+M1188+M1189+M1190+M1191+M1192</f>
        <v>#DIV/0!</v>
      </c>
      <c r="N1165" s="2"/>
      <c r="O1165" s="409" t="s">
        <v>31</v>
      </c>
      <c r="P1165" s="1" t="s">
        <v>31</v>
      </c>
      <c r="Q1165" s="2" t="e">
        <f>Q1180+Q1181+Q1182+Q1183+Q1184+Q1185+Q1188+Q1189+Q1190+Q1191+Q1192</f>
        <v>#DIV/0!</v>
      </c>
      <c r="R1165" s="2"/>
      <c r="S1165" s="409" t="s">
        <v>31</v>
      </c>
      <c r="T1165" s="1" t="s">
        <v>31</v>
      </c>
      <c r="U1165" s="2" t="e">
        <f>U1180+U1181+U1182+U1183+U1184+U1185+U1188+U1189+U1190+U1191+U1192</f>
        <v>#DIV/0!</v>
      </c>
      <c r="V1165" s="20"/>
      <c r="W1165" s="74"/>
      <c r="X1165" s="32" t="s">
        <v>31</v>
      </c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>
      <c r="A1166" s="1" t="s">
        <v>352</v>
      </c>
      <c r="B1166" s="1"/>
      <c r="C1166" s="249">
        <f>C1196+C1210</f>
        <v>81.416666666666671</v>
      </c>
      <c r="D1166" s="400"/>
      <c r="E1166" s="1"/>
      <c r="F1166" s="2"/>
      <c r="G1166" s="400"/>
      <c r="H1166" s="1"/>
      <c r="I1166" s="2"/>
      <c r="J1166" s="2"/>
      <c r="K1166" s="400"/>
      <c r="L1166" s="1"/>
      <c r="M1166" s="2"/>
      <c r="N1166" s="2"/>
      <c r="O1166" s="400"/>
      <c r="P1166" s="1"/>
      <c r="Q1166" s="2"/>
      <c r="R1166" s="2"/>
      <c r="S1166" s="400"/>
      <c r="T1166" s="1"/>
      <c r="U1166" s="2"/>
      <c r="V1166" s="20"/>
      <c r="W1166" s="74"/>
      <c r="X1166" s="74"/>
      <c r="Y1166" s="74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</row>
    <row r="1167" spans="1:44" s="1118" customFormat="1" hidden="1">
      <c r="A1167" s="968" t="s">
        <v>903</v>
      </c>
      <c r="C1167" s="1122">
        <f>C1168</f>
        <v>4598676.713884904</v>
      </c>
      <c r="D1167" s="254">
        <f>'Rate Design Work eff 10-14-16'!D1166</f>
        <v>0</v>
      </c>
      <c r="E1167" s="1119"/>
      <c r="F1167" s="1123"/>
      <c r="G1167" s="1128">
        <f>'Rate Design Work eff 10-14-16'!G1166</f>
        <v>0</v>
      </c>
      <c r="H1167" s="1000" t="s">
        <v>364</v>
      </c>
      <c r="I1167" s="1000">
        <f>ROUND(G1167*$C1167/100,0)</f>
        <v>0</v>
      </c>
      <c r="J1167" s="1000"/>
      <c r="K1167" s="1128" t="s">
        <v>31</v>
      </c>
      <c r="L1167" s="1126" t="s">
        <v>31</v>
      </c>
      <c r="M1167" s="1123">
        <f>K1167*C1167</f>
        <v>0</v>
      </c>
      <c r="N1167" s="1123"/>
      <c r="O1167" s="1128" t="s">
        <v>31</v>
      </c>
      <c r="P1167" s="1126" t="s">
        <v>31</v>
      </c>
      <c r="Q1167" s="1123">
        <f>O1167*C1167</f>
        <v>0</v>
      </c>
      <c r="R1167" s="1123"/>
      <c r="S1167" s="1128">
        <f>G1167</f>
        <v>0</v>
      </c>
      <c r="T1167" s="1126" t="s">
        <v>364</v>
      </c>
      <c r="U1167" s="1123">
        <f>I1167</f>
        <v>0</v>
      </c>
      <c r="V1167" s="1130">
        <f>'NPC Spread'!J53</f>
        <v>105993.44624000302</v>
      </c>
      <c r="W1167" s="1137" t="s">
        <v>857</v>
      </c>
      <c r="Z1167" s="1125"/>
      <c r="AA1167" s="1125"/>
      <c r="AF1167" s="1119"/>
      <c r="AG1167" s="1119"/>
      <c r="AH1167" s="1119"/>
      <c r="AI1167" s="1119"/>
      <c r="AJ1167" s="1119"/>
      <c r="AK1167" s="1119"/>
      <c r="AL1167" s="1119"/>
      <c r="AM1167" s="1119"/>
      <c r="AN1167" s="1119"/>
      <c r="AO1167" s="1119"/>
      <c r="AP1167" s="1119"/>
      <c r="AR1167" s="1124"/>
    </row>
    <row r="1168" spans="1:44">
      <c r="A1168" s="3" t="s">
        <v>481</v>
      </c>
      <c r="C1168" s="249">
        <f>C1199+C1212</f>
        <v>4598676.713884904</v>
      </c>
      <c r="D1168" s="254"/>
      <c r="E1168" s="20"/>
      <c r="F1168" s="257">
        <f>F1199+F1212</f>
        <v>320727.26960406103</v>
      </c>
      <c r="G1168" s="254"/>
      <c r="H1168" s="20"/>
      <c r="I1168" s="257">
        <f>I1199+I1212</f>
        <v>326234.36012984242</v>
      </c>
      <c r="J1168" s="257"/>
      <c r="K1168" s="254"/>
      <c r="L1168" s="20"/>
      <c r="M1168" s="257" t="e">
        <f>M1199+M1212</f>
        <v>#DIV/0!</v>
      </c>
      <c r="N1168" s="257"/>
      <c r="O1168" s="254"/>
      <c r="P1168" s="20"/>
      <c r="Q1168" s="257" t="e">
        <f>Q1199+Q1212</f>
        <v>#DIV/0!</v>
      </c>
      <c r="R1168" s="257"/>
      <c r="S1168" s="254"/>
      <c r="T1168" s="20"/>
      <c r="U1168" s="257" t="e">
        <f>U1199+U1212</f>
        <v>#DIV/0!</v>
      </c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>
      <c r="A1169" s="3" t="s">
        <v>482</v>
      </c>
      <c r="C1169" s="249">
        <f ca="1">C1200+C1213</f>
        <v>58236.455278948066</v>
      </c>
      <c r="D1169" s="254"/>
      <c r="E1169" s="20"/>
      <c r="F1169" s="257">
        <f>F1200+F1213</f>
        <v>5063.9173543015222</v>
      </c>
      <c r="G1169" s="254"/>
      <c r="H1169" s="20"/>
      <c r="I1169" s="257">
        <f>F1169</f>
        <v>5063.9173543015222</v>
      </c>
      <c r="J1169" s="257"/>
      <c r="K1169" s="254"/>
      <c r="L1169" s="20"/>
      <c r="M1169" s="257" t="e">
        <f>M1200+M1213</f>
        <v>#DIV/0!</v>
      </c>
      <c r="N1169" s="257"/>
      <c r="O1169" s="254"/>
      <c r="P1169" s="20"/>
      <c r="Q1169" s="257" t="e">
        <f>Q1200+Q1213</f>
        <v>#DIV/0!</v>
      </c>
      <c r="R1169" s="257"/>
      <c r="S1169" s="254"/>
      <c r="T1169" s="20"/>
      <c r="U1169" s="257" t="e">
        <f>U1200+U1213</f>
        <v>#DIV/0!</v>
      </c>
      <c r="V1169" s="274"/>
      <c r="W1169" s="275"/>
      <c r="X1169" s="74"/>
      <c r="Y1169" s="74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Bot="1">
      <c r="A1170" s="1" t="s">
        <v>9</v>
      </c>
      <c r="B1170" s="1"/>
      <c r="C1170" s="378">
        <f ca="1">C1168+C1169</f>
        <v>4656913.169163852</v>
      </c>
      <c r="D1170" s="962"/>
      <c r="E1170" s="330"/>
      <c r="F1170" s="259">
        <f>F1168+F1169</f>
        <v>325791.18695836258</v>
      </c>
      <c r="G1170" s="962"/>
      <c r="H1170" s="330"/>
      <c r="I1170" s="259">
        <f>I1168+I1169</f>
        <v>331298.27748414397</v>
      </c>
      <c r="J1170" s="297"/>
      <c r="K1170" s="962"/>
      <c r="L1170" s="330"/>
      <c r="M1170" s="259" t="e">
        <f>M1168+M1169</f>
        <v>#DIV/0!</v>
      </c>
      <c r="N1170" s="297"/>
      <c r="O1170" s="962"/>
      <c r="P1170" s="330"/>
      <c r="Q1170" s="259" t="e">
        <f>Q1168+Q1169</f>
        <v>#DIV/0!</v>
      </c>
      <c r="R1170" s="297"/>
      <c r="S1170" s="962"/>
      <c r="T1170" s="330"/>
      <c r="U1170" s="259" t="e">
        <f>U1168+U1169</f>
        <v>#DIV/0!</v>
      </c>
      <c r="V1170" s="761" t="s">
        <v>399</v>
      </c>
      <c r="W1170" s="778">
        <f ca="1">'Rate Spread targets'!Q40*1000</f>
        <v>331310.56160966394</v>
      </c>
      <c r="X1170" s="1417">
        <f>(I1170-F1170)/F1170</f>
        <v>1.6903743091384527E-2</v>
      </c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 ht="16.5" thickTop="1">
      <c r="A1171" s="1307" t="s">
        <v>902</v>
      </c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1305"/>
      <c r="W1171" s="401"/>
      <c r="X1171" s="1306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/>
      <c r="E1172" s="23"/>
      <c r="F1172" s="51"/>
      <c r="G1172" s="407"/>
      <c r="H1172" s="23"/>
      <c r="I1172" s="51"/>
      <c r="J1172" s="51"/>
      <c r="K1172" s="407"/>
      <c r="L1172" s="23"/>
      <c r="M1172" s="51"/>
      <c r="N1172" s="51"/>
      <c r="O1172" s="407"/>
      <c r="P1172" s="23"/>
      <c r="Q1172" s="51"/>
      <c r="R1172" s="51"/>
      <c r="S1172" s="407"/>
      <c r="T1172" s="23"/>
      <c r="U1172" s="51"/>
      <c r="V1172" s="762" t="s">
        <v>257</v>
      </c>
      <c r="W1172" s="780">
        <f ca="1">W1170-I1170</f>
        <v>12.284125519974623</v>
      </c>
      <c r="X1172" s="758"/>
      <c r="Y1172" s="796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 hidden="1">
      <c r="A1173" s="1"/>
      <c r="B1173" s="1"/>
      <c r="C1173" s="26"/>
      <c r="D1173" s="407"/>
      <c r="E1173" s="23"/>
      <c r="F1173" s="51"/>
      <c r="G1173" s="407"/>
      <c r="H1173" s="23"/>
      <c r="I1173" s="51"/>
      <c r="J1173" s="51"/>
      <c r="K1173" s="407"/>
      <c r="L1173" s="23"/>
      <c r="M1173" s="51"/>
      <c r="N1173" s="51"/>
      <c r="O1173" s="407"/>
      <c r="P1173" s="23"/>
      <c r="Q1173" s="51"/>
      <c r="R1173" s="51"/>
      <c r="S1173" s="407"/>
      <c r="T1173" s="23"/>
      <c r="U1173" s="51"/>
      <c r="V1173" s="719"/>
      <c r="W1173" s="719"/>
      <c r="X1173" s="719"/>
      <c r="Y1173" s="796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 hidden="1">
      <c r="A1174" s="1"/>
      <c r="B1174" s="1"/>
      <c r="C1174" s="26"/>
      <c r="D1174" s="407" t="s">
        <v>31</v>
      </c>
      <c r="E1174" s="23"/>
      <c r="F1174" s="51"/>
      <c r="G1174" s="407" t="s">
        <v>31</v>
      </c>
      <c r="H1174" s="23"/>
      <c r="I1174" s="51" t="s">
        <v>31</v>
      </c>
      <c r="J1174" s="51"/>
      <c r="K1174" s="407" t="s">
        <v>31</v>
      </c>
      <c r="L1174" s="23"/>
      <c r="M1174" s="51" t="s">
        <v>31</v>
      </c>
      <c r="N1174" s="51"/>
      <c r="O1174" s="407" t="s">
        <v>31</v>
      </c>
      <c r="P1174" s="23"/>
      <c r="Q1174" s="51" t="s">
        <v>31</v>
      </c>
      <c r="R1174" s="51"/>
      <c r="S1174" s="407" t="s">
        <v>31</v>
      </c>
      <c r="T1174" s="23"/>
      <c r="U1174" s="51" t="s">
        <v>31</v>
      </c>
      <c r="V1174" s="401"/>
      <c r="W1174" s="401"/>
      <c r="X1174" s="401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278" t="s">
        <v>487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401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488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/>
      <c r="B1177" s="1"/>
      <c r="C1177" s="1"/>
      <c r="D1177" s="404"/>
      <c r="E1177" s="1"/>
      <c r="F1177" s="1"/>
      <c r="G1177" s="404"/>
      <c r="H1177" s="1"/>
      <c r="I1177" s="1"/>
      <c r="J1177" s="1"/>
      <c r="K1177" s="404"/>
      <c r="L1177" s="1"/>
      <c r="M1177" s="1"/>
      <c r="N1177" s="1"/>
      <c r="O1177" s="404"/>
      <c r="P1177" s="1"/>
      <c r="Q1177" s="1"/>
      <c r="R1177" s="1"/>
      <c r="S1177" s="404"/>
      <c r="T1177" s="1"/>
      <c r="U1177" s="1"/>
      <c r="V1177" s="20"/>
      <c r="W1177" s="74"/>
      <c r="X1177" s="74"/>
      <c r="Y1177" s="74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1" t="s">
        <v>478</v>
      </c>
      <c r="B1178" s="1"/>
      <c r="C1178" s="21"/>
      <c r="D1178" s="283"/>
      <c r="E1178" s="1"/>
      <c r="F1178" s="397">
        <f>'Rate Design Work eff 10-14-16'!F1176</f>
        <v>2258.3938334562231</v>
      </c>
      <c r="G1178" s="283"/>
      <c r="H1178" s="1"/>
      <c r="I1178" s="2">
        <f>'Rate Design Work eff 10-14-16'!I1176</f>
        <v>2258.3938334562231</v>
      </c>
      <c r="J1178" s="2"/>
      <c r="K1178" s="283"/>
      <c r="L1178" s="1"/>
      <c r="M1178" s="2">
        <f>I1178</f>
        <v>2258.3938334562231</v>
      </c>
      <c r="N1178" s="2"/>
      <c r="O1178" s="283"/>
      <c r="P1178" s="1"/>
      <c r="Q1178" s="2" t="s">
        <v>31</v>
      </c>
      <c r="R1178" s="2"/>
      <c r="S1178" s="283"/>
      <c r="T1178" s="1"/>
      <c r="U1178" s="2" t="str">
        <f>Q1178</f>
        <v xml:space="preserve"> </v>
      </c>
      <c r="V1178" s="20"/>
      <c r="W1178" s="74"/>
      <c r="X1178" s="74"/>
      <c r="Y1178" s="74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1" t="s">
        <v>576</v>
      </c>
      <c r="B1179" s="1"/>
      <c r="C1179" s="21"/>
      <c r="D1179" s="283"/>
      <c r="E1179" s="1"/>
      <c r="F1179" s="397"/>
      <c r="G1179" s="283"/>
      <c r="H1179" s="1"/>
      <c r="I1179" s="2"/>
      <c r="J1179" s="2"/>
      <c r="K1179" s="283"/>
      <c r="L1179" s="1"/>
      <c r="M1179" s="2"/>
      <c r="N1179" s="2"/>
      <c r="O1179" s="283"/>
      <c r="P1179" s="1"/>
      <c r="Q1179" s="2"/>
      <c r="R1179" s="2"/>
      <c r="S1179" s="283"/>
      <c r="T1179" s="1"/>
      <c r="U1179" s="2"/>
      <c r="V1179" s="20"/>
      <c r="Z1179" s="443" t="s">
        <v>31</v>
      </c>
      <c r="AA1179" s="74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589</v>
      </c>
      <c r="B1180" s="1"/>
      <c r="C1180" s="21">
        <f>'Rate Design Work eff 10-14-16'!C1178</f>
        <v>4296.0202493777233</v>
      </c>
      <c r="D1180" s="283">
        <f>'Rate Design Work eff 10-14-16'!D1178</f>
        <v>2.15</v>
      </c>
      <c r="E1180" s="1"/>
      <c r="F1180" s="397">
        <f t="shared" ref="F1180:F1185" si="155">C1180*D1180</f>
        <v>9236.4435361621054</v>
      </c>
      <c r="G1180" s="283">
        <f>'Rate Design Work eff 10-14-16'!G1178</f>
        <v>2.1800000000000002</v>
      </c>
      <c r="H1180" s="1"/>
      <c r="I1180" s="2">
        <f t="shared" ref="I1180:I1185" si="156">G1180*C1180</f>
        <v>9365.3241436434382</v>
      </c>
      <c r="J1180" s="2"/>
      <c r="K1180" s="283" t="e">
        <f>'Rate Design Work eff 10-14-16'!K1178</f>
        <v>#DIV/0!</v>
      </c>
      <c r="L1180" s="1"/>
      <c r="M1180" s="2" t="e">
        <f>'Rate Design Work eff 10-14-16'!M1178</f>
        <v>#DIV/0!</v>
      </c>
      <c r="N1180" s="2"/>
      <c r="O1180" s="283" t="e">
        <f>'Rate Design Work eff 10-14-16'!O1178</f>
        <v>#DIV/0!</v>
      </c>
      <c r="P1180" s="1"/>
      <c r="Q1180" s="2" t="e">
        <f>'Rate Design Work eff 10-14-16'!Q1178</f>
        <v>#DIV/0!</v>
      </c>
      <c r="R1180" s="2"/>
      <c r="S1180" s="283" t="e">
        <f>'Rate Design Work eff 10-14-16'!S1178</f>
        <v>#DIV/0!</v>
      </c>
      <c r="T1180" s="1"/>
      <c r="U1180" s="2" t="e">
        <f>'Rate Design Work eff 10-14-16'!U1178</f>
        <v>#DIV/0!</v>
      </c>
      <c r="V1180" s="20"/>
      <c r="Z1180" s="32" t="s">
        <v>31</v>
      </c>
      <c r="AA1180" s="1439" t="s">
        <v>31</v>
      </c>
      <c r="AB1180" s="20"/>
      <c r="AC1180" s="20"/>
      <c r="AD1180" s="7" t="s">
        <v>31</v>
      </c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590</v>
      </c>
      <c r="B1181" s="1"/>
      <c r="C1181" s="21">
        <f>'Rate Design Work eff 10-14-16'!C1179</f>
        <v>8160.0336742749596</v>
      </c>
      <c r="D1181" s="283">
        <f>'Rate Design Work eff 10-14-16'!D1179</f>
        <v>3.04</v>
      </c>
      <c r="E1181" s="1"/>
      <c r="F1181" s="397">
        <f t="shared" si="155"/>
        <v>24806.502369795879</v>
      </c>
      <c r="G1181" s="283">
        <f>'Rate Design Work eff 10-14-16'!G1179</f>
        <v>3.1</v>
      </c>
      <c r="H1181" s="1"/>
      <c r="I1181" s="2">
        <f t="shared" si="156"/>
        <v>25296.104390252374</v>
      </c>
      <c r="J1181" s="2"/>
      <c r="K1181" s="283" t="e">
        <f>'Rate Design Work eff 10-14-16'!K1179</f>
        <v>#DIV/0!</v>
      </c>
      <c r="L1181" s="1"/>
      <c r="M1181" s="2" t="e">
        <f>'Rate Design Work eff 10-14-16'!M1179</f>
        <v>#DIV/0!</v>
      </c>
      <c r="N1181" s="2"/>
      <c r="O1181" s="283" t="e">
        <f>'Rate Design Work eff 10-14-16'!O1179</f>
        <v>#DIV/0!</v>
      </c>
      <c r="P1181" s="1"/>
      <c r="Q1181" s="2" t="e">
        <f>'Rate Design Work eff 10-14-16'!Q1179</f>
        <v>#DIV/0!</v>
      </c>
      <c r="R1181" s="2"/>
      <c r="S1181" s="283" t="e">
        <f>'Rate Design Work eff 10-14-16'!S1179</f>
        <v>#DIV/0!</v>
      </c>
      <c r="T1181" s="1"/>
      <c r="U1181" s="2" t="e">
        <f>'Rate Design Work eff 10-14-16'!U1179</f>
        <v>#DIV/0!</v>
      </c>
      <c r="V1181" s="20"/>
      <c r="Z1181" s="32" t="s">
        <v>31</v>
      </c>
      <c r="AA1181" s="1439" t="s">
        <v>31</v>
      </c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591</v>
      </c>
      <c r="B1182" s="1"/>
      <c r="C1182" s="21">
        <f>'Rate Design Work eff 10-14-16'!C1180</f>
        <v>60.009361129530397</v>
      </c>
      <c r="D1182" s="283">
        <f>'Rate Design Work eff 10-14-16'!D1180</f>
        <v>4.42</v>
      </c>
      <c r="E1182" s="1"/>
      <c r="F1182" s="397">
        <f t="shared" si="155"/>
        <v>265.24137619252434</v>
      </c>
      <c r="G1182" s="283">
        <f>'Rate Design Work eff 10-14-16'!G1180</f>
        <v>4.51</v>
      </c>
      <c r="H1182" s="1"/>
      <c r="I1182" s="2">
        <f t="shared" si="156"/>
        <v>270.64221869418208</v>
      </c>
      <c r="J1182" s="2"/>
      <c r="K1182" s="283" t="e">
        <f>'Rate Design Work eff 10-14-16'!K1180</f>
        <v>#DIV/0!</v>
      </c>
      <c r="L1182" s="1"/>
      <c r="M1182" s="2" t="e">
        <f>'Rate Design Work eff 10-14-16'!M1180</f>
        <v>#DIV/0!</v>
      </c>
      <c r="N1182" s="2"/>
      <c r="O1182" s="283" t="e">
        <f>'Rate Design Work eff 10-14-16'!O1180</f>
        <v>#DIV/0!</v>
      </c>
      <c r="P1182" s="1"/>
      <c r="Q1182" s="2" t="e">
        <f>'Rate Design Work eff 10-14-16'!Q1180</f>
        <v>#DIV/0!</v>
      </c>
      <c r="R1182" s="2"/>
      <c r="S1182" s="283" t="e">
        <f>'Rate Design Work eff 10-14-16'!S1180</f>
        <v>#DIV/0!</v>
      </c>
      <c r="T1182" s="1"/>
      <c r="U1182" s="2" t="e">
        <f>'Rate Design Work eff 10-14-16'!U1180</f>
        <v>#DIV/0!</v>
      </c>
      <c r="V1182" s="20"/>
      <c r="Z1182" s="32" t="s">
        <v>31</v>
      </c>
      <c r="AA1182" s="1439" t="s">
        <v>31</v>
      </c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592</v>
      </c>
      <c r="B1183" s="1"/>
      <c r="C1183" s="21">
        <f>'Rate Design Work eff 10-14-16'!C1181</f>
        <v>11666.5444855351</v>
      </c>
      <c r="D1183" s="283">
        <f>'Rate Design Work eff 10-14-16'!D1181</f>
        <v>5.89</v>
      </c>
      <c r="E1183" s="1"/>
      <c r="F1183" s="397">
        <f t="shared" si="155"/>
        <v>68715.947019801737</v>
      </c>
      <c r="G1183" s="283">
        <f>'Rate Design Work eff 10-14-16'!G1181</f>
        <v>5.99</v>
      </c>
      <c r="H1183" s="1"/>
      <c r="I1183" s="2">
        <f t="shared" si="156"/>
        <v>69882.601468355249</v>
      </c>
      <c r="J1183" s="2"/>
      <c r="K1183" s="283" t="e">
        <f>'Rate Design Work eff 10-14-16'!K1181</f>
        <v>#DIV/0!</v>
      </c>
      <c r="L1183" s="1"/>
      <c r="M1183" s="2" t="e">
        <f>'Rate Design Work eff 10-14-16'!M1181</f>
        <v>#DIV/0!</v>
      </c>
      <c r="N1183" s="2"/>
      <c r="O1183" s="283" t="e">
        <f>'Rate Design Work eff 10-14-16'!O1181</f>
        <v>#DIV/0!</v>
      </c>
      <c r="P1183" s="1"/>
      <c r="Q1183" s="2" t="e">
        <f>'Rate Design Work eff 10-14-16'!Q1181</f>
        <v>#DIV/0!</v>
      </c>
      <c r="R1183" s="2"/>
      <c r="S1183" s="283" t="e">
        <f>'Rate Design Work eff 10-14-16'!S1181</f>
        <v>#DIV/0!</v>
      </c>
      <c r="T1183" s="1"/>
      <c r="U1183" s="2" t="e">
        <f>'Rate Design Work eff 10-14-16'!U1181</f>
        <v>#DIV/0!</v>
      </c>
      <c r="V1183" s="20"/>
      <c r="Z1183" s="32" t="s">
        <v>31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A1184" s="3" t="s">
        <v>593</v>
      </c>
      <c r="B1184" s="1"/>
      <c r="C1184" s="21">
        <f>'Rate Design Work eff 10-14-16'!C1182</f>
        <v>4355.9951802476999</v>
      </c>
      <c r="D1184" s="283">
        <f>'Rate Design Work eff 10-14-16'!D1182</f>
        <v>7.96</v>
      </c>
      <c r="E1184" s="1"/>
      <c r="F1184" s="397">
        <f t="shared" si="155"/>
        <v>34673.721634771689</v>
      </c>
      <c r="G1184" s="283">
        <f>'Rate Design Work eff 10-14-16'!G1182</f>
        <v>8.1</v>
      </c>
      <c r="H1184" s="1"/>
      <c r="I1184" s="2">
        <f t="shared" si="156"/>
        <v>35283.560960006369</v>
      </c>
      <c r="J1184" s="2"/>
      <c r="K1184" s="283" t="e">
        <f>'Rate Design Work eff 10-14-16'!K1182</f>
        <v>#DIV/0!</v>
      </c>
      <c r="L1184" s="1"/>
      <c r="M1184" s="2" t="e">
        <f>'Rate Design Work eff 10-14-16'!M1182</f>
        <v>#DIV/0!</v>
      </c>
      <c r="N1184" s="2"/>
      <c r="O1184" s="283" t="e">
        <f>'Rate Design Work eff 10-14-16'!O1182</f>
        <v>#DIV/0!</v>
      </c>
      <c r="P1184" s="1"/>
      <c r="Q1184" s="2" t="e">
        <f>'Rate Design Work eff 10-14-16'!Q1182</f>
        <v>#DIV/0!</v>
      </c>
      <c r="R1184" s="2"/>
      <c r="S1184" s="283" t="e">
        <f>'Rate Design Work eff 10-14-16'!S1182</f>
        <v>#DIV/0!</v>
      </c>
      <c r="T1184" s="1"/>
      <c r="U1184" s="2" t="e">
        <f>'Rate Design Work eff 10-14-16'!U1182</f>
        <v>#DIV/0!</v>
      </c>
      <c r="V1184" s="20"/>
      <c r="Z1184" s="32" t="s">
        <v>31</v>
      </c>
      <c r="AA1184" s="1439" t="s">
        <v>31</v>
      </c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594</v>
      </c>
      <c r="B1185" s="1"/>
      <c r="C1185" s="21">
        <f>'Rate Design Work eff 10-14-16'!C1183</f>
        <v>1584.0049084397799</v>
      </c>
      <c r="D1185" s="283">
        <f>'Rate Design Work eff 10-14-16'!D1183</f>
        <v>12.19</v>
      </c>
      <c r="E1185" s="1"/>
      <c r="F1185" s="397">
        <f t="shared" si="155"/>
        <v>19309.019833880917</v>
      </c>
      <c r="G1185" s="283">
        <f>'Rate Design Work eff 10-14-16'!G1183</f>
        <v>12.4</v>
      </c>
      <c r="H1185" s="1"/>
      <c r="I1185" s="2">
        <f t="shared" si="156"/>
        <v>19641.660864653273</v>
      </c>
      <c r="J1185" s="2"/>
      <c r="K1185" s="283" t="e">
        <f>'Rate Design Work eff 10-14-16'!K1183</f>
        <v>#DIV/0!</v>
      </c>
      <c r="L1185" s="1"/>
      <c r="M1185" s="2" t="e">
        <f>'Rate Design Work eff 10-14-16'!M1183</f>
        <v>#DIV/0!</v>
      </c>
      <c r="N1185" s="2"/>
      <c r="O1185" s="283" t="e">
        <f>'Rate Design Work eff 10-14-16'!O1183</f>
        <v>#DIV/0!</v>
      </c>
      <c r="P1185" s="1"/>
      <c r="Q1185" s="2" t="e">
        <f>'Rate Design Work eff 10-14-16'!Q1183</f>
        <v>#DIV/0!</v>
      </c>
      <c r="R1185" s="2"/>
      <c r="S1185" s="283" t="e">
        <f>'Rate Design Work eff 10-14-16'!S1183</f>
        <v>#DIV/0!</v>
      </c>
      <c r="T1185" s="1"/>
      <c r="U1185" s="2" t="e">
        <f>'Rate Design Work eff 10-14-16'!U1183</f>
        <v>#DIV/0!</v>
      </c>
      <c r="X1185" s="796" t="s">
        <v>31</v>
      </c>
      <c r="Y1185" s="751"/>
      <c r="Z1185" s="32" t="s">
        <v>31</v>
      </c>
      <c r="AA1185" s="1439" t="s">
        <v>31</v>
      </c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B1186" s="1"/>
      <c r="C1186" s="21"/>
      <c r="D1186" s="283"/>
      <c r="E1186" s="1"/>
      <c r="F1186" s="397"/>
      <c r="G1186" s="283"/>
      <c r="H1186" s="1"/>
      <c r="I1186" s="2"/>
      <c r="J1186" s="2"/>
      <c r="K1186" s="283"/>
      <c r="L1186" s="1"/>
      <c r="M1186" s="2"/>
      <c r="N1186" s="2"/>
      <c r="O1186" s="283"/>
      <c r="P1186" s="1"/>
      <c r="Q1186" s="2"/>
      <c r="R1186" s="2"/>
      <c r="S1186" s="283"/>
      <c r="T1186" s="1"/>
      <c r="U1186" s="2"/>
      <c r="V1186" s="20"/>
      <c r="W1186" s="88" t="s">
        <v>74</v>
      </c>
      <c r="Z1186" s="74"/>
      <c r="AA1186" s="74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577</v>
      </c>
      <c r="B1187" s="1"/>
      <c r="C1187" s="21"/>
      <c r="D1187" s="283"/>
      <c r="E1187" s="1"/>
      <c r="F1187" s="397"/>
      <c r="G1187" s="283" t="s">
        <v>31</v>
      </c>
      <c r="H1187" s="1"/>
      <c r="I1187" s="2"/>
      <c r="J1187" s="2"/>
      <c r="K1187" s="283" t="s">
        <v>31</v>
      </c>
      <c r="L1187" s="1"/>
      <c r="M1187" s="2"/>
      <c r="N1187" s="2"/>
      <c r="O1187" s="283" t="s">
        <v>31</v>
      </c>
      <c r="P1187" s="1"/>
      <c r="Q1187" s="2"/>
      <c r="R1187" s="2"/>
      <c r="S1187" s="283" t="s">
        <v>31</v>
      </c>
      <c r="T1187" s="1"/>
      <c r="U1187" s="2"/>
      <c r="V1187" s="20"/>
      <c r="Z1187" s="74"/>
      <c r="AA1187" s="74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595</v>
      </c>
      <c r="B1188" s="1"/>
      <c r="C1188" s="21">
        <f>'Rate Design Work eff 10-14-16'!C1186</f>
        <v>0</v>
      </c>
      <c r="D1188" s="283">
        <f>'Rate Design Work eff 10-14-16'!D1186</f>
        <v>2.71</v>
      </c>
      <c r="E1188" s="1"/>
      <c r="F1188" s="397">
        <f>C1188*D1188</f>
        <v>0</v>
      </c>
      <c r="G1188" s="283">
        <f>'Rate Design Work eff 10-14-16'!G1186</f>
        <v>2.75</v>
      </c>
      <c r="H1188" s="1"/>
      <c r="I1188" s="2">
        <f>G1188*C1188</f>
        <v>0</v>
      </c>
      <c r="J1188" s="2"/>
      <c r="K1188" s="283" t="e">
        <f>'Rate Design Work eff 10-14-16'!K1186</f>
        <v>#DIV/0!</v>
      </c>
      <c r="L1188" s="1"/>
      <c r="M1188" s="2" t="e">
        <f>'Rate Design Work eff 10-14-16'!M1186</f>
        <v>#DIV/0!</v>
      </c>
      <c r="N1188" s="2"/>
      <c r="O1188" s="283" t="e">
        <f>'Rate Design Work eff 10-14-16'!O1186</f>
        <v>#DIV/0!</v>
      </c>
      <c r="P1188" s="1"/>
      <c r="Q1188" s="2" t="e">
        <f>'Rate Design Work eff 10-14-16'!Q1186</f>
        <v>#DIV/0!</v>
      </c>
      <c r="R1188" s="2"/>
      <c r="S1188" s="283" t="e">
        <f>'Rate Design Work eff 10-14-16'!S1186</f>
        <v>#DIV/0!</v>
      </c>
      <c r="T1188" s="1"/>
      <c r="U1188" s="2" t="e">
        <f>'Rate Design Work eff 10-14-16'!U1186</f>
        <v>#DIV/0!</v>
      </c>
      <c r="V1188" s="20"/>
      <c r="Z1188" s="32" t="s">
        <v>31</v>
      </c>
      <c r="AA1188" s="1439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596</v>
      </c>
      <c r="B1189" s="1"/>
      <c r="C1189" s="21">
        <f>'Rate Design Work eff 10-14-16'!C1187</f>
        <v>0</v>
      </c>
      <c r="D1189" s="283">
        <f>'Rate Design Work eff 10-14-16'!D1187</f>
        <v>4.71</v>
      </c>
      <c r="E1189" s="1"/>
      <c r="F1189" s="397">
        <f>C1189*D1189</f>
        <v>0</v>
      </c>
      <c r="G1189" s="283">
        <f>'Rate Design Work eff 10-14-16'!G1187</f>
        <v>4.79</v>
      </c>
      <c r="H1189" s="1"/>
      <c r="I1189" s="2">
        <f>G1189*C1189</f>
        <v>0</v>
      </c>
      <c r="J1189" s="2"/>
      <c r="K1189" s="283" t="e">
        <f>'Rate Design Work eff 10-14-16'!K1187</f>
        <v>#DIV/0!</v>
      </c>
      <c r="L1189" s="1"/>
      <c r="M1189" s="2" t="e">
        <f>'Rate Design Work eff 10-14-16'!M1187</f>
        <v>#DIV/0!</v>
      </c>
      <c r="N1189" s="2"/>
      <c r="O1189" s="283" t="e">
        <f>'Rate Design Work eff 10-14-16'!O1187</f>
        <v>#DIV/0!</v>
      </c>
      <c r="P1189" s="1"/>
      <c r="Q1189" s="2" t="e">
        <f>'Rate Design Work eff 10-14-16'!Q1187</f>
        <v>#DIV/0!</v>
      </c>
      <c r="R1189" s="2"/>
      <c r="S1189" s="283" t="e">
        <f>'Rate Design Work eff 10-14-16'!S1187</f>
        <v>#DIV/0!</v>
      </c>
      <c r="T1189" s="1"/>
      <c r="U1189" s="2" t="e">
        <f>'Rate Design Work eff 10-14-16'!U1187</f>
        <v>#DIV/0!</v>
      </c>
      <c r="V1189" s="20"/>
      <c r="Z1189" s="32" t="s">
        <v>31</v>
      </c>
      <c r="AA1189" s="1439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597</v>
      </c>
      <c r="B1190" s="1"/>
      <c r="C1190" s="21">
        <f>'Rate Design Work eff 10-14-16'!C1188</f>
        <v>0</v>
      </c>
      <c r="D1190" s="283">
        <f>'Rate Design Work eff 10-14-16'!D1188</f>
        <v>6.52</v>
      </c>
      <c r="E1190" s="1"/>
      <c r="F1190" s="397">
        <f>C1190*D1190</f>
        <v>0</v>
      </c>
      <c r="G1190" s="283">
        <f>'Rate Design Work eff 10-14-16'!G1188</f>
        <v>6.62</v>
      </c>
      <c r="H1190" s="1"/>
      <c r="I1190" s="2">
        <f>G1190*C1190</f>
        <v>0</v>
      </c>
      <c r="J1190" s="2"/>
      <c r="K1190" s="283" t="e">
        <f>'Rate Design Work eff 10-14-16'!K1188</f>
        <v>#DIV/0!</v>
      </c>
      <c r="L1190" s="1"/>
      <c r="M1190" s="2" t="e">
        <f>'Rate Design Work eff 10-14-16'!M1188</f>
        <v>#DIV/0!</v>
      </c>
      <c r="N1190" s="2"/>
      <c r="O1190" s="283" t="e">
        <f>'Rate Design Work eff 10-14-16'!O1188</f>
        <v>#DIV/0!</v>
      </c>
      <c r="P1190" s="1"/>
      <c r="Q1190" s="2" t="e">
        <f>'Rate Design Work eff 10-14-16'!Q1188</f>
        <v>#DIV/0!</v>
      </c>
      <c r="R1190" s="2"/>
      <c r="S1190" s="283" t="e">
        <f>'Rate Design Work eff 10-14-16'!S1188</f>
        <v>#DIV/0!</v>
      </c>
      <c r="T1190" s="1"/>
      <c r="U1190" s="2" t="e">
        <f>'Rate Design Work eff 10-14-16'!U1188</f>
        <v>#DIV/0!</v>
      </c>
      <c r="V1190" s="20" t="s">
        <v>31</v>
      </c>
      <c r="Z1190" s="32" t="s">
        <v>31</v>
      </c>
      <c r="AA1190" s="1439" t="s">
        <v>31</v>
      </c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3" t="s">
        <v>598</v>
      </c>
      <c r="B1191" s="1"/>
      <c r="C1191" s="21">
        <f>'Rate Design Work eff 10-14-16'!C1189</f>
        <v>0</v>
      </c>
      <c r="D1191" s="283">
        <f>'Rate Design Work eff 10-14-16'!D1189</f>
        <v>10.32</v>
      </c>
      <c r="E1191" s="1"/>
      <c r="F1191" s="397">
        <f>C1191*D1191</f>
        <v>0</v>
      </c>
      <c r="G1191" s="283">
        <f>'Rate Design Work eff 10-14-16'!G1189</f>
        <v>10.5</v>
      </c>
      <c r="H1191" s="1"/>
      <c r="I1191" s="2">
        <f>G1191*C1191</f>
        <v>0</v>
      </c>
      <c r="J1191" s="2"/>
      <c r="K1191" s="283" t="e">
        <f>'Rate Design Work eff 10-14-16'!K1189</f>
        <v>#DIV/0!</v>
      </c>
      <c r="L1191" s="1"/>
      <c r="M1191" s="2" t="e">
        <f>'Rate Design Work eff 10-14-16'!M1189</f>
        <v>#DIV/0!</v>
      </c>
      <c r="N1191" s="2"/>
      <c r="O1191" s="283" t="e">
        <f>'Rate Design Work eff 10-14-16'!O1189</f>
        <v>#DIV/0!</v>
      </c>
      <c r="P1191" s="1"/>
      <c r="Q1191" s="2" t="e">
        <f>'Rate Design Work eff 10-14-16'!Q1189</f>
        <v>#DIV/0!</v>
      </c>
      <c r="R1191" s="2"/>
      <c r="S1191" s="283" t="e">
        <f>'Rate Design Work eff 10-14-16'!S1189</f>
        <v>#DIV/0!</v>
      </c>
      <c r="T1191" s="1"/>
      <c r="U1191" s="2" t="e">
        <f>'Rate Design Work eff 10-14-16'!U1189</f>
        <v>#DIV/0!</v>
      </c>
      <c r="V1191" s="20"/>
      <c r="Z1191" s="32" t="s">
        <v>31</v>
      </c>
      <c r="AA1191" s="1439" t="s">
        <v>31</v>
      </c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3" t="s">
        <v>599</v>
      </c>
      <c r="B1192" s="1"/>
      <c r="C1192" s="21">
        <f>'Rate Design Work eff 10-14-16'!C1190</f>
        <v>0</v>
      </c>
      <c r="D1192" s="283">
        <f>'Rate Design Work eff 10-14-16'!D1190</f>
        <v>24.52</v>
      </c>
      <c r="E1192" s="1"/>
      <c r="F1192" s="397">
        <f>C1192*D1192</f>
        <v>0</v>
      </c>
      <c r="G1192" s="283">
        <f>'Rate Design Work eff 10-14-16'!G1190</f>
        <v>24.94</v>
      </c>
      <c r="H1192" s="1"/>
      <c r="I1192" s="2">
        <f>G1192*C1192</f>
        <v>0</v>
      </c>
      <c r="J1192" s="2"/>
      <c r="K1192" s="283" t="e">
        <f>'Rate Design Work eff 10-14-16'!K1190</f>
        <v>#DIV/0!</v>
      </c>
      <c r="L1192" s="1"/>
      <c r="M1192" s="2" t="e">
        <f>'Rate Design Work eff 10-14-16'!M1190</f>
        <v>#DIV/0!</v>
      </c>
      <c r="N1192" s="2"/>
      <c r="O1192" s="283" t="e">
        <f>'Rate Design Work eff 10-14-16'!O1190</f>
        <v>#DIV/0!</v>
      </c>
      <c r="P1192" s="1"/>
      <c r="Q1192" s="2" t="e">
        <f>'Rate Design Work eff 10-14-16'!Q1190</f>
        <v>#DIV/0!</v>
      </c>
      <c r="R1192" s="2"/>
      <c r="S1192" s="283" t="e">
        <f>'Rate Design Work eff 10-14-16'!S1190</f>
        <v>#DIV/0!</v>
      </c>
      <c r="T1192" s="1"/>
      <c r="U1192" s="2" t="e">
        <f>'Rate Design Work eff 10-14-16'!U1190</f>
        <v>#DIV/0!</v>
      </c>
      <c r="V1192" s="20"/>
      <c r="Z1192" s="32" t="s">
        <v>31</v>
      </c>
      <c r="AA1192" s="1439" t="s">
        <v>31</v>
      </c>
      <c r="AB1192" s="20" t="s">
        <v>31</v>
      </c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/>
      <c r="B1193" s="1"/>
      <c r="C1193" s="21"/>
      <c r="D1193" s="283">
        <f>'Rate Design Work eff 10-14-16'!D1191</f>
        <v>0</v>
      </c>
      <c r="E1193" s="1"/>
      <c r="F1193" s="397"/>
      <c r="G1193" s="283"/>
      <c r="H1193" s="1"/>
      <c r="I1193" s="2"/>
      <c r="J1193" s="2"/>
      <c r="K1193" s="283"/>
      <c r="L1193" s="1"/>
      <c r="M1193" s="2"/>
      <c r="N1193" s="2"/>
      <c r="O1193" s="283"/>
      <c r="P1193" s="1"/>
      <c r="Q1193" s="2"/>
      <c r="R1193" s="2"/>
      <c r="S1193" s="283"/>
      <c r="T1193" s="1"/>
      <c r="U1193" s="2"/>
      <c r="V1193" s="20"/>
      <c r="Z1193" s="74"/>
      <c r="AA1193" s="74"/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600</v>
      </c>
      <c r="B1194" s="1"/>
      <c r="C1194" s="249">
        <f>'Rate Design Work eff 10-14-16'!C1192</f>
        <v>1180029.4144894434</v>
      </c>
      <c r="D1194" s="367">
        <f>'Rate Design Work eff 10-14-16'!D1192</f>
        <v>6.9260000000000002</v>
      </c>
      <c r="E1194" s="1" t="s">
        <v>364</v>
      </c>
      <c r="F1194" s="399">
        <f>ROUND(D1194*C1194/100,0)</f>
        <v>81729</v>
      </c>
      <c r="G1194" s="367">
        <f>'Rate Design Work eff 10-14-16'!G1192</f>
        <v>7.0449999999999999</v>
      </c>
      <c r="H1194" s="1" t="s">
        <v>364</v>
      </c>
      <c r="I1194" s="2">
        <f>G1194*C1194/100</f>
        <v>83133.07225078129</v>
      </c>
      <c r="J1194" s="2"/>
      <c r="K1194" s="367" t="e">
        <f>'Rate Design Work eff 10-14-16'!K1192</f>
        <v>#DIV/0!</v>
      </c>
      <c r="L1194" s="1" t="s">
        <v>364</v>
      </c>
      <c r="M1194" s="2" t="e">
        <f>'Rate Design Work eff 10-14-16'!M1192</f>
        <v>#DIV/0!</v>
      </c>
      <c r="N1194" s="2"/>
      <c r="O1194" s="367" t="e">
        <f>'Rate Design Work eff 10-14-16'!O1192</f>
        <v>#DIV/0!</v>
      </c>
      <c r="P1194" s="1" t="s">
        <v>364</v>
      </c>
      <c r="Q1194" s="2" t="e">
        <f>'Rate Design Work eff 10-14-16'!Q1192</f>
        <v>#DIV/0!</v>
      </c>
      <c r="R1194" s="2"/>
      <c r="S1194" s="367" t="e">
        <f>'Rate Design Work eff 10-14-16'!S1192</f>
        <v>#DIV/0!</v>
      </c>
      <c r="T1194" s="1" t="s">
        <v>364</v>
      </c>
      <c r="U1194" s="2" t="e">
        <f>'Rate Design Work eff 10-14-16'!U1192</f>
        <v>#DIV/0!</v>
      </c>
      <c r="V1194" s="20"/>
      <c r="W1194" s="856" t="s">
        <v>31</v>
      </c>
      <c r="X1194" s="88" t="s">
        <v>31</v>
      </c>
      <c r="Z1194" s="74"/>
      <c r="AA1194" s="74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>
      <c r="A1195" s="1" t="s">
        <v>601</v>
      </c>
      <c r="B1195" s="1"/>
      <c r="C1195" s="249">
        <f>'Rate Design Work eff 10-14-16'!C1193</f>
        <v>2267439.2993954606</v>
      </c>
      <c r="D1195" s="406" t="s">
        <v>31</v>
      </c>
      <c r="E1195" s="1" t="s">
        <v>31</v>
      </c>
      <c r="F1195" s="399" t="s">
        <v>31</v>
      </c>
      <c r="G1195" s="406" t="s">
        <v>31</v>
      </c>
      <c r="H1195" s="1" t="s">
        <v>31</v>
      </c>
      <c r="I1195" s="2" t="s">
        <v>31</v>
      </c>
      <c r="J1195" s="2"/>
      <c r="K1195" s="406">
        <v>0</v>
      </c>
      <c r="L1195" s="1" t="s">
        <v>364</v>
      </c>
      <c r="M1195" s="2">
        <f>'Rate Design Work eff 10-14-16'!M1193</f>
        <v>0</v>
      </c>
      <c r="N1195" s="2"/>
      <c r="O1195" s="406">
        <v>0</v>
      </c>
      <c r="P1195" s="1" t="s">
        <v>364</v>
      </c>
      <c r="Q1195" s="2">
        <f>'Rate Design Work eff 10-14-16'!Q1193</f>
        <v>0</v>
      </c>
      <c r="R1195" s="2"/>
      <c r="S1195" s="406">
        <v>0</v>
      </c>
      <c r="T1195" s="1" t="s">
        <v>364</v>
      </c>
      <c r="U1195" s="2">
        <f>'Rate Design Work eff 10-14-16'!U1193</f>
        <v>0</v>
      </c>
      <c r="V1195" s="20"/>
      <c r="Z1195" s="74"/>
      <c r="AA1195" s="32" t="s">
        <v>31</v>
      </c>
      <c r="AB1195" s="2" t="s">
        <v>31</v>
      </c>
      <c r="AC1195" s="2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</row>
    <row r="1196" spans="1:44">
      <c r="A1196" s="1" t="s">
        <v>352</v>
      </c>
      <c r="B1196" s="1"/>
      <c r="C1196" s="249">
        <f>'Rate Design Work eff 10-14-16'!C1194</f>
        <v>59.249999999999972</v>
      </c>
      <c r="D1196" s="400"/>
      <c r="E1196" s="1"/>
      <c r="F1196" s="2"/>
      <c r="G1196" s="400"/>
      <c r="H1196" s="1"/>
      <c r="I1196" s="2"/>
      <c r="J1196" s="2"/>
      <c r="K1196" s="400"/>
      <c r="L1196" s="1"/>
      <c r="M1196" s="2"/>
      <c r="N1196" s="2"/>
      <c r="O1196" s="400"/>
      <c r="P1196" s="1"/>
      <c r="Q1196" s="2"/>
      <c r="R1196" s="2"/>
      <c r="S1196" s="400"/>
      <c r="T1196" s="1"/>
      <c r="U1196" s="2"/>
      <c r="V1196" s="20"/>
      <c r="W1196" s="74"/>
      <c r="X1196" s="74"/>
      <c r="Y1196" s="74"/>
      <c r="Z1196" s="20"/>
      <c r="AA1196" s="20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</row>
    <row r="1197" spans="1:44" s="1118" customFormat="1" hidden="1">
      <c r="A1197" s="968" t="s">
        <v>903</v>
      </c>
      <c r="C1197" s="1122">
        <f>C1199</f>
        <v>3447468.713884904</v>
      </c>
      <c r="D1197" s="254">
        <f>'Rate Design Work eff 10-14-16'!D1195</f>
        <v>0</v>
      </c>
      <c r="E1197" s="1119"/>
      <c r="F1197" s="1123"/>
      <c r="G1197" s="1128">
        <f>'Rate Design Work eff 10-14-16'!G1195</f>
        <v>0</v>
      </c>
      <c r="H1197" s="1126" t="s">
        <v>364</v>
      </c>
      <c r="I1197" s="1000">
        <f>ROUND(G1197*$C1197/100,0)</f>
        <v>0</v>
      </c>
      <c r="J1197" s="1000"/>
      <c r="K1197" s="1128" t="str">
        <f>'Rate Design Work eff 10-14-16'!K1195</f>
        <v xml:space="preserve"> </v>
      </c>
      <c r="L1197" s="1126" t="s">
        <v>364</v>
      </c>
      <c r="M1197" s="2">
        <f>'Rate Design Work eff 10-14-16'!M1195</f>
        <v>0</v>
      </c>
      <c r="N1197" s="1000"/>
      <c r="O1197" s="1128" t="str">
        <f>'Rate Design Work eff 10-14-16'!O1195</f>
        <v xml:space="preserve"> </v>
      </c>
      <c r="P1197" s="1126" t="s">
        <v>364</v>
      </c>
      <c r="Q1197" s="2">
        <f>'Rate Design Work eff 10-14-16'!Q1195</f>
        <v>0</v>
      </c>
      <c r="R1197" s="1000"/>
      <c r="S1197" s="1128">
        <f>'Rate Design Work eff 10-14-16'!S1195</f>
        <v>0</v>
      </c>
      <c r="T1197" s="1126" t="s">
        <v>364</v>
      </c>
      <c r="U1197" s="2">
        <f>'Rate Design Work eff 10-14-16'!U1195</f>
        <v>0</v>
      </c>
      <c r="W1197" s="784"/>
      <c r="Z1197" s="1125"/>
      <c r="AA1197" s="1125"/>
      <c r="AF1197" s="1119"/>
      <c r="AG1197" s="1119"/>
      <c r="AH1197" s="1119"/>
      <c r="AI1197" s="1119"/>
      <c r="AJ1197" s="1119"/>
      <c r="AK1197" s="1119"/>
      <c r="AL1197" s="1119"/>
      <c r="AM1197" s="1119"/>
      <c r="AN1197" s="1119"/>
      <c r="AO1197" s="1119"/>
      <c r="AP1197" s="1119"/>
      <c r="AR1197" s="1124"/>
    </row>
    <row r="1198" spans="1:44" s="1118" customFormat="1" hidden="1">
      <c r="A1198" s="1255" t="s">
        <v>875</v>
      </c>
      <c r="B1198" s="1256"/>
      <c r="C1198" s="1269"/>
      <c r="D1198" s="1270">
        <f>'Rate Design Work eff 10-14-16'!D1196</f>
        <v>6.9260000000000002</v>
      </c>
      <c r="E1198" s="1261" t="s">
        <v>364</v>
      </c>
      <c r="F1198" s="1259"/>
      <c r="G1198" s="1270">
        <f>G1194+G1197</f>
        <v>7.0449999999999999</v>
      </c>
      <c r="H1198" s="1261" t="s">
        <v>364</v>
      </c>
      <c r="I1198" s="1266"/>
      <c r="J1198" s="1266"/>
      <c r="K1198" s="1270" t="e">
        <f>K1194+K1197</f>
        <v>#DIV/0!</v>
      </c>
      <c r="L1198" s="1261" t="s">
        <v>364</v>
      </c>
      <c r="M1198" s="1266"/>
      <c r="N1198" s="1266"/>
      <c r="O1198" s="1270" t="e">
        <f>O1194+O1197</f>
        <v>#DIV/0!</v>
      </c>
      <c r="P1198" s="1261" t="s">
        <v>364</v>
      </c>
      <c r="Q1198" s="1266"/>
      <c r="R1198" s="1266"/>
      <c r="S1198" s="1270" t="e">
        <f>S1194+S1197</f>
        <v>#DIV/0!</v>
      </c>
      <c r="T1198" s="1261" t="s">
        <v>364</v>
      </c>
      <c r="U1198" s="1266"/>
      <c r="W1198" s="784"/>
      <c r="X1198" s="795" t="s">
        <v>31</v>
      </c>
      <c r="Z1198" s="1125"/>
      <c r="AA1198" s="1125"/>
      <c r="AF1198" s="1119"/>
      <c r="AG1198" s="1119"/>
      <c r="AH1198" s="1119"/>
      <c r="AI1198" s="1119"/>
      <c r="AJ1198" s="1119"/>
      <c r="AK1198" s="1119"/>
      <c r="AL1198" s="1119"/>
      <c r="AM1198" s="1119"/>
      <c r="AN1198" s="1119"/>
      <c r="AO1198" s="1119"/>
      <c r="AP1198" s="1119"/>
      <c r="AR1198" s="1124"/>
    </row>
    <row r="1199" spans="1:44">
      <c r="A1199" s="3" t="s">
        <v>481</v>
      </c>
      <c r="C1199" s="249">
        <f>C1194+C1195</f>
        <v>3447468.713884904</v>
      </c>
      <c r="D1199" s="254"/>
      <c r="E1199" s="20"/>
      <c r="F1199" s="257">
        <f>SUM(F1178:F1195)</f>
        <v>240994.26960406106</v>
      </c>
      <c r="G1199" s="254"/>
      <c r="H1199" s="20"/>
      <c r="I1199" s="257">
        <f>SUM(I1178:I1198)</f>
        <v>245131.36012984239</v>
      </c>
      <c r="J1199" s="257"/>
      <c r="K1199" s="254"/>
      <c r="L1199" s="20"/>
      <c r="M1199" s="257" t="e">
        <f>SUM(M1178:M1197)</f>
        <v>#DIV/0!</v>
      </c>
      <c r="N1199" s="257"/>
      <c r="O1199" s="254"/>
      <c r="P1199" s="20"/>
      <c r="Q1199" s="257" t="e">
        <f>SUM(Q1178:Q1198)</f>
        <v>#DIV/0!</v>
      </c>
      <c r="R1199" s="257"/>
      <c r="S1199" s="254"/>
      <c r="T1199" s="20"/>
      <c r="U1199" s="257" t="e">
        <f>SUM(U1178:U1198)</f>
        <v>#DIV/0!</v>
      </c>
      <c r="V1199" s="20"/>
      <c r="W1199" s="74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>
      <c r="A1200" s="3" t="s">
        <v>482</v>
      </c>
      <c r="C1200" s="249">
        <f ca="1">'Table 2'!H122</f>
        <v>43657.854220442547</v>
      </c>
      <c r="D1200" s="254"/>
      <c r="E1200" s="20"/>
      <c r="F1200" s="257">
        <f>'Table 3'!E122</f>
        <v>3805.7819926921766</v>
      </c>
      <c r="G1200" s="254"/>
      <c r="H1200" s="20"/>
      <c r="I1200" s="257">
        <f>F1200</f>
        <v>3805.7819926921766</v>
      </c>
      <c r="J1200" s="257"/>
      <c r="K1200" s="254"/>
      <c r="L1200" s="20"/>
      <c r="M1200" s="257" t="e">
        <f>$I$1200*V1174/($V$1174+$W$1174+$X$1174)</f>
        <v>#DIV/0!</v>
      </c>
      <c r="N1200" s="51"/>
      <c r="O1200" s="294"/>
      <c r="P1200" s="294"/>
      <c r="Q1200" s="257" t="e">
        <f>$I$1200*W1174/($V$1174+$W$1174+$X$1174)</f>
        <v>#DIV/0!</v>
      </c>
      <c r="R1200" s="51"/>
      <c r="S1200" s="294"/>
      <c r="T1200" s="294"/>
      <c r="U1200" s="257" t="e">
        <f>$I$1200*X1174/($V$1174+$W$1174+$X$1174)</f>
        <v>#DIV/0!</v>
      </c>
      <c r="V1200" s="429"/>
      <c r="W1200" s="272"/>
      <c r="X1200" s="74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 ht="16.5" thickBot="1">
      <c r="A1201" s="1" t="s">
        <v>9</v>
      </c>
      <c r="B1201" s="1"/>
      <c r="C1201" s="378">
        <f ca="1">C1199+C1200</f>
        <v>3491126.5681053465</v>
      </c>
      <c r="D1201" s="962"/>
      <c r="E1201" s="330"/>
      <c r="F1201" s="259">
        <f>F1199+F1200</f>
        <v>244800.05159675324</v>
      </c>
      <c r="G1201" s="962"/>
      <c r="H1201" s="330"/>
      <c r="I1201" s="259">
        <f>I1199+I1200</f>
        <v>248937.14212253457</v>
      </c>
      <c r="J1201" s="51"/>
      <c r="K1201" s="962"/>
      <c r="L1201" s="330"/>
      <c r="M1201" s="259" t="e">
        <f>M1199+M1200</f>
        <v>#DIV/0!</v>
      </c>
      <c r="N1201" s="297"/>
      <c r="O1201" s="962"/>
      <c r="P1201" s="330"/>
      <c r="Q1201" s="259" t="e">
        <f>Q1199+Q1200</f>
        <v>#DIV/0!</v>
      </c>
      <c r="R1201" s="297"/>
      <c r="S1201" s="962"/>
      <c r="T1201" s="330"/>
      <c r="U1201" s="259" t="e">
        <f>U1199+U1200</f>
        <v>#DIV/0!</v>
      </c>
      <c r="V1201" s="396"/>
      <c r="W1201" s="455"/>
      <c r="X1201" s="74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 ht="16.5" thickTop="1">
      <c r="A1202" s="1307" t="s">
        <v>902</v>
      </c>
      <c r="B1202" s="1"/>
      <c r="C1202" s="26"/>
      <c r="D1202" s="407"/>
      <c r="E1202" s="23"/>
      <c r="F1202" s="51"/>
      <c r="G1202" s="407"/>
      <c r="H1202" s="23"/>
      <c r="I1202" s="51"/>
      <c r="J1202" s="51"/>
      <c r="K1202" s="407"/>
      <c r="L1202" s="23"/>
      <c r="M1202" s="51"/>
      <c r="N1202" s="51"/>
      <c r="O1202" s="407"/>
      <c r="P1202" s="23"/>
      <c r="Q1202" s="51"/>
      <c r="R1202" s="51"/>
      <c r="S1202" s="407"/>
      <c r="T1202" s="23"/>
      <c r="U1202" s="51"/>
      <c r="V1202" s="396"/>
      <c r="W1202" s="455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26"/>
      <c r="D1203" s="407" t="s">
        <v>31</v>
      </c>
      <c r="E1203" s="23"/>
      <c r="F1203" s="51"/>
      <c r="G1203" s="407" t="s">
        <v>31</v>
      </c>
      <c r="H1203" s="23"/>
      <c r="I1203" s="51" t="s">
        <v>31</v>
      </c>
      <c r="J1203" s="51"/>
      <c r="K1203" s="407" t="s">
        <v>31</v>
      </c>
      <c r="L1203" s="23"/>
      <c r="M1203" s="51" t="s">
        <v>31</v>
      </c>
      <c r="N1203" s="51"/>
      <c r="O1203" s="407" t="s">
        <v>31</v>
      </c>
      <c r="P1203" s="23"/>
      <c r="Q1203" s="51" t="s">
        <v>31</v>
      </c>
      <c r="R1203" s="51"/>
      <c r="S1203" s="407" t="s">
        <v>31</v>
      </c>
      <c r="T1203" s="23"/>
      <c r="U1203" s="51" t="e">
        <f>M1201+Q1201+U1201</f>
        <v>#DIV/0!</v>
      </c>
      <c r="V1203" s="719"/>
      <c r="W1203" s="719"/>
      <c r="X1203" s="719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278" t="s">
        <v>489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401"/>
      <c r="W1204" s="401"/>
      <c r="X1204" s="401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490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/>
      <c r="B1206" s="1"/>
      <c r="C1206" s="1"/>
      <c r="D1206" s="404"/>
      <c r="E1206" s="1"/>
      <c r="F1206" s="1"/>
      <c r="G1206" s="404"/>
      <c r="H1206" s="1"/>
      <c r="I1206" s="1"/>
      <c r="J1206" s="1"/>
      <c r="K1206" s="404"/>
      <c r="L1206" s="1"/>
      <c r="M1206" s="1"/>
      <c r="N1206" s="1"/>
      <c r="O1206" s="404"/>
      <c r="P1206" s="1"/>
      <c r="Q1206" s="1"/>
      <c r="R1206" s="1"/>
      <c r="S1206" s="404"/>
      <c r="T1206" s="1"/>
      <c r="U1206" s="1"/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478</v>
      </c>
      <c r="B1207" s="1"/>
      <c r="C1207" s="21"/>
      <c r="D1207" s="283"/>
      <c r="E1207" s="1"/>
      <c r="F1207" s="397">
        <v>0</v>
      </c>
      <c r="G1207" s="283"/>
      <c r="H1207" s="1"/>
      <c r="I1207" s="2">
        <f>F1207</f>
        <v>0</v>
      </c>
      <c r="J1207" s="2"/>
      <c r="K1207" s="283"/>
      <c r="L1207" s="1"/>
      <c r="M1207" s="2" t="e">
        <f>'Rate Design Work eff 10-14-16'!M1205</f>
        <v>#REF!</v>
      </c>
      <c r="N1207" s="2"/>
      <c r="O1207" s="283"/>
      <c r="P1207" s="1"/>
      <c r="Q1207" s="2" t="e">
        <f>'Rate Design Work eff 10-14-16'!Q1205</f>
        <v>#DIV/0!</v>
      </c>
      <c r="R1207" s="2"/>
      <c r="S1207" s="283"/>
      <c r="T1207" s="1"/>
      <c r="U1207" s="2" t="e">
        <f>'Rate Design Work eff 10-14-16'!U1205</f>
        <v>#DIV/0!</v>
      </c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>
      <c r="A1208" s="1" t="s">
        <v>485</v>
      </c>
      <c r="B1208" s="1"/>
      <c r="C1208" s="249">
        <f>'Rate Design Work eff 10-14-16'!C1205</f>
        <v>0</v>
      </c>
      <c r="D1208" s="367">
        <f>'Rate Design Work eff 10-14-16'!D1205</f>
        <v>6.9260000000000002</v>
      </c>
      <c r="E1208" s="1" t="s">
        <v>364</v>
      </c>
      <c r="F1208" s="399">
        <f>ROUND(D1208*C1208/100,0)</f>
        <v>0</v>
      </c>
      <c r="G1208" s="367">
        <f>'Rate Design Work eff 10-14-16'!G1205</f>
        <v>7.0449999999999999</v>
      </c>
      <c r="H1208" s="1" t="s">
        <v>364</v>
      </c>
      <c r="I1208" s="2">
        <f>ROUND(C1208*G1208/100,0)</f>
        <v>0</v>
      </c>
      <c r="J1208" s="2"/>
      <c r="K1208" s="367" t="e">
        <f>'Rate Design Work eff 10-14-16'!K1205</f>
        <v>#DIV/0!</v>
      </c>
      <c r="L1208" s="1" t="s">
        <v>364</v>
      </c>
      <c r="M1208" s="2" t="e">
        <f>'Rate Design Work eff 10-14-16'!M1206</f>
        <v>#DIV/0!</v>
      </c>
      <c r="N1208" s="2"/>
      <c r="O1208" s="367" t="e">
        <f>'Rate Design Work eff 10-14-16'!O1205</f>
        <v>#DIV/0!</v>
      </c>
      <c r="P1208" s="1" t="s">
        <v>364</v>
      </c>
      <c r="Q1208" s="2" t="e">
        <f>'Rate Design Work eff 10-14-16'!Q1206</f>
        <v>#DIV/0!</v>
      </c>
      <c r="R1208" s="2"/>
      <c r="S1208" s="367" t="e">
        <f>'Rate Design Work eff 10-14-16'!S1205</f>
        <v>#DIV/0!</v>
      </c>
      <c r="T1208" s="1" t="s">
        <v>364</v>
      </c>
      <c r="U1208" s="2" t="e">
        <f>'Rate Design Work eff 10-14-16'!U1206</f>
        <v>#DIV/0!</v>
      </c>
      <c r="V1208" s="20"/>
      <c r="W1208" s="74"/>
      <c r="X1208" s="74"/>
      <c r="Y1208" s="74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</row>
    <row r="1209" spans="1:44">
      <c r="A1209" s="1" t="s">
        <v>486</v>
      </c>
      <c r="B1209" s="1"/>
      <c r="C1209" s="249">
        <f>'Rate Design Work eff 10-14-16'!C1206</f>
        <v>1151208</v>
      </c>
      <c r="D1209" s="409">
        <f>'Rate Design Work eff 10-14-16'!D1206</f>
        <v>6.9260000000000002</v>
      </c>
      <c r="E1209" s="1" t="s">
        <v>364</v>
      </c>
      <c r="F1209" s="399">
        <f>ROUND(D1209*C1209/100,0)</f>
        <v>79733</v>
      </c>
      <c r="G1209" s="409">
        <f>G1208</f>
        <v>7.0449999999999999</v>
      </c>
      <c r="H1209" s="1" t="s">
        <v>364</v>
      </c>
      <c r="I1209" s="2">
        <f>ROUND(G1209*$C1209/100,0)</f>
        <v>81103</v>
      </c>
      <c r="J1209" s="2"/>
      <c r="K1209" s="409" t="e">
        <f>K1208</f>
        <v>#DIV/0!</v>
      </c>
      <c r="L1209" s="1" t="s">
        <v>364</v>
      </c>
      <c r="M1209" s="2">
        <f>'Rate Design Work eff 10-14-16'!M1207</f>
        <v>0</v>
      </c>
      <c r="N1209" s="2"/>
      <c r="O1209" s="409" t="e">
        <f>O1208</f>
        <v>#DIV/0!</v>
      </c>
      <c r="P1209" s="1" t="s">
        <v>364</v>
      </c>
      <c r="Q1209" s="2">
        <f>'Rate Design Work eff 10-14-16'!Q1207</f>
        <v>0</v>
      </c>
      <c r="R1209" s="2"/>
      <c r="S1209" s="409" t="e">
        <f>S1208</f>
        <v>#DIV/0!</v>
      </c>
      <c r="T1209" s="1" t="s">
        <v>364</v>
      </c>
      <c r="U1209" s="2">
        <f>'Rate Design Work eff 10-14-16'!U1207</f>
        <v>0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1" t="s">
        <v>352</v>
      </c>
      <c r="B1210" s="1"/>
      <c r="C1210" s="249">
        <f>'Rate Design Work eff 10-14-16'!C1207</f>
        <v>22.1666666666667</v>
      </c>
      <c r="D1210" s="400"/>
      <c r="E1210" s="1"/>
      <c r="F1210" s="2"/>
      <c r="G1210" s="400"/>
      <c r="H1210" s="1"/>
      <c r="I1210" s="2"/>
      <c r="J1210" s="2"/>
      <c r="K1210" s="400"/>
      <c r="L1210" s="1"/>
      <c r="M1210" s="2"/>
      <c r="N1210" s="2"/>
      <c r="O1210" s="400"/>
      <c r="P1210" s="1"/>
      <c r="Q1210" s="2"/>
      <c r="R1210" s="2"/>
      <c r="S1210" s="400"/>
      <c r="T1210" s="1"/>
      <c r="U1210" s="2"/>
      <c r="V1210" s="20"/>
      <c r="W1210" s="74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s="1118" customFormat="1" hidden="1">
      <c r="A1211" s="968" t="s">
        <v>903</v>
      </c>
      <c r="C1211" s="1122">
        <f>C1212</f>
        <v>1151208</v>
      </c>
      <c r="D1211" s="254">
        <f>'Rate Design Work eff 10-14-16'!D1208</f>
        <v>0</v>
      </c>
      <c r="E1211" s="1119"/>
      <c r="F1211" s="1123"/>
      <c r="G1211" s="1128">
        <f>'Rate Design Work eff 10-14-16'!G1208</f>
        <v>0</v>
      </c>
      <c r="H1211" s="1126" t="s">
        <v>364</v>
      </c>
      <c r="I1211" s="1000">
        <f>ROUND(G1211*$C1211/100,0)</f>
        <v>0</v>
      </c>
      <c r="J1211" s="1000"/>
      <c r="K1211" s="1128" t="str">
        <f>'Rate Design Work eff 10-14-16'!K1208</f>
        <v xml:space="preserve"> </v>
      </c>
      <c r="L1211" s="1126" t="s">
        <v>31</v>
      </c>
      <c r="M1211" s="2">
        <f>'Rate Design Work eff 10-14-16'!Q1208</f>
        <v>0</v>
      </c>
      <c r="N1211" s="1000"/>
      <c r="O1211" s="1128" t="str">
        <f>'Rate Design Work eff 10-14-16'!O1208</f>
        <v xml:space="preserve"> </v>
      </c>
      <c r="P1211" s="1126" t="s">
        <v>31</v>
      </c>
      <c r="Q1211" s="2">
        <f>'Rate Design Work eff 10-14-16'!Q1208</f>
        <v>0</v>
      </c>
      <c r="R1211" s="1000"/>
      <c r="S1211" s="1128">
        <f>'Rate Design Work eff 10-14-16'!S1208</f>
        <v>0</v>
      </c>
      <c r="T1211" s="1126" t="s">
        <v>364</v>
      </c>
      <c r="U1211" s="1000">
        <f>ROUND(S1211*$C1211/100,0)</f>
        <v>0</v>
      </c>
      <c r="W1211" s="784"/>
      <c r="Z1211" s="1125"/>
      <c r="AA1211" s="1125"/>
      <c r="AF1211" s="1119"/>
      <c r="AG1211" s="1119"/>
      <c r="AH1211" s="1119"/>
      <c r="AI1211" s="1119"/>
      <c r="AJ1211" s="1119"/>
      <c r="AK1211" s="1119"/>
      <c r="AL1211" s="1119"/>
      <c r="AM1211" s="1119"/>
      <c r="AN1211" s="1119"/>
      <c r="AO1211" s="1119"/>
      <c r="AP1211" s="1119"/>
      <c r="AR1211" s="1124"/>
    </row>
    <row r="1212" spans="1:44">
      <c r="A1212" s="3" t="s">
        <v>481</v>
      </c>
      <c r="C1212" s="249">
        <f>C1208+C1209</f>
        <v>1151208</v>
      </c>
      <c r="D1212" s="254"/>
      <c r="E1212" s="20"/>
      <c r="F1212" s="257">
        <f>SUM(F1207:F1209)</f>
        <v>79733</v>
      </c>
      <c r="G1212" s="254"/>
      <c r="H1212" s="20"/>
      <c r="I1212" s="257">
        <f>SUM(I1207:I1211)</f>
        <v>81103</v>
      </c>
      <c r="J1212" s="257"/>
      <c r="K1212" s="254"/>
      <c r="L1212" s="20"/>
      <c r="M1212" s="257" t="e">
        <f>SUM(M1207:M1211)</f>
        <v>#REF!</v>
      </c>
      <c r="N1212" s="257"/>
      <c r="O1212" s="254"/>
      <c r="P1212" s="20"/>
      <c r="Q1212" s="257" t="e">
        <f>SUM(Q1207:Q1211)</f>
        <v>#DIV/0!</v>
      </c>
      <c r="R1212" s="257"/>
      <c r="S1212" s="254"/>
      <c r="T1212" s="20"/>
      <c r="U1212" s="257" t="e">
        <f>SUM(U1207:U1211)</f>
        <v>#DIV/0!</v>
      </c>
      <c r="V1212" s="20"/>
      <c r="W1212" s="74"/>
      <c r="X1212" s="74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3" t="s">
        <v>482</v>
      </c>
      <c r="C1213" s="249">
        <f ca="1">'Table 2'!H123</f>
        <v>14578.601058505523</v>
      </c>
      <c r="D1213" s="254"/>
      <c r="E1213" s="20"/>
      <c r="F1213" s="257">
        <f>'Table 3'!E123</f>
        <v>1258.1353616093459</v>
      </c>
      <c r="G1213" s="254"/>
      <c r="H1213" s="20"/>
      <c r="I1213" s="257">
        <f>F1213</f>
        <v>1258.1353616093459</v>
      </c>
      <c r="J1213" s="257"/>
      <c r="K1213" s="254"/>
      <c r="L1213" s="20"/>
      <c r="M1213" s="257" t="e">
        <f>$I$1213*V1174/($V$1174+$W$1174+$X$1174)</f>
        <v>#DIV/0!</v>
      </c>
      <c r="N1213" s="51"/>
      <c r="O1213" s="294"/>
      <c r="P1213" s="294"/>
      <c r="Q1213" s="257" t="e">
        <f>$I$1213*W1174/($V$1174+$W$1174+$X$1174)</f>
        <v>#DIV/0!</v>
      </c>
      <c r="R1213" s="51"/>
      <c r="S1213" s="294"/>
      <c r="T1213" s="294"/>
      <c r="U1213" s="257" t="e">
        <f>$I$1213*X1174/($V$1174+$W$1174+$X$1174)</f>
        <v>#DIV/0!</v>
      </c>
      <c r="V1213" s="429"/>
      <c r="W1213" s="272"/>
      <c r="X1213" s="74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 ht="16.5" thickBot="1">
      <c r="A1214" s="1" t="s">
        <v>9</v>
      </c>
      <c r="B1214" s="1"/>
      <c r="C1214" s="378">
        <f ca="1">C1212+C1213</f>
        <v>1165786.6010585055</v>
      </c>
      <c r="D1214" s="962"/>
      <c r="E1214" s="330"/>
      <c r="F1214" s="259">
        <f>F1212+F1213</f>
        <v>80991.13536160934</v>
      </c>
      <c r="G1214" s="962"/>
      <c r="H1214" s="330"/>
      <c r="I1214" s="259">
        <f>I1212+I1213</f>
        <v>82361.13536160934</v>
      </c>
      <c r="J1214" s="51"/>
      <c r="K1214" s="962"/>
      <c r="L1214" s="330"/>
      <c r="M1214" s="259" t="e">
        <f>M1212+M1213</f>
        <v>#REF!</v>
      </c>
      <c r="N1214" s="297"/>
      <c r="O1214" s="962"/>
      <c r="P1214" s="330"/>
      <c r="Q1214" s="259" t="e">
        <f>Q1212+Q1213</f>
        <v>#DIV/0!</v>
      </c>
      <c r="R1214" s="297"/>
      <c r="S1214" s="962"/>
      <c r="T1214" s="330"/>
      <c r="U1214" s="259" t="e">
        <f>U1212+U1213</f>
        <v>#DIV/0!</v>
      </c>
      <c r="V1214" s="396"/>
      <c r="W1214" s="455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 ht="16.5" thickTop="1">
      <c r="A1215" s="1307" t="s">
        <v>902</v>
      </c>
      <c r="B1215" s="1"/>
      <c r="C1215" s="26"/>
      <c r="D1215" s="407"/>
      <c r="E1215" s="23"/>
      <c r="F1215" s="51"/>
      <c r="G1215" s="407"/>
      <c r="H1215" s="23"/>
      <c r="I1215" s="51"/>
      <c r="J1215" s="51"/>
      <c r="K1215" s="407"/>
      <c r="L1215" s="23"/>
      <c r="M1215" s="51"/>
      <c r="N1215" s="51"/>
      <c r="O1215" s="407"/>
      <c r="P1215" s="23"/>
      <c r="Q1215" s="51"/>
      <c r="R1215" s="51"/>
      <c r="S1215" s="407"/>
      <c r="T1215" s="23"/>
      <c r="U1215" s="51"/>
      <c r="V1215" s="396"/>
      <c r="W1215" s="455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/>
      <c r="B1216" s="1"/>
      <c r="C1216" s="26"/>
      <c r="D1216" s="407"/>
      <c r="E1216" s="23"/>
      <c r="F1216" s="51"/>
      <c r="G1216" s="407"/>
      <c r="H1216" s="23"/>
      <c r="I1216" s="51"/>
      <c r="J1216" s="51"/>
      <c r="K1216" s="407"/>
      <c r="L1216" s="23"/>
      <c r="M1216" s="51"/>
      <c r="N1216" s="51"/>
      <c r="O1216" s="407"/>
      <c r="P1216" s="23"/>
      <c r="Q1216" s="51"/>
      <c r="R1216" s="51"/>
      <c r="S1216" s="407"/>
      <c r="T1216" s="23"/>
      <c r="U1216" s="51"/>
      <c r="V1216" s="719"/>
      <c r="W1216" s="719"/>
      <c r="X1216" s="719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 hidden="1">
      <c r="A1217" s="1"/>
      <c r="B1217" s="1"/>
      <c r="C1217" s="26"/>
      <c r="D1217" s="407"/>
      <c r="E1217" s="23"/>
      <c r="F1217" s="51"/>
      <c r="G1217" s="407"/>
      <c r="H1217" s="23"/>
      <c r="I1217" s="51"/>
      <c r="J1217" s="51"/>
      <c r="K1217" s="407"/>
      <c r="L1217" s="23"/>
      <c r="M1217" s="51"/>
      <c r="N1217" s="51"/>
      <c r="O1217" s="407"/>
      <c r="P1217" s="23"/>
      <c r="Q1217" s="51"/>
      <c r="R1217" s="51"/>
      <c r="S1217" s="407"/>
      <c r="T1217" s="23"/>
      <c r="U1217" s="51"/>
      <c r="V1217" s="401"/>
      <c r="W1217" s="401"/>
      <c r="X1217" s="401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 hidden="1">
      <c r="A1218" s="1"/>
      <c r="B1218" s="1"/>
      <c r="C1218" s="26"/>
      <c r="D1218" s="407" t="s">
        <v>31</v>
      </c>
      <c r="E1218" s="23"/>
      <c r="F1218" s="51"/>
      <c r="G1218" s="407" t="s">
        <v>31</v>
      </c>
      <c r="H1218" s="23"/>
      <c r="I1218" s="51" t="s">
        <v>31</v>
      </c>
      <c r="J1218" s="51"/>
      <c r="K1218" s="407" t="s">
        <v>31</v>
      </c>
      <c r="L1218" s="23"/>
      <c r="M1218" s="51" t="s">
        <v>31</v>
      </c>
      <c r="N1218" s="51"/>
      <c r="O1218" s="407" t="s">
        <v>31</v>
      </c>
      <c r="P1218" s="23"/>
      <c r="Q1218" s="51" t="s">
        <v>31</v>
      </c>
      <c r="R1218" s="51"/>
      <c r="S1218" s="407" t="s">
        <v>31</v>
      </c>
      <c r="T1218" s="23"/>
      <c r="U1218" s="51" t="s">
        <v>31</v>
      </c>
      <c r="V1218" s="20"/>
      <c r="W1218" s="74"/>
      <c r="X1218" s="74"/>
      <c r="Y1218" s="74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278" t="s">
        <v>491</v>
      </c>
      <c r="B1219" s="1"/>
      <c r="C1219" s="1"/>
      <c r="D1219" s="1"/>
      <c r="E1219" s="1"/>
      <c r="F1219" s="1"/>
      <c r="G1219" s="1"/>
      <c r="H1219" s="1"/>
      <c r="I1219" s="1" t="s">
        <v>31</v>
      </c>
      <c r="J1219" s="1"/>
      <c r="K1219" s="1"/>
      <c r="L1219" s="1"/>
      <c r="M1219" s="1" t="s">
        <v>31</v>
      </c>
      <c r="N1219" s="1"/>
      <c r="O1219" s="1"/>
      <c r="P1219" s="1"/>
      <c r="Q1219" s="1" t="s">
        <v>31</v>
      </c>
      <c r="R1219" s="1"/>
      <c r="S1219" s="1"/>
      <c r="T1219" s="1"/>
      <c r="U1219" s="1" t="s">
        <v>31</v>
      </c>
      <c r="V1219" s="20"/>
      <c r="W1219" s="74"/>
      <c r="X1219" s="74"/>
      <c r="Y1219" s="74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186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20"/>
      <c r="W1220" s="74"/>
      <c r="X1220" s="74"/>
      <c r="Y1220" s="74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20"/>
      <c r="W1221" s="74"/>
      <c r="X1221" s="74"/>
      <c r="Y1221" s="74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>
      <c r="A1222" s="1" t="s">
        <v>492</v>
      </c>
      <c r="B1222" s="1"/>
      <c r="C1222" s="21">
        <f>'Rate Design Work eff 10-14-16'!C1218</f>
        <v>169.46666666666701</v>
      </c>
      <c r="D1222" s="283">
        <f>'Rate Design Work eff 10-14-16'!D1218</f>
        <v>3.75</v>
      </c>
      <c r="E1222" s="1"/>
      <c r="F1222" s="2">
        <f>ROUND(C1222*D1222,0)</f>
        <v>636</v>
      </c>
      <c r="G1222" s="283">
        <f>'Rate Design Work eff 10-14-16'!G1218</f>
        <v>3.8</v>
      </c>
      <c r="H1222" s="1"/>
      <c r="I1222" s="2">
        <f>ROUND(G1222*$C1222,0)</f>
        <v>644</v>
      </c>
      <c r="J1222" s="2"/>
      <c r="K1222" s="283">
        <f>'Rate Design Work eff 10-14-16'!K1218</f>
        <v>3.75</v>
      </c>
      <c r="L1222" s="1"/>
      <c r="M1222" s="2">
        <f>'Rate Design Work eff 10-14-16'!M1218</f>
        <v>636</v>
      </c>
      <c r="N1222" s="2"/>
      <c r="O1222" s="283" t="str">
        <f>'Rate Design Work eff 10-14-16'!O1218</f>
        <v xml:space="preserve"> </v>
      </c>
      <c r="P1222" s="1"/>
      <c r="Q1222" s="2">
        <f>'Rate Design Work eff 10-14-16'!Q1218</f>
        <v>0</v>
      </c>
      <c r="R1222" s="2"/>
      <c r="S1222" s="283" t="str">
        <f>'Rate Design Work eff 10-14-16'!S1218</f>
        <v xml:space="preserve"> </v>
      </c>
      <c r="T1222" s="1"/>
      <c r="U1222" s="2">
        <f>'Rate Design Work eff 10-14-16'!U1218</f>
        <v>0</v>
      </c>
      <c r="V1222" s="20"/>
      <c r="W1222" s="410"/>
      <c r="X1222" s="410"/>
      <c r="Y1222" s="410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</row>
    <row r="1223" spans="1:44">
      <c r="A1223" s="1" t="s">
        <v>493</v>
      </c>
      <c r="B1223" s="1"/>
      <c r="C1223" s="21">
        <f>'Rate Design Work eff 10-14-16'!C1219</f>
        <v>180</v>
      </c>
      <c r="D1223" s="283">
        <f>'Rate Design Work eff 10-14-16'!D1219</f>
        <v>6.75</v>
      </c>
      <c r="E1223" s="1"/>
      <c r="F1223" s="2">
        <f>ROUND(C1223*D1223,0)</f>
        <v>1215</v>
      </c>
      <c r="G1223" s="283">
        <f>'Rate Design Work eff 10-14-16'!G1219</f>
        <v>6.85</v>
      </c>
      <c r="H1223" s="1"/>
      <c r="I1223" s="2">
        <f>ROUND(G1223*$C1223,0)</f>
        <v>1233</v>
      </c>
      <c r="J1223" s="2"/>
      <c r="K1223" s="283">
        <f>'Rate Design Work eff 10-14-16'!K1219</f>
        <v>6.75</v>
      </c>
      <c r="L1223" s="1"/>
      <c r="M1223" s="2">
        <f>'Rate Design Work eff 10-14-16'!M1219</f>
        <v>1215</v>
      </c>
      <c r="N1223" s="2"/>
      <c r="O1223" s="283" t="str">
        <f>'Rate Design Work eff 10-14-16'!O1219</f>
        <v xml:space="preserve"> </v>
      </c>
      <c r="P1223" s="1"/>
      <c r="Q1223" s="2">
        <f>'Rate Design Work eff 10-14-16'!Q1219</f>
        <v>0</v>
      </c>
      <c r="R1223" s="2"/>
      <c r="S1223" s="283" t="str">
        <f>'Rate Design Work eff 10-14-16'!S1219</f>
        <v xml:space="preserve"> </v>
      </c>
      <c r="T1223" s="1"/>
      <c r="U1223" s="2">
        <f>'Rate Design Work eff 10-14-16'!U1219</f>
        <v>0</v>
      </c>
      <c r="V1223" s="20"/>
      <c r="W1223" s="410"/>
      <c r="X1223" s="410"/>
      <c r="Y1223" s="410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</row>
    <row r="1224" spans="1:44">
      <c r="A1224" s="1" t="s">
        <v>494</v>
      </c>
      <c r="B1224" s="1"/>
      <c r="C1224" s="21">
        <f>SUM(C1222:C1223)</f>
        <v>349.46666666666704</v>
      </c>
      <c r="D1224" s="359"/>
      <c r="E1224" s="1"/>
      <c r="F1224" s="399"/>
      <c r="G1224" s="359"/>
      <c r="H1224" s="1"/>
      <c r="I1224" s="2"/>
      <c r="J1224" s="2"/>
      <c r="K1224" s="359"/>
      <c r="L1224" s="1"/>
      <c r="M1224" s="2"/>
      <c r="N1224" s="2"/>
      <c r="O1224" s="359"/>
      <c r="P1224" s="1"/>
      <c r="Q1224" s="2"/>
      <c r="R1224" s="2"/>
      <c r="S1224" s="359"/>
      <c r="T1224" s="1"/>
      <c r="U1224" s="2"/>
      <c r="V1224" s="20"/>
      <c r="W1224" s="410"/>
      <c r="X1224" s="410"/>
      <c r="Y1224" s="41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454</v>
      </c>
      <c r="B1225" s="1"/>
      <c r="C1225" s="21">
        <f>'Rate Design Work eff 10-14-16'!C1221</f>
        <v>267781</v>
      </c>
      <c r="D1225" s="312">
        <f>'Rate Design Work eff 10-14-16'!D1221</f>
        <v>8.2409999999999997</v>
      </c>
      <c r="E1225" s="2" t="s">
        <v>364</v>
      </c>
      <c r="F1225" s="399">
        <f>ROUND(D1225*C1225/100,0)</f>
        <v>22068</v>
      </c>
      <c r="G1225" s="312">
        <f>'Rate Design Work eff 10-14-16'!G1221</f>
        <v>8.3840000000000003</v>
      </c>
      <c r="H1225" s="2" t="s">
        <v>364</v>
      </c>
      <c r="I1225" s="2">
        <f>ROUND(G1225*$C1225/100,0)</f>
        <v>22451</v>
      </c>
      <c r="J1225" s="2"/>
      <c r="K1225" s="312" t="e">
        <f>'Rate Design Work eff 10-14-16'!K1221</f>
        <v>#DIV/0!</v>
      </c>
      <c r="L1225" s="2" t="s">
        <v>364</v>
      </c>
      <c r="M1225" s="2" t="e">
        <f>'Rate Design Work eff 10-14-16'!M1221</f>
        <v>#DIV/0!</v>
      </c>
      <c r="N1225" s="2"/>
      <c r="O1225" s="312" t="e">
        <f>'Rate Design Work eff 10-14-16'!O1221</f>
        <v>#DIV/0!</v>
      </c>
      <c r="P1225" s="2" t="s">
        <v>364</v>
      </c>
      <c r="Q1225" s="2" t="e">
        <f>'Rate Design Work eff 10-14-16'!Q1221</f>
        <v>#DIV/0!</v>
      </c>
      <c r="R1225" s="2"/>
      <c r="S1225" s="312" t="e">
        <f>'Rate Design Work eff 10-14-16'!S1221</f>
        <v>#DIV/0!</v>
      </c>
      <c r="T1225" s="2" t="s">
        <v>364</v>
      </c>
      <c r="U1225" s="2" t="e">
        <f>'Rate Design Work eff 10-14-16'!U1221</f>
        <v>#DIV/0!</v>
      </c>
      <c r="V1225" s="20"/>
      <c r="W1225" s="410"/>
      <c r="X1225" s="410"/>
      <c r="Y1225" s="41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s="1118" customFormat="1" hidden="1">
      <c r="A1226" s="968" t="s">
        <v>891</v>
      </c>
      <c r="C1226" s="1122">
        <f>C1228</f>
        <v>267781</v>
      </c>
      <c r="D1226" s="254">
        <f>'Rate Design Work eff 10-14-16'!D1222</f>
        <v>0</v>
      </c>
      <c r="E1226" s="1119"/>
      <c r="F1226" s="1123"/>
      <c r="G1226" s="1128">
        <f>'Rate Design Work eff 10-14-16'!G1222</f>
        <v>0</v>
      </c>
      <c r="H1226" s="1000" t="s">
        <v>364</v>
      </c>
      <c r="I1226" s="1000">
        <f>ROUND(G1226*$C1226/100,0)</f>
        <v>0</v>
      </c>
      <c r="J1226" s="1000"/>
      <c r="K1226" s="1128" t="str">
        <f>'Rate Design Work eff 10-14-16'!K1222</f>
        <v xml:space="preserve"> </v>
      </c>
      <c r="L1226" s="1126" t="s">
        <v>31</v>
      </c>
      <c r="M1226" s="2">
        <f>'Rate Design Work eff 10-14-16'!M1222</f>
        <v>0</v>
      </c>
      <c r="N1226" s="1123"/>
      <c r="O1226" s="1128" t="str">
        <f>'Rate Design Work eff 10-14-16'!O1222</f>
        <v xml:space="preserve"> </v>
      </c>
      <c r="P1226" s="1126" t="s">
        <v>31</v>
      </c>
      <c r="Q1226" s="2">
        <f>'Rate Design Work eff 10-14-16'!Q1222</f>
        <v>0</v>
      </c>
      <c r="R1226" s="1123"/>
      <c r="S1226" s="1128">
        <f>'Rate Design Work eff 10-14-16'!S1222</f>
        <v>0</v>
      </c>
      <c r="T1226" s="1126" t="s">
        <v>364</v>
      </c>
      <c r="U1226" s="2">
        <f>'Rate Design Work eff 10-14-16'!U1222</f>
        <v>0</v>
      </c>
      <c r="V1226" s="1124">
        <f>'NPC Spread'!J54</f>
        <v>6171.999641091671</v>
      </c>
      <c r="W1226" s="784" t="s">
        <v>857</v>
      </c>
      <c r="Z1226" s="1125"/>
      <c r="AA1226" s="1125"/>
      <c r="AF1226" s="1119"/>
      <c r="AG1226" s="1119"/>
      <c r="AH1226" s="1119"/>
      <c r="AI1226" s="1119"/>
      <c r="AJ1226" s="1119"/>
      <c r="AK1226" s="1119"/>
      <c r="AL1226" s="1119"/>
      <c r="AM1226" s="1119"/>
      <c r="AN1226" s="1119"/>
      <c r="AO1226" s="1119"/>
      <c r="AP1226" s="1119"/>
      <c r="AR1226" s="1124"/>
    </row>
    <row r="1227" spans="1:44" s="1118" customFormat="1" hidden="1">
      <c r="A1227" s="1255" t="s">
        <v>874</v>
      </c>
      <c r="B1227" s="1256"/>
      <c r="C1227" s="1269"/>
      <c r="D1227" s="1265">
        <f>'Rate Design Work eff 10-14-16'!D1223</f>
        <v>8.2409999999999997</v>
      </c>
      <c r="E1227" s="1259" t="s">
        <v>364</v>
      </c>
      <c r="F1227" s="1259"/>
      <c r="G1227" s="1265">
        <f>G1225+G1226</f>
        <v>8.3840000000000003</v>
      </c>
      <c r="H1227" s="1259" t="s">
        <v>364</v>
      </c>
      <c r="I1227" s="1266"/>
      <c r="J1227" s="1266"/>
      <c r="K1227" s="1265" t="e">
        <f>K1225+K1226</f>
        <v>#DIV/0!</v>
      </c>
      <c r="L1227" s="1259" t="s">
        <v>364</v>
      </c>
      <c r="M1227" s="1266"/>
      <c r="N1227" s="1266"/>
      <c r="O1227" s="1265" t="e">
        <f>O1225+O1226</f>
        <v>#DIV/0!</v>
      </c>
      <c r="P1227" s="1259" t="s">
        <v>364</v>
      </c>
      <c r="Q1227" s="1266"/>
      <c r="R1227" s="1266"/>
      <c r="S1227" s="1265" t="e">
        <f>S1225+S1226</f>
        <v>#DIV/0!</v>
      </c>
      <c r="T1227" s="1259" t="s">
        <v>364</v>
      </c>
      <c r="U1227" s="1266"/>
      <c r="V1227" s="1124"/>
      <c r="W1227" s="784"/>
      <c r="X1227" s="1121"/>
      <c r="Z1227" s="1125"/>
      <c r="AA1227" s="1125"/>
      <c r="AF1227" s="1119"/>
      <c r="AG1227" s="1119"/>
      <c r="AH1227" s="1119"/>
      <c r="AI1227" s="1119"/>
      <c r="AJ1227" s="1119"/>
      <c r="AK1227" s="1119"/>
      <c r="AL1227" s="1119"/>
      <c r="AM1227" s="1119"/>
      <c r="AN1227" s="1119"/>
      <c r="AO1227" s="1119"/>
      <c r="AP1227" s="1119"/>
      <c r="AR1227" s="1124"/>
    </row>
    <row r="1228" spans="1:44">
      <c r="A1228" s="1" t="s">
        <v>371</v>
      </c>
      <c r="B1228" s="1"/>
      <c r="C1228" s="304">
        <f>SUM(C1225)</f>
        <v>267781</v>
      </c>
      <c r="D1228" s="21"/>
      <c r="E1228" s="2"/>
      <c r="F1228" s="399">
        <f>SUM(F1222:F1225)</f>
        <v>23919</v>
      </c>
      <c r="G1228" s="21"/>
      <c r="H1228" s="2"/>
      <c r="I1228" s="399">
        <f>SUM(I1222:I1227)</f>
        <v>24328</v>
      </c>
      <c r="J1228" s="399"/>
      <c r="K1228" s="21"/>
      <c r="L1228" s="2"/>
      <c r="M1228" s="399" t="e">
        <f>SUM(M1222:M1227)</f>
        <v>#DIV/0!</v>
      </c>
      <c r="N1228" s="399"/>
      <c r="O1228" s="21"/>
      <c r="P1228" s="2"/>
      <c r="Q1228" s="399" t="e">
        <f>SUM(Q1222:Q1227)</f>
        <v>#DIV/0!</v>
      </c>
      <c r="R1228" s="399"/>
      <c r="S1228" s="21"/>
      <c r="T1228" s="2"/>
      <c r="U1228" s="399" t="e">
        <f>SUM(U1222:U1227)</f>
        <v>#DIV/0!</v>
      </c>
      <c r="V1228" s="20"/>
      <c r="W1228" s="74"/>
      <c r="X1228" s="74"/>
      <c r="Y1228" s="74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 t="s">
        <v>353</v>
      </c>
      <c r="B1229" s="1"/>
      <c r="C1229" s="334">
        <f>'Table 2'!H53</f>
        <v>1846.9158017184013</v>
      </c>
      <c r="D1229" s="963"/>
      <c r="E1229" s="963"/>
      <c r="F1229" s="413">
        <f>'Table 3'!E53</f>
        <v>189.2729477693606</v>
      </c>
      <c r="G1229" s="963"/>
      <c r="H1229" s="963"/>
      <c r="I1229" s="413">
        <f>F1229</f>
        <v>189.2729477693606</v>
      </c>
      <c r="J1229" s="1273"/>
      <c r="K1229" s="963"/>
      <c r="L1229" s="963"/>
      <c r="M1229" s="413" t="e">
        <f>$I$1229*V1233/($V$1233+$W$1233+$X$1233)</f>
        <v>#DIV/0!</v>
      </c>
      <c r="N1229" s="51"/>
      <c r="O1229" s="294"/>
      <c r="P1229" s="294"/>
      <c r="Q1229" s="413" t="e">
        <f>$I$1229*W1233/($V$1233+$W$1233+$X$1233)</f>
        <v>#DIV/0!</v>
      </c>
      <c r="R1229" s="51"/>
      <c r="S1229" s="294"/>
      <c r="T1229" s="294"/>
      <c r="U1229" s="413" t="e">
        <f>$I$1229*X1233/($V$1233+$W$1233+$X$1233)</f>
        <v>#DIV/0!</v>
      </c>
      <c r="V1229" s="274"/>
      <c r="W1229" s="275"/>
      <c r="X1229" s="74"/>
      <c r="Y1229" s="74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 ht="16.5" thickBot="1">
      <c r="A1230" s="1" t="s">
        <v>372</v>
      </c>
      <c r="B1230" s="1"/>
      <c r="C1230" s="351">
        <f>C1228+C1229</f>
        <v>269627.91580171842</v>
      </c>
      <c r="D1230" s="330"/>
      <c r="E1230" s="330"/>
      <c r="F1230" s="297">
        <f>F1228+F1229</f>
        <v>24108.272947769361</v>
      </c>
      <c r="G1230" s="330"/>
      <c r="H1230" s="330"/>
      <c r="I1230" s="297">
        <f>I1228+I1229</f>
        <v>24517.272947769361</v>
      </c>
      <c r="J1230" s="297"/>
      <c r="K1230" s="330"/>
      <c r="L1230" s="330"/>
      <c r="M1230" s="297" t="e">
        <f>M1228+M1229</f>
        <v>#DIV/0!</v>
      </c>
      <c r="N1230" s="297"/>
      <c r="O1230" s="330"/>
      <c r="P1230" s="330"/>
      <c r="Q1230" s="297" t="e">
        <f>Q1228+Q1229</f>
        <v>#DIV/0!</v>
      </c>
      <c r="R1230" s="297"/>
      <c r="S1230" s="330"/>
      <c r="T1230" s="330"/>
      <c r="U1230" s="297" t="e">
        <f>U1228+U1229</f>
        <v>#DIV/0!</v>
      </c>
      <c r="V1230" s="761" t="s">
        <v>399</v>
      </c>
      <c r="W1230" s="778">
        <f ca="1">'Rate Spread targets'!Q31*1000</f>
        <v>24516.702014979146</v>
      </c>
      <c r="X1230" s="1417">
        <f>(I1230-F1230)/F1230</f>
        <v>1.6965130637358373E-2</v>
      </c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 ht="16.5" thickTop="1">
      <c r="A1231" s="1"/>
      <c r="B1231" s="298"/>
      <c r="C1231" s="1"/>
      <c r="D1231" s="1" t="s">
        <v>31</v>
      </c>
      <c r="E1231" s="1"/>
      <c r="F1231" s="1"/>
      <c r="G1231" s="1" t="s">
        <v>31</v>
      </c>
      <c r="H1231" s="1"/>
      <c r="I1231" s="2" t="s">
        <v>31</v>
      </c>
      <c r="J1231" s="2"/>
      <c r="K1231" s="1" t="s">
        <v>31</v>
      </c>
      <c r="L1231" s="1"/>
      <c r="M1231" s="2" t="s">
        <v>31</v>
      </c>
      <c r="N1231" s="2"/>
      <c r="O1231" s="1" t="s">
        <v>31</v>
      </c>
      <c r="P1231" s="1"/>
      <c r="Q1231" s="2" t="s">
        <v>31</v>
      </c>
      <c r="R1231" s="2"/>
      <c r="S1231" s="1" t="s">
        <v>31</v>
      </c>
      <c r="T1231" s="1"/>
      <c r="U1231" s="2" t="s">
        <v>31</v>
      </c>
      <c r="V1231" s="762" t="s">
        <v>257</v>
      </c>
      <c r="W1231" s="780">
        <f ca="1">W1230-I1230</f>
        <v>-0.57093279021501075</v>
      </c>
      <c r="X1231" s="783" t="s">
        <v>31</v>
      </c>
      <c r="Y1231" s="261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</row>
    <row r="1232" spans="1:44" hidden="1">
      <c r="A1232" s="1"/>
      <c r="B1232" s="298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719"/>
      <c r="W1232" s="719"/>
      <c r="X1232" s="719"/>
      <c r="Y1232" s="261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</row>
    <row r="1233" spans="1:42" hidden="1">
      <c r="A1233" s="1"/>
      <c r="B1233" s="298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401"/>
      <c r="W1233" s="401"/>
      <c r="X1233" s="401"/>
      <c r="Y1233" s="261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</row>
    <row r="1234" spans="1:42">
      <c r="A1234" s="247" t="s">
        <v>495</v>
      </c>
      <c r="B1234" s="288"/>
      <c r="C1234" s="288"/>
      <c r="D1234" s="288"/>
      <c r="E1234" s="288"/>
      <c r="F1234" s="288"/>
      <c r="G1234" s="288"/>
      <c r="H1234" s="288"/>
      <c r="I1234" s="288"/>
      <c r="J1234" s="288"/>
      <c r="K1234" s="288"/>
      <c r="L1234" s="288"/>
      <c r="M1234" s="288"/>
      <c r="N1234" s="288"/>
      <c r="O1234" s="288"/>
      <c r="P1234" s="288"/>
      <c r="Q1234" s="288"/>
      <c r="R1234" s="288"/>
      <c r="S1234" s="288"/>
      <c r="T1234" s="288"/>
      <c r="U1234" s="288"/>
      <c r="V1234" s="20"/>
      <c r="W1234" s="74"/>
      <c r="X1234" s="74"/>
      <c r="Y1234" s="74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</row>
    <row r="1235" spans="1:42">
      <c r="A1235" s="288" t="s">
        <v>496</v>
      </c>
      <c r="B1235" s="288"/>
      <c r="C1235" s="288"/>
      <c r="D1235" s="288"/>
      <c r="E1235" s="288"/>
      <c r="F1235" s="288"/>
      <c r="G1235" s="288"/>
      <c r="H1235" s="288"/>
      <c r="I1235" s="288"/>
      <c r="J1235" s="288"/>
      <c r="K1235" s="288"/>
      <c r="L1235" s="288"/>
      <c r="M1235" s="288"/>
      <c r="N1235" s="288"/>
      <c r="O1235" s="288"/>
      <c r="P1235" s="288"/>
      <c r="Q1235" s="288"/>
      <c r="R1235" s="288"/>
      <c r="S1235" s="288"/>
      <c r="T1235" s="288"/>
      <c r="U1235" s="288"/>
      <c r="V1235" s="263"/>
      <c r="W1235" s="263"/>
      <c r="X1235" s="263"/>
      <c r="Y1235" s="263"/>
      <c r="Z1235" s="263"/>
      <c r="AA1235" s="263"/>
      <c r="AB1235" s="263"/>
      <c r="AC1235" s="263"/>
      <c r="AD1235" s="263"/>
      <c r="AE1235" s="263"/>
      <c r="AF1235" s="263"/>
      <c r="AG1235" s="263"/>
      <c r="AH1235" s="263"/>
      <c r="AI1235" s="263"/>
      <c r="AJ1235" s="263"/>
      <c r="AK1235" s="263"/>
      <c r="AL1235" s="20"/>
      <c r="AM1235" s="20"/>
      <c r="AN1235" s="20"/>
      <c r="AO1235" s="20"/>
      <c r="AP1235" s="20"/>
    </row>
    <row r="1236" spans="1:42">
      <c r="A1236" s="415" t="s">
        <v>497</v>
      </c>
      <c r="B1236" s="288"/>
      <c r="C1236" s="288"/>
      <c r="D1236" s="288"/>
      <c r="E1236" s="288"/>
      <c r="F1236" s="288"/>
      <c r="G1236" s="288"/>
      <c r="H1236" s="288"/>
      <c r="I1236" s="288"/>
      <c r="J1236" s="288"/>
      <c r="K1236" s="288"/>
      <c r="L1236" s="288"/>
      <c r="M1236" s="288"/>
      <c r="N1236" s="288"/>
      <c r="O1236" s="288"/>
      <c r="P1236" s="288"/>
      <c r="Q1236" s="288"/>
      <c r="R1236" s="288"/>
      <c r="S1236" s="288"/>
      <c r="T1236" s="288"/>
      <c r="U1236" s="288"/>
      <c r="V1236" s="263"/>
      <c r="W1236" s="263"/>
      <c r="X1236" s="263"/>
      <c r="Y1236" s="263"/>
      <c r="Z1236" s="263"/>
      <c r="AA1236" s="263"/>
      <c r="AB1236" s="263"/>
      <c r="AC1236" s="263"/>
      <c r="AD1236" s="263"/>
      <c r="AE1236" s="263"/>
      <c r="AF1236" s="263"/>
      <c r="AG1236" s="263"/>
      <c r="AH1236" s="263"/>
      <c r="AI1236" s="263"/>
      <c r="AJ1236" s="263"/>
      <c r="AK1236" s="263"/>
      <c r="AL1236" s="20"/>
      <c r="AM1236" s="20"/>
      <c r="AN1236" s="20"/>
      <c r="AO1236" s="20"/>
      <c r="AP1236" s="20"/>
    </row>
    <row r="1237" spans="1:42">
      <c r="A1237" s="3" t="s">
        <v>498</v>
      </c>
      <c r="F1237" s="248"/>
      <c r="V1237" s="263"/>
      <c r="W1237" s="263"/>
      <c r="X1237" s="74"/>
      <c r="Y1237" s="74"/>
      <c r="Z1237" s="264"/>
      <c r="AA1237" s="264"/>
      <c r="AB1237" s="265"/>
      <c r="AC1237" s="265"/>
      <c r="AD1237" s="265"/>
      <c r="AE1237" s="265"/>
      <c r="AF1237" s="416"/>
      <c r="AG1237" s="267"/>
      <c r="AH1237" s="263"/>
      <c r="AI1237" s="263"/>
      <c r="AJ1237" s="263"/>
      <c r="AK1237" s="263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f>'Rate Design Work eff 10-14-16'!C1234</f>
        <v>12717.7343365056</v>
      </c>
      <c r="D1238" s="250">
        <f>'Rate Design Work eff 10-14-16'!D1234</f>
        <v>9.8800000000000008</v>
      </c>
      <c r="F1238" s="2">
        <f>ROUND(C1238*D1238,0)</f>
        <v>125651</v>
      </c>
      <c r="G1238" s="250">
        <f>'Rate Design Work eff 10-14-16'!G1234</f>
        <v>10.050000000000001</v>
      </c>
      <c r="I1238" s="2">
        <f>ROUND(G1238*$C1238,0)</f>
        <v>127813</v>
      </c>
      <c r="J1238" s="2"/>
      <c r="K1238" s="250" t="e">
        <f>'Rate Design Work eff 10-14-16'!K1234</f>
        <v>#DIV/0!</v>
      </c>
      <c r="M1238" s="2" t="e">
        <f>'Rate Design Work eff 10-14-16'!M1234</f>
        <v>#DIV/0!</v>
      </c>
      <c r="N1238" s="2"/>
      <c r="O1238" s="250" t="e">
        <f>'Rate Design Work eff 10-14-16'!O1234</f>
        <v>#DIV/0!</v>
      </c>
      <c r="Q1238" s="2" t="e">
        <f>'Rate Design Work eff 10-14-16'!Q1234</f>
        <v>#DIV/0!</v>
      </c>
      <c r="R1238" s="2"/>
      <c r="S1238" s="250" t="e">
        <f>'Rate Design Work eff 10-14-16'!S1234</f>
        <v>#DIV/0!</v>
      </c>
      <c r="U1238" s="2" t="e">
        <f>'Rate Design Work eff 10-14-16'!U1234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69"/>
      <c r="AG1238" s="263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f>'Rate Design Work eff 10-14-16'!C1235</f>
        <v>1066.00041589388</v>
      </c>
      <c r="D1239" s="250">
        <f>'Rate Design Work eff 10-14-16'!D1235</f>
        <v>18.09</v>
      </c>
      <c r="F1239" s="2">
        <f>ROUND(C1239*D1239,0)</f>
        <v>19284</v>
      </c>
      <c r="G1239" s="250">
        <f>'Rate Design Work eff 10-14-16'!G1235</f>
        <v>18.399999999999999</v>
      </c>
      <c r="I1239" s="2">
        <f>ROUND(G1239*$C1239,0)</f>
        <v>19614</v>
      </c>
      <c r="J1239" s="2"/>
      <c r="K1239" s="250" t="e">
        <f>'Rate Design Work eff 10-14-16'!K1235</f>
        <v>#DIV/0!</v>
      </c>
      <c r="M1239" s="2" t="e">
        <f>'Rate Design Work eff 10-14-16'!M1235</f>
        <v>#DIV/0!</v>
      </c>
      <c r="N1239" s="2"/>
      <c r="O1239" s="250" t="e">
        <f>'Rate Design Work eff 10-14-16'!O1235</f>
        <v>#DIV/0!</v>
      </c>
      <c r="Q1239" s="2" t="e">
        <f>'Rate Design Work eff 10-14-16'!Q1235</f>
        <v>#DIV/0!</v>
      </c>
      <c r="R1239" s="2"/>
      <c r="S1239" s="250" t="e">
        <f>'Rate Design Work eff 10-14-16'!S1235</f>
        <v>#DIV/0!</v>
      </c>
      <c r="U1239" s="2" t="e">
        <f>'Rate Design Work eff 10-14-16'!U1235</f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63"/>
      <c r="AG1239" s="263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3" t="s">
        <v>346</v>
      </c>
      <c r="C1240" s="249">
        <f>'Rate Design Work eff 10-14-16'!C1236</f>
        <v>0</v>
      </c>
      <c r="D1240" s="250">
        <f>'Rate Design Work eff 10-14-16'!D1236</f>
        <v>36.590000000000003</v>
      </c>
      <c r="F1240" s="2">
        <f>ROUND(C1240*D1240,0)</f>
        <v>0</v>
      </c>
      <c r="G1240" s="250">
        <f>'Rate Design Work eff 10-14-16'!G1236</f>
        <v>37.21</v>
      </c>
      <c r="I1240" s="2">
        <f>ROUND(G1240*$C1240,0)</f>
        <v>0</v>
      </c>
      <c r="J1240" s="2"/>
      <c r="K1240" s="250" t="e">
        <f>'Rate Design Work eff 10-14-16'!K1236</f>
        <v>#DIV/0!</v>
      </c>
      <c r="M1240" s="2" t="e">
        <f>'Rate Design Work eff 10-14-16'!M1236</f>
        <v>#DIV/0!</v>
      </c>
      <c r="N1240" s="2"/>
      <c r="O1240" s="250" t="e">
        <f>'Rate Design Work eff 10-14-16'!O1236</f>
        <v>#DIV/0!</v>
      </c>
      <c r="Q1240" s="2" t="e">
        <f>'Rate Design Work eff 10-14-16'!Q1236</f>
        <v>#DIV/0!</v>
      </c>
      <c r="R1240" s="2"/>
      <c r="S1240" s="250" t="e">
        <f>'Rate Design Work eff 10-14-16'!S1236</f>
        <v>#DIV/0!</v>
      </c>
      <c r="U1240" s="2" t="e">
        <f>'Rate Design Work eff 10-14-16'!U1236</f>
        <v>#DIV/0!</v>
      </c>
      <c r="V1240" s="20"/>
      <c r="W1240" s="266"/>
      <c r="X1240" s="74"/>
      <c r="Y1240" s="74"/>
      <c r="Z1240" s="388"/>
      <c r="AA1240" s="388"/>
      <c r="AB1240" s="268"/>
      <c r="AC1240" s="268"/>
      <c r="AD1240" s="268"/>
      <c r="AE1240" s="268"/>
      <c r="AF1240" s="263"/>
      <c r="AG1240" s="263"/>
      <c r="AH1240" s="266"/>
      <c r="AI1240" s="266"/>
      <c r="AJ1240" s="417"/>
      <c r="AK1240" s="266"/>
      <c r="AL1240" s="20"/>
      <c r="AM1240" s="20"/>
      <c r="AN1240" s="20"/>
      <c r="AO1240" s="20"/>
      <c r="AP1240" s="20"/>
    </row>
    <row r="1241" spans="1:42">
      <c r="A1241" s="3" t="s">
        <v>499</v>
      </c>
      <c r="C1241" s="249"/>
      <c r="D1241" s="418"/>
      <c r="F1241" s="248"/>
      <c r="G1241" s="418"/>
      <c r="K1241" s="418"/>
      <c r="O1241" s="418"/>
      <c r="S1241" s="418"/>
      <c r="V1241" s="20"/>
      <c r="W1241" s="266"/>
      <c r="X1241" s="74"/>
      <c r="Y1241" s="74"/>
      <c r="Z1241" s="20"/>
      <c r="AA1241" s="20"/>
      <c r="AB1241" s="272"/>
      <c r="AC1241" s="272"/>
      <c r="AD1241" s="272"/>
      <c r="AE1241" s="272"/>
      <c r="AF1241" s="263"/>
      <c r="AG1241" s="263"/>
      <c r="AH1241" s="266"/>
      <c r="AI1241" s="266"/>
      <c r="AJ1241" s="417"/>
      <c r="AK1241" s="266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f>'Rate Design Work eff 10-14-16'!C1238</f>
        <v>4248.0674676650497</v>
      </c>
      <c r="D1242" s="250">
        <f>'Rate Design Work eff 10-14-16'!D1238</f>
        <v>9.27</v>
      </c>
      <c r="F1242" s="2">
        <f>ROUND(C1242*D1242,0)</f>
        <v>39380</v>
      </c>
      <c r="G1242" s="250">
        <f>'Rate Design Work eff 10-14-16'!G1238</f>
        <v>9.43</v>
      </c>
      <c r="I1242" s="2">
        <f>ROUND(G1242*$C1242,0)</f>
        <v>40059</v>
      </c>
      <c r="J1242" s="2"/>
      <c r="K1242" s="250" t="e">
        <f>'Rate Design Work eff 10-14-16'!K1238</f>
        <v>#DIV/0!</v>
      </c>
      <c r="M1242" s="2" t="e">
        <f>'Rate Design Work eff 10-14-16'!M1238</f>
        <v>#DIV/0!</v>
      </c>
      <c r="N1242" s="2"/>
      <c r="O1242" s="250" t="e">
        <f>'Rate Design Work eff 10-14-16'!O1238</f>
        <v>#DIV/0!</v>
      </c>
      <c r="Q1242" s="2" t="e">
        <f>'Rate Design Work eff 10-14-16'!Q1238</f>
        <v>#DIV/0!</v>
      </c>
      <c r="R1242" s="2"/>
      <c r="S1242" s="250" t="e">
        <f>'Rate Design Work eff 10-14-16'!S1238</f>
        <v>#DIV/0!</v>
      </c>
      <c r="U1242" s="2" t="e">
        <f>'Rate Design Work eff 10-14-16'!U1238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f>'Rate Design Work eff 10-14-16'!C1239</f>
        <v>0</v>
      </c>
      <c r="D1243" s="250">
        <f>'Rate Design Work eff 10-14-16'!D1239</f>
        <v>16.88</v>
      </c>
      <c r="F1243" s="2">
        <f>ROUND(C1243*D1243,0)</f>
        <v>0</v>
      </c>
      <c r="G1243" s="250">
        <f>'Rate Design Work eff 10-14-16'!G1239</f>
        <v>17.170000000000002</v>
      </c>
      <c r="I1243" s="2">
        <f>ROUND(G1243*$C1243,0)</f>
        <v>0</v>
      </c>
      <c r="J1243" s="2"/>
      <c r="K1243" s="250" t="e">
        <f>'Rate Design Work eff 10-14-16'!K1239</f>
        <v>#DIV/0!</v>
      </c>
      <c r="M1243" s="2" t="e">
        <f>'Rate Design Work eff 10-14-16'!M1239</f>
        <v>#DIV/0!</v>
      </c>
      <c r="N1243" s="2"/>
      <c r="O1243" s="250" t="e">
        <f>'Rate Design Work eff 10-14-16'!O1239</f>
        <v>#DIV/0!</v>
      </c>
      <c r="Q1243" s="2" t="e">
        <f>'Rate Design Work eff 10-14-16'!Q1239</f>
        <v>#DIV/0!</v>
      </c>
      <c r="R1243" s="2"/>
      <c r="S1243" s="250" t="e">
        <f>'Rate Design Work eff 10-14-16'!S1239</f>
        <v>#DIV/0!</v>
      </c>
      <c r="U1243" s="2" t="e">
        <f>'Rate Design Work eff 10-14-16'!U1239</f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20"/>
      <c r="AG1243" s="20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415" t="s">
        <v>500</v>
      </c>
      <c r="C1244" s="249"/>
      <c r="D1244" s="250"/>
      <c r="F1244" s="2"/>
      <c r="G1244" s="250"/>
      <c r="I1244" s="2"/>
      <c r="J1244" s="2"/>
      <c r="K1244" s="250"/>
      <c r="M1244" s="2"/>
      <c r="N1244" s="2"/>
      <c r="O1244" s="250"/>
      <c r="Q1244" s="2"/>
      <c r="R1244" s="2"/>
      <c r="S1244" s="250"/>
      <c r="U1244" s="2"/>
      <c r="V1244" s="20"/>
      <c r="W1244" s="266"/>
      <c r="X1244" s="74"/>
      <c r="Y1244" s="74"/>
      <c r="Z1244" s="20"/>
      <c r="AA1244" s="20"/>
      <c r="AB1244" s="20"/>
      <c r="AC1244" s="20"/>
      <c r="AD1244" s="20"/>
      <c r="AE1244" s="20"/>
      <c r="AF1244" s="20"/>
      <c r="AG1244" s="20"/>
      <c r="AH1244" s="20"/>
      <c r="AI1244" s="20"/>
      <c r="AJ1244" s="417"/>
      <c r="AK1244" s="20"/>
      <c r="AL1244" s="20"/>
      <c r="AM1244" s="20"/>
      <c r="AN1244" s="20"/>
      <c r="AO1244" s="20"/>
      <c r="AP1244" s="20"/>
    </row>
    <row r="1245" spans="1:42">
      <c r="A1245" s="3" t="s">
        <v>498</v>
      </c>
      <c r="C1245" s="249"/>
      <c r="D1245" s="418"/>
      <c r="F1245" s="248"/>
      <c r="G1245" s="418"/>
      <c r="K1245" s="418"/>
      <c r="O1245" s="418"/>
      <c r="S1245" s="418"/>
      <c r="V1245" s="20"/>
      <c r="W1245" s="74"/>
      <c r="X1245" s="74"/>
      <c r="Y1245" s="74"/>
      <c r="Z1245" s="20"/>
      <c r="AA1245" s="20"/>
      <c r="AB1245" s="20"/>
      <c r="AC1245" s="20"/>
      <c r="AD1245" s="20"/>
      <c r="AE1245" s="20"/>
      <c r="AF1245" s="20"/>
      <c r="AG1245" s="20"/>
      <c r="AH1245" s="20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f>'Rate Design Work eff 10-14-16'!C1242</f>
        <v>480.00024382612202</v>
      </c>
      <c r="D1246" s="250">
        <f>'Rate Design Work eff 10-14-16'!D1242</f>
        <v>12.91</v>
      </c>
      <c r="F1246" s="2">
        <f>ROUND(C1246*D1246,0)</f>
        <v>6197</v>
      </c>
      <c r="G1246" s="250">
        <f>'Rate Design Work eff 10-14-16'!G1242</f>
        <v>13.13</v>
      </c>
      <c r="I1246" s="2">
        <f>ROUND(G1246*$C1246,0)</f>
        <v>6302</v>
      </c>
      <c r="J1246" s="2"/>
      <c r="K1246" s="250" t="e">
        <f>'Rate Design Work eff 10-14-16'!K1242</f>
        <v>#DIV/0!</v>
      </c>
      <c r="M1246" s="2" t="e">
        <f>'Rate Design Work eff 10-14-16'!M1242</f>
        <v>#DIV/0!</v>
      </c>
      <c r="N1246" s="2"/>
      <c r="O1246" s="250" t="e">
        <f>'Rate Design Work eff 10-14-16'!O1242</f>
        <v>#DIV/0!</v>
      </c>
      <c r="Q1246" s="2" t="e">
        <f>'Rate Design Work eff 10-14-16'!Q1242</f>
        <v>#DIV/0!</v>
      </c>
      <c r="R1246" s="2"/>
      <c r="S1246" s="250" t="e">
        <f>'Rate Design Work eff 10-14-16'!S1242</f>
        <v>#DIV/0!</v>
      </c>
      <c r="U1246" s="2" t="e">
        <f>'Rate Design Work eff 10-14-16'!U1242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20"/>
      <c r="AG1246" s="20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f>'Rate Design Work eff 10-14-16'!C1243</f>
        <v>395.99974732766401</v>
      </c>
      <c r="D1247" s="250">
        <f>'Rate Design Work eff 10-14-16'!D1243</f>
        <v>21.68</v>
      </c>
      <c r="F1247" s="2">
        <f>ROUND(C1247*D1247,0)</f>
        <v>8585</v>
      </c>
      <c r="G1247" s="250">
        <f>'Rate Design Work eff 10-14-16'!G1243</f>
        <v>22.05</v>
      </c>
      <c r="I1247" s="2">
        <f>ROUND(G1247*$C1247,0)</f>
        <v>8732</v>
      </c>
      <c r="J1247" s="2"/>
      <c r="K1247" s="250" t="e">
        <f>'Rate Design Work eff 10-14-16'!K1243</f>
        <v>#DIV/0!</v>
      </c>
      <c r="M1247" s="2" t="e">
        <f>'Rate Design Work eff 10-14-16'!M1243</f>
        <v>#DIV/0!</v>
      </c>
      <c r="N1247" s="2"/>
      <c r="O1247" s="250" t="e">
        <f>'Rate Design Work eff 10-14-16'!O1243</f>
        <v>#DIV/0!</v>
      </c>
      <c r="Q1247" s="2" t="e">
        <f>'Rate Design Work eff 10-14-16'!Q1243</f>
        <v>#DIV/0!</v>
      </c>
      <c r="R1247" s="2"/>
      <c r="S1247" s="250" t="e">
        <f>'Rate Design Work eff 10-14-16'!S1243</f>
        <v>#DIV/0!</v>
      </c>
      <c r="U1247" s="2" t="e">
        <f>'Rate Design Work eff 10-14-16'!U1243</f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3" t="s">
        <v>346</v>
      </c>
      <c r="C1248" s="249">
        <f>'Rate Design Work eff 10-14-16'!C1244</f>
        <v>0</v>
      </c>
      <c r="D1248" s="250">
        <f>'Rate Design Work eff 10-14-16'!D1244</f>
        <v>40.21</v>
      </c>
      <c r="F1248" s="2">
        <f>ROUND(C1248*D1248,0)</f>
        <v>0</v>
      </c>
      <c r="G1248" s="250">
        <f>'Rate Design Work eff 10-14-16'!G1244</f>
        <v>40.89</v>
      </c>
      <c r="I1248" s="2">
        <f>ROUND(G1248*$C1248,0)</f>
        <v>0</v>
      </c>
      <c r="J1248" s="2"/>
      <c r="K1248" s="250" t="e">
        <f>'Rate Design Work eff 10-14-16'!K1244</f>
        <v>#DIV/0!</v>
      </c>
      <c r="M1248" s="2" t="e">
        <f>'Rate Design Work eff 10-14-16'!M1244</f>
        <v>#DIV/0!</v>
      </c>
      <c r="N1248" s="2"/>
      <c r="O1248" s="250" t="e">
        <f>'Rate Design Work eff 10-14-16'!O1244</f>
        <v>#DIV/0!</v>
      </c>
      <c r="Q1248" s="2" t="e">
        <f>'Rate Design Work eff 10-14-16'!Q1244</f>
        <v>#DIV/0!</v>
      </c>
      <c r="R1248" s="2"/>
      <c r="S1248" s="250" t="e">
        <f>'Rate Design Work eff 10-14-16'!S1244</f>
        <v>#DIV/0!</v>
      </c>
      <c r="U1248" s="2" t="e">
        <f>'Rate Design Work eff 10-14-16'!U1244</f>
        <v>#DIV/0!</v>
      </c>
      <c r="V1248" s="20"/>
      <c r="W1248" s="266"/>
      <c r="X1248" s="74"/>
      <c r="Y1248" s="74"/>
      <c r="Z1248" s="388"/>
      <c r="AA1248" s="388"/>
      <c r="AB1248" s="268"/>
      <c r="AC1248" s="268"/>
      <c r="AD1248" s="268"/>
      <c r="AE1248" s="268"/>
      <c r="AF1248" s="414"/>
      <c r="AG1248" s="414"/>
      <c r="AH1248" s="266"/>
      <c r="AI1248" s="266"/>
      <c r="AJ1248" s="417"/>
      <c r="AK1248" s="266"/>
      <c r="AL1248" s="20"/>
      <c r="AM1248" s="20"/>
      <c r="AN1248" s="20"/>
      <c r="AO1248" s="20"/>
      <c r="AP1248" s="20"/>
    </row>
    <row r="1249" spans="1:42">
      <c r="A1249" s="3" t="s">
        <v>499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2">
      <c r="A1250" s="3" t="s">
        <v>344</v>
      </c>
      <c r="C1250" s="249">
        <f>'Rate Design Work eff 10-14-16'!C1246</f>
        <v>0</v>
      </c>
      <c r="D1250" s="250">
        <f>'Rate Design Work eff 10-14-16'!D1246</f>
        <v>12.22</v>
      </c>
      <c r="F1250" s="2">
        <f>ROUND(C1250*D1250,0)</f>
        <v>0</v>
      </c>
      <c r="G1250" s="250">
        <f>'Rate Design Work eff 10-14-16'!G1246</f>
        <v>12.43</v>
      </c>
      <c r="I1250" s="2">
        <f>ROUND(G1250*$C1250,0)</f>
        <v>0</v>
      </c>
      <c r="J1250" s="2"/>
      <c r="K1250" s="250" t="e">
        <f>'Rate Design Work eff 10-14-16'!K1246</f>
        <v>#DIV/0!</v>
      </c>
      <c r="M1250" s="2" t="e">
        <f>'Rate Design Work eff 10-14-16'!M1246</f>
        <v>#DIV/0!</v>
      </c>
      <c r="N1250" s="2"/>
      <c r="O1250" s="250" t="e">
        <f>'Rate Design Work eff 10-14-16'!O1246</f>
        <v>#DIV/0!</v>
      </c>
      <c r="Q1250" s="2" t="e">
        <f>'Rate Design Work eff 10-14-16'!Q1246</f>
        <v>#DIV/0!</v>
      </c>
      <c r="R1250" s="2"/>
      <c r="S1250" s="250" t="e">
        <f>'Rate Design Work eff 10-14-16'!S1246</f>
        <v>#DIV/0!</v>
      </c>
      <c r="U1250" s="2" t="e">
        <f>'Rate Design Work eff 10-14-16'!U1246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2">
      <c r="A1251" s="3" t="s">
        <v>345</v>
      </c>
      <c r="C1251" s="249">
        <f>'Rate Design Work eff 10-14-16'!C1247</f>
        <v>0</v>
      </c>
      <c r="D1251" s="250">
        <f>'Rate Design Work eff 10-14-16'!D1247</f>
        <v>20.5</v>
      </c>
      <c r="F1251" s="2">
        <f>ROUND(C1251*D1251,0)</f>
        <v>0</v>
      </c>
      <c r="G1251" s="250">
        <f>'Rate Design Work eff 10-14-16'!G1247</f>
        <v>20.85</v>
      </c>
      <c r="I1251" s="2">
        <f>ROUND(G1251*$C1251,0)</f>
        <v>0</v>
      </c>
      <c r="J1251" s="2"/>
      <c r="K1251" s="250" t="e">
        <f>'Rate Design Work eff 10-14-16'!K1247</f>
        <v>#DIV/0!</v>
      </c>
      <c r="M1251" s="2" t="e">
        <f>'Rate Design Work eff 10-14-16'!M1247</f>
        <v>#DIV/0!</v>
      </c>
      <c r="N1251" s="2"/>
      <c r="O1251" s="250" t="e">
        <f>'Rate Design Work eff 10-14-16'!O1247</f>
        <v>#DIV/0!</v>
      </c>
      <c r="Q1251" s="2" t="e">
        <f>'Rate Design Work eff 10-14-16'!Q1247</f>
        <v>#DIV/0!</v>
      </c>
      <c r="R1251" s="2"/>
      <c r="S1251" s="250" t="e">
        <f>'Rate Design Work eff 10-14-16'!S1247</f>
        <v>#DIV/0!</v>
      </c>
      <c r="U1251" s="2" t="e">
        <f>'Rate Design Work eff 10-14-16'!U1247</f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2">
      <c r="A1252" s="415" t="s">
        <v>501</v>
      </c>
      <c r="B1252" s="288"/>
      <c r="C1252" s="249"/>
      <c r="D1252" s="418"/>
      <c r="E1252" s="288"/>
      <c r="F1252" s="288"/>
      <c r="G1252" s="418"/>
      <c r="H1252" s="288"/>
      <c r="I1252" s="288"/>
      <c r="J1252" s="288"/>
      <c r="K1252" s="418"/>
      <c r="L1252" s="288"/>
      <c r="M1252" s="288"/>
      <c r="N1252" s="288"/>
      <c r="O1252" s="418"/>
      <c r="P1252" s="288"/>
      <c r="Q1252" s="288"/>
      <c r="R1252" s="288"/>
      <c r="S1252" s="418"/>
      <c r="T1252" s="288"/>
      <c r="U1252" s="288"/>
      <c r="V1252" s="20"/>
      <c r="W1252" s="20"/>
      <c r="X1252" s="420"/>
      <c r="Y1252" s="420"/>
      <c r="Z1252" s="420"/>
      <c r="AA1252" s="420"/>
      <c r="AB1252" s="704"/>
      <c r="AC1252" s="704"/>
      <c r="AD1252" s="704"/>
      <c r="AE1252" s="704"/>
      <c r="AF1252" s="414"/>
      <c r="AG1252" s="414"/>
      <c r="AH1252" s="422"/>
      <c r="AI1252" s="20"/>
      <c r="AJ1252" s="417"/>
      <c r="AK1252" s="20"/>
      <c r="AL1252" s="20"/>
      <c r="AM1252" s="20"/>
      <c r="AN1252" s="20"/>
      <c r="AO1252" s="20"/>
      <c r="AP1252" s="20"/>
    </row>
    <row r="1253" spans="1:42">
      <c r="A1253" s="3" t="s">
        <v>498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2">
      <c r="A1254" s="3" t="s">
        <v>344</v>
      </c>
      <c r="C1254" s="249">
        <f>'Rate Design Work eff 10-14-16'!C1250</f>
        <v>0</v>
      </c>
      <c r="D1254" s="250">
        <f>'Rate Design Work eff 10-14-16'!D1250</f>
        <v>12.9</v>
      </c>
      <c r="F1254" s="2">
        <f>ROUND(C1254*D1254,0)</f>
        <v>0</v>
      </c>
      <c r="G1254" s="250">
        <f>'Rate Design Work eff 10-14-16'!G1250</f>
        <v>13.12</v>
      </c>
      <c r="I1254" s="2">
        <f>ROUND(G1254*$C1254,0)</f>
        <v>0</v>
      </c>
      <c r="J1254" s="2"/>
      <c r="K1254" s="250" t="e">
        <f>'Rate Design Work eff 10-14-16'!K1250</f>
        <v>#DIV/0!</v>
      </c>
      <c r="M1254" s="2" t="e">
        <f>'Rate Design Work eff 10-14-16'!M1250</f>
        <v>#DIV/0!</v>
      </c>
      <c r="N1254" s="2"/>
      <c r="O1254" s="250" t="e">
        <f>'Rate Design Work eff 10-14-16'!O1250</f>
        <v>#DIV/0!</v>
      </c>
      <c r="Q1254" s="2" t="e">
        <f>'Rate Design Work eff 10-14-16'!Q1250</f>
        <v>#DIV/0!</v>
      </c>
      <c r="R1254" s="2"/>
      <c r="S1254" s="250" t="e">
        <f>'Rate Design Work eff 10-14-16'!S1250</f>
        <v>#DIV/0!</v>
      </c>
      <c r="U1254" s="2" t="e">
        <f>'Rate Design Work eff 10-14-16'!U1250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2">
      <c r="A1255" s="3" t="s">
        <v>345</v>
      </c>
      <c r="C1255" s="249">
        <f>'Rate Design Work eff 10-14-16'!C1251</f>
        <v>0</v>
      </c>
      <c r="D1255" s="250">
        <f>'Rate Design Work eff 10-14-16'!D1251</f>
        <v>20.98</v>
      </c>
      <c r="F1255" s="2">
        <f>ROUND(C1255*D1255,0)</f>
        <v>0</v>
      </c>
      <c r="G1255" s="250">
        <f>'Rate Design Work eff 10-14-16'!G1251</f>
        <v>21.33</v>
      </c>
      <c r="I1255" s="2">
        <f>ROUND(G1255*$C1255,0)</f>
        <v>0</v>
      </c>
      <c r="J1255" s="2"/>
      <c r="K1255" s="250" t="e">
        <f>'Rate Design Work eff 10-14-16'!K1251</f>
        <v>#DIV/0!</v>
      </c>
      <c r="M1255" s="2" t="e">
        <f>'Rate Design Work eff 10-14-16'!M1251</f>
        <v>#DIV/0!</v>
      </c>
      <c r="N1255" s="2"/>
      <c r="O1255" s="250" t="e">
        <f>'Rate Design Work eff 10-14-16'!O1251</f>
        <v>#DIV/0!</v>
      </c>
      <c r="Q1255" s="2" t="e">
        <f>'Rate Design Work eff 10-14-16'!Q1251</f>
        <v>#DIV/0!</v>
      </c>
      <c r="R1255" s="2"/>
      <c r="S1255" s="250" t="e">
        <f>'Rate Design Work eff 10-14-16'!S1251</f>
        <v>#DIV/0!</v>
      </c>
      <c r="U1255" s="2" t="e">
        <f>'Rate Design Work eff 10-14-16'!U1251</f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2">
      <c r="A1256" s="3" t="s">
        <v>346</v>
      </c>
      <c r="C1256" s="249">
        <f>'Rate Design Work eff 10-14-16'!C1252</f>
        <v>0</v>
      </c>
      <c r="D1256" s="250">
        <f>'Rate Design Work eff 10-14-16'!D1252</f>
        <v>39.520000000000003</v>
      </c>
      <c r="F1256" s="2">
        <f>ROUND(C1256*D1256,0)</f>
        <v>0</v>
      </c>
      <c r="G1256" s="250">
        <f>'Rate Design Work eff 10-14-16'!G1252</f>
        <v>40.19</v>
      </c>
      <c r="I1256" s="2">
        <f>ROUND(G1256*$C1256,0)</f>
        <v>0</v>
      </c>
      <c r="J1256" s="2"/>
      <c r="K1256" s="250" t="e">
        <f>'Rate Design Work eff 10-14-16'!K1252</f>
        <v>#DIV/0!</v>
      </c>
      <c r="M1256" s="2" t="e">
        <f>'Rate Design Work eff 10-14-16'!M1252</f>
        <v>#DIV/0!</v>
      </c>
      <c r="N1256" s="2"/>
      <c r="O1256" s="250" t="e">
        <f>'Rate Design Work eff 10-14-16'!O1252</f>
        <v>#DIV/0!</v>
      </c>
      <c r="Q1256" s="2" t="e">
        <f>'Rate Design Work eff 10-14-16'!Q1252</f>
        <v>#DIV/0!</v>
      </c>
      <c r="R1256" s="2"/>
      <c r="S1256" s="250" t="e">
        <f>'Rate Design Work eff 10-14-16'!S1252</f>
        <v>#DIV/0!</v>
      </c>
      <c r="U1256" s="2" t="e">
        <f>'Rate Design Work eff 10-14-16'!U1252</f>
        <v>#DIV/0!</v>
      </c>
      <c r="V1256" s="20"/>
      <c r="W1256" s="266"/>
      <c r="X1256" s="74"/>
      <c r="Y1256" s="74"/>
      <c r="Z1256" s="388"/>
      <c r="AA1256" s="388"/>
      <c r="AB1256" s="268"/>
      <c r="AC1256" s="268"/>
      <c r="AD1256" s="268"/>
      <c r="AE1256" s="268"/>
      <c r="AF1256" s="414"/>
      <c r="AG1256" s="414"/>
      <c r="AH1256" s="266"/>
      <c r="AI1256" s="266"/>
      <c r="AJ1256" s="417"/>
      <c r="AK1256" s="266"/>
      <c r="AL1256" s="20"/>
      <c r="AM1256" s="20"/>
      <c r="AN1256" s="20"/>
      <c r="AO1256" s="20"/>
      <c r="AP1256" s="20"/>
    </row>
    <row r="1257" spans="1:42">
      <c r="A1257" s="3" t="s">
        <v>499</v>
      </c>
      <c r="C1257" s="249"/>
      <c r="D1257" s="418"/>
      <c r="F1257" s="248"/>
      <c r="G1257" s="418"/>
      <c r="K1257" s="418"/>
      <c r="O1257" s="418"/>
      <c r="S1257" s="418"/>
      <c r="V1257" s="20"/>
      <c r="W1257" s="20"/>
      <c r="X1257" s="420"/>
      <c r="Y1257" s="420"/>
      <c r="Z1257" s="420"/>
      <c r="AA1257" s="420"/>
      <c r="AB1257" s="704"/>
      <c r="AC1257" s="704"/>
      <c r="AD1257" s="704"/>
      <c r="AE1257" s="704"/>
      <c r="AF1257" s="414"/>
      <c r="AG1257" s="414"/>
      <c r="AH1257" s="422"/>
      <c r="AI1257" s="20"/>
      <c r="AJ1257" s="417"/>
      <c r="AK1257" s="20"/>
      <c r="AL1257" s="20"/>
      <c r="AM1257" s="20"/>
      <c r="AN1257" s="20"/>
      <c r="AO1257" s="20"/>
      <c r="AP1257" s="20"/>
    </row>
    <row r="1258" spans="1:42">
      <c r="A1258" s="3" t="s">
        <v>344</v>
      </c>
      <c r="C1258" s="249">
        <f>'Rate Design Work eff 10-14-16'!C1254</f>
        <v>0</v>
      </c>
      <c r="D1258" s="250">
        <f>'Rate Design Work eff 10-14-16'!D1254</f>
        <v>12.22</v>
      </c>
      <c r="F1258" s="2">
        <f>ROUND(C1258*D1258,0)</f>
        <v>0</v>
      </c>
      <c r="G1258" s="250">
        <f>'Rate Design Work eff 10-14-16'!G1254</f>
        <v>12.43</v>
      </c>
      <c r="I1258" s="2">
        <f>ROUND(G1258*$C1258,0)</f>
        <v>0</v>
      </c>
      <c r="J1258" s="2"/>
      <c r="K1258" s="250" t="e">
        <f>'Rate Design Work eff 10-14-16'!K1254</f>
        <v>#DIV/0!</v>
      </c>
      <c r="M1258" s="2" t="e">
        <f>'Rate Design Work eff 10-14-16'!M1254</f>
        <v>#DIV/0!</v>
      </c>
      <c r="N1258" s="2"/>
      <c r="O1258" s="250" t="e">
        <f>'Rate Design Work eff 10-14-16'!O1254</f>
        <v>#DIV/0!</v>
      </c>
      <c r="Q1258" s="2" t="e">
        <f>'Rate Design Work eff 10-14-16'!Q1254</f>
        <v>#DIV/0!</v>
      </c>
      <c r="R1258" s="2"/>
      <c r="S1258" s="250" t="e">
        <f>'Rate Design Work eff 10-14-16'!S1254</f>
        <v>#DIV/0!</v>
      </c>
      <c r="U1258" s="2" t="e">
        <f>'Rate Design Work eff 10-14-16'!U1254</f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2">
      <c r="A1259" s="3" t="s">
        <v>345</v>
      </c>
      <c r="C1259" s="249">
        <f>'Rate Design Work eff 10-14-16'!C1255</f>
        <v>0</v>
      </c>
      <c r="D1259" s="250">
        <f>'Rate Design Work eff 10-14-16'!D1255</f>
        <v>19.8</v>
      </c>
      <c r="F1259" s="2">
        <f>ROUND(C1259*D1259,0)</f>
        <v>0</v>
      </c>
      <c r="G1259" s="250">
        <f>'Rate Design Work eff 10-14-16'!G1255</f>
        <v>20.13</v>
      </c>
      <c r="I1259" s="2">
        <f>ROUND(G1259*$C1259,0)</f>
        <v>0</v>
      </c>
      <c r="J1259" s="2"/>
      <c r="K1259" s="250" t="e">
        <f>'Rate Design Work eff 10-14-16'!K1255</f>
        <v>#DIV/0!</v>
      </c>
      <c r="M1259" s="2" t="e">
        <f>'Rate Design Work eff 10-14-16'!M1255</f>
        <v>#DIV/0!</v>
      </c>
      <c r="N1259" s="2"/>
      <c r="O1259" s="250" t="e">
        <f>'Rate Design Work eff 10-14-16'!O1255</f>
        <v>#DIV/0!</v>
      </c>
      <c r="Q1259" s="2" t="e">
        <f>'Rate Design Work eff 10-14-16'!Q1255</f>
        <v>#DIV/0!</v>
      </c>
      <c r="R1259" s="2"/>
      <c r="S1259" s="250" t="e">
        <f>'Rate Design Work eff 10-14-16'!S1255</f>
        <v>#DIV/0!</v>
      </c>
      <c r="U1259" s="2" t="e">
        <f>'Rate Design Work eff 10-14-16'!U1255</f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2">
      <c r="A1260" s="415" t="s">
        <v>502</v>
      </c>
      <c r="B1260" s="288"/>
      <c r="C1260" s="249"/>
      <c r="D1260" s="418"/>
      <c r="E1260" s="288"/>
      <c r="F1260" s="288"/>
      <c r="G1260" s="418"/>
      <c r="H1260" s="288"/>
      <c r="I1260" s="288"/>
      <c r="J1260" s="288"/>
      <c r="K1260" s="418"/>
      <c r="L1260" s="288"/>
      <c r="M1260" s="288"/>
      <c r="N1260" s="288"/>
      <c r="O1260" s="418"/>
      <c r="P1260" s="288"/>
      <c r="Q1260" s="288"/>
      <c r="R1260" s="288"/>
      <c r="S1260" s="418"/>
      <c r="T1260" s="288"/>
      <c r="U1260" s="288"/>
      <c r="V1260" s="20"/>
      <c r="W1260" s="20"/>
      <c r="X1260" s="420"/>
      <c r="Y1260" s="420"/>
      <c r="Z1260" s="420"/>
      <c r="AA1260" s="420"/>
      <c r="AB1260" s="704"/>
      <c r="AC1260" s="704"/>
      <c r="AD1260" s="704"/>
      <c r="AE1260" s="704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2">
      <c r="A1261" s="3" t="s">
        <v>344</v>
      </c>
      <c r="C1261" s="249">
        <f>'Rate Design Work eff 10-14-16'!C1257</f>
        <v>335.96501937771501</v>
      </c>
      <c r="D1261" s="250">
        <f>'Rate Design Work eff 10-14-16'!D1257</f>
        <v>10.33</v>
      </c>
      <c r="F1261" s="2">
        <f>ROUND(C1261*D1261,0)</f>
        <v>3471</v>
      </c>
      <c r="G1261" s="250">
        <f>'Rate Design Work eff 10-14-16'!G1257</f>
        <v>10.5</v>
      </c>
      <c r="I1261" s="2">
        <f>ROUND(G1261*$C1261,0)</f>
        <v>3528</v>
      </c>
      <c r="J1261" s="2"/>
      <c r="K1261" s="250" t="e">
        <f>'Rate Design Work eff 10-14-16'!K1257</f>
        <v>#DIV/0!</v>
      </c>
      <c r="M1261" s="2" t="e">
        <f>'Rate Design Work eff 10-14-16'!M1257</f>
        <v>#DIV/0!</v>
      </c>
      <c r="N1261" s="2"/>
      <c r="O1261" s="250" t="e">
        <f>'Rate Design Work eff 10-14-16'!O1257</f>
        <v>#DIV/0!</v>
      </c>
      <c r="Q1261" s="2" t="e">
        <f>'Rate Design Work eff 10-14-16'!Q1257</f>
        <v>#DIV/0!</v>
      </c>
      <c r="R1261" s="2"/>
      <c r="S1261" s="250" t="e">
        <f>'Rate Design Work eff 10-14-16'!S1257</f>
        <v>#DIV/0!</v>
      </c>
      <c r="U1261" s="2" t="e">
        <f>'Rate Design Work eff 10-14-16'!U1257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2">
      <c r="A1262" s="3" t="s">
        <v>345</v>
      </c>
      <c r="C1262" s="249">
        <f>'Rate Design Work eff 10-14-16'!C1258</f>
        <v>758.71802767756799</v>
      </c>
      <c r="D1262" s="250">
        <f>'Rate Design Work eff 10-14-16'!D1258</f>
        <v>18.079999999999998</v>
      </c>
      <c r="F1262" s="2">
        <f>ROUND(C1262*D1262,0)</f>
        <v>13718</v>
      </c>
      <c r="G1262" s="250">
        <f>'Rate Design Work eff 10-14-16'!G1258</f>
        <v>18.39</v>
      </c>
      <c r="I1262" s="2">
        <f>ROUND(G1262*$C1262,0)</f>
        <v>13953</v>
      </c>
      <c r="J1262" s="2"/>
      <c r="K1262" s="250" t="e">
        <f>'Rate Design Work eff 10-14-16'!K1258</f>
        <v>#DIV/0!</v>
      </c>
      <c r="M1262" s="2" t="e">
        <f>'Rate Design Work eff 10-14-16'!M1258</f>
        <v>#DIV/0!</v>
      </c>
      <c r="N1262" s="2"/>
      <c r="O1262" s="250" t="e">
        <f>'Rate Design Work eff 10-14-16'!O1258</f>
        <v>#DIV/0!</v>
      </c>
      <c r="Q1262" s="2" t="e">
        <f>'Rate Design Work eff 10-14-16'!Q1258</f>
        <v>#DIV/0!</v>
      </c>
      <c r="R1262" s="2"/>
      <c r="S1262" s="250" t="e">
        <f>'Rate Design Work eff 10-14-16'!S1258</f>
        <v>#DIV/0!</v>
      </c>
      <c r="U1262" s="2" t="e">
        <f>'Rate Design Work eff 10-14-16'!U1258</f>
        <v>#DIV/0!</v>
      </c>
      <c r="V1262" s="20"/>
      <c r="W1262" s="266"/>
      <c r="X1262" s="74"/>
      <c r="Y1262" s="74"/>
      <c r="Z1262" s="388"/>
      <c r="AA1262" s="388"/>
      <c r="AB1262" s="268"/>
      <c r="AC1262" s="268"/>
      <c r="AD1262" s="268"/>
      <c r="AE1262" s="268"/>
      <c r="AF1262" s="414"/>
      <c r="AG1262" s="414"/>
      <c r="AH1262" s="266"/>
      <c r="AI1262" s="266"/>
      <c r="AJ1262" s="417"/>
      <c r="AK1262" s="266"/>
      <c r="AL1262" s="20"/>
      <c r="AM1262" s="20"/>
      <c r="AN1262" s="20"/>
      <c r="AO1262" s="20"/>
      <c r="AP1262" s="20"/>
    </row>
    <row r="1263" spans="1:42">
      <c r="A1263" s="3" t="s">
        <v>346</v>
      </c>
      <c r="C1263" s="249">
        <f>'Rate Design Work eff 10-14-16'!C1259</f>
        <v>0</v>
      </c>
      <c r="D1263" s="250">
        <f>'Rate Design Work eff 10-14-16'!D1259</f>
        <v>38.630000000000003</v>
      </c>
      <c r="F1263" s="2">
        <f>ROUND(C1263*D1263,0)</f>
        <v>0</v>
      </c>
      <c r="G1263" s="250">
        <f>'Rate Design Work eff 10-14-16'!G1259</f>
        <v>39.28</v>
      </c>
      <c r="I1263" s="2">
        <f>ROUND(G1263*$C1263,0)</f>
        <v>0</v>
      </c>
      <c r="J1263" s="2"/>
      <c r="K1263" s="250" t="e">
        <f>'Rate Design Work eff 10-14-16'!K1259</f>
        <v>#DIV/0!</v>
      </c>
      <c r="M1263" s="2" t="e">
        <f>'Rate Design Work eff 10-14-16'!M1259</f>
        <v>#DIV/0!</v>
      </c>
      <c r="N1263" s="2"/>
      <c r="O1263" s="250" t="e">
        <f>'Rate Design Work eff 10-14-16'!O1259</f>
        <v>#DIV/0!</v>
      </c>
      <c r="Q1263" s="2" t="e">
        <f>'Rate Design Work eff 10-14-16'!Q1259</f>
        <v>#DIV/0!</v>
      </c>
      <c r="R1263" s="2"/>
      <c r="S1263" s="250" t="e">
        <f>'Rate Design Work eff 10-14-16'!S1259</f>
        <v>#DIV/0!</v>
      </c>
      <c r="U1263" s="2" t="e">
        <f>'Rate Design Work eff 10-14-16'!U1259</f>
        <v>#DIV/0!</v>
      </c>
      <c r="V1263" s="20"/>
      <c r="W1263" s="266"/>
      <c r="X1263" s="74"/>
      <c r="Y1263" s="74"/>
      <c r="Z1263" s="388"/>
      <c r="AA1263" s="388"/>
      <c r="AB1263" s="268"/>
      <c r="AC1263" s="268"/>
      <c r="AD1263" s="268"/>
      <c r="AE1263" s="268"/>
      <c r="AF1263" s="414"/>
      <c r="AG1263" s="414"/>
      <c r="AH1263" s="266"/>
      <c r="AI1263" s="266"/>
      <c r="AJ1263" s="417"/>
      <c r="AK1263" s="266"/>
      <c r="AL1263" s="20"/>
      <c r="AM1263" s="20"/>
      <c r="AN1263" s="20"/>
      <c r="AO1263" s="20"/>
      <c r="AP1263" s="20"/>
    </row>
    <row r="1264" spans="1:42">
      <c r="A1264" s="5" t="s">
        <v>503</v>
      </c>
      <c r="C1264" s="249"/>
      <c r="D1264" s="250"/>
      <c r="F1264" s="2"/>
      <c r="G1264" s="250"/>
      <c r="I1264" s="2"/>
      <c r="J1264" s="2"/>
      <c r="K1264" s="250"/>
      <c r="M1264" s="2"/>
      <c r="N1264" s="2"/>
      <c r="O1264" s="250"/>
      <c r="Q1264" s="2"/>
      <c r="R1264" s="2"/>
      <c r="S1264" s="250"/>
      <c r="U1264" s="2"/>
      <c r="V1264" s="20"/>
      <c r="W1264" s="20"/>
      <c r="X1264" s="420"/>
      <c r="Y1264" s="420"/>
      <c r="Z1264" s="420"/>
      <c r="AA1264" s="420"/>
      <c r="AB1264" s="705"/>
      <c r="AC1264" s="705"/>
      <c r="AD1264" s="705"/>
      <c r="AE1264" s="705"/>
      <c r="AF1264" s="414"/>
      <c r="AG1264" s="414"/>
      <c r="AH1264" s="422"/>
      <c r="AI1264" s="20"/>
      <c r="AJ1264" s="417"/>
      <c r="AK1264" s="20"/>
      <c r="AL1264" s="20"/>
      <c r="AM1264" s="20"/>
      <c r="AN1264" s="20"/>
      <c r="AO1264" s="20"/>
      <c r="AP1264" s="20"/>
    </row>
    <row r="1265" spans="1:44">
      <c r="A1265" s="3" t="s">
        <v>504</v>
      </c>
      <c r="C1265" s="249">
        <f>'Rate Design Work eff 10-14-16'!C1261</f>
        <v>0</v>
      </c>
      <c r="D1265" s="250">
        <f>'Rate Design Work eff 10-14-16'!D1261</f>
        <v>37.07</v>
      </c>
      <c r="F1265" s="2">
        <f>ROUND(C1265*D1265,0)</f>
        <v>0</v>
      </c>
      <c r="G1265" s="250">
        <f>'Rate Design Work eff 10-14-16'!G1261</f>
        <v>37.700000000000003</v>
      </c>
      <c r="I1265" s="2">
        <f>ROUND(G1265*$C1265,0)</f>
        <v>0</v>
      </c>
      <c r="J1265" s="2"/>
      <c r="K1265" s="250" t="e">
        <f>'Rate Design Work eff 10-14-16'!K1261</f>
        <v>#DIV/0!</v>
      </c>
      <c r="M1265" s="2" t="e">
        <f>'Rate Design Work eff 10-14-16'!M1261</f>
        <v>#DIV/0!</v>
      </c>
      <c r="N1265" s="2"/>
      <c r="O1265" s="250" t="e">
        <f>'Rate Design Work eff 10-14-16'!O1261</f>
        <v>#DIV/0!</v>
      </c>
      <c r="Q1265" s="2" t="e">
        <f>'Rate Design Work eff 10-14-16'!Q1261</f>
        <v>#DIV/0!</v>
      </c>
      <c r="R1265" s="2"/>
      <c r="S1265" s="250" t="e">
        <f>'Rate Design Work eff 10-14-16'!S1261</f>
        <v>#DIV/0!</v>
      </c>
      <c r="U1265" s="2" t="e">
        <f>'Rate Design Work eff 10-14-16'!U1261</f>
        <v>#DIV/0!</v>
      </c>
      <c r="V1265" s="20"/>
      <c r="W1265" s="266"/>
      <c r="X1265" s="74"/>
      <c r="Y1265" s="74"/>
      <c r="Z1265" s="388"/>
      <c r="AA1265" s="388"/>
      <c r="AB1265" s="268"/>
      <c r="AC1265" s="268"/>
      <c r="AD1265" s="268"/>
      <c r="AE1265" s="268"/>
      <c r="AF1265" s="414"/>
      <c r="AG1265" s="414"/>
      <c r="AH1265" s="266"/>
      <c r="AI1265" s="266"/>
      <c r="AJ1265" s="417"/>
      <c r="AK1265" s="266"/>
      <c r="AL1265" s="20"/>
      <c r="AM1265" s="20"/>
      <c r="AN1265" s="20"/>
      <c r="AO1265" s="20"/>
      <c r="AP1265" s="20"/>
    </row>
    <row r="1266" spans="1:44">
      <c r="A1266" s="3" t="s">
        <v>352</v>
      </c>
      <c r="C1266" s="249">
        <f>'Rate Design Work eff 10-14-16'!C1262</f>
        <v>418</v>
      </c>
      <c r="D1266" s="424"/>
      <c r="F1266" s="2"/>
      <c r="G1266" s="424"/>
      <c r="I1266" s="2"/>
      <c r="J1266" s="2"/>
      <c r="K1266" s="424"/>
      <c r="M1266" s="2"/>
      <c r="N1266" s="2"/>
      <c r="O1266" s="424"/>
      <c r="Q1266" s="2"/>
      <c r="R1266" s="2"/>
      <c r="S1266" s="424"/>
      <c r="U1266" s="2"/>
      <c r="V1266" s="20"/>
      <c r="W1266" s="266"/>
      <c r="X1266" s="425"/>
      <c r="Y1266" s="425"/>
      <c r="Z1266" s="20"/>
      <c r="AA1266" s="20"/>
      <c r="AB1266" s="272"/>
      <c r="AC1266" s="272"/>
      <c r="AD1266" s="272"/>
      <c r="AE1266" s="272"/>
      <c r="AF1266" s="263"/>
      <c r="AG1266" s="263"/>
      <c r="AH1266" s="266"/>
      <c r="AI1266" s="266"/>
      <c r="AJ1266" s="266"/>
      <c r="AK1266" s="266"/>
      <c r="AL1266" s="20"/>
      <c r="AM1266" s="20"/>
      <c r="AN1266" s="20"/>
      <c r="AO1266" s="20"/>
      <c r="AP1266" s="20"/>
    </row>
    <row r="1267" spans="1:44" s="1118" customFormat="1" hidden="1">
      <c r="A1267" s="968" t="s">
        <v>903</v>
      </c>
      <c r="C1267" s="1122">
        <f>C1268</f>
        <v>1731861.333333333</v>
      </c>
      <c r="D1267" s="254"/>
      <c r="E1267" s="1119"/>
      <c r="F1267" s="1123"/>
      <c r="G1267" s="1128">
        <f>'Rate Design Work eff 10-14-16'!G1263</f>
        <v>0</v>
      </c>
      <c r="H1267" s="1000" t="s">
        <v>364</v>
      </c>
      <c r="I1267" s="1000">
        <f>ROUND(G1267*$C1267/100,0)</f>
        <v>0</v>
      </c>
      <c r="J1267" s="1000"/>
      <c r="K1267" s="1128" t="str">
        <f>'Rate Design Work eff 10-14-16'!K1263</f>
        <v xml:space="preserve"> </v>
      </c>
      <c r="L1267" s="1126" t="s">
        <v>31</v>
      </c>
      <c r="M1267" s="2">
        <f>'Rate Design Work eff 10-14-16'!M1263</f>
        <v>0</v>
      </c>
      <c r="N1267" s="1123"/>
      <c r="O1267" s="1128" t="str">
        <f>'Rate Design Work eff 10-14-16'!O1263</f>
        <v xml:space="preserve"> </v>
      </c>
      <c r="P1267" s="1126" t="s">
        <v>31</v>
      </c>
      <c r="Q1267" s="2">
        <f>'Rate Design Work eff 10-14-16'!Q1263</f>
        <v>0</v>
      </c>
      <c r="R1267" s="1123"/>
      <c r="S1267" s="1128">
        <f>'Rate Design Work eff 10-14-16'!S1263</f>
        <v>0</v>
      </c>
      <c r="T1267" s="1126" t="s">
        <v>364</v>
      </c>
      <c r="U1267" s="2">
        <f>'Rate Design Work eff 10-14-16'!U1263</f>
        <v>0</v>
      </c>
      <c r="V1267" s="1124">
        <f>'NPC Spread'!J55</f>
        <v>39917.12454488509</v>
      </c>
      <c r="W1267" s="784" t="s">
        <v>857</v>
      </c>
      <c r="Z1267" s="1125"/>
      <c r="AA1267" s="1125"/>
      <c r="AF1267" s="1119"/>
      <c r="AG1267" s="1119"/>
      <c r="AH1267" s="1119"/>
      <c r="AI1267" s="1119"/>
      <c r="AJ1267" s="1119"/>
      <c r="AK1267" s="1119"/>
      <c r="AL1267" s="1119"/>
      <c r="AM1267" s="1119"/>
      <c r="AN1267" s="1119"/>
      <c r="AO1267" s="1119"/>
      <c r="AP1267" s="1119"/>
      <c r="AR1267" s="1124"/>
    </row>
    <row r="1268" spans="1:44">
      <c r="A1268" s="3" t="s">
        <v>371</v>
      </c>
      <c r="C1268" s="249">
        <v>1731861.333333333</v>
      </c>
      <c r="D1268" s="254"/>
      <c r="E1268" s="20"/>
      <c r="F1268" s="257">
        <f>SUM(F1238:F1265)</f>
        <v>216286</v>
      </c>
      <c r="G1268" s="254"/>
      <c r="H1268" s="20"/>
      <c r="I1268" s="257">
        <f>SUM(I1238:I1267)</f>
        <v>220001</v>
      </c>
      <c r="J1268" s="257"/>
      <c r="K1268" s="254"/>
      <c r="L1268" s="20"/>
      <c r="M1268" s="257" t="e">
        <f>SUM(M1238:M1267)</f>
        <v>#DIV/0!</v>
      </c>
      <c r="N1268" s="257"/>
      <c r="O1268" s="254"/>
      <c r="P1268" s="20"/>
      <c r="Q1268" s="257" t="e">
        <f>SUM(Q1238:Q1267)</f>
        <v>#DIV/0!</v>
      </c>
      <c r="R1268" s="257"/>
      <c r="S1268" s="254"/>
      <c r="T1268" s="20"/>
      <c r="U1268" s="257" t="e">
        <f>SUM(U1238:U1267)</f>
        <v>#DIV/0!</v>
      </c>
      <c r="V1268" s="20"/>
      <c r="W1268" s="266"/>
      <c r="X1268" s="706"/>
      <c r="Y1268" s="706"/>
      <c r="Z1268" s="20"/>
      <c r="AA1268" s="20"/>
      <c r="AB1268" s="272"/>
      <c r="AC1268" s="272"/>
      <c r="AD1268" s="272"/>
      <c r="AE1268" s="272"/>
      <c r="AF1268" s="263"/>
      <c r="AG1268" s="263"/>
      <c r="AH1268" s="273"/>
      <c r="AI1268" s="263"/>
      <c r="AJ1268" s="263"/>
      <c r="AK1268" s="263"/>
      <c r="AL1268" s="20"/>
      <c r="AM1268" s="20"/>
      <c r="AN1268" s="20"/>
      <c r="AO1268" s="20"/>
      <c r="AP1268" s="20"/>
    </row>
    <row r="1269" spans="1:44">
      <c r="A1269" s="3" t="s">
        <v>353</v>
      </c>
      <c r="C1269" s="249">
        <f ca="1">'Table 2'!H125</f>
        <v>21931.845042180139</v>
      </c>
      <c r="D1269" s="254"/>
      <c r="E1269" s="20"/>
      <c r="F1269" s="257">
        <f>'Table 3'!E125</f>
        <v>3415.4619210236751</v>
      </c>
      <c r="G1269" s="254"/>
      <c r="H1269" s="20"/>
      <c r="I1269" s="257">
        <f>F1269</f>
        <v>3415.4619210236751</v>
      </c>
      <c r="J1269" s="257"/>
      <c r="K1269" s="254"/>
      <c r="L1269" s="20"/>
      <c r="M1269" s="257" t="e">
        <f>$I$1269*V1273/($V$1273+$W$1273+$X$1273)</f>
        <v>#DIV/0!</v>
      </c>
      <c r="N1269" s="51"/>
      <c r="O1269" s="294"/>
      <c r="P1269" s="294"/>
      <c r="Q1269" s="257" t="e">
        <f>$I$1269*W1273/($V$1273+$W$1273+$X$1273)</f>
        <v>#DIV/0!</v>
      </c>
      <c r="R1269" s="51"/>
      <c r="S1269" s="294"/>
      <c r="T1269" s="294"/>
      <c r="U1269" s="257" t="e">
        <f>$I$1269*X1273/($V$1273+$W$1273+$X$1273)</f>
        <v>#DIV/0!</v>
      </c>
      <c r="V1269" s="429"/>
      <c r="W1269" s="272"/>
      <c r="X1269" s="263"/>
      <c r="Y1269" s="263"/>
      <c r="Z1269" s="263"/>
      <c r="AA1269" s="263"/>
      <c r="AB1269" s="268"/>
      <c r="AC1269" s="268"/>
      <c r="AD1269" s="268"/>
      <c r="AE1269" s="268"/>
      <c r="AF1269" s="266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4" ht="16.5" thickBot="1">
      <c r="A1270" s="3" t="s">
        <v>9</v>
      </c>
      <c r="C1270" s="258">
        <f ca="1">C1268+C1269</f>
        <v>1753793.1783755131</v>
      </c>
      <c r="D1270" s="297"/>
      <c r="E1270" s="297"/>
      <c r="F1270" s="259">
        <f>F1268+F1269</f>
        <v>219701.46192102367</v>
      </c>
      <c r="G1270" s="297"/>
      <c r="H1270" s="297"/>
      <c r="I1270" s="259">
        <f>I1268+I1269</f>
        <v>223416.46192102367</v>
      </c>
      <c r="J1270" s="297"/>
      <c r="K1270" s="297"/>
      <c r="L1270" s="297"/>
      <c r="M1270" s="259" t="e">
        <f>M1268+M1269</f>
        <v>#DIV/0!</v>
      </c>
      <c r="N1270" s="297"/>
      <c r="O1270" s="297"/>
      <c r="P1270" s="297"/>
      <c r="Q1270" s="259" t="e">
        <f>Q1268+Q1269</f>
        <v>#DIV/0!</v>
      </c>
      <c r="R1270" s="297"/>
      <c r="S1270" s="297"/>
      <c r="T1270" s="297"/>
      <c r="U1270" s="259" t="e">
        <f>U1268+U1269</f>
        <v>#DIV/0!</v>
      </c>
      <c r="V1270" s="761" t="s">
        <v>399</v>
      </c>
      <c r="W1270" s="778">
        <f ca="1">'Rate Spread targets'!Q41*1000</f>
        <v>223423.52294760302</v>
      </c>
      <c r="X1270" s="1417">
        <f>(I1270-F1270)/F1270</f>
        <v>1.690930942159791E-2</v>
      </c>
      <c r="Y1270" s="703"/>
      <c r="Z1270" s="263"/>
      <c r="AA1270" s="263"/>
      <c r="AB1270" s="263"/>
      <c r="AC1270" s="263"/>
      <c r="AD1270" s="263"/>
      <c r="AE1270" s="263"/>
      <c r="AF1270" s="263"/>
      <c r="AG1270" s="263"/>
      <c r="AH1270" s="20"/>
      <c r="AI1270" s="20"/>
      <c r="AJ1270" s="20"/>
      <c r="AK1270" s="20"/>
      <c r="AL1270" s="20"/>
      <c r="AM1270" s="20"/>
      <c r="AN1270" s="20"/>
      <c r="AO1270" s="20"/>
      <c r="AP1270" s="20"/>
    </row>
    <row r="1271" spans="1:44" ht="16.5" thickTop="1">
      <c r="A1271" s="1304" t="s">
        <v>902</v>
      </c>
      <c r="C1271" s="743" t="s">
        <v>31</v>
      </c>
      <c r="D1271" s="260" t="s">
        <v>31</v>
      </c>
      <c r="E1271" s="260"/>
      <c r="F1271" s="248"/>
      <c r="G1271" s="260" t="s">
        <v>31</v>
      </c>
      <c r="H1271" s="260"/>
      <c r="I1271" s="2" t="s">
        <v>31</v>
      </c>
      <c r="J1271" s="2"/>
      <c r="K1271" s="260" t="s">
        <v>31</v>
      </c>
      <c r="L1271" s="260"/>
      <c r="M1271" s="2" t="s">
        <v>31</v>
      </c>
      <c r="N1271" s="2"/>
      <c r="O1271" s="260" t="s">
        <v>31</v>
      </c>
      <c r="P1271" s="260"/>
      <c r="Q1271" s="2" t="s">
        <v>31</v>
      </c>
      <c r="R1271" s="2"/>
      <c r="S1271" s="260" t="s">
        <v>31</v>
      </c>
      <c r="T1271" s="260"/>
      <c r="U1271" s="2" t="s">
        <v>31</v>
      </c>
      <c r="V1271" s="762" t="s">
        <v>257</v>
      </c>
      <c r="W1271" s="780">
        <f ca="1">W1270-I1270</f>
        <v>7.0610265793511644</v>
      </c>
      <c r="X1271" s="1087">
        <v>-0.14423</v>
      </c>
      <c r="Y1271" s="279"/>
      <c r="Z1271" s="263"/>
      <c r="AA1271" s="263"/>
      <c r="AB1271" s="263"/>
      <c r="AC1271" s="263"/>
      <c r="AD1271" s="263"/>
      <c r="AE1271" s="263"/>
      <c r="AF1271" s="263"/>
      <c r="AG1271" s="263"/>
      <c r="AH1271" s="20"/>
      <c r="AI1271" s="20"/>
      <c r="AJ1271" s="20"/>
      <c r="AK1271" s="20"/>
      <c r="AL1271" s="20"/>
      <c r="AM1271" s="20"/>
      <c r="AN1271" s="20"/>
      <c r="AO1271" s="20"/>
      <c r="AP1271" s="20"/>
    </row>
    <row r="1272" spans="1:44">
      <c r="C1272" s="26"/>
      <c r="D1272" s="260"/>
      <c r="E1272" s="260"/>
      <c r="F1272" s="248"/>
      <c r="G1272" s="260"/>
      <c r="H1272" s="260"/>
      <c r="I1272" s="2"/>
      <c r="J1272" s="2"/>
      <c r="K1272" s="260"/>
      <c r="L1272" s="260"/>
      <c r="M1272" s="2"/>
      <c r="N1272" s="2"/>
      <c r="O1272" s="260"/>
      <c r="P1272" s="260"/>
      <c r="Q1272" s="2"/>
      <c r="R1272" s="2"/>
      <c r="S1272" s="260"/>
      <c r="T1272" s="260"/>
      <c r="U1272" s="2"/>
      <c r="V1272" s="719"/>
      <c r="W1272" s="719"/>
      <c r="X1272" s="719"/>
      <c r="Y1272" s="279"/>
      <c r="Z1272" s="263"/>
      <c r="AA1272" s="263"/>
      <c r="AB1272" s="263"/>
      <c r="AC1272" s="263"/>
      <c r="AD1272" s="263"/>
      <c r="AE1272" s="263"/>
      <c r="AF1272" s="263"/>
      <c r="AG1272" s="263"/>
      <c r="AH1272" s="20"/>
      <c r="AI1272" s="20"/>
      <c r="AJ1272" s="20"/>
      <c r="AK1272" s="20"/>
      <c r="AL1272" s="20"/>
      <c r="AM1272" s="20"/>
      <c r="AN1272" s="20"/>
      <c r="AO1272" s="20"/>
      <c r="AP1272" s="20"/>
    </row>
    <row r="1273" spans="1:44" hidden="1">
      <c r="C1273" s="26"/>
      <c r="D1273" s="260"/>
      <c r="E1273" s="260"/>
      <c r="F1273" s="248"/>
      <c r="G1273" s="260"/>
      <c r="H1273" s="260"/>
      <c r="I1273" s="2"/>
      <c r="J1273" s="2"/>
      <c r="K1273" s="260"/>
      <c r="L1273" s="260"/>
      <c r="M1273" s="2"/>
      <c r="N1273" s="2"/>
      <c r="O1273" s="260"/>
      <c r="P1273" s="260"/>
      <c r="Q1273" s="2"/>
      <c r="R1273" s="2"/>
      <c r="S1273" s="260"/>
      <c r="T1273" s="260"/>
      <c r="U1273" s="2"/>
      <c r="V1273" s="401"/>
      <c r="W1273" s="401"/>
      <c r="X1273" s="401"/>
      <c r="Y1273" s="279"/>
      <c r="Z1273" s="263"/>
      <c r="AA1273" s="263"/>
      <c r="AB1273" s="263"/>
      <c r="AC1273" s="263"/>
      <c r="AD1273" s="263"/>
      <c r="AE1273" s="263"/>
      <c r="AF1273" s="263"/>
      <c r="AG1273" s="263"/>
      <c r="AH1273" s="20"/>
      <c r="AI1273" s="20"/>
      <c r="AJ1273" s="20"/>
      <c r="AK1273" s="20"/>
      <c r="AL1273" s="20"/>
      <c r="AM1273" s="20"/>
      <c r="AN1273" s="20"/>
      <c r="AO1273" s="20"/>
      <c r="AP1273" s="20"/>
    </row>
    <row r="1274" spans="1:44">
      <c r="A1274" s="288"/>
      <c r="B1274" s="298"/>
      <c r="C1274" s="430"/>
      <c r="D1274" s="431"/>
      <c r="E1274" s="288"/>
      <c r="F1274" s="2"/>
      <c r="G1274" s="431"/>
      <c r="H1274" s="288"/>
      <c r="I1274" s="2"/>
      <c r="J1274" s="2"/>
      <c r="K1274" s="431"/>
      <c r="L1274" s="288"/>
      <c r="M1274" s="2"/>
      <c r="N1274" s="2"/>
      <c r="O1274" s="431"/>
      <c r="P1274" s="288"/>
      <c r="Q1274" s="2"/>
      <c r="R1274" s="2"/>
      <c r="S1274" s="431"/>
      <c r="T1274" s="288"/>
      <c r="U1274" s="2"/>
      <c r="V1274" s="20"/>
      <c r="W1274" s="74"/>
      <c r="X1274" s="74"/>
      <c r="Y1274" s="74"/>
      <c r="Z1274" s="20"/>
      <c r="AA1274" s="20"/>
      <c r="AB1274" s="20"/>
      <c r="AC1274" s="20"/>
      <c r="AD1274" s="20"/>
      <c r="AE1274" s="20"/>
      <c r="AF1274" s="20"/>
      <c r="AG1274" s="20"/>
      <c r="AH1274" s="20"/>
      <c r="AI1274" s="20"/>
      <c r="AJ1274" s="20"/>
      <c r="AK1274" s="20"/>
    </row>
    <row r="1275" spans="1:44" s="4" customFormat="1" ht="19.899999999999999" customHeight="1" thickBot="1">
      <c r="A1275" s="432" t="s">
        <v>505</v>
      </c>
      <c r="B1275" s="433"/>
      <c r="C1275" s="434">
        <f ca="1">C27+C101+C205+C597+C637+C769+C897+C915+C1139+C1156+C1170+C1230+C1270</f>
        <v>4085100148.9150887</v>
      </c>
      <c r="D1275" s="435"/>
      <c r="E1275" s="436"/>
      <c r="F1275" s="436">
        <f ca="1">F27+F101+F205+F597+F637+F769+F897+F915+F1139+F1156+F1170+F1230+F1270</f>
        <v>335077721.55906415</v>
      </c>
      <c r="G1275" s="435"/>
      <c r="H1275" s="436"/>
      <c r="I1275" s="436">
        <f ca="1">I27+I101+I205+I597+I637+I769+I897+I953+I1010+I1104+I1139+I1156+I1170+I1230+I1270</f>
        <v>340754727.13688064</v>
      </c>
      <c r="J1275" s="436"/>
      <c r="K1275" s="435"/>
      <c r="L1275" s="436"/>
      <c r="M1275" s="436" t="e">
        <f ca="1">M27+M101+M205+M597+M637+M769+M897+M953+M1010+M1104+M1139+M1156+M1170+M1230+M1270</f>
        <v>#DIV/0!</v>
      </c>
      <c r="N1275" s="436"/>
      <c r="O1275" s="435"/>
      <c r="P1275" s="436"/>
      <c r="Q1275" s="436" t="e">
        <f ca="1">Q27+Q101+Q205+Q597+Q637+Q769+Q897+Q953+Q1010+Q1104+Q1139+Q1156+Q1170+Q1230+Q1270</f>
        <v>#DIV/0!</v>
      </c>
      <c r="R1275" s="436"/>
      <c r="S1275" s="435"/>
      <c r="T1275" s="436"/>
      <c r="U1275" s="436" t="e">
        <f ca="1">U27+U101+U205+U597+U637+U769+U897+U953+U1010+U1104+U1139+U1156+U1170+U1230+U1270</f>
        <v>#DIV/0!</v>
      </c>
      <c r="V1275" s="763" t="s">
        <v>399</v>
      </c>
      <c r="W1275" s="764">
        <f ca="1">W27+W101+W205+W637+W769+W934+W1104+W1139+W1156+W1170+W1230+W1270</f>
        <v>340754423.55906421</v>
      </c>
      <c r="X1275" s="74"/>
      <c r="Y1275" s="74"/>
      <c r="Z1275" s="7"/>
      <c r="AA1275" s="7"/>
      <c r="AB1275" s="7"/>
      <c r="AC1275" s="7"/>
      <c r="AD1275" s="7"/>
      <c r="AE1275" s="7"/>
      <c r="AF1275" s="7"/>
      <c r="AG1275" s="7"/>
      <c r="AH1275" s="7"/>
      <c r="AI1275" s="7"/>
      <c r="AJ1275" s="7"/>
      <c r="AK1275" s="7"/>
    </row>
    <row r="1276" spans="1:44" ht="16.5" thickTop="1">
      <c r="A1276" s="1"/>
      <c r="B1276" s="298"/>
      <c r="C1276" s="322"/>
      <c r="D1276" s="322" t="s">
        <v>31</v>
      </c>
      <c r="E1276" s="1"/>
      <c r="F1276" s="2"/>
      <c r="G1276" s="338" t="s">
        <v>31</v>
      </c>
      <c r="H1276" s="1"/>
      <c r="I1276" s="2" t="s">
        <v>31</v>
      </c>
      <c r="J1276" s="1448"/>
      <c r="K1276" s="338" t="s">
        <v>31</v>
      </c>
      <c r="L1276" s="1"/>
      <c r="M1276" s="2" t="s">
        <v>31</v>
      </c>
      <c r="N1276" s="2"/>
      <c r="O1276" s="338" t="s">
        <v>31</v>
      </c>
      <c r="P1276" s="1"/>
      <c r="Q1276" s="2" t="s">
        <v>31</v>
      </c>
      <c r="R1276" s="2"/>
      <c r="S1276" s="338" t="s">
        <v>31</v>
      </c>
      <c r="T1276" s="1"/>
      <c r="U1276" s="2" t="s">
        <v>31</v>
      </c>
      <c r="V1276" s="112" t="s">
        <v>257</v>
      </c>
      <c r="W1276" s="759">
        <f ca="1">W1275-I1275</f>
        <v>-303.577816426754</v>
      </c>
      <c r="X1276" s="299" t="s">
        <v>31</v>
      </c>
      <c r="Y1276" s="299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4">
      <c r="A1277" s="1" t="s">
        <v>34</v>
      </c>
      <c r="B1277" s="298"/>
      <c r="C1277" s="438"/>
      <c r="D1277" s="439"/>
      <c r="E1277" s="442"/>
      <c r="F1277" s="747">
        <f ca="1">'Table 3'!D24+'Table 3'!D56+'Table 3'!D87+'Table 3'!D105+'Table 3'!D129</f>
        <v>594939.23</v>
      </c>
      <c r="G1277" s="441"/>
      <c r="H1277" s="442"/>
      <c r="I1277" s="747">
        <f ca="1">F1277</f>
        <v>594939.23</v>
      </c>
      <c r="J1277" s="51"/>
      <c r="K1277" s="441"/>
      <c r="L1277" s="442"/>
      <c r="M1277" s="747">
        <f ca="1">I1277</f>
        <v>594939.23</v>
      </c>
      <c r="N1277" s="440"/>
      <c r="O1277" s="441"/>
      <c r="P1277" s="442"/>
      <c r="Q1277" s="747" t="s">
        <v>31</v>
      </c>
      <c r="R1277" s="440"/>
      <c r="S1277" s="441"/>
      <c r="T1277" s="442"/>
      <c r="U1277" s="747" t="str">
        <f>Q1277</f>
        <v xml:space="preserve"> </v>
      </c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4" s="4" customFormat="1" ht="19.899999999999999" customHeight="1" thickBot="1">
      <c r="A1278" s="444" t="s">
        <v>506</v>
      </c>
      <c r="B1278" s="445"/>
      <c r="C1278" s="446">
        <f ca="1">C1275+C1277</f>
        <v>4085100148.9150887</v>
      </c>
      <c r="D1278" s="1115"/>
      <c r="E1278" s="448"/>
      <c r="F1278" s="449">
        <f ca="1">F1275+F1277</f>
        <v>335672660.78906417</v>
      </c>
      <c r="G1278" s="450"/>
      <c r="H1278" s="448"/>
      <c r="I1278" s="449">
        <f ca="1">I1275+I1277</f>
        <v>341349666.36688066</v>
      </c>
      <c r="J1278" s="1428"/>
      <c r="K1278" s="450"/>
      <c r="L1278" s="448"/>
      <c r="M1278" s="449" t="e">
        <f ca="1">M1275+M1277</f>
        <v>#DIV/0!</v>
      </c>
      <c r="N1278" s="449"/>
      <c r="O1278" s="450"/>
      <c r="P1278" s="448"/>
      <c r="Q1278" s="449" t="e">
        <f ca="1">Q1275+Q1277</f>
        <v>#DIV/0!</v>
      </c>
      <c r="R1278" s="449"/>
      <c r="S1278" s="450"/>
      <c r="T1278" s="448"/>
      <c r="U1278" s="449" t="e">
        <f ca="1">U1275+U1277</f>
        <v>#DIV/0!</v>
      </c>
      <c r="Z1278" s="7"/>
      <c r="AA1278" s="7"/>
      <c r="AB1278" s="7"/>
      <c r="AC1278" s="7"/>
      <c r="AD1278" s="7"/>
      <c r="AE1278" s="7"/>
      <c r="AF1278" s="7"/>
      <c r="AG1278" s="7"/>
      <c r="AH1278" s="7"/>
      <c r="AI1278" s="7"/>
      <c r="AJ1278" s="7"/>
      <c r="AK1278" s="7"/>
    </row>
    <row r="1279" spans="1:44" ht="16.5" thickTop="1">
      <c r="A1279" s="1"/>
      <c r="B1279" s="298"/>
      <c r="C1279" s="21"/>
      <c r="D1279" s="322"/>
      <c r="E1279" s="451"/>
      <c r="F1279" s="2" t="s">
        <v>31</v>
      </c>
      <c r="G1279" s="322"/>
      <c r="H1279" s="1"/>
      <c r="I1279" s="2"/>
      <c r="J1279" s="2"/>
      <c r="K1279" s="322"/>
      <c r="L1279" s="1"/>
      <c r="M1279" s="2"/>
      <c r="N1279" s="2"/>
      <c r="O1279" s="322"/>
      <c r="P1279" s="1"/>
      <c r="Q1279" s="2"/>
      <c r="R1279" s="2"/>
      <c r="S1279" s="322"/>
      <c r="T1279" s="1"/>
      <c r="U1279" s="2"/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4">
      <c r="C1280" s="452"/>
      <c r="D1280" s="255"/>
      <c r="E1280" s="255"/>
      <c r="F1280" s="453"/>
      <c r="I1280" s="249"/>
      <c r="J1280" s="249"/>
      <c r="M1280" s="249"/>
      <c r="N1280" s="249"/>
      <c r="Q1280" s="249"/>
      <c r="R1280" s="249"/>
      <c r="U1280" s="249"/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1:37">
      <c r="A1281" s="454"/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1:37">
      <c r="A1282" s="1" t="s">
        <v>31</v>
      </c>
      <c r="B1282" s="4" t="s">
        <v>31</v>
      </c>
      <c r="C1282" s="635" t="s">
        <v>31</v>
      </c>
      <c r="F1282" s="856" t="s">
        <v>31</v>
      </c>
      <c r="I1282" s="856" t="s">
        <v>31</v>
      </c>
      <c r="J1282" s="84"/>
      <c r="M1282" s="84">
        <f>M23+M95+M96+M183+M184+M185+M616+M617+M743+M894+M949+M1006+M1100+M1136+M1167+M1226+M1267</f>
        <v>0</v>
      </c>
      <c r="N1282" s="84"/>
      <c r="Q1282" s="84" t="e">
        <f>Q23+Q95+Q96+Q183+Q184+Q185+Q616+Q617+Q743+Q894+Q949+Q1006+Q1100+Q1136+Q1167+Q1226+Q1267</f>
        <v>#REF!</v>
      </c>
      <c r="R1282" s="84"/>
      <c r="U1282" s="84">
        <f ca="1">U23+U95+U96+U183+U184+U185+U616+U617+U743+U894+U949+U1006+U1100+U1136+U1167+U1226+U1267</f>
        <v>8572</v>
      </c>
      <c r="V1282" s="401" t="s">
        <v>31</v>
      </c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3" spans="1:37">
      <c r="B1283" s="4" t="s">
        <v>31</v>
      </c>
      <c r="C1283" s="635" t="s">
        <v>31</v>
      </c>
      <c r="D1283" s="4" t="s">
        <v>31</v>
      </c>
      <c r="E1283" s="4" t="s">
        <v>31</v>
      </c>
      <c r="F1283" s="856" t="s">
        <v>31</v>
      </c>
      <c r="V1283" s="20"/>
      <c r="W1283" s="74"/>
      <c r="X1283" s="74"/>
      <c r="Y1283" s="74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</row>
    <row r="1284" spans="1:37">
      <c r="V1284" s="20"/>
      <c r="W1284" s="74"/>
      <c r="X1284" s="74"/>
      <c r="Y1284" s="74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</row>
    <row r="1285" spans="1:37">
      <c r="B1285" s="4" t="s">
        <v>31</v>
      </c>
      <c r="C1285" s="635" t="s">
        <v>31</v>
      </c>
      <c r="D1285" s="4" t="s">
        <v>31</v>
      </c>
      <c r="E1285" s="4" t="s">
        <v>31</v>
      </c>
      <c r="F1285" s="635" t="s">
        <v>31</v>
      </c>
      <c r="V1285" s="20"/>
      <c r="W1285" s="74"/>
      <c r="X1285" s="74"/>
      <c r="Y1285" s="74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</row>
    <row r="1286" spans="1:37">
      <c r="V1286" s="20"/>
      <c r="W1286" s="74"/>
      <c r="X1286" s="74"/>
      <c r="Y1286" s="74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</row>
    <row r="1288" spans="1:37">
      <c r="B1288" s="4" t="s">
        <v>31</v>
      </c>
      <c r="C1288" s="635" t="s">
        <v>31</v>
      </c>
    </row>
    <row r="1289" spans="1:37">
      <c r="B1289" s="4" t="s">
        <v>31</v>
      </c>
      <c r="C1289" s="635" t="s">
        <v>31</v>
      </c>
    </row>
    <row r="1290" spans="1:37">
      <c r="B1290" s="4" t="s">
        <v>31</v>
      </c>
      <c r="C1290" s="635" t="s">
        <v>31</v>
      </c>
      <c r="W1290" s="3"/>
      <c r="X1290" s="3"/>
      <c r="Y1290" s="3"/>
    </row>
    <row r="1291" spans="1:37">
      <c r="B1291" s="4" t="s">
        <v>31</v>
      </c>
      <c r="C1291" s="635" t="s">
        <v>31</v>
      </c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13" orientation="portrait" r:id="rId1"/>
  <headerFooter alignWithMargins="0"/>
  <rowBreaks count="6" manualBreakCount="6">
    <brk id="164" max="23" man="1"/>
    <brk id="206" max="23" man="1"/>
    <brk id="716" max="23" man="1"/>
    <brk id="1085" max="23" man="1"/>
    <brk id="1159" max="23" man="1"/>
    <brk id="1233" max="2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AL65"/>
  <sheetViews>
    <sheetView view="pageBreakPreview" topLeftCell="B1" zoomScale="90" zoomScaleNormal="55" zoomScaleSheetLayoutView="90" workbookViewId="0">
      <selection activeCell="X54" sqref="X54"/>
    </sheetView>
  </sheetViews>
  <sheetFormatPr defaultColWidth="10.25" defaultRowHeight="15.75"/>
  <cols>
    <col min="1" max="1" width="0" style="152" hidden="1" customWidth="1"/>
    <col min="2" max="2" width="4.625" style="152" customWidth="1"/>
    <col min="3" max="3" width="2.125" style="152" customWidth="1"/>
    <col min="4" max="4" width="35.875" style="153" customWidth="1"/>
    <col min="5" max="5" width="2.125" style="153" customWidth="1"/>
    <col min="6" max="6" width="5.625" style="153" bestFit="1" customWidth="1"/>
    <col min="7" max="7" width="2.125" style="153" customWidth="1"/>
    <col min="8" max="8" width="9.25" style="152" hidden="1" customWidth="1"/>
    <col min="9" max="9" width="9.75" style="152" bestFit="1" customWidth="1"/>
    <col min="10" max="10" width="2" style="152" customWidth="1"/>
    <col min="11" max="11" width="11" style="152" hidden="1" customWidth="1"/>
    <col min="12" max="12" width="12" style="152" bestFit="1" customWidth="1"/>
    <col min="13" max="13" width="2.125" style="152" customWidth="1"/>
    <col min="14" max="14" width="10.25" style="152" hidden="1" customWidth="1"/>
    <col min="15" max="15" width="11.375" style="152" customWidth="1"/>
    <col min="16" max="16" width="3.75" style="152" customWidth="1"/>
    <col min="17" max="17" width="17" style="152" customWidth="1"/>
    <col min="18" max="18" width="2.25" style="152" hidden="1" customWidth="1"/>
    <col min="19" max="19" width="1.5" style="152" hidden="1" customWidth="1"/>
    <col min="20" max="20" width="3" style="152" customWidth="1"/>
    <col min="21" max="21" width="16.125" style="152" customWidth="1"/>
    <col min="22" max="22" width="11.375" style="152" customWidth="1"/>
    <col min="23" max="23" width="3.5" style="152" customWidth="1"/>
    <col min="24" max="24" width="18.375" style="152" customWidth="1"/>
    <col min="25" max="25" width="3.375" style="152" customWidth="1"/>
    <col min="26" max="26" width="11" style="152" customWidth="1"/>
    <col min="27" max="27" width="13.875" style="152" customWidth="1"/>
    <col min="28" max="28" width="3.875" style="152" customWidth="1"/>
    <col min="29" max="29" width="16.125" style="152" customWidth="1"/>
    <col min="30" max="30" width="2.125" style="152" customWidth="1"/>
    <col min="31" max="31" width="18.25" style="152" customWidth="1"/>
    <col min="32" max="32" width="8.25" style="152" customWidth="1"/>
    <col min="33" max="33" width="3.125" style="152" customWidth="1"/>
    <col min="34" max="34" width="9" style="152" bestFit="1" customWidth="1"/>
    <col min="35" max="35" width="0.125" style="152" hidden="1" customWidth="1"/>
    <col min="36" max="36" width="10.25" style="152" customWidth="1"/>
    <col min="37" max="37" width="13.5" style="152" bestFit="1" customWidth="1"/>
    <col min="38" max="16384" width="10.25" style="152"/>
  </cols>
  <sheetData>
    <row r="1" spans="2:38">
      <c r="Q1" s="154" t="s">
        <v>31</v>
      </c>
      <c r="X1" s="154" t="s">
        <v>31</v>
      </c>
    </row>
    <row r="2" spans="2:38">
      <c r="B2" s="155" t="s">
        <v>607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091"/>
      <c r="AC2" s="1091"/>
      <c r="AD2" s="1091"/>
      <c r="AE2" s="1404"/>
      <c r="AF2" s="1091"/>
    </row>
    <row r="3" spans="2:38">
      <c r="B3" s="156" t="s">
        <v>179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092"/>
      <c r="AC3" s="1092"/>
      <c r="AD3" s="1092"/>
      <c r="AE3" s="1405"/>
      <c r="AF3" s="1092"/>
      <c r="AG3" s="157"/>
      <c r="AH3" s="157"/>
      <c r="AI3" s="157"/>
    </row>
    <row r="4" spans="2:38">
      <c r="B4" s="156" t="s">
        <v>291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092"/>
      <c r="AC4" s="1092"/>
      <c r="AD4" s="1092"/>
      <c r="AE4" s="1405"/>
      <c r="AF4" s="1092"/>
      <c r="AG4" s="157"/>
      <c r="AH4" s="157"/>
      <c r="AI4" s="157"/>
    </row>
    <row r="5" spans="2:38">
      <c r="B5" s="156" t="s">
        <v>292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092"/>
      <c r="AC5" s="1092"/>
      <c r="AD5" s="1092"/>
      <c r="AE5" s="1405"/>
      <c r="AF5" s="1092"/>
      <c r="AG5" s="157"/>
      <c r="AH5" s="157"/>
      <c r="AI5" s="157"/>
    </row>
    <row r="6" spans="2:38">
      <c r="B6" s="156" t="s">
        <v>293</v>
      </c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092"/>
      <c r="AC6" s="1092"/>
      <c r="AD6" s="1092"/>
      <c r="AE6" s="1405"/>
      <c r="AF6" s="1092"/>
      <c r="AG6" s="157"/>
      <c r="AH6" s="157"/>
      <c r="AI6" s="157"/>
    </row>
    <row r="7" spans="2:38">
      <c r="B7" s="155" t="s">
        <v>979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091"/>
      <c r="AC7" s="1091"/>
      <c r="AD7" s="1091"/>
      <c r="AE7" s="1404"/>
      <c r="AF7" s="1091"/>
      <c r="AG7" s="158"/>
      <c r="AH7" s="158"/>
      <c r="AI7" s="158"/>
    </row>
    <row r="8" spans="2:38"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404"/>
      <c r="AC8" s="1404"/>
      <c r="AD8" s="1404"/>
      <c r="AE8" s="1404"/>
      <c r="AF8" s="1404"/>
      <c r="AG8" s="158"/>
      <c r="AH8" s="158"/>
      <c r="AI8" s="158"/>
    </row>
    <row r="9" spans="2:38"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404"/>
      <c r="AC9" s="1404"/>
      <c r="AD9" s="1404"/>
      <c r="AE9" s="1404"/>
      <c r="AF9" s="1404"/>
      <c r="AG9" s="158"/>
      <c r="AH9" s="158"/>
      <c r="AI9" s="158"/>
    </row>
    <row r="10" spans="2:38">
      <c r="M10" s="159"/>
      <c r="N10" s="160"/>
      <c r="O10" s="160"/>
      <c r="P10" s="161"/>
      <c r="Q10" s="1414" t="s">
        <v>296</v>
      </c>
      <c r="R10" s="160"/>
      <c r="S10" s="160"/>
      <c r="T10" s="160"/>
      <c r="U10" s="1486" t="s">
        <v>165</v>
      </c>
      <c r="V10" s="1486"/>
      <c r="W10" s="1412"/>
      <c r="X10" s="1427" t="s">
        <v>296</v>
      </c>
      <c r="Y10" s="1412"/>
      <c r="Z10" s="1486" t="s">
        <v>165</v>
      </c>
      <c r="AA10" s="1486"/>
      <c r="AB10" s="161"/>
      <c r="AC10" s="1406" t="s">
        <v>296</v>
      </c>
      <c r="AD10" s="164"/>
      <c r="AE10" s="1406" t="s">
        <v>296</v>
      </c>
      <c r="AF10" s="161"/>
      <c r="AG10" s="161"/>
      <c r="AH10" s="161"/>
      <c r="AI10" s="161"/>
      <c r="AJ10" s="159"/>
      <c r="AK10" s="159"/>
      <c r="AL10" s="159"/>
    </row>
    <row r="11" spans="2:38">
      <c r="N11" s="163" t="s">
        <v>295</v>
      </c>
      <c r="O11" s="163" t="s">
        <v>191</v>
      </c>
      <c r="P11" s="164"/>
      <c r="Q11" s="1459" t="s">
        <v>1032</v>
      </c>
      <c r="R11" s="1487"/>
      <c r="S11" s="1487"/>
      <c r="T11" s="165"/>
      <c r="U11" s="1488" t="s">
        <v>1030</v>
      </c>
      <c r="V11" s="1488"/>
      <c r="W11" s="160"/>
      <c r="X11" s="1415" t="s">
        <v>1033</v>
      </c>
      <c r="Y11" s="165"/>
      <c r="Z11" s="1488" t="s">
        <v>1031</v>
      </c>
      <c r="AA11" s="1488"/>
      <c r="AB11" s="164"/>
      <c r="AC11" s="1415" t="s">
        <v>1032</v>
      </c>
      <c r="AD11" s="164"/>
      <c r="AE11" s="1415" t="s">
        <v>1033</v>
      </c>
      <c r="AF11" s="1089" t="s">
        <v>298</v>
      </c>
      <c r="AG11" s="164"/>
      <c r="AH11" s="164"/>
      <c r="AI11" s="164"/>
    </row>
    <row r="12" spans="2:38">
      <c r="F12" s="151" t="s">
        <v>299</v>
      </c>
      <c r="G12" s="151"/>
      <c r="H12" s="163" t="s">
        <v>300</v>
      </c>
      <c r="N12" s="1089" t="s">
        <v>181</v>
      </c>
      <c r="O12" s="1089" t="s">
        <v>181</v>
      </c>
      <c r="P12" s="166"/>
      <c r="Q12" s="1089" t="s">
        <v>181</v>
      </c>
      <c r="R12" s="1089"/>
      <c r="S12" s="1089" t="s">
        <v>195</v>
      </c>
      <c r="T12" s="1089"/>
      <c r="U12" s="167" t="s">
        <v>181</v>
      </c>
      <c r="V12" s="167"/>
      <c r="W12" s="1406"/>
      <c r="X12" s="1406" t="s">
        <v>181</v>
      </c>
      <c r="Y12" s="1406"/>
      <c r="Z12" s="167" t="s">
        <v>181</v>
      </c>
      <c r="AA12" s="167"/>
      <c r="AB12" s="165"/>
      <c r="AC12" s="1089" t="s">
        <v>181</v>
      </c>
      <c r="AD12" s="165"/>
      <c r="AE12" s="1406" t="s">
        <v>181</v>
      </c>
      <c r="AF12" s="1089" t="s">
        <v>165</v>
      </c>
      <c r="AG12" s="168"/>
      <c r="AH12" s="165"/>
      <c r="AI12" s="168"/>
    </row>
    <row r="13" spans="2:38">
      <c r="B13" s="168" t="s">
        <v>180</v>
      </c>
      <c r="F13" s="151" t="s">
        <v>301</v>
      </c>
      <c r="G13" s="151"/>
      <c r="H13" s="163" t="s">
        <v>302</v>
      </c>
      <c r="I13" s="163" t="s">
        <v>300</v>
      </c>
      <c r="K13" s="163" t="s">
        <v>303</v>
      </c>
      <c r="N13" s="163" t="s">
        <v>37</v>
      </c>
      <c r="O13" s="163" t="s">
        <v>37</v>
      </c>
      <c r="P13" s="168"/>
      <c r="Q13" s="163" t="s">
        <v>37</v>
      </c>
      <c r="R13" s="163"/>
      <c r="S13" s="163" t="s">
        <v>37</v>
      </c>
      <c r="T13" s="163"/>
      <c r="U13" s="169" t="s">
        <v>246</v>
      </c>
      <c r="V13" s="163" t="s">
        <v>181</v>
      </c>
      <c r="W13" s="163"/>
      <c r="X13" s="163" t="s">
        <v>37</v>
      </c>
      <c r="Y13" s="163"/>
      <c r="Z13" s="169" t="s">
        <v>246</v>
      </c>
      <c r="AA13" s="163" t="s">
        <v>181</v>
      </c>
      <c r="AB13" s="168"/>
      <c r="AC13" s="163" t="s">
        <v>183</v>
      </c>
      <c r="AD13" s="168"/>
      <c r="AE13" s="163" t="s">
        <v>183</v>
      </c>
      <c r="AF13" s="163" t="s">
        <v>304</v>
      </c>
      <c r="AG13" s="168"/>
      <c r="AH13" s="1089"/>
      <c r="AI13" s="170"/>
      <c r="AJ13" s="159"/>
    </row>
    <row r="14" spans="2:38">
      <c r="B14" s="171" t="s">
        <v>182</v>
      </c>
      <c r="D14" s="172" t="s">
        <v>196</v>
      </c>
      <c r="F14" s="172" t="s">
        <v>182</v>
      </c>
      <c r="G14" s="173"/>
      <c r="H14" s="174" t="s">
        <v>295</v>
      </c>
      <c r="I14" s="1090" t="s">
        <v>302</v>
      </c>
      <c r="K14" s="174" t="s">
        <v>295</v>
      </c>
      <c r="L14" s="1090" t="s">
        <v>303</v>
      </c>
      <c r="N14" s="175" t="s">
        <v>192</v>
      </c>
      <c r="O14" s="175" t="s">
        <v>192</v>
      </c>
      <c r="P14" s="1089"/>
      <c r="Q14" s="175" t="s">
        <v>192</v>
      </c>
      <c r="R14" s="176"/>
      <c r="S14" s="175" t="s">
        <v>192</v>
      </c>
      <c r="T14" s="176"/>
      <c r="U14" s="177" t="s">
        <v>192</v>
      </c>
      <c r="V14" s="1090" t="s">
        <v>305</v>
      </c>
      <c r="W14" s="1406"/>
      <c r="X14" s="175" t="s">
        <v>192</v>
      </c>
      <c r="Y14" s="176"/>
      <c r="Z14" s="177" t="s">
        <v>192</v>
      </c>
      <c r="AA14" s="1403" t="s">
        <v>305</v>
      </c>
      <c r="AB14" s="170"/>
      <c r="AC14" s="175" t="s">
        <v>306</v>
      </c>
      <c r="AD14" s="170"/>
      <c r="AE14" s="175" t="s">
        <v>306</v>
      </c>
      <c r="AF14" s="1090" t="s">
        <v>25</v>
      </c>
      <c r="AG14" s="170"/>
      <c r="AH14" s="1081"/>
      <c r="AI14" s="170"/>
      <c r="AJ14" s="159"/>
    </row>
    <row r="15" spans="2:38">
      <c r="B15" s="178"/>
      <c r="D15" s="169" t="s">
        <v>307</v>
      </c>
      <c r="F15" s="169" t="s">
        <v>308</v>
      </c>
      <c r="G15" s="151"/>
      <c r="H15" s="169"/>
      <c r="I15" s="169" t="s">
        <v>309</v>
      </c>
      <c r="K15" s="169"/>
      <c r="L15" s="169" t="s">
        <v>310</v>
      </c>
      <c r="N15" s="169"/>
      <c r="O15" s="169" t="s">
        <v>311</v>
      </c>
      <c r="P15" s="169"/>
      <c r="Q15" s="169" t="s">
        <v>312</v>
      </c>
      <c r="R15" s="169"/>
      <c r="S15" s="169"/>
      <c r="T15" s="169"/>
      <c r="U15" s="169" t="s">
        <v>313</v>
      </c>
      <c r="V15" s="169" t="s">
        <v>314</v>
      </c>
      <c r="W15" s="169"/>
      <c r="X15" s="1085" t="s">
        <v>315</v>
      </c>
      <c r="Y15" s="169"/>
      <c r="Z15" s="1085" t="s">
        <v>316</v>
      </c>
      <c r="AA15" s="1085" t="s">
        <v>801</v>
      </c>
      <c r="AB15" s="169"/>
      <c r="AC15" s="1085" t="s">
        <v>802</v>
      </c>
      <c r="AD15" s="169"/>
      <c r="AE15" s="1085" t="s">
        <v>1013</v>
      </c>
      <c r="AF15" s="169" t="s">
        <v>316</v>
      </c>
      <c r="AG15" s="169"/>
      <c r="AH15" s="166"/>
      <c r="AI15" s="166"/>
      <c r="AJ15" s="159"/>
    </row>
    <row r="16" spans="2:38">
      <c r="P16" s="169"/>
      <c r="Q16" s="169" t="s">
        <v>317</v>
      </c>
      <c r="V16" s="1085" t="s">
        <v>31</v>
      </c>
      <c r="W16" s="1085"/>
      <c r="X16" s="1085" t="s">
        <v>1012</v>
      </c>
      <c r="AA16" s="1085" t="s">
        <v>31</v>
      </c>
      <c r="AC16" s="1085" t="s">
        <v>899</v>
      </c>
      <c r="AE16" s="1085" t="s">
        <v>1014</v>
      </c>
      <c r="AF16" s="169" t="s">
        <v>319</v>
      </c>
      <c r="AH16" s="159"/>
      <c r="AI16" s="159"/>
      <c r="AJ16" s="159"/>
    </row>
    <row r="17" spans="2:38">
      <c r="D17" s="179" t="s">
        <v>17</v>
      </c>
      <c r="AH17" s="159"/>
      <c r="AI17" s="159"/>
      <c r="AJ17" s="159"/>
    </row>
    <row r="18" spans="2:38">
      <c r="B18" s="168">
        <v>1</v>
      </c>
      <c r="D18" s="153" t="s">
        <v>320</v>
      </c>
      <c r="F18" s="180" t="s">
        <v>321</v>
      </c>
      <c r="G18" s="180"/>
      <c r="H18" s="181">
        <v>101336.91666666667</v>
      </c>
      <c r="I18" s="181">
        <f>'Exhibit No.__(JRS-11) p1-8'!C89/12</f>
        <v>105258.64978493931</v>
      </c>
      <c r="J18" s="154"/>
      <c r="K18" s="181">
        <v>1569938.6044392167</v>
      </c>
      <c r="L18" s="181">
        <f>'Exhibit No.__(JRS-11) p1-8'!C101/1000</f>
        <v>1569786.6374891768</v>
      </c>
      <c r="N18" s="182">
        <v>102672.94442530281</v>
      </c>
      <c r="O18" s="182">
        <f>'Exhibit No.__(JRS-11) p1-8'!F101/1000</f>
        <v>142933.87703273332</v>
      </c>
      <c r="P18" s="183"/>
      <c r="Q18" s="184">
        <f ca="1">O18+U18</f>
        <v>145355.38396504798</v>
      </c>
      <c r="R18" s="182"/>
      <c r="S18" s="184" t="e">
        <f ca="1">Q18+#REF!</f>
        <v>#REF!</v>
      </c>
      <c r="T18" s="182"/>
      <c r="U18" s="182">
        <f ca="1">O18*V18</f>
        <v>2421.5069323146481</v>
      </c>
      <c r="V18" s="183">
        <f ca="1">$V$52</f>
        <v>1.6941448609556001E-2</v>
      </c>
      <c r="W18" s="183"/>
      <c r="X18" s="184">
        <f ca="1">Q18+Z18</f>
        <v>148767.34775518809</v>
      </c>
      <c r="Y18" s="182"/>
      <c r="Z18" s="182">
        <f ca="1">Q18*AA18</f>
        <v>3411.9637901401079</v>
      </c>
      <c r="AA18" s="183">
        <f ca="1">$AA$52</f>
        <v>2.3473253601397698E-2</v>
      </c>
      <c r="AB18" s="183"/>
      <c r="AC18" s="186">
        <f ca="1">Q18/L18*100</f>
        <v>9.2595630828874462</v>
      </c>
      <c r="AD18" s="183"/>
      <c r="AE18" s="186">
        <f ca="1">X18/L18*100</f>
        <v>9.476915155370202</v>
      </c>
      <c r="AF18" s="187">
        <f ca="1">(U18/L18)*100</f>
        <v>0.15425707382678264</v>
      </c>
      <c r="AG18" s="183"/>
      <c r="AH18" s="182"/>
      <c r="AI18" s="189"/>
      <c r="AJ18" s="190" t="s">
        <v>31</v>
      </c>
      <c r="AK18" s="154" t="s">
        <v>31</v>
      </c>
    </row>
    <row r="19" spans="2:38">
      <c r="H19" s="191"/>
      <c r="I19" s="191"/>
      <c r="K19" s="191"/>
      <c r="L19" s="191"/>
      <c r="N19" s="191"/>
      <c r="O19" s="191"/>
      <c r="P19" s="159"/>
      <c r="Q19" s="192"/>
      <c r="R19" s="159"/>
      <c r="S19" s="192"/>
      <c r="T19" s="159"/>
      <c r="U19" s="191"/>
      <c r="V19" s="1409"/>
      <c r="W19" s="422"/>
      <c r="X19" s="192"/>
      <c r="Y19" s="159"/>
      <c r="Z19" s="1451"/>
      <c r="AA19" s="1409"/>
      <c r="AB19" s="159"/>
      <c r="AC19" s="192"/>
      <c r="AD19" s="159"/>
      <c r="AE19" s="192"/>
      <c r="AF19" s="193"/>
      <c r="AG19" s="159"/>
      <c r="AH19" s="182"/>
      <c r="AI19" s="159"/>
      <c r="AJ19" s="159"/>
    </row>
    <row r="20" spans="2:38">
      <c r="V20" s="1097"/>
      <c r="W20" s="1097"/>
      <c r="Z20" s="199"/>
      <c r="AA20" s="1097"/>
      <c r="AF20" s="195"/>
      <c r="AH20" s="182"/>
      <c r="AI20" s="159"/>
      <c r="AJ20" s="159"/>
    </row>
    <row r="21" spans="2:38">
      <c r="B21" s="86">
        <f>MAX(B$15:B20)+1</f>
        <v>2</v>
      </c>
      <c r="D21" s="179" t="s">
        <v>322</v>
      </c>
      <c r="H21" s="196">
        <f>SUM(H18:H18)</f>
        <v>101336.91666666667</v>
      </c>
      <c r="I21" s="196">
        <f>SUM(I18:I18)</f>
        <v>105258.64978493931</v>
      </c>
      <c r="K21" s="196">
        <f>SUM(K18:K18)</f>
        <v>1569938.6044392167</v>
      </c>
      <c r="L21" s="196">
        <f>SUM(L18:L18)</f>
        <v>1569786.6374891768</v>
      </c>
      <c r="M21" s="196"/>
      <c r="N21" s="197">
        <f>SUM(N18:N18)</f>
        <v>102672.94442530281</v>
      </c>
      <c r="O21" s="197">
        <f>SUM(O18:O18)</f>
        <v>142933.87703273332</v>
      </c>
      <c r="P21" s="183"/>
      <c r="Q21" s="197">
        <f ca="1">SUM(Q18:Q18)</f>
        <v>145355.38396504798</v>
      </c>
      <c r="R21" s="197"/>
      <c r="S21" s="197" t="e">
        <f ca="1">SUM(S18:S18)</f>
        <v>#REF!</v>
      </c>
      <c r="T21" s="197"/>
      <c r="U21" s="182">
        <f ca="1">SUM(U18)</f>
        <v>2421.5069323146481</v>
      </c>
      <c r="V21" s="183">
        <f ca="1">U21/O21</f>
        <v>1.6941448609556001E-2</v>
      </c>
      <c r="W21" s="183"/>
      <c r="X21" s="197">
        <f ca="1">SUM(X18:X18)</f>
        <v>148767.34775518809</v>
      </c>
      <c r="Y21" s="197"/>
      <c r="Z21" s="182">
        <f ca="1">SUM(Z18)</f>
        <v>3411.9637901401079</v>
      </c>
      <c r="AA21" s="183">
        <f ca="1">Z21/Q21</f>
        <v>2.3473253601397698E-2</v>
      </c>
      <c r="AB21" s="183"/>
      <c r="AC21" s="186">
        <f ca="1">Q21/L21*100</f>
        <v>9.2595630828874462</v>
      </c>
      <c r="AD21" s="183"/>
      <c r="AE21" s="186">
        <f ca="1">X21/L21*100</f>
        <v>9.476915155370202</v>
      </c>
      <c r="AF21" s="187">
        <f ca="1">(U21/L21)*100</f>
        <v>0.15425707382678264</v>
      </c>
      <c r="AG21" s="183"/>
      <c r="AH21" s="182"/>
      <c r="AI21" s="189"/>
      <c r="AJ21" s="159"/>
    </row>
    <row r="22" spans="2:38">
      <c r="L22" s="1070" t="s">
        <v>31</v>
      </c>
      <c r="V22" s="1097"/>
      <c r="W22" s="1097"/>
      <c r="Z22" s="199"/>
      <c r="AA22" s="1097"/>
      <c r="AF22" s="195"/>
      <c r="AH22" s="182"/>
      <c r="AI22" s="159"/>
      <c r="AJ22" s="159"/>
    </row>
    <row r="23" spans="2:38">
      <c r="D23" s="179" t="s">
        <v>323</v>
      </c>
      <c r="H23" s="198"/>
      <c r="I23" s="198"/>
      <c r="V23" s="1097"/>
      <c r="W23" s="1097"/>
      <c r="Z23" s="199"/>
      <c r="AA23" s="1097"/>
      <c r="AF23" s="195"/>
      <c r="AH23" s="182"/>
      <c r="AI23" s="159"/>
      <c r="AJ23" s="159"/>
    </row>
    <row r="24" spans="2:38">
      <c r="B24" s="86">
        <f>MAX(B$15:B23)+1</f>
        <v>3</v>
      </c>
      <c r="D24" s="153" t="s">
        <v>324</v>
      </c>
      <c r="F24" s="151">
        <v>24</v>
      </c>
      <c r="G24" s="151"/>
      <c r="H24" s="181">
        <v>17306.416666666664</v>
      </c>
      <c r="I24" s="181">
        <f>'Exhibit No.__(JRS-11) p1-8'!C177/12</f>
        <v>19046.041792326934</v>
      </c>
      <c r="K24" s="181">
        <v>513041.74113523914</v>
      </c>
      <c r="L24" s="181">
        <f ca="1">'Exhibit No.__(JRS-11) p1-8'!C205/1000</f>
        <v>536266.600352215</v>
      </c>
      <c r="N24" s="197">
        <v>33647.646251191611</v>
      </c>
      <c r="O24" s="182">
        <f ca="1">'Exhibit No.__(JRS-11) p1-8'!F205/1000</f>
        <v>48607.124891159161</v>
      </c>
      <c r="P24" s="183"/>
      <c r="Q24" s="184">
        <f t="shared" ref="Q24:Q31" ca="1" si="0">O24+U24</f>
        <v>49430.599999561004</v>
      </c>
      <c r="R24" s="182"/>
      <c r="S24" s="184" t="e">
        <f ca="1">Q24+#REF!</f>
        <v>#REF!</v>
      </c>
      <c r="T24" s="182"/>
      <c r="U24" s="182">
        <f t="shared" ref="U24:U31" ca="1" si="1">O24*V24</f>
        <v>823.47510840184327</v>
      </c>
      <c r="V24" s="183">
        <f t="shared" ref="V24:V31" ca="1" si="2">$V$52</f>
        <v>1.6941448609556001E-2</v>
      </c>
      <c r="W24" s="183"/>
      <c r="X24" s="184">
        <f t="shared" ref="X24:X31" ca="1" si="3">Q24+Z24</f>
        <v>50590.897009019951</v>
      </c>
      <c r="Y24" s="182"/>
      <c r="Z24" s="182">
        <f t="shared" ref="Z24:Z31" ca="1" si="4">Q24*AA24</f>
        <v>1160.2970094589443</v>
      </c>
      <c r="AA24" s="183">
        <f t="shared" ref="AA24:AA31" ca="1" si="5">$AA$52</f>
        <v>2.3473253601397698E-2</v>
      </c>
      <c r="AB24" s="183"/>
      <c r="AC24" s="186">
        <f ca="1">Q24/L24*100</f>
        <v>9.217542164120502</v>
      </c>
      <c r="AD24" s="183"/>
      <c r="AE24" s="186">
        <f t="shared" ref="AE24:AE31" ca="1" si="6">X24/L24*100</f>
        <v>9.4339078689204801</v>
      </c>
      <c r="AF24" s="187">
        <f ca="1">(U24/L24)*100</f>
        <v>0.15355703820841954</v>
      </c>
      <c r="AG24" s="183"/>
      <c r="AH24" s="182"/>
      <c r="AI24" s="189"/>
      <c r="AJ24" s="159"/>
      <c r="AK24" s="199"/>
      <c r="AL24" s="14"/>
    </row>
    <row r="25" spans="2:38">
      <c r="B25" s="86">
        <f>MAX(B$15:B24)+1</f>
        <v>4</v>
      </c>
      <c r="D25" s="52" t="s">
        <v>325</v>
      </c>
      <c r="E25" s="52"/>
      <c r="F25" s="151">
        <v>33</v>
      </c>
      <c r="G25" s="151"/>
      <c r="H25" s="181">
        <v>0</v>
      </c>
      <c r="I25" s="181">
        <v>0</v>
      </c>
      <c r="K25" s="181">
        <v>0</v>
      </c>
      <c r="L25" s="181">
        <v>0</v>
      </c>
      <c r="N25" s="182">
        <v>0</v>
      </c>
      <c r="O25" s="182">
        <v>0</v>
      </c>
      <c r="P25" s="183"/>
      <c r="Q25" s="184">
        <f t="shared" ca="1" si="0"/>
        <v>0</v>
      </c>
      <c r="R25" s="182"/>
      <c r="S25" s="184" t="e">
        <f ca="1">Q25+#REF!</f>
        <v>#REF!</v>
      </c>
      <c r="T25" s="182"/>
      <c r="U25" s="182">
        <f t="shared" ca="1" si="1"/>
        <v>0</v>
      </c>
      <c r="V25" s="183">
        <f t="shared" ca="1" si="2"/>
        <v>1.6941448609556001E-2</v>
      </c>
      <c r="W25" s="183"/>
      <c r="X25" s="184">
        <f t="shared" ca="1" si="3"/>
        <v>0</v>
      </c>
      <c r="Y25" s="182"/>
      <c r="Z25" s="182">
        <f t="shared" ca="1" si="4"/>
        <v>0</v>
      </c>
      <c r="AA25" s="183">
        <f t="shared" ca="1" si="5"/>
        <v>2.3473253601397698E-2</v>
      </c>
      <c r="AB25" s="183"/>
      <c r="AC25" s="186">
        <f ca="1">AC26</f>
        <v>7.8948914909725971</v>
      </c>
      <c r="AD25" s="183"/>
      <c r="AE25" s="186">
        <f ca="1">AE26</f>
        <v>8.080210281095713</v>
      </c>
      <c r="AF25" s="187">
        <f ca="1">AF26</f>
        <v>0.1315227131859048</v>
      </c>
      <c r="AG25" s="183"/>
      <c r="AH25" s="182"/>
      <c r="AI25" s="189"/>
      <c r="AJ25" s="159"/>
      <c r="AK25" s="199"/>
      <c r="AL25" s="14"/>
    </row>
    <row r="26" spans="2:38">
      <c r="B26" s="86">
        <f>MAX(B$15:B25)+1</f>
        <v>5</v>
      </c>
      <c r="D26" s="153" t="s">
        <v>326</v>
      </c>
      <c r="F26" s="151">
        <v>36</v>
      </c>
      <c r="G26" s="151"/>
      <c r="H26" s="181">
        <v>1058.6666666666667</v>
      </c>
      <c r="I26" s="181">
        <f>'Exhibit No.__(JRS-11) p1-8'!C606/12</f>
        <v>1085.852777777774</v>
      </c>
      <c r="K26" s="181">
        <v>901191.51506367233</v>
      </c>
      <c r="L26" s="181">
        <f ca="1">'Exhibit No.__(JRS-11) p1-8'!C637/1000</f>
        <v>928614.07790582778</v>
      </c>
      <c r="N26" s="197">
        <v>49005.26783999426</v>
      </c>
      <c r="O26" s="182">
        <f ca="1">'Exhibit No.__(JRS-11) p1-8'!F637/1000</f>
        <v>72091.735390272821</v>
      </c>
      <c r="P26" s="183"/>
      <c r="Q26" s="1313">
        <f t="shared" ca="1" si="0"/>
        <v>73313.073820560836</v>
      </c>
      <c r="R26" s="182"/>
      <c r="S26" s="184" t="e">
        <f ca="1">Q26+#REF!</f>
        <v>#REF!</v>
      </c>
      <c r="T26" s="182"/>
      <c r="U26" s="182">
        <f t="shared" ca="1" si="1"/>
        <v>1221.3384302880165</v>
      </c>
      <c r="V26" s="183">
        <f t="shared" ca="1" si="2"/>
        <v>1.6941448609556001E-2</v>
      </c>
      <c r="W26" s="183"/>
      <c r="X26" s="184">
        <f t="shared" ca="1" si="3"/>
        <v>75033.970194648849</v>
      </c>
      <c r="Y26" s="182"/>
      <c r="Z26" s="182">
        <f t="shared" ca="1" si="4"/>
        <v>1720.8963740880149</v>
      </c>
      <c r="AA26" s="183">
        <f t="shared" ca="1" si="5"/>
        <v>2.3473253601397698E-2</v>
      </c>
      <c r="AB26" s="183"/>
      <c r="AC26" s="186">
        <f t="shared" ref="AC26:AC31" ca="1" si="7">Q26/L26*100</f>
        <v>7.8948914909725971</v>
      </c>
      <c r="AD26" s="183"/>
      <c r="AE26" s="186">
        <f t="shared" ca="1" si="6"/>
        <v>8.080210281095713</v>
      </c>
      <c r="AF26" s="187">
        <f t="shared" ref="AF26:AF31" ca="1" si="8">(U26/L26)*100</f>
        <v>0.1315227131859048</v>
      </c>
      <c r="AG26" s="183"/>
      <c r="AH26" s="182"/>
      <c r="AI26" s="189"/>
      <c r="AJ26" s="159"/>
      <c r="AK26" s="199"/>
      <c r="AL26" s="14"/>
    </row>
    <row r="27" spans="2:38">
      <c r="B27" s="86">
        <f>MAX(B$15:B26)+1</f>
        <v>6</v>
      </c>
      <c r="D27" s="153" t="s">
        <v>190</v>
      </c>
      <c r="F27" s="151" t="s">
        <v>327</v>
      </c>
      <c r="G27" s="151"/>
      <c r="H27" s="181">
        <v>5259</v>
      </c>
      <c r="I27" s="181">
        <f>'Exhibit No.__(JRS-11) p1-8'!C726</f>
        <v>5224.9278642093977</v>
      </c>
      <c r="K27" s="181">
        <v>168033.04399999999</v>
      </c>
      <c r="L27" s="181">
        <f ca="1">'Exhibit No.__(JRS-11) p1-8'!C769/1000</f>
        <v>160874.871894949</v>
      </c>
      <c r="N27" s="197">
        <v>10140.337</v>
      </c>
      <c r="O27" s="182">
        <f ca="1">'Exhibit No.__(JRS-11) p1-8'!F769/1000</f>
        <v>13779.761</v>
      </c>
      <c r="P27" s="183"/>
      <c r="Q27" s="184">
        <f t="shared" ca="1" si="0"/>
        <v>14013.210112833465</v>
      </c>
      <c r="R27" s="182"/>
      <c r="S27" s="184" t="e">
        <f ca="1">Q27+#REF!</f>
        <v>#REF!</v>
      </c>
      <c r="T27" s="182"/>
      <c r="U27" s="182">
        <f t="shared" ca="1" si="1"/>
        <v>233.449112833464</v>
      </c>
      <c r="V27" s="183">
        <f t="shared" ca="1" si="2"/>
        <v>1.6941448609556001E-2</v>
      </c>
      <c r="W27" s="183"/>
      <c r="X27" s="184">
        <f t="shared" ca="1" si="3"/>
        <v>14342.145747581675</v>
      </c>
      <c r="Y27" s="182"/>
      <c r="Z27" s="182">
        <f t="shared" ca="1" si="4"/>
        <v>328.93563474821076</v>
      </c>
      <c r="AA27" s="183">
        <f t="shared" ca="1" si="5"/>
        <v>2.3473253601397698E-2</v>
      </c>
      <c r="AB27" s="183"/>
      <c r="AC27" s="186">
        <f t="shared" ca="1" si="7"/>
        <v>8.7106270530453411</v>
      </c>
      <c r="AD27" s="183"/>
      <c r="AE27" s="186">
        <f t="shared" ca="1" si="6"/>
        <v>8.9150938108886706</v>
      </c>
      <c r="AF27" s="187">
        <f t="shared" ca="1" si="8"/>
        <v>0.1451122292025232</v>
      </c>
      <c r="AG27" s="183"/>
      <c r="AH27" s="182"/>
      <c r="AI27" s="189"/>
      <c r="AJ27" s="159"/>
    </row>
    <row r="28" spans="2:38">
      <c r="B28" s="86">
        <f>MAX(B$15:B27)+1</f>
        <v>7</v>
      </c>
      <c r="D28" s="153" t="s">
        <v>328</v>
      </c>
      <c r="F28" s="151">
        <v>47</v>
      </c>
      <c r="G28" s="151"/>
      <c r="H28" s="181">
        <v>1.0833333333333333</v>
      </c>
      <c r="I28" s="181">
        <f>'Exhibit No.__(JRS-11) p1-8'!C883/12</f>
        <v>1</v>
      </c>
      <c r="K28" s="181">
        <v>1616.6904507017675</v>
      </c>
      <c r="L28" s="181">
        <f ca="1">'Exhibit No.__(JRS-11) p1-8'!C897/1000</f>
        <v>2252.8077291342674</v>
      </c>
      <c r="N28" s="197">
        <v>165.62561725051643</v>
      </c>
      <c r="O28" s="182">
        <f ca="1">'Exhibit No.__(JRS-11) p1-8'!F897/1000</f>
        <v>320.24390541901147</v>
      </c>
      <c r="P28" s="183"/>
      <c r="Q28" s="184">
        <f t="shared" ca="1" si="0"/>
        <v>325.66930108519114</v>
      </c>
      <c r="R28" s="182"/>
      <c r="S28" s="184" t="e">
        <f ca="1">Q28+#REF!</f>
        <v>#REF!</v>
      </c>
      <c r="T28" s="182"/>
      <c r="U28" s="182">
        <f t="shared" ca="1" si="1"/>
        <v>5.4253956661796954</v>
      </c>
      <c r="V28" s="183">
        <f t="shared" ca="1" si="2"/>
        <v>1.6941448609556001E-2</v>
      </c>
      <c r="W28" s="183"/>
      <c r="X28" s="184">
        <f t="shared" ca="1" si="3"/>
        <v>333.31381917975375</v>
      </c>
      <c r="Y28" s="182"/>
      <c r="Z28" s="182">
        <f t="shared" ca="1" si="4"/>
        <v>7.6445180945626339</v>
      </c>
      <c r="AA28" s="183">
        <f t="shared" ca="1" si="5"/>
        <v>2.3473253601397698E-2</v>
      </c>
      <c r="AB28" s="183"/>
      <c r="AC28" s="186">
        <f t="shared" ca="1" si="7"/>
        <v>14.45615162241754</v>
      </c>
      <c r="AD28" s="183"/>
      <c r="AE28" s="186">
        <f t="shared" ca="1" si="6"/>
        <v>14.795484535550802</v>
      </c>
      <c r="AF28" s="187">
        <f t="shared" ca="1" si="8"/>
        <v>0.24082817170840509</v>
      </c>
      <c r="AG28" s="183"/>
      <c r="AH28" s="182"/>
      <c r="AI28" s="189"/>
      <c r="AJ28" s="159"/>
    </row>
    <row r="29" spans="2:38">
      <c r="B29" s="86">
        <f>MAX(B$15:B27)+1</f>
        <v>7</v>
      </c>
      <c r="D29" s="153" t="s">
        <v>329</v>
      </c>
      <c r="F29" s="151">
        <v>48</v>
      </c>
      <c r="G29" s="151"/>
      <c r="H29" s="181">
        <v>63.666666666666671</v>
      </c>
      <c r="I29" s="181">
        <f>('Exhibit No.__(JRS-11) p1-8'!C924)/12</f>
        <v>65.154040404040458</v>
      </c>
      <c r="K29" s="181">
        <v>856497.09877425549</v>
      </c>
      <c r="L29" s="181">
        <f ca="1">('Exhibit No.__(JRS-11) p1-8'!C934)/1000</f>
        <v>413290.81798306474</v>
      </c>
      <c r="N29" s="197">
        <v>38996.209349631463</v>
      </c>
      <c r="O29" s="182">
        <f ca="1">('Exhibit No.__(JRS-11) p1-8'!F934)/1000</f>
        <v>28946.199579258908</v>
      </c>
      <c r="P29" s="183"/>
      <c r="Q29" s="184">
        <f t="shared" ca="1" si="0"/>
        <v>29436.590131872876</v>
      </c>
      <c r="R29" s="182"/>
      <c r="S29" s="184" t="e">
        <f ca="1">Q29+#REF!</f>
        <v>#REF!</v>
      </c>
      <c r="T29" s="182"/>
      <c r="U29" s="182">
        <f t="shared" ca="1" si="1"/>
        <v>490.39055261396629</v>
      </c>
      <c r="V29" s="183">
        <f t="shared" ca="1" si="2"/>
        <v>1.6941448609556001E-2</v>
      </c>
      <c r="W29" s="183"/>
      <c r="X29" s="184">
        <f t="shared" ca="1" si="3"/>
        <v>30127.56267719873</v>
      </c>
      <c r="Y29" s="182"/>
      <c r="Z29" s="182">
        <f t="shared" ca="1" si="4"/>
        <v>690.97254532585293</v>
      </c>
      <c r="AA29" s="183">
        <f t="shared" ca="1" si="5"/>
        <v>2.3473253601397698E-2</v>
      </c>
      <c r="AB29" s="183"/>
      <c r="AC29" s="186">
        <f t="shared" ca="1" si="7"/>
        <v>7.1224882942062084</v>
      </c>
      <c r="AD29" s="183"/>
      <c r="AE29" s="186">
        <f t="shared" ca="1" si="6"/>
        <v>7.2896762682090985</v>
      </c>
      <c r="AF29" s="187">
        <f t="shared" ca="1" si="8"/>
        <v>0.11865508046057312</v>
      </c>
      <c r="AG29" s="183"/>
      <c r="AH29" s="182"/>
      <c r="AI29" s="189"/>
      <c r="AJ29" s="159"/>
    </row>
    <row r="30" spans="2:38">
      <c r="B30" s="86">
        <f>MAX(B$15:B28)+1</f>
        <v>8</v>
      </c>
      <c r="D30" s="153" t="s">
        <v>652</v>
      </c>
      <c r="F30" s="180" t="s">
        <v>653</v>
      </c>
      <c r="G30" s="151"/>
      <c r="H30" s="181">
        <v>63.666666666666671</v>
      </c>
      <c r="I30" s="181">
        <f>('Exhibit No.__(JRS-11) p1-8'!C1093)/12</f>
        <v>1.0027777777777749</v>
      </c>
      <c r="K30" s="181">
        <v>856497.09877425549</v>
      </c>
      <c r="L30" s="181">
        <f ca="1">('Exhibit No.__(JRS-11) p1-8'!C1104)/1000</f>
        <v>459903.50184810511</v>
      </c>
      <c r="N30" s="197">
        <v>38996.209349631463</v>
      </c>
      <c r="O30" s="182">
        <f ca="1">('Exhibit No.__(JRS-11) p1-8'!F1104)/1000</f>
        <v>26554.390864840949</v>
      </c>
      <c r="P30" s="183"/>
      <c r="Q30" s="184">
        <f t="shared" ref="Q30" ca="1" si="9">O30+U30</f>
        <v>27004.260713035714</v>
      </c>
      <c r="R30" s="182"/>
      <c r="S30" s="184" t="e">
        <f ca="1">Q30+#REF!</f>
        <v>#REF!</v>
      </c>
      <c r="T30" s="182"/>
      <c r="U30" s="182">
        <f ca="1">O30*V30</f>
        <v>449.86984819476623</v>
      </c>
      <c r="V30" s="183">
        <f t="shared" ca="1" si="2"/>
        <v>1.6941448609556001E-2</v>
      </c>
      <c r="W30" s="183"/>
      <c r="X30" s="184">
        <f t="shared" ca="1" si="3"/>
        <v>27638.138573071061</v>
      </c>
      <c r="Y30" s="182"/>
      <c r="Z30" s="182">
        <f t="shared" ca="1" si="4"/>
        <v>633.87786003534791</v>
      </c>
      <c r="AA30" s="183">
        <f t="shared" ca="1" si="5"/>
        <v>2.3473253601397698E-2</v>
      </c>
      <c r="AB30" s="183"/>
      <c r="AC30" s="186">
        <f t="shared" ca="1" si="7"/>
        <v>5.8717232211801171</v>
      </c>
      <c r="AD30" s="183"/>
      <c r="AE30" s="186">
        <f t="shared" ca="1" si="6"/>
        <v>6.0095516694280926</v>
      </c>
      <c r="AF30" s="187">
        <f t="shared" ca="1" si="8"/>
        <v>9.7818313273758728E-2</v>
      </c>
      <c r="AG30" s="183"/>
      <c r="AH30" s="182"/>
      <c r="AI30" s="189"/>
      <c r="AJ30" s="159"/>
    </row>
    <row r="31" spans="2:38">
      <c r="B31" s="86">
        <f>MAX(B$15:B30)+1</f>
        <v>9</v>
      </c>
      <c r="D31" s="153" t="s">
        <v>186</v>
      </c>
      <c r="F31" s="151" t="s">
        <v>187</v>
      </c>
      <c r="G31" s="151"/>
      <c r="H31" s="181">
        <v>28</v>
      </c>
      <c r="I31" s="181">
        <f>'Exhibit No.__(JRS-11) p1-8'!C1224/12</f>
        <v>29.122222222222252</v>
      </c>
      <c r="K31" s="181">
        <v>233.86177246899351</v>
      </c>
      <c r="L31" s="181">
        <f>'Exhibit No.__(JRS-11) p1-8'!C1230/1000</f>
        <v>269.62791580171842</v>
      </c>
      <c r="N31" s="197">
        <v>18.659249899021408</v>
      </c>
      <c r="O31" s="182">
        <f>'Exhibit No.__(JRS-11) p1-8'!F1230/1000</f>
        <v>24.108272947769361</v>
      </c>
      <c r="P31" s="183"/>
      <c r="Q31" s="184">
        <f t="shared" ca="1" si="0"/>
        <v>24.516702014979145</v>
      </c>
      <c r="R31" s="182"/>
      <c r="S31" s="184" t="e">
        <f ca="1">Q31+#REF!</f>
        <v>#REF!</v>
      </c>
      <c r="T31" s="182"/>
      <c r="U31" s="182">
        <f t="shared" ca="1" si="1"/>
        <v>0.40842906720978378</v>
      </c>
      <c r="V31" s="183">
        <f t="shared" ca="1" si="2"/>
        <v>1.6941448609556001E-2</v>
      </c>
      <c r="W31" s="183"/>
      <c r="X31" s="184">
        <f t="shared" ca="1" si="3"/>
        <v>25.092188778846648</v>
      </c>
      <c r="Y31" s="182"/>
      <c r="Z31" s="182">
        <f t="shared" ca="1" si="4"/>
        <v>0.57548676386750341</v>
      </c>
      <c r="AA31" s="183">
        <f t="shared" ca="1" si="5"/>
        <v>2.3473253601397698E-2</v>
      </c>
      <c r="AB31" s="183"/>
      <c r="AC31" s="186">
        <f t="shared" ca="1" si="7"/>
        <v>9.0927906860387839</v>
      </c>
      <c r="AD31" s="183"/>
      <c r="AE31" s="186">
        <f t="shared" ca="1" si="6"/>
        <v>9.3062280677565994</v>
      </c>
      <c r="AF31" s="187">
        <f t="shared" ca="1" si="8"/>
        <v>0.15147877622216918</v>
      </c>
      <c r="AG31" s="183"/>
      <c r="AH31" s="182"/>
      <c r="AI31" s="189"/>
      <c r="AJ31" s="159"/>
    </row>
    <row r="32" spans="2:38">
      <c r="B32" s="168"/>
      <c r="F32" s="151"/>
      <c r="G32" s="151"/>
      <c r="H32" s="191"/>
      <c r="I32" s="191"/>
      <c r="K32" s="191"/>
      <c r="L32" s="191"/>
      <c r="N32" s="191"/>
      <c r="O32" s="191"/>
      <c r="P32" s="159"/>
      <c r="Q32" s="192"/>
      <c r="R32" s="159"/>
      <c r="S32" s="192"/>
      <c r="T32" s="159"/>
      <c r="U32" s="191"/>
      <c r="V32" s="1410"/>
      <c r="W32" s="1413"/>
      <c r="X32" s="192"/>
      <c r="Y32" s="159"/>
      <c r="Z32" s="1451"/>
      <c r="AA32" s="1410"/>
      <c r="AB32" s="159"/>
      <c r="AC32" s="192"/>
      <c r="AD32" s="159"/>
      <c r="AE32" s="192"/>
      <c r="AF32" s="193"/>
      <c r="AG32" s="159"/>
      <c r="AH32" s="182"/>
      <c r="AI32" s="159"/>
      <c r="AJ32" s="159"/>
    </row>
    <row r="33" spans="2:38">
      <c r="B33" s="168"/>
      <c r="V33" s="1097"/>
      <c r="W33" s="1097"/>
      <c r="Z33" s="199"/>
      <c r="AA33" s="1097"/>
      <c r="AF33" s="195"/>
      <c r="AH33" s="182"/>
      <c r="AI33" s="159"/>
      <c r="AJ33" s="159"/>
    </row>
    <row r="34" spans="2:38">
      <c r="B34" s="86">
        <f>MAX(B$15:B33)+1</f>
        <v>10</v>
      </c>
      <c r="D34" s="179" t="s">
        <v>330</v>
      </c>
      <c r="H34" s="196">
        <f>SUM(H24:H31)</f>
        <v>23780.5</v>
      </c>
      <c r="I34" s="196">
        <f>SUM(I24:I31)</f>
        <v>25453.101474718143</v>
      </c>
      <c r="K34" s="196">
        <f>SUM(K24:K31)</f>
        <v>3297111.0499705928</v>
      </c>
      <c r="L34" s="196">
        <f ca="1">SUM(L24:L31)</f>
        <v>2501472.3056290983</v>
      </c>
      <c r="M34" s="196"/>
      <c r="N34" s="182">
        <f>SUM(N24:N31)</f>
        <v>170969.95465759834</v>
      </c>
      <c r="O34" s="182">
        <f ca="1">SUM(O24:O31)</f>
        <v>190323.56390389864</v>
      </c>
      <c r="P34" s="183"/>
      <c r="Q34" s="184">
        <f ca="1">SUM(Q24:Q31)</f>
        <v>193547.92078096408</v>
      </c>
      <c r="R34" s="197"/>
      <c r="S34" s="184" t="e">
        <f ca="1">SUM(S24:S31)</f>
        <v>#REF!</v>
      </c>
      <c r="T34" s="197"/>
      <c r="U34" s="182">
        <f ca="1">SUM(U24:U31)</f>
        <v>3224.356877065446</v>
      </c>
      <c r="V34" s="183">
        <f ca="1">U34/O34</f>
        <v>1.6941448609556001E-2</v>
      </c>
      <c r="W34" s="183"/>
      <c r="X34" s="184">
        <f ca="1">SUM(X24:X31)</f>
        <v>198091.12020947889</v>
      </c>
      <c r="Y34" s="197"/>
      <c r="Z34" s="182">
        <f ca="1">SUM(Z24:Z31)</f>
        <v>4543.1994285148012</v>
      </c>
      <c r="AA34" s="183">
        <f ca="1">Z34/Q34</f>
        <v>2.3473253601397695E-2</v>
      </c>
      <c r="AB34" s="183"/>
      <c r="AC34" s="186">
        <f ca="1">Q34/L34*100</f>
        <v>7.7373601276904198</v>
      </c>
      <c r="AD34" s="183"/>
      <c r="AE34" s="186">
        <f ca="1">X34/L34*100</f>
        <v>7.9189811441730402</v>
      </c>
      <c r="AF34" s="187">
        <f ca="1">(U34/L34)*100</f>
        <v>0.12889836396787724</v>
      </c>
      <c r="AG34" s="183"/>
      <c r="AH34" s="182"/>
      <c r="AI34" s="189"/>
      <c r="AJ34" s="159"/>
    </row>
    <row r="35" spans="2:38">
      <c r="B35" s="168"/>
      <c r="V35" s="1097"/>
      <c r="W35" s="1097"/>
      <c r="Z35" s="199"/>
      <c r="AA35" s="1097"/>
      <c r="AF35" s="195"/>
      <c r="AH35" s="182"/>
      <c r="AI35" s="159"/>
      <c r="AJ35" s="159"/>
      <c r="AK35" s="154" t="s">
        <v>31</v>
      </c>
    </row>
    <row r="36" spans="2:38">
      <c r="B36" s="168"/>
      <c r="D36" s="179" t="s">
        <v>188</v>
      </c>
      <c r="V36" s="1097"/>
      <c r="W36" s="1097"/>
      <c r="Z36" s="199"/>
      <c r="AA36" s="1097"/>
      <c r="AF36" s="195"/>
      <c r="AH36" s="182"/>
      <c r="AI36" s="159"/>
      <c r="AJ36" s="159"/>
    </row>
    <row r="37" spans="2:38">
      <c r="B37" s="86">
        <f>MAX(B$15:B36)+1</f>
        <v>11</v>
      </c>
      <c r="D37" s="153" t="s">
        <v>184</v>
      </c>
      <c r="F37" s="151" t="s">
        <v>185</v>
      </c>
      <c r="G37" s="151"/>
      <c r="H37" s="181">
        <v>2828</v>
      </c>
      <c r="I37" s="181">
        <f>'Exhibit No.__(JRS-11) p1-8'!C24/12</f>
        <v>2460.9166666666665</v>
      </c>
      <c r="K37" s="181">
        <v>3735.0893644456642</v>
      </c>
      <c r="L37" s="181">
        <f ca="1">'Exhibit No.__(JRS-11) p1-8'!C27/1000</f>
        <v>3285.7464134232382</v>
      </c>
      <c r="N37" s="197">
        <v>473.92026673033644</v>
      </c>
      <c r="O37" s="182">
        <f ca="1">'Exhibit No.__(JRS-11) p1-8'!F27/1000</f>
        <v>469.31262621896536</v>
      </c>
      <c r="P37" s="183"/>
      <c r="Q37" s="184">
        <f ca="1">O37+U37</f>
        <v>477.26346195786971</v>
      </c>
      <c r="R37" s="182"/>
      <c r="S37" s="184" t="e">
        <f ca="1">Q37+#REF!</f>
        <v>#REF!</v>
      </c>
      <c r="T37" s="182"/>
      <c r="U37" s="182">
        <f ca="1">O37*V37</f>
        <v>7.9508357389043658</v>
      </c>
      <c r="V37" s="183">
        <f ca="1">$V$52</f>
        <v>1.6941448609556001E-2</v>
      </c>
      <c r="W37" s="183"/>
      <c r="X37" s="184">
        <f t="shared" ref="X37:X41" ca="1" si="10">Q37+Z37</f>
        <v>488.46638823508783</v>
      </c>
      <c r="Y37" s="182"/>
      <c r="Z37" s="182">
        <f ca="1">Q37*AA37</f>
        <v>11.202926277218099</v>
      </c>
      <c r="AA37" s="183">
        <f ca="1">$AA$52</f>
        <v>2.3473253601397698E-2</v>
      </c>
      <c r="AB37" s="183"/>
      <c r="AC37" s="186">
        <f ca="1">Q37/L37*100</f>
        <v>14.525267683717416</v>
      </c>
      <c r="AD37" s="183"/>
      <c r="AE37" s="186">
        <f t="shared" ref="AE37:AE41" ca="1" si="11">X37/L37*100</f>
        <v>14.866222975685503</v>
      </c>
      <c r="AF37" s="187">
        <f ca="1">(U37/L37)*100</f>
        <v>0.24197959119495252</v>
      </c>
      <c r="AG37" s="183"/>
      <c r="AH37" s="182"/>
      <c r="AI37" s="189"/>
      <c r="AJ37" s="159"/>
    </row>
    <row r="38" spans="2:38">
      <c r="B38" s="86">
        <f>MAX(B$15:B37)+1</f>
        <v>12</v>
      </c>
      <c r="D38" s="153" t="s">
        <v>331</v>
      </c>
      <c r="F38" s="151" t="s">
        <v>332</v>
      </c>
      <c r="G38" s="151"/>
      <c r="H38" s="181">
        <v>178</v>
      </c>
      <c r="I38" s="181">
        <f>'Exhibit No.__(JRS-11) p1-8'!C1135/12</f>
        <v>177</v>
      </c>
      <c r="K38" s="181">
        <v>2902.2385934150548</v>
      </c>
      <c r="L38" s="181">
        <f ca="1">'Exhibit No.__(JRS-11) p1-8'!C1139/1000</f>
        <v>3932.5577854698172</v>
      </c>
      <c r="N38" s="197">
        <v>522.31224201957195</v>
      </c>
      <c r="O38" s="182">
        <f>'Exhibit No.__(JRS-11) p1-8'!F1139/1000</f>
        <v>768.97320538016254</v>
      </c>
      <c r="P38" s="183"/>
      <c r="Q38" s="184">
        <f ca="1">O38+U38</f>
        <v>782.0007254212361</v>
      </c>
      <c r="R38" s="182"/>
      <c r="S38" s="184" t="e">
        <f ca="1">Q38+#REF!</f>
        <v>#REF!</v>
      </c>
      <c r="T38" s="182"/>
      <c r="U38" s="182">
        <f ca="1">O38*V38</f>
        <v>13.027520041073576</v>
      </c>
      <c r="V38" s="183">
        <f ca="1">$V$52</f>
        <v>1.6941448609556001E-2</v>
      </c>
      <c r="W38" s="183"/>
      <c r="X38" s="184">
        <f t="shared" ca="1" si="10"/>
        <v>800.35682676552574</v>
      </c>
      <c r="Y38" s="182"/>
      <c r="Z38" s="182">
        <f ca="1">Q38*AA38</f>
        <v>18.356101344289645</v>
      </c>
      <c r="AA38" s="183">
        <f ca="1">$AA$52</f>
        <v>2.3473253601397698E-2</v>
      </c>
      <c r="AB38" s="183"/>
      <c r="AC38" s="186">
        <f ca="1">Q38/L38*100</f>
        <v>19.885295222122505</v>
      </c>
      <c r="AD38" s="183"/>
      <c r="AE38" s="186">
        <f t="shared" ca="1" si="11"/>
        <v>20.352067799810047</v>
      </c>
      <c r="AF38" s="187">
        <f ca="1">(U38/L38)*100</f>
        <v>0.3312734548798803</v>
      </c>
      <c r="AG38" s="183"/>
      <c r="AH38" s="182"/>
      <c r="AI38" s="189"/>
      <c r="AJ38" s="159"/>
    </row>
    <row r="39" spans="2:38">
      <c r="B39" s="86">
        <f>MAX(B$15:B38)+1</f>
        <v>13</v>
      </c>
      <c r="D39" s="153" t="s">
        <v>331</v>
      </c>
      <c r="F39" s="151">
        <v>52</v>
      </c>
      <c r="G39" s="151"/>
      <c r="H39" s="181">
        <v>30</v>
      </c>
      <c r="I39" s="181">
        <f>'Exhibit No.__(JRS-11) p1-8'!C1151/12</f>
        <v>1.1666666666666667</v>
      </c>
      <c r="K39" s="181">
        <v>466.2387672357238</v>
      </c>
      <c r="L39" s="181">
        <f ca="1">'Exhibit No.__(JRS-11) p1-8'!C1156/1000</f>
        <v>212.19525038227087</v>
      </c>
      <c r="N39" s="197">
        <v>60.670270195709442</v>
      </c>
      <c r="O39" s="182">
        <f>'Exhibit No.__(JRS-11) p1-8'!F1156/1000</f>
        <v>36.502141953691478</v>
      </c>
      <c r="P39" s="183"/>
      <c r="Q39" s="184">
        <f ca="1">O39+U39</f>
        <v>37.120541115738661</v>
      </c>
      <c r="R39" s="182"/>
      <c r="S39" s="184" t="e">
        <f ca="1">Q39+#REF!</f>
        <v>#REF!</v>
      </c>
      <c r="T39" s="182"/>
      <c r="U39" s="182">
        <f ca="1">O39*V39</f>
        <v>0.61839916204718226</v>
      </c>
      <c r="V39" s="183">
        <f ca="1">$V$52</f>
        <v>1.6941448609556001E-2</v>
      </c>
      <c r="W39" s="183"/>
      <c r="X39" s="184">
        <f t="shared" ca="1" si="10"/>
        <v>37.991880991169502</v>
      </c>
      <c r="Y39" s="182"/>
      <c r="Z39" s="182">
        <f ca="1">Q39*AA39</f>
        <v>0.8713398754308439</v>
      </c>
      <c r="AA39" s="183">
        <f ca="1">$AA$52</f>
        <v>2.3473253601397698E-2</v>
      </c>
      <c r="AB39" s="183"/>
      <c r="AC39" s="186">
        <f ca="1">Q39/L39*100</f>
        <v>17.493577753915702</v>
      </c>
      <c r="AD39" s="183"/>
      <c r="AE39" s="186">
        <f t="shared" ca="1" si="11"/>
        <v>17.904208940929134</v>
      </c>
      <c r="AF39" s="187">
        <f ca="1">(U39/L39)*100</f>
        <v>0.29142931377263764</v>
      </c>
      <c r="AG39" s="183"/>
      <c r="AH39" s="182"/>
      <c r="AI39" s="189"/>
      <c r="AJ39" s="159"/>
    </row>
    <row r="40" spans="2:38">
      <c r="B40" s="86">
        <f>MAX(B$15:B39)+1</f>
        <v>14</v>
      </c>
      <c r="D40" s="153" t="s">
        <v>331</v>
      </c>
      <c r="F40" s="151">
        <v>53</v>
      </c>
      <c r="G40" s="151"/>
      <c r="H40" s="181">
        <v>272.33333333333337</v>
      </c>
      <c r="I40" s="181">
        <f>'Exhibit No.__(JRS-11) p1-8'!C1166/12</f>
        <v>6.7847222222222223</v>
      </c>
      <c r="K40" s="181">
        <v>4499.9316487570059</v>
      </c>
      <c r="L40" s="181">
        <f ca="1">'Exhibit No.__(JRS-11) p1-8'!C1170/1000</f>
        <v>4656.9131691638522</v>
      </c>
      <c r="N40" s="181">
        <v>278.83306975907675</v>
      </c>
      <c r="O40" s="182">
        <f>'Exhibit No.__(JRS-11) p1-8'!F1170/1000</f>
        <v>325.79118695836257</v>
      </c>
      <c r="P40" s="183"/>
      <c r="Q40" s="184">
        <f ca="1">O40+U40</f>
        <v>331.31056160966392</v>
      </c>
      <c r="R40" s="182"/>
      <c r="S40" s="184" t="e">
        <f ca="1">Q40+#REF!</f>
        <v>#REF!</v>
      </c>
      <c r="T40" s="182"/>
      <c r="U40" s="182">
        <f ca="1">O40*V40</f>
        <v>5.5193746513013506</v>
      </c>
      <c r="V40" s="183">
        <f ca="1">$V$52</f>
        <v>1.6941448609556001E-2</v>
      </c>
      <c r="W40" s="183"/>
      <c r="X40" s="184">
        <f t="shared" ca="1" si="10"/>
        <v>339.08749844314906</v>
      </c>
      <c r="Y40" s="182"/>
      <c r="Z40" s="182">
        <f ca="1">Q40*AA40</f>
        <v>7.7769368334851379</v>
      </c>
      <c r="AA40" s="183">
        <f ca="1">$AA$52</f>
        <v>2.3473253601397698E-2</v>
      </c>
      <c r="AB40" s="183"/>
      <c r="AC40" s="186">
        <f ca="1">Q40/L40*100</f>
        <v>7.1143813417751707</v>
      </c>
      <c r="AD40" s="183"/>
      <c r="AE40" s="186">
        <f t="shared" ca="1" si="11"/>
        <v>7.2813790192277112</v>
      </c>
      <c r="AF40" s="187">
        <f ca="1">(U40/L40)*100</f>
        <v>0.11852002497809838</v>
      </c>
      <c r="AG40" s="183"/>
      <c r="AH40" s="182"/>
      <c r="AI40" s="189"/>
      <c r="AJ40" s="159"/>
    </row>
    <row r="41" spans="2:38">
      <c r="B41" s="86">
        <f>MAX(B$15:B40)+1</f>
        <v>15</v>
      </c>
      <c r="D41" s="153" t="s">
        <v>331</v>
      </c>
      <c r="F41" s="151">
        <v>57</v>
      </c>
      <c r="G41" s="151"/>
      <c r="H41" s="181">
        <v>50.666666666666664</v>
      </c>
      <c r="I41" s="181">
        <f>'Exhibit No.__(JRS-11) p1-8'!C1266/12</f>
        <v>34.833333333333336</v>
      </c>
      <c r="K41" s="181">
        <v>2174.0459905922153</v>
      </c>
      <c r="L41" s="181">
        <f ca="1">'Exhibit No.__(JRS-11) p1-8'!C1270/1000</f>
        <v>1753.793178375513</v>
      </c>
      <c r="N41" s="181">
        <v>235.8029580256418</v>
      </c>
      <c r="O41" s="182">
        <f>'Exhibit No.__(JRS-11) p1-8'!F1270/1000</f>
        <v>219.70146192102368</v>
      </c>
      <c r="P41" s="183"/>
      <c r="Q41" s="184">
        <f ca="1">O41+U41</f>
        <v>223.42352294760303</v>
      </c>
      <c r="R41" s="182"/>
      <c r="S41" s="184" t="e">
        <f ca="1">Q41+#REF!</f>
        <v>#REF!</v>
      </c>
      <c r="T41" s="182"/>
      <c r="U41" s="182">
        <f ca="1">O41*V41</f>
        <v>3.7220610265793472</v>
      </c>
      <c r="V41" s="183">
        <f ca="1">$V$52</f>
        <v>1.6941448609556001E-2</v>
      </c>
      <c r="W41" s="183"/>
      <c r="X41" s="184">
        <f t="shared" ca="1" si="10"/>
        <v>228.66799996226982</v>
      </c>
      <c r="Y41" s="182"/>
      <c r="Z41" s="182">
        <f ca="1">Q41*AA41</f>
        <v>5.2444770146667841</v>
      </c>
      <c r="AA41" s="183">
        <f ca="1">$AA$52</f>
        <v>2.3473253601397698E-2</v>
      </c>
      <c r="AB41" s="183"/>
      <c r="AC41" s="186">
        <f ca="1">Q41/L41*100</f>
        <v>12.739445317865455</v>
      </c>
      <c r="AD41" s="183"/>
      <c r="AE41" s="186">
        <f t="shared" ca="1" si="11"/>
        <v>13.038481548552848</v>
      </c>
      <c r="AF41" s="187">
        <f ca="1">(U41/L41)*100</f>
        <v>0.21222918828017012</v>
      </c>
      <c r="AG41" s="183"/>
      <c r="AH41" s="182"/>
      <c r="AI41" s="189"/>
      <c r="AJ41" s="159"/>
    </row>
    <row r="42" spans="2:38">
      <c r="B42" s="168"/>
      <c r="H42" s="191"/>
      <c r="I42" s="191"/>
      <c r="K42" s="191"/>
      <c r="L42" s="191"/>
      <c r="N42" s="191"/>
      <c r="O42" s="191"/>
      <c r="P42" s="159"/>
      <c r="Q42" s="192"/>
      <c r="R42" s="159"/>
      <c r="S42" s="192"/>
      <c r="T42" s="159"/>
      <c r="U42" s="191"/>
      <c r="V42" s="1410"/>
      <c r="W42" s="1413"/>
      <c r="X42" s="192"/>
      <c r="Y42" s="159"/>
      <c r="Z42" s="1451"/>
      <c r="AA42" s="1410"/>
      <c r="AB42" s="159"/>
      <c r="AC42" s="192"/>
      <c r="AD42" s="159"/>
      <c r="AE42" s="192"/>
      <c r="AF42" s="193"/>
      <c r="AG42" s="159"/>
      <c r="AH42" s="182"/>
      <c r="AI42" s="159"/>
      <c r="AJ42" s="159"/>
    </row>
    <row r="43" spans="2:38">
      <c r="B43" s="168"/>
      <c r="V43" s="1097"/>
      <c r="W43" s="1097"/>
      <c r="Z43" s="199"/>
      <c r="AA43" s="1097"/>
      <c r="AF43" s="195"/>
      <c r="AH43" s="182"/>
      <c r="AI43" s="159"/>
      <c r="AJ43" s="159"/>
    </row>
    <row r="44" spans="2:38">
      <c r="B44" s="86">
        <f>MAX(B$15:B43)+1</f>
        <v>16</v>
      </c>
      <c r="D44" s="179" t="s">
        <v>333</v>
      </c>
      <c r="H44" s="200">
        <f>SUM(H37:H41)</f>
        <v>3359</v>
      </c>
      <c r="I44" s="200">
        <f>SUM(I37:I41)</f>
        <v>2680.7013888888887</v>
      </c>
      <c r="K44" s="200">
        <f>SUM(K37:K41)</f>
        <v>13777.544364445665</v>
      </c>
      <c r="L44" s="200">
        <f ca="1">SUM(L37:L41)</f>
        <v>13841.205796814691</v>
      </c>
      <c r="M44" s="196"/>
      <c r="N44" s="201">
        <f>SUM(N37:N41)</f>
        <v>1571.5388067303365</v>
      </c>
      <c r="O44" s="201">
        <f ca="1">SUM(O37:O41)</f>
        <v>1820.2806224322057</v>
      </c>
      <c r="P44" s="189"/>
      <c r="Q44" s="201">
        <f ca="1">SUM(Q37:Q41)</f>
        <v>1851.1188130521114</v>
      </c>
      <c r="R44" s="202"/>
      <c r="S44" s="201" t="e">
        <f ca="1">SUM(S37:S41)</f>
        <v>#REF!</v>
      </c>
      <c r="T44" s="202"/>
      <c r="U44" s="201">
        <f ca="1">SUM(U37:U41)</f>
        <v>30.838190619905824</v>
      </c>
      <c r="V44" s="1411">
        <f ca="1">U44/O44</f>
        <v>1.6941448609556001E-2</v>
      </c>
      <c r="W44" s="189"/>
      <c r="X44" s="201">
        <f ca="1">SUM(X37:X41)</f>
        <v>1894.5705943972018</v>
      </c>
      <c r="Y44" s="202"/>
      <c r="Z44" s="201">
        <f ca="1">SUM(Z37:Z41)</f>
        <v>43.451781345090509</v>
      </c>
      <c r="AA44" s="1411">
        <f ca="1">Z44/Q44</f>
        <v>2.3473253601397702E-2</v>
      </c>
      <c r="AB44" s="189"/>
      <c r="AC44" s="203">
        <f ca="1">Q44/L44*100</f>
        <v>13.373970737998228</v>
      </c>
      <c r="AD44" s="189"/>
      <c r="AE44" s="203">
        <f ca="1">X44/L44*100</f>
        <v>13.687901344788933</v>
      </c>
      <c r="AF44" s="204">
        <f ca="1">(U44/L44)*100</f>
        <v>0.22279988515886881</v>
      </c>
      <c r="AG44" s="189"/>
      <c r="AH44" s="182"/>
      <c r="AI44" s="189"/>
      <c r="AJ44" s="159"/>
    </row>
    <row r="45" spans="2:38">
      <c r="B45" s="168"/>
      <c r="D45" s="179"/>
      <c r="H45" s="206"/>
      <c r="I45" s="206"/>
      <c r="K45" s="206"/>
      <c r="L45" s="206"/>
      <c r="M45" s="196"/>
      <c r="N45" s="202"/>
      <c r="O45" s="202"/>
      <c r="P45" s="202"/>
      <c r="Q45" s="202"/>
      <c r="R45" s="202"/>
      <c r="S45" s="202"/>
      <c r="T45" s="202"/>
      <c r="U45" s="202"/>
      <c r="V45" s="207"/>
      <c r="W45" s="207"/>
      <c r="X45" s="202"/>
      <c r="Y45" s="202"/>
      <c r="Z45" s="202"/>
      <c r="AA45" s="207"/>
      <c r="AB45" s="202"/>
      <c r="AC45" s="202"/>
      <c r="AD45" s="202"/>
      <c r="AE45" s="202"/>
      <c r="AF45" s="208"/>
      <c r="AG45" s="202"/>
      <c r="AH45" s="182"/>
      <c r="AI45" s="202"/>
      <c r="AJ45" s="159"/>
    </row>
    <row r="46" spans="2:38" ht="16.5" thickBot="1">
      <c r="B46" s="86">
        <f>MAX(B$15:B45)+1</f>
        <v>17</v>
      </c>
      <c r="D46" s="209" t="s">
        <v>334</v>
      </c>
      <c r="H46" s="210">
        <f>H44+H34+H21</f>
        <v>128476.41666666667</v>
      </c>
      <c r="I46" s="210">
        <f>I44+I34+I21</f>
        <v>133392.45264854634</v>
      </c>
      <c r="K46" s="210">
        <f>K44+K34+K21</f>
        <v>4880827.1987742558</v>
      </c>
      <c r="L46" s="210">
        <f ca="1">L44+L34+L21</f>
        <v>4085100.1489150897</v>
      </c>
      <c r="N46" s="211">
        <f>N44+N34+N21</f>
        <v>275214.43788963149</v>
      </c>
      <c r="O46" s="211">
        <f ca="1">O44+O34+O21</f>
        <v>335077.72155906417</v>
      </c>
      <c r="P46" s="189"/>
      <c r="Q46" s="211">
        <f ca="1">Q44+Q34+Q21</f>
        <v>340754.42355906416</v>
      </c>
      <c r="R46" s="212"/>
      <c r="S46" s="211" t="e">
        <f ca="1">S44+S34+S21</f>
        <v>#REF!</v>
      </c>
      <c r="T46" s="212"/>
      <c r="U46" s="211">
        <f ca="1">U44+U34+U21</f>
        <v>5676.7019999999993</v>
      </c>
      <c r="V46" s="1408">
        <f ca="1">U46/O46</f>
        <v>1.6941448609555997E-2</v>
      </c>
      <c r="W46" s="189"/>
      <c r="X46" s="211">
        <f ca="1">X44+X34+X21</f>
        <v>348753.03855906415</v>
      </c>
      <c r="Y46" s="212"/>
      <c r="Z46" s="211">
        <f ca="1">Z44+Z34+Z21</f>
        <v>7998.6149999999998</v>
      </c>
      <c r="AA46" s="1408">
        <f ca="1">Z46/Q46</f>
        <v>2.3473253601397698E-2</v>
      </c>
      <c r="AB46" s="189"/>
      <c r="AC46" s="213">
        <f ca="1">Q46/L46*100</f>
        <v>8.341397056068768</v>
      </c>
      <c r="AD46" s="189"/>
      <c r="AE46" s="213">
        <f ca="1">X46/L46*100</f>
        <v>8.5371967845558228</v>
      </c>
      <c r="AF46" s="213">
        <f ca="1">(U46/L46)*100</f>
        <v>0.13896114643621657</v>
      </c>
      <c r="AG46" s="189"/>
      <c r="AH46" s="182"/>
      <c r="AI46" s="189"/>
      <c r="AJ46" s="190" t="s">
        <v>31</v>
      </c>
      <c r="AL46" s="1070" t="s">
        <v>31</v>
      </c>
    </row>
    <row r="47" spans="2:38" ht="16.5" thickTop="1">
      <c r="B47" s="1457" t="s">
        <v>31</v>
      </c>
      <c r="C47" s="1458"/>
      <c r="D47" s="1458"/>
      <c r="H47" s="214"/>
      <c r="I47" s="214"/>
      <c r="K47" s="214"/>
      <c r="L47" s="214"/>
      <c r="N47" s="212"/>
      <c r="O47" s="212"/>
      <c r="P47" s="189"/>
      <c r="Q47" s="212"/>
      <c r="R47" s="212"/>
      <c r="S47" s="212"/>
      <c r="T47" s="212"/>
      <c r="U47" s="212"/>
      <c r="V47" s="194"/>
      <c r="W47" s="194"/>
      <c r="X47" s="212"/>
      <c r="Y47" s="212"/>
      <c r="Z47" s="212"/>
      <c r="AA47" s="194"/>
      <c r="AB47" s="189"/>
      <c r="AC47" s="189"/>
      <c r="AD47" s="189"/>
      <c r="AE47" s="189"/>
      <c r="AF47" s="187"/>
      <c r="AG47" s="189"/>
      <c r="AH47" s="182"/>
      <c r="AI47" s="189"/>
      <c r="AJ47" s="159"/>
    </row>
    <row r="48" spans="2:38">
      <c r="B48" s="86">
        <v>18</v>
      </c>
      <c r="D48" s="215" t="s">
        <v>335</v>
      </c>
      <c r="H48" s="214"/>
      <c r="I48" s="214"/>
      <c r="K48" s="214"/>
      <c r="L48" s="214"/>
      <c r="N48" s="212">
        <v>311.00673999999998</v>
      </c>
      <c r="O48" s="184">
        <f ca="1">'Exhibit No.__(JRS-11) p1-8'!F1277/1000</f>
        <v>594.93922999999995</v>
      </c>
      <c r="P48" s="216"/>
      <c r="Q48" s="184">
        <f ca="1">O48</f>
        <v>594.93922999999995</v>
      </c>
      <c r="R48" s="212"/>
      <c r="S48" s="184">
        <f ca="1">Q48</f>
        <v>594.93922999999995</v>
      </c>
      <c r="T48" s="212"/>
      <c r="U48" s="750" t="s">
        <v>31</v>
      </c>
      <c r="V48" s="185"/>
      <c r="W48" s="185"/>
      <c r="X48" s="184">
        <f ca="1">Q48</f>
        <v>594.93922999999995</v>
      </c>
      <c r="Y48" s="212"/>
      <c r="Z48" s="750" t="s">
        <v>31</v>
      </c>
      <c r="AA48" s="185"/>
      <c r="AB48" s="189"/>
      <c r="AC48" s="186"/>
      <c r="AD48" s="183"/>
      <c r="AE48" s="186"/>
      <c r="AF48" s="187"/>
      <c r="AG48" s="189"/>
      <c r="AH48" s="187"/>
      <c r="AI48" s="189"/>
      <c r="AJ48" s="159"/>
    </row>
    <row r="49" spans="2:36">
      <c r="B49" s="86"/>
      <c r="D49" s="215"/>
      <c r="H49" s="214"/>
      <c r="I49" s="214"/>
      <c r="K49" s="214"/>
      <c r="L49" s="214"/>
      <c r="N49" s="212"/>
      <c r="O49" s="212"/>
      <c r="P49" s="216"/>
      <c r="Q49" s="184"/>
      <c r="R49" s="212"/>
      <c r="S49" s="184"/>
      <c r="T49" s="212"/>
      <c r="U49" s="199"/>
      <c r="V49" s="185"/>
      <c r="W49" s="185"/>
      <c r="X49" s="184"/>
      <c r="Y49" s="212"/>
      <c r="Z49" s="199"/>
      <c r="AA49" s="185"/>
      <c r="AB49" s="189"/>
      <c r="AC49" s="186"/>
      <c r="AD49" s="183"/>
      <c r="AE49" s="186"/>
      <c r="AF49" s="187"/>
      <c r="AG49" s="189"/>
      <c r="AH49" s="187"/>
      <c r="AI49" s="189"/>
      <c r="AJ49" s="159"/>
    </row>
    <row r="50" spans="2:36" ht="16.5" thickBot="1">
      <c r="B50" s="86">
        <v>19</v>
      </c>
      <c r="D50" s="87" t="s">
        <v>189</v>
      </c>
      <c r="H50" s="217">
        <f>SUM(H46:H48)</f>
        <v>128476.41666666667</v>
      </c>
      <c r="I50" s="217">
        <f>SUM(I46:I48)</f>
        <v>133392.45264854634</v>
      </c>
      <c r="K50" s="217">
        <f>SUM(K46:K48)</f>
        <v>4880827.1987742558</v>
      </c>
      <c r="L50" s="217">
        <f ca="1">SUM(L46:L48)</f>
        <v>4085100.1489150897</v>
      </c>
      <c r="N50" s="211">
        <f>SUM(N46:N48)</f>
        <v>275525.44462963147</v>
      </c>
      <c r="O50" s="211">
        <f ca="1">SUM(O46:O48)</f>
        <v>335672.66078906419</v>
      </c>
      <c r="Q50" s="218">
        <f ca="1">SUM(Q46:Q48)</f>
        <v>341349.36278906418</v>
      </c>
      <c r="R50" s="212"/>
      <c r="S50" s="218" t="e">
        <f ca="1">SUM(S46:S48)</f>
        <v>#REF!</v>
      </c>
      <c r="T50" s="212"/>
      <c r="U50" s="211">
        <f ca="1">SUM(U46:U48)</f>
        <v>5676.7019999999993</v>
      </c>
      <c r="V50" s="1408">
        <f ca="1">U50/O50</f>
        <v>1.6911421939027747E-2</v>
      </c>
      <c r="W50" s="189"/>
      <c r="X50" s="218">
        <f ca="1">SUM(X46:X48)</f>
        <v>349347.97778906417</v>
      </c>
      <c r="Y50" s="212"/>
      <c r="Z50" s="211">
        <f ca="1">SUM(Z46:Z48)</f>
        <v>7998.6149999999998</v>
      </c>
      <c r="AA50" s="1408">
        <f ca="1">Z50/Q50</f>
        <v>2.3432341969663262E-2</v>
      </c>
      <c r="AC50" s="213">
        <f ca="1">Q50/L50*100</f>
        <v>8.3559606948612721</v>
      </c>
      <c r="AD50" s="183"/>
      <c r="AE50" s="213">
        <f ca="1">X50/L50*100</f>
        <v>8.5517604233483251</v>
      </c>
      <c r="AF50" s="187">
        <f ca="1">(U50/L50)*100</f>
        <v>0.13896114643621657</v>
      </c>
      <c r="AH50" s="159"/>
      <c r="AI50" s="159"/>
      <c r="AJ50" s="159"/>
    </row>
    <row r="51" spans="2:36" ht="18.75" customHeight="1" thickTop="1">
      <c r="V51" s="219" t="s">
        <v>31</v>
      </c>
      <c r="W51" s="219"/>
      <c r="AA51" s="219" t="s">
        <v>31</v>
      </c>
    </row>
    <row r="52" spans="2:36" ht="18.75" customHeight="1">
      <c r="V52" s="1437">
        <f ca="1">5676.702/O46</f>
        <v>1.6941448609556001E-2</v>
      </c>
      <c r="W52" s="770"/>
      <c r="AA52" s="1437">
        <f ca="1">7998.615/Q46</f>
        <v>2.3473253601397698E-2</v>
      </c>
      <c r="AC52" s="1416" t="s">
        <v>31</v>
      </c>
      <c r="AE52" s="1416" t="s">
        <v>31</v>
      </c>
    </row>
    <row r="53" spans="2:36" ht="18.75" customHeight="1">
      <c r="U53" s="784"/>
      <c r="V53" s="770"/>
      <c r="W53" s="770"/>
      <c r="Z53" s="784"/>
      <c r="AA53" s="770"/>
    </row>
    <row r="54" spans="2:36" ht="18.75" customHeight="1">
      <c r="U54" s="1289"/>
      <c r="V54" s="770"/>
      <c r="W54" s="770"/>
      <c r="Z54" s="1289"/>
      <c r="AA54" s="770"/>
    </row>
    <row r="55" spans="2:36">
      <c r="N55" s="220"/>
      <c r="O55" s="220"/>
      <c r="P55" s="159"/>
      <c r="S55" s="199"/>
      <c r="U55" s="750"/>
      <c r="V55" s="770"/>
      <c r="W55" s="770"/>
      <c r="Z55" s="750"/>
      <c r="AA55" s="770"/>
      <c r="AB55" s="159"/>
      <c r="AC55" s="159"/>
      <c r="AD55" s="159"/>
      <c r="AE55" s="159"/>
      <c r="AF55" s="159"/>
      <c r="AG55" s="159"/>
      <c r="AH55" s="159"/>
      <c r="AI55" s="159"/>
    </row>
    <row r="56" spans="2:36">
      <c r="P56" s="159"/>
      <c r="U56" s="770"/>
      <c r="Z56" s="770"/>
      <c r="AB56" s="159"/>
      <c r="AC56" s="212"/>
      <c r="AD56" s="159"/>
      <c r="AE56" s="212"/>
      <c r="AF56" s="159"/>
      <c r="AG56" s="159"/>
      <c r="AH56" s="159"/>
      <c r="AI56" s="159"/>
    </row>
    <row r="57" spans="2:36">
      <c r="P57" s="188"/>
      <c r="U57" s="223"/>
      <c r="W57" s="224"/>
      <c r="Z57" s="223"/>
    </row>
    <row r="58" spans="2:36">
      <c r="P58" s="159"/>
      <c r="U58" s="225"/>
      <c r="V58" s="226"/>
      <c r="W58" s="226"/>
      <c r="Z58" s="225"/>
      <c r="AA58" s="226"/>
    </row>
    <row r="59" spans="2:36" hidden="1">
      <c r="P59" s="178"/>
      <c r="U59" s="227"/>
      <c r="V59" s="228"/>
      <c r="W59" s="228"/>
      <c r="Z59" s="227"/>
      <c r="AA59" s="228"/>
    </row>
    <row r="60" spans="2:36" hidden="1">
      <c r="P60" s="178"/>
      <c r="U60" s="227"/>
      <c r="V60" s="228"/>
      <c r="W60" s="228"/>
      <c r="Z60" s="227"/>
      <c r="AA60" s="228"/>
    </row>
    <row r="61" spans="2:36">
      <c r="P61" s="154"/>
      <c r="U61" s="227"/>
      <c r="V61" s="228"/>
      <c r="W61" s="228"/>
      <c r="Z61" s="227"/>
      <c r="AA61" s="228"/>
    </row>
    <row r="62" spans="2:36">
      <c r="P62" s="229"/>
      <c r="V62" s="194"/>
      <c r="W62" s="194"/>
      <c r="AA62" s="194"/>
    </row>
    <row r="63" spans="2:36">
      <c r="P63" s="154"/>
      <c r="V63" s="230"/>
      <c r="W63" s="230"/>
      <c r="AA63" s="230"/>
      <c r="AC63" s="154"/>
      <c r="AE63" s="154"/>
    </row>
    <row r="65" spans="16:27">
      <c r="P65" s="154"/>
      <c r="V65" s="230"/>
      <c r="W65" s="230"/>
      <c r="AA65" s="230"/>
    </row>
  </sheetData>
  <mergeCells count="6">
    <mergeCell ref="U10:V10"/>
    <mergeCell ref="Z10:AA10"/>
    <mergeCell ref="Q11:S11"/>
    <mergeCell ref="B47:D47"/>
    <mergeCell ref="U11:V11"/>
    <mergeCell ref="Z11:AA11"/>
  </mergeCells>
  <printOptions horizontalCentered="1"/>
  <pageMargins left="0.25" right="0.25" top="0.5" bottom="0.25" header="0.5" footer="0.25"/>
  <pageSetup scale="5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5"/>
  <dimension ref="A1:AY1287"/>
  <sheetViews>
    <sheetView view="pageBreakPreview" zoomScaleNormal="75" zoomScaleSheetLayoutView="100" workbookViewId="0">
      <pane ySplit="10" topLeftCell="A11" activePane="bottomLeft" state="frozen"/>
      <selection activeCell="F14" sqref="F14"/>
      <selection pane="bottomLeft" activeCell="F10" sqref="F10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0.5" style="3" bestFit="1" customWidth="1"/>
    <col min="5" max="5" width="2.625" style="3" customWidth="1"/>
    <col min="6" max="6" width="15" style="3" customWidth="1"/>
    <col min="7" max="7" width="11" style="3" bestFit="1" customWidth="1"/>
    <col min="8" max="8" width="2.125" style="3" bestFit="1" customWidth="1"/>
    <col min="9" max="9" width="14.5" style="3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4.62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8.5" style="3" hidden="1" customWidth="1"/>
    <col min="22" max="22" width="14.375" style="3" bestFit="1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 ht="18">
      <c r="A3" s="1489" t="s">
        <v>979</v>
      </c>
      <c r="B3" s="1489"/>
      <c r="C3" s="1489"/>
      <c r="D3" s="1489"/>
      <c r="E3" s="1489"/>
      <c r="F3" s="1489"/>
      <c r="G3" s="1489"/>
      <c r="H3" s="1489"/>
      <c r="I3" s="148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6"/>
      <c r="S4" s="1466"/>
      <c r="T4" s="1466"/>
      <c r="U4" s="1466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 t="s">
        <v>191</v>
      </c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241" t="s">
        <v>191</v>
      </c>
      <c r="E9" s="241"/>
      <c r="F9" s="736" t="s">
        <v>339</v>
      </c>
      <c r="G9" s="241" t="s">
        <v>296</v>
      </c>
      <c r="H9" s="239"/>
      <c r="I9" s="241" t="s">
        <v>296</v>
      </c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295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C35+C53+C71</f>
        <v>26489.869513898491</v>
      </c>
      <c r="D15" s="250">
        <v>10.79</v>
      </c>
      <c r="F15" s="2">
        <f>F35+F53+F71</f>
        <v>285825.69205496472</v>
      </c>
      <c r="G15" s="250">
        <f ca="1">ROUND((D15+D15*$X$27)*(1+$X$28),2)</f>
        <v>10.98</v>
      </c>
      <c r="I15" s="2">
        <f ca="1">I35+I53+I71</f>
        <v>290858.76726260543</v>
      </c>
      <c r="J15" s="2"/>
      <c r="K15" s="250" t="e">
        <f ca="1">ROUND(M15/C15,2)</f>
        <v>#DIV/0!</v>
      </c>
      <c r="M15" s="2" t="e">
        <f ca="1">($V$30-$M$22-$M$23-$M$26)*(I15/($I$15+$I$16+$I$17+$I$19+$I$20+$I$21))</f>
        <v>#DIV/0!</v>
      </c>
      <c r="N15" s="2"/>
      <c r="O15" s="250" t="e">
        <f ca="1">ROUND(Q15/C15,2)</f>
        <v>#DIV/0!</v>
      </c>
      <c r="Q15" s="2" t="e">
        <f ca="1">($W$30-$Q$23-$Q$26)*(I15/($I$15+$I$16+$I$17+$I$19+$I$20+$I$21))</f>
        <v>#DIV/0!</v>
      </c>
      <c r="R15" s="2"/>
      <c r="S15" s="250" t="e">
        <f ca="1">ROUND(U15/C15,2)-0.01</f>
        <v>#DIV/0!</v>
      </c>
      <c r="U15" s="2" t="e">
        <f ca="1">($X$30-$U$23-$U$26)*(I15/($I$15+$I$16+$I$17+$I$19+$I$20+$I$21))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C36+C54+C72</f>
        <v>4203.5649449873126</v>
      </c>
      <c r="D16" s="250">
        <v>20.53</v>
      </c>
      <c r="F16" s="2">
        <f>F36+F54+F72</f>
        <v>86299.188320589543</v>
      </c>
      <c r="G16" s="250">
        <f ca="1">ROUND((D16+D16*$X$27)*(1+$X$28),2)</f>
        <v>20.88</v>
      </c>
      <c r="I16" s="2">
        <f ca="1">I36+I54+I72</f>
        <v>87770.436051335098</v>
      </c>
      <c r="J16" s="2"/>
      <c r="K16" s="250" t="e">
        <f ca="1">ROUND(M16/C16,2)</f>
        <v>#DIV/0!</v>
      </c>
      <c r="M16" s="2" t="e">
        <f t="shared" ref="M16:M21" ca="1" si="0">($V$30-$M$22-$M$23-$M$26)*(I16/($I$15+$I$16+$I$17+$I$19+$I$20+$I$21))</f>
        <v>#DIV/0!</v>
      </c>
      <c r="N16" s="2"/>
      <c r="O16" s="250" t="e">
        <f ca="1">ROUND(Q16/C16,2)</f>
        <v>#DIV/0!</v>
      </c>
      <c r="Q16" s="2" t="e">
        <f ca="1">($W$30-$Q$23-$Q$26)*(I16/($I$15+$I$16+$I$17+$I$19+$I$20+$I$21))</f>
        <v>#DIV/0!</v>
      </c>
      <c r="R16" s="2"/>
      <c r="S16" s="250" t="e">
        <f ca="1">ROUND(U16/C16,2)</f>
        <v>#DIV/0!</v>
      </c>
      <c r="U16" s="2" t="e">
        <f ca="1">($X$30-$U$23-$U$26)*(I16/($I$15+$I$16+$I$17+$I$19+$I$20+$I$21))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C37+C55+C73</f>
        <v>526.20017951728096</v>
      </c>
      <c r="D17" s="250">
        <v>42.48</v>
      </c>
      <c r="F17" s="2">
        <f>F37+F55+F73</f>
        <v>22352.983625894096</v>
      </c>
      <c r="G17" s="250">
        <f ca="1">ROUND((D17+D17*$X$27)*(1+$X$28),2)</f>
        <v>43.21</v>
      </c>
      <c r="I17" s="2">
        <f ca="1">I37+I55+I73</f>
        <v>22737.109756941711</v>
      </c>
      <c r="J17" s="2"/>
      <c r="K17" s="250" t="e">
        <f ca="1">ROUND(M17/C17,2)</f>
        <v>#DIV/0!</v>
      </c>
      <c r="M17" s="2" t="e">
        <f t="shared" ca="1" si="0"/>
        <v>#DIV/0!</v>
      </c>
      <c r="N17" s="2"/>
      <c r="O17" s="250" t="e">
        <f ca="1">ROUND(Q17/C17,2)</f>
        <v>#DIV/0!</v>
      </c>
      <c r="Q17" s="2" t="e">
        <f ca="1">($W$30-$Q$23-$Q$26)*(I17/($I$15+$I$16+$I$17+$I$19+$I$20+$I$21))</f>
        <v>#DIV/0!</v>
      </c>
      <c r="R17" s="2"/>
      <c r="S17" s="250" t="e">
        <f ca="1">ROUND(U17/C17,2)</f>
        <v>#DIV/0!</v>
      </c>
      <c r="U17" s="2" t="e">
        <f ca="1">($X$30-$U$23-$U$26)*(I17/($I$15+$I$16+$I$17+$I$19+$I$20+$I$21))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 t="shared" ref="C19:C26" si="1">C39+C57+C75</f>
        <v>2018.638768592042</v>
      </c>
      <c r="D19" s="250">
        <v>12.27</v>
      </c>
      <c r="F19" s="2">
        <f>F39+F57+F75</f>
        <v>24768.697690624354</v>
      </c>
      <c r="G19" s="250">
        <f ca="1">ROUND((D19+D19*$X$27)*(1+$X$28),2)</f>
        <v>12.48</v>
      </c>
      <c r="I19" s="2">
        <f ca="1">I39+I57+I75</f>
        <v>25192.611832028684</v>
      </c>
      <c r="J19" s="2"/>
      <c r="K19" s="250" t="e">
        <f ca="1">ROUND(M19/C19,2)</f>
        <v>#DIV/0!</v>
      </c>
      <c r="M19" s="2" t="e">
        <f t="shared" ca="1" si="0"/>
        <v>#DIV/0!</v>
      </c>
      <c r="N19" s="2"/>
      <c r="O19" s="250" t="e">
        <f ca="1">ROUND(Q19/C19,2)</f>
        <v>#DIV/0!</v>
      </c>
      <c r="Q19" s="2" t="e">
        <f ca="1">($W$30-$Q$23-$Q$26)*(I19/($I$15+$I$16+$I$17+$I$19+$I$20+$I$21))</f>
        <v>#DIV/0!</v>
      </c>
      <c r="R19" s="2"/>
      <c r="S19" s="250" t="e">
        <f ca="1">ROUND(U19/C19,2)</f>
        <v>#DIV/0!</v>
      </c>
      <c r="U19" s="2" t="e">
        <f ca="1">($X$30-$U$23-$U$26)*(I19/($I$15+$I$16+$I$17+$I$19+$I$20+$I$21))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 t="shared" si="1"/>
        <v>1655.2402129628979</v>
      </c>
      <c r="D20" s="250">
        <v>18.02</v>
      </c>
      <c r="F20" s="2">
        <f>F40+F58+F76</f>
        <v>29827.42863759142</v>
      </c>
      <c r="G20" s="250">
        <f ca="1">ROUND((D20+D20*$X$27)*(1+$X$28),2)</f>
        <v>18.329999999999998</v>
      </c>
      <c r="I20" s="2">
        <f ca="1">I40+I58+I76</f>
        <v>30340.553103609916</v>
      </c>
      <c r="J20" s="2"/>
      <c r="K20" s="250" t="e">
        <f ca="1">ROUND(M20/C20,2)</f>
        <v>#DIV/0!</v>
      </c>
      <c r="M20" s="2" t="e">
        <f t="shared" ca="1" si="0"/>
        <v>#DIV/0!</v>
      </c>
      <c r="N20" s="2"/>
      <c r="O20" s="250" t="e">
        <f ca="1">ROUND(Q20/C20,2)</f>
        <v>#DIV/0!</v>
      </c>
      <c r="Q20" s="2" t="e">
        <f ca="1">($W$30-$Q$23-$Q$26)*(I20/($I$15+$I$16+$I$17+$I$19+$I$20+$I$21))</f>
        <v>#DIV/0!</v>
      </c>
      <c r="R20" s="2"/>
      <c r="S20" s="250" t="e">
        <f ca="1">ROUND(U20/C20,2)</f>
        <v>#DIV/0!</v>
      </c>
      <c r="U20" s="2" t="e">
        <f ca="1">($X$30-$U$23-$U$26)*(I20/($I$15+$I$16+$I$17+$I$19+$I$20+$I$21))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 t="shared" si="1"/>
        <v>517.99922764535575</v>
      </c>
      <c r="D21" s="250">
        <v>29.07</v>
      </c>
      <c r="F21" s="2">
        <f>F41+F59+F77</f>
        <v>15058.237547650491</v>
      </c>
      <c r="G21" s="250">
        <f ca="1">ROUND((D21+D21*$X$27)*(1+$X$28),2)</f>
        <v>29.57</v>
      </c>
      <c r="I21" s="2">
        <f ca="1">I41+I59+I77</f>
        <v>15317.237161473167</v>
      </c>
      <c r="J21" s="2"/>
      <c r="K21" s="250" t="e">
        <f ca="1">ROUND(M21/C21,2)</f>
        <v>#DIV/0!</v>
      </c>
      <c r="M21" s="2" t="e">
        <f t="shared" ca="1" si="0"/>
        <v>#DIV/0!</v>
      </c>
      <c r="N21" s="2"/>
      <c r="O21" s="250" t="e">
        <f ca="1">ROUND(Q21/C21,2)</f>
        <v>#DIV/0!</v>
      </c>
      <c r="Q21" s="2" t="e">
        <f ca="1">($W$30-$Q$23-$Q$26)*(I21/($I$15+$I$16+$I$17+$I$19+$I$20+$I$21))</f>
        <v>#DIV/0!</v>
      </c>
      <c r="R21" s="2"/>
      <c r="S21" s="250" t="e">
        <f ca="1">ROUND(U21/C21,2)</f>
        <v>#DIV/0!</v>
      </c>
      <c r="U21" s="2" t="e">
        <f ca="1">($X$30-$U$23-$U$26)*(I21/($I$15+$I$16+$I$17+$I$19+$I$20+$I$21))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 t="shared" si="1"/>
        <v>561.33497359685657</v>
      </c>
      <c r="D22" s="254">
        <v>1</v>
      </c>
      <c r="E22" s="20"/>
      <c r="F22" s="2">
        <f>F42+F60+F78</f>
        <v>561.33497359685657</v>
      </c>
      <c r="G22" s="250">
        <f>D22</f>
        <v>1</v>
      </c>
      <c r="H22" s="20"/>
      <c r="I22" s="2">
        <f>I42+I60+I78</f>
        <v>561.33497359685657</v>
      </c>
      <c r="J22" s="2"/>
      <c r="K22" s="250">
        <f>G22</f>
        <v>1</v>
      </c>
      <c r="L22" s="20"/>
      <c r="M22" s="2">
        <f>I22</f>
        <v>561.33497359685657</v>
      </c>
      <c r="N22" s="2"/>
      <c r="O22" s="250" t="s">
        <v>31</v>
      </c>
      <c r="P22" s="20"/>
      <c r="Q22" s="2">
        <f>O22*C22</f>
        <v>0</v>
      </c>
      <c r="R22" s="2"/>
      <c r="S22" s="250" t="s">
        <v>31</v>
      </c>
      <c r="T22" s="20"/>
      <c r="U22" s="2">
        <f>S22*C22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885</v>
      </c>
      <c r="C23" s="1122">
        <f t="shared" si="1"/>
        <v>3257550</v>
      </c>
      <c r="D23" s="254">
        <v>0</v>
      </c>
      <c r="E23" s="1119"/>
      <c r="F23" s="1123"/>
      <c r="G23" s="1128">
        <v>0</v>
      </c>
      <c r="H23" s="1126" t="s">
        <v>364</v>
      </c>
      <c r="I23" s="1123">
        <f>I43+I61+I79</f>
        <v>0</v>
      </c>
      <c r="J23" s="1123"/>
      <c r="K23" s="1128" t="s">
        <v>31</v>
      </c>
      <c r="L23" s="1126" t="s">
        <v>31</v>
      </c>
      <c r="M23" s="1123">
        <f>K23*C23</f>
        <v>0</v>
      </c>
      <c r="N23" s="1123"/>
      <c r="O23" s="1128" t="s">
        <v>31</v>
      </c>
      <c r="P23" s="1126" t="s">
        <v>31</v>
      </c>
      <c r="Q23" s="1123">
        <f>O23*C23</f>
        <v>0</v>
      </c>
      <c r="R23" s="1123"/>
      <c r="S23" s="1128">
        <f>G23</f>
        <v>0</v>
      </c>
      <c r="T23" s="1126" t="s">
        <v>364</v>
      </c>
      <c r="U23" s="1123">
        <f>I23</f>
        <v>0</v>
      </c>
      <c r="V23" s="1124">
        <f>'NPC Spread'!J50</f>
        <v>75082.240453348713</v>
      </c>
      <c r="W23" s="784" t="s">
        <v>857</v>
      </c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1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1"/>
        <v>3257550</v>
      </c>
      <c r="D25" s="254"/>
      <c r="E25" s="20"/>
      <c r="F25" s="2">
        <f>F45+F63+F81</f>
        <v>464693.56285091152</v>
      </c>
      <c r="G25" s="254"/>
      <c r="H25" s="20"/>
      <c r="I25" s="255">
        <f ca="1">I45+I63+I81</f>
        <v>472778.05014159094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1"/>
        <v>28196.413423238097</v>
      </c>
      <c r="D26" s="254"/>
      <c r="E26" s="20"/>
      <c r="F26" s="257">
        <f ca="1">F46+F64+F82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$I$26*V30/($V$30+$W$30+$X$30)</f>
        <v>#DIV/0!</v>
      </c>
      <c r="N26" s="51"/>
      <c r="O26" s="294"/>
      <c r="P26" s="294"/>
      <c r="Q26" s="295" t="e">
        <f ca="1">$I$26*W30/($V$30+$W$30+$X$30)</f>
        <v>#DIV/0!</v>
      </c>
      <c r="R26" s="51"/>
      <c r="S26" s="294"/>
      <c r="T26" s="294"/>
      <c r="U26" s="295" t="e">
        <f ca="1">$I$26*X30/($V$30+$W$30+$X$30)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469312.62621896534</v>
      </c>
      <c r="G27" s="297"/>
      <c r="H27" s="259"/>
      <c r="I27" s="259">
        <f ca="1">I25+I26</f>
        <v>477397.11350964475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targets'!Q37*1000</f>
        <v>477263.4619578697</v>
      </c>
      <c r="X27" s="1417">
        <f ca="1">'Rate Spread targets'!V37</f>
        <v>1.6941448609556001E-2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C28" s="260"/>
      <c r="D28" s="294" t="s">
        <v>31</v>
      </c>
      <c r="E28" s="260"/>
      <c r="F28" s="248"/>
      <c r="G28" s="1" t="s">
        <v>31</v>
      </c>
      <c r="H28" s="260"/>
      <c r="I28" s="2" t="s">
        <v>31</v>
      </c>
      <c r="J28" s="2"/>
      <c r="K28" s="1" t="s">
        <v>31</v>
      </c>
      <c r="L28" s="260"/>
      <c r="M28" s="2" t="s">
        <v>31</v>
      </c>
      <c r="N28" s="2"/>
      <c r="O28" s="1" t="s">
        <v>31</v>
      </c>
      <c r="P28" s="260"/>
      <c r="Q28" s="2" t="s">
        <v>31</v>
      </c>
      <c r="R28" s="2"/>
      <c r="S28" s="1" t="s">
        <v>31</v>
      </c>
      <c r="T28" s="260"/>
      <c r="U28" s="2" t="s">
        <v>31</v>
      </c>
      <c r="V28" s="112" t="s">
        <v>257</v>
      </c>
      <c r="W28" s="780">
        <f ca="1">W27-I27</f>
        <v>-133.65155177505221</v>
      </c>
      <c r="X28" s="394">
        <v>2.9999999999999997E-4</v>
      </c>
      <c r="Y28" s="226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>
      <c r="C29" s="260"/>
      <c r="D29" s="294"/>
      <c r="E29" s="260"/>
      <c r="F29" s="248"/>
      <c r="G29" s="1"/>
      <c r="H29" s="260"/>
      <c r="I29" s="2"/>
      <c r="J29" s="2"/>
      <c r="K29" s="1"/>
      <c r="L29" s="260"/>
      <c r="M29" s="2"/>
      <c r="N29" s="2"/>
      <c r="O29" s="1"/>
      <c r="P29" s="260"/>
      <c r="Q29" s="2"/>
      <c r="R29" s="2"/>
      <c r="S29" s="1"/>
      <c r="T29" s="260"/>
      <c r="U29" s="2"/>
      <c r="V29" s="719"/>
      <c r="W29" s="719"/>
      <c r="X29" s="719"/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/>
      <c r="V30" s="401"/>
      <c r="W30" s="401"/>
      <c r="X30" s="401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>
      <c r="A31" s="247" t="s">
        <v>341</v>
      </c>
      <c r="F31" s="248"/>
      <c r="W31" s="261" t="s">
        <v>31</v>
      </c>
      <c r="X31" s="3"/>
      <c r="Y31" s="3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>
      <c r="A32" s="3" t="s">
        <v>355</v>
      </c>
      <c r="F32" s="248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0"/>
      <c r="AM32" s="20"/>
      <c r="AN32" s="20"/>
      <c r="AO32" s="20"/>
      <c r="AP32" s="20"/>
      <c r="AR32" s="84"/>
    </row>
    <row r="33" spans="1:44"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>
      <c r="A34" s="3" t="s">
        <v>343</v>
      </c>
      <c r="F34" s="248"/>
      <c r="V34" s="263"/>
      <c r="W34" s="263"/>
      <c r="X34" s="74"/>
      <c r="Y34" s="74"/>
      <c r="Z34" s="264"/>
      <c r="AA34" s="264"/>
      <c r="AB34" s="265"/>
      <c r="AC34" s="265"/>
      <c r="AD34" s="265"/>
      <c r="AE34" s="265"/>
      <c r="AF34" s="266"/>
      <c r="AG34" s="267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>
      <c r="A35" s="3" t="s">
        <v>344</v>
      </c>
      <c r="C35" s="249">
        <v>12319.411199591441</v>
      </c>
      <c r="D35" s="250">
        <v>10.79</v>
      </c>
      <c r="F35" s="2">
        <f>D35*C35</f>
        <v>132926.44684359164</v>
      </c>
      <c r="G35" s="250">
        <f ca="1">$G$15</f>
        <v>10.98</v>
      </c>
      <c r="I35" s="2">
        <f ca="1">(G35*$C35)</f>
        <v>135267.13497151402</v>
      </c>
      <c r="J35" s="2"/>
      <c r="K35" s="250">
        <f ca="1">$G$15</f>
        <v>10.98</v>
      </c>
      <c r="M35" s="2">
        <f ca="1">(K35*$C35)</f>
        <v>135267.13497151402</v>
      </c>
      <c r="N35" s="2"/>
      <c r="O35" s="250">
        <f ca="1">$G$15</f>
        <v>10.98</v>
      </c>
      <c r="Q35" s="2">
        <f ca="1">(O35*$C35)</f>
        <v>135267.13497151402</v>
      </c>
      <c r="R35" s="2"/>
      <c r="S35" s="250">
        <f ca="1">$G$15</f>
        <v>10.98</v>
      </c>
      <c r="U35" s="2">
        <f ca="1">(S35*$C35)</f>
        <v>135267.13497151402</v>
      </c>
      <c r="V35" s="20"/>
      <c r="W35" s="266"/>
      <c r="X35" s="74"/>
      <c r="Y35" s="74"/>
      <c r="Z35" s="263"/>
      <c r="AA35" s="263"/>
      <c r="AB35" s="268"/>
      <c r="AC35" s="268"/>
      <c r="AD35" s="268"/>
      <c r="AE35" s="268"/>
      <c r="AF35" s="269"/>
      <c r="AG35" s="263"/>
      <c r="AH35" s="266"/>
      <c r="AI35" s="266"/>
      <c r="AJ35" s="270"/>
      <c r="AK35" s="266"/>
      <c r="AL35" s="20"/>
      <c r="AM35" s="20"/>
      <c r="AN35" s="20"/>
      <c r="AO35" s="20"/>
      <c r="AP35" s="20"/>
      <c r="AR35" s="84"/>
    </row>
    <row r="36" spans="1:44">
      <c r="A36" s="3" t="s">
        <v>345</v>
      </c>
      <c r="C36" s="249">
        <v>269.40125116474059</v>
      </c>
      <c r="D36" s="250">
        <v>20.53</v>
      </c>
      <c r="F36" s="2">
        <f>D36*C36</f>
        <v>5530.8076864121249</v>
      </c>
      <c r="G36" s="250">
        <f ca="1">$G$16</f>
        <v>20.88</v>
      </c>
      <c r="I36" s="2">
        <f ca="1">(G36*$C36)</f>
        <v>5625.098124319783</v>
      </c>
      <c r="J36" s="2"/>
      <c r="K36" s="250">
        <f ca="1">$G$16</f>
        <v>20.88</v>
      </c>
      <c r="M36" s="2">
        <f ca="1">(K36*$C36)</f>
        <v>5625.098124319783</v>
      </c>
      <c r="N36" s="2"/>
      <c r="O36" s="250">
        <f ca="1">$G$16</f>
        <v>20.88</v>
      </c>
      <c r="Q36" s="2">
        <f ca="1">(O36*$C36)</f>
        <v>5625.098124319783</v>
      </c>
      <c r="R36" s="2"/>
      <c r="S36" s="250">
        <f ca="1">$G$16</f>
        <v>20.88</v>
      </c>
      <c r="U36" s="2">
        <f ca="1">(S36*$C36)</f>
        <v>5625.098124319783</v>
      </c>
      <c r="V36" s="20"/>
      <c r="W36" s="266"/>
      <c r="X36" s="74"/>
      <c r="Y36" s="74"/>
      <c r="Z36" s="20"/>
      <c r="AA36" s="20"/>
      <c r="AB36" s="272"/>
      <c r="AC36" s="272"/>
      <c r="AD36" s="272"/>
      <c r="AE36" s="272"/>
      <c r="AF36" s="263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>
      <c r="A37" s="3" t="s">
        <v>346</v>
      </c>
      <c r="C37" s="249">
        <v>0</v>
      </c>
      <c r="D37" s="250">
        <v>42.48</v>
      </c>
      <c r="F37" s="2">
        <f>D37*C37</f>
        <v>0</v>
      </c>
      <c r="G37" s="250">
        <f ca="1">$G$17</f>
        <v>43.21</v>
      </c>
      <c r="I37" s="2">
        <f ca="1">(G37*$C37)</f>
        <v>0</v>
      </c>
      <c r="J37" s="2"/>
      <c r="K37" s="250">
        <f ca="1">$G$17</f>
        <v>43.21</v>
      </c>
      <c r="M37" s="2">
        <f ca="1">(K37*$C37)</f>
        <v>0</v>
      </c>
      <c r="N37" s="2"/>
      <c r="O37" s="250">
        <f ca="1">$G$17</f>
        <v>43.21</v>
      </c>
      <c r="Q37" s="2">
        <f ca="1">(O37*$C37)</f>
        <v>0</v>
      </c>
      <c r="R37" s="2"/>
      <c r="S37" s="250">
        <f ca="1">$G$17</f>
        <v>43.21</v>
      </c>
      <c r="U37" s="2">
        <f ca="1">(S37*$C37)</f>
        <v>0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>
      <c r="A38" s="3" t="s">
        <v>347</v>
      </c>
      <c r="C38" s="249"/>
      <c r="D38" s="250"/>
      <c r="F38" s="2"/>
      <c r="G38" s="250"/>
      <c r="I38" s="2"/>
      <c r="J38" s="2"/>
      <c r="K38" s="250"/>
      <c r="M38" s="2"/>
      <c r="N38" s="2"/>
      <c r="O38" s="250"/>
      <c r="Q38" s="2"/>
      <c r="R38" s="2"/>
      <c r="S38" s="250"/>
      <c r="U38" s="2"/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>
      <c r="A39" s="3" t="s">
        <v>348</v>
      </c>
      <c r="C39" s="249">
        <v>815.26657972914199</v>
      </c>
      <c r="D39" s="250">
        <v>12.27</v>
      </c>
      <c r="F39" s="2">
        <f>D39*C39</f>
        <v>10003.320933276573</v>
      </c>
      <c r="G39" s="250">
        <f ca="1">$G$19</f>
        <v>12.48</v>
      </c>
      <c r="I39" s="2">
        <f t="shared" ref="I39:I42" ca="1" si="2">(G39*$C39)</f>
        <v>10174.526915019693</v>
      </c>
      <c r="J39" s="2"/>
      <c r="K39" s="250">
        <f ca="1">$G$19</f>
        <v>12.48</v>
      </c>
      <c r="M39" s="2">
        <f t="shared" ref="M39:M42" ca="1" si="3">(K39*$C39)</f>
        <v>10174.526915019693</v>
      </c>
      <c r="N39" s="2"/>
      <c r="O39" s="250">
        <f ca="1">$G$19</f>
        <v>12.48</v>
      </c>
      <c r="Q39" s="2">
        <f t="shared" ref="Q39:Q42" ca="1" si="4">(O39*$C39)</f>
        <v>10174.526915019693</v>
      </c>
      <c r="R39" s="2"/>
      <c r="S39" s="250">
        <f ca="1">$G$19</f>
        <v>12.48</v>
      </c>
      <c r="U39" s="2">
        <f t="shared" ref="U39:U42" ca="1" si="5">(S39*$C39)</f>
        <v>10174.526915019693</v>
      </c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>
      <c r="A40" s="3" t="s">
        <v>349</v>
      </c>
      <c r="C40" s="249">
        <v>197.43500610479001</v>
      </c>
      <c r="D40" s="250">
        <v>18.02</v>
      </c>
      <c r="F40" s="2">
        <f>D40*C40</f>
        <v>3557.7788100083158</v>
      </c>
      <c r="G40" s="250">
        <f ca="1">$G$20</f>
        <v>18.329999999999998</v>
      </c>
      <c r="I40" s="2">
        <f t="shared" ca="1" si="2"/>
        <v>3618.9836619008006</v>
      </c>
      <c r="J40" s="2"/>
      <c r="K40" s="250">
        <f ca="1">$G$20</f>
        <v>18.329999999999998</v>
      </c>
      <c r="M40" s="2">
        <f t="shared" ca="1" si="3"/>
        <v>3618.9836619008006</v>
      </c>
      <c r="N40" s="2"/>
      <c r="O40" s="250">
        <f ca="1">$G$20</f>
        <v>18.329999999999998</v>
      </c>
      <c r="Q40" s="2">
        <f t="shared" ca="1" si="4"/>
        <v>3618.9836619008006</v>
      </c>
      <c r="R40" s="2"/>
      <c r="S40" s="250">
        <f ca="1">$G$20</f>
        <v>18.329999999999998</v>
      </c>
      <c r="U40" s="2">
        <f t="shared" ca="1" si="5"/>
        <v>3618.9836619008006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>
      <c r="A41" s="3" t="s">
        <v>350</v>
      </c>
      <c r="C41" s="249">
        <v>12.0001539348952</v>
      </c>
      <c r="D41" s="250">
        <v>29.07</v>
      </c>
      <c r="F41" s="2">
        <f>D41*C41</f>
        <v>348.84447488740346</v>
      </c>
      <c r="G41" s="250">
        <f ca="1">$G$21</f>
        <v>29.57</v>
      </c>
      <c r="I41" s="2">
        <f t="shared" ca="1" si="2"/>
        <v>354.84455185485109</v>
      </c>
      <c r="J41" s="2"/>
      <c r="K41" s="250">
        <f ca="1">$G$21</f>
        <v>29.57</v>
      </c>
      <c r="M41" s="2">
        <f t="shared" ca="1" si="3"/>
        <v>354.84455185485109</v>
      </c>
      <c r="N41" s="2"/>
      <c r="O41" s="250">
        <f ca="1">$G$21</f>
        <v>29.57</v>
      </c>
      <c r="Q41" s="2">
        <f t="shared" ca="1" si="4"/>
        <v>354.84455185485109</v>
      </c>
      <c r="R41" s="2"/>
      <c r="S41" s="250">
        <f ca="1">$G$21</f>
        <v>29.57</v>
      </c>
      <c r="U41" s="2">
        <f t="shared" ca="1" si="5"/>
        <v>354.84455185485109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>
      <c r="A42" s="3" t="s">
        <v>351</v>
      </c>
      <c r="C42" s="249">
        <v>105.16961673026219</v>
      </c>
      <c r="D42" s="250">
        <v>1</v>
      </c>
      <c r="E42" s="20"/>
      <c r="F42" s="2">
        <f>D42*C42</f>
        <v>105.16961673026219</v>
      </c>
      <c r="G42" s="254">
        <f>$G$22</f>
        <v>1</v>
      </c>
      <c r="H42" s="20"/>
      <c r="I42" s="2">
        <f t="shared" si="2"/>
        <v>105.16961673026219</v>
      </c>
      <c r="J42" s="2"/>
      <c r="K42" s="254">
        <f>$G$22</f>
        <v>1</v>
      </c>
      <c r="L42" s="20"/>
      <c r="M42" s="2">
        <f t="shared" si="3"/>
        <v>105.16961673026219</v>
      </c>
      <c r="N42" s="2"/>
      <c r="O42" s="254">
        <f>$G$22</f>
        <v>1</v>
      </c>
      <c r="P42" s="20"/>
      <c r="Q42" s="2">
        <f t="shared" si="4"/>
        <v>105.16961673026219</v>
      </c>
      <c r="R42" s="2"/>
      <c r="S42" s="254">
        <f>$G$22</f>
        <v>1</v>
      </c>
      <c r="T42" s="20"/>
      <c r="U42" s="2">
        <f t="shared" si="5"/>
        <v>105.16961673026219</v>
      </c>
      <c r="V42" s="263"/>
      <c r="W42" s="266"/>
      <c r="X42" s="74"/>
      <c r="Y42" s="74"/>
      <c r="Z42" s="20"/>
      <c r="AA42" s="20"/>
      <c r="AB42" s="263"/>
      <c r="AC42" s="263"/>
      <c r="AD42" s="263"/>
      <c r="AE42" s="263"/>
      <c r="AF42" s="263"/>
      <c r="AG42" s="263"/>
      <c r="AH42" s="266"/>
      <c r="AI42" s="266"/>
      <c r="AJ42" s="266"/>
      <c r="AK42" s="266"/>
      <c r="AL42" s="20"/>
      <c r="AM42" s="20"/>
      <c r="AN42" s="20"/>
      <c r="AO42" s="20"/>
      <c r="AP42" s="20"/>
      <c r="AR42" s="84"/>
    </row>
    <row r="43" spans="1:44" s="1118" customFormat="1" hidden="1">
      <c r="A43" s="968" t="s">
        <v>856</v>
      </c>
      <c r="C43" s="1122">
        <f>C45</f>
        <v>1033526</v>
      </c>
      <c r="D43" s="254">
        <v>0</v>
      </c>
      <c r="E43" s="1119"/>
      <c r="F43" s="1123"/>
      <c r="G43" s="1128">
        <f>G23</f>
        <v>0</v>
      </c>
      <c r="H43" s="1126" t="s">
        <v>364</v>
      </c>
      <c r="I43" s="1123">
        <f>G43*C43/100</f>
        <v>0</v>
      </c>
      <c r="J43" s="1123"/>
      <c r="K43" s="1128" t="str">
        <f>K23</f>
        <v xml:space="preserve"> </v>
      </c>
      <c r="L43" s="1126" t="s">
        <v>364</v>
      </c>
      <c r="M43" s="1123" t="e">
        <f>K43*#REF!/100</f>
        <v>#REF!</v>
      </c>
      <c r="N43" s="1123"/>
      <c r="O43" s="1128" t="str">
        <f>O23</f>
        <v xml:space="preserve"> </v>
      </c>
      <c r="P43" s="1126" t="s">
        <v>364</v>
      </c>
      <c r="Q43" s="1123">
        <f>O43*G43/100</f>
        <v>0</v>
      </c>
      <c r="R43" s="1123"/>
      <c r="S43" s="1128">
        <f>S23</f>
        <v>0</v>
      </c>
      <c r="T43" s="1126" t="s">
        <v>364</v>
      </c>
      <c r="U43" s="1123">
        <f>S43*K43/100</f>
        <v>0</v>
      </c>
      <c r="W43" s="784"/>
      <c r="Z43" s="1125"/>
      <c r="AA43" s="1125"/>
      <c r="AF43" s="1119"/>
      <c r="AG43" s="1119"/>
      <c r="AH43" s="1119"/>
      <c r="AI43" s="1119"/>
      <c r="AJ43" s="1119"/>
      <c r="AK43" s="1119"/>
      <c r="AL43" s="1119"/>
      <c r="AM43" s="1119"/>
      <c r="AN43" s="1119"/>
      <c r="AO43" s="1119"/>
      <c r="AP43" s="1119"/>
      <c r="AR43" s="1124"/>
    </row>
    <row r="44" spans="1:44">
      <c r="A44" s="3" t="s">
        <v>352</v>
      </c>
      <c r="C44" s="249">
        <v>13372</v>
      </c>
      <c r="D44" s="250"/>
      <c r="F44" s="2"/>
      <c r="G44" s="250"/>
      <c r="I44" s="2"/>
      <c r="J44" s="2"/>
      <c r="K44" s="250"/>
      <c r="M44" s="2"/>
      <c r="N44" s="2"/>
      <c r="O44" s="250"/>
      <c r="Q44" s="2"/>
      <c r="R44" s="2"/>
      <c r="S44" s="250"/>
      <c r="U44" s="2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73"/>
      <c r="AI44" s="263"/>
      <c r="AJ44" s="263"/>
      <c r="AK44" s="263"/>
      <c r="AL44" s="20"/>
      <c r="AM44" s="20"/>
      <c r="AN44" s="20"/>
      <c r="AO44" s="20"/>
      <c r="AP44" s="20"/>
      <c r="AR44" s="84"/>
    </row>
    <row r="45" spans="1:44">
      <c r="A45" s="3" t="s">
        <v>35</v>
      </c>
      <c r="C45" s="249">
        <v>1033526</v>
      </c>
      <c r="D45" s="254"/>
      <c r="E45" s="20"/>
      <c r="F45" s="257">
        <f>SUM(F35:F42)</f>
        <v>152472.36836490635</v>
      </c>
      <c r="G45" s="254"/>
      <c r="H45" s="20"/>
      <c r="I45" s="257">
        <f ca="1">SUM(I35:I43)</f>
        <v>155145.75784133942</v>
      </c>
      <c r="J45" s="257"/>
      <c r="K45" s="254"/>
      <c r="L45" s="20"/>
      <c r="M45" s="257" t="e">
        <f ca="1">SUM(M35:M43)</f>
        <v>#REF!</v>
      </c>
      <c r="N45" s="257"/>
      <c r="O45" s="254"/>
      <c r="P45" s="20"/>
      <c r="Q45" s="257">
        <f ca="1">SUM(Q35:Q43)</f>
        <v>155145.75784133942</v>
      </c>
      <c r="R45" s="257"/>
      <c r="S45" s="254"/>
      <c r="T45" s="20"/>
      <c r="U45" s="257">
        <f ca="1">SUM(U35:U43)</f>
        <v>155145.75784133942</v>
      </c>
      <c r="V45" s="263"/>
      <c r="W45" s="272"/>
      <c r="X45" s="263"/>
      <c r="Y45" s="263"/>
      <c r="Z45" s="20"/>
      <c r="AA45" s="20"/>
      <c r="AB45" s="20"/>
      <c r="AC45" s="20"/>
      <c r="AD45" s="20"/>
      <c r="AE45" s="20"/>
      <c r="AF45" s="20"/>
      <c r="AG45" s="263"/>
      <c r="AH45" s="26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>
      <c r="A46" s="3" t="s">
        <v>353</v>
      </c>
      <c r="C46" s="249">
        <f>'Table 2'!H21</f>
        <v>13388.012256127642</v>
      </c>
      <c r="D46" s="254"/>
      <c r="E46" s="20"/>
      <c r="F46" s="257">
        <f>'Table 3'!E21</f>
        <v>2236.7857072807878</v>
      </c>
      <c r="G46" s="254"/>
      <c r="H46" s="20"/>
      <c r="I46" s="257">
        <f>F46</f>
        <v>2236.7857072807878</v>
      </c>
      <c r="J46" s="257"/>
      <c r="K46" s="254"/>
      <c r="L46" s="20"/>
      <c r="M46" s="257">
        <f>I46</f>
        <v>2236.7857072807878</v>
      </c>
      <c r="N46" s="257"/>
      <c r="O46" s="254"/>
      <c r="P46" s="20"/>
      <c r="Q46" s="257">
        <f>M46</f>
        <v>2236.7857072807878</v>
      </c>
      <c r="R46" s="257"/>
      <c r="S46" s="254"/>
      <c r="T46" s="20"/>
      <c r="U46" s="257">
        <f>Q46</f>
        <v>2236.7857072807878</v>
      </c>
      <c r="V46" s="429"/>
      <c r="W46" s="272"/>
      <c r="X46" s="263"/>
      <c r="Y46" s="263"/>
      <c r="Z46" s="263"/>
      <c r="AA46" s="263"/>
      <c r="AB46" s="268"/>
      <c r="AC46" s="268"/>
      <c r="AD46" s="268"/>
      <c r="AE46" s="268"/>
      <c r="AF46" s="266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t="16.5" thickBot="1">
      <c r="A47" s="3" t="s">
        <v>9</v>
      </c>
      <c r="C47" s="258">
        <f>C45+C46</f>
        <v>1046914.0122561277</v>
      </c>
      <c r="D47" s="297"/>
      <c r="E47" s="259"/>
      <c r="F47" s="259">
        <f>F45+F46</f>
        <v>154709.15407218714</v>
      </c>
      <c r="G47" s="297"/>
      <c r="H47" s="259"/>
      <c r="I47" s="259">
        <f ca="1">I45+I46</f>
        <v>157382.54354862022</v>
      </c>
      <c r="J47" s="297"/>
      <c r="K47" s="297"/>
      <c r="L47" s="259"/>
      <c r="M47" s="259" t="e">
        <f ca="1">M45+M46</f>
        <v>#REF!</v>
      </c>
      <c r="N47" s="297"/>
      <c r="O47" s="297"/>
      <c r="P47" s="259"/>
      <c r="Q47" s="259">
        <f ca="1">Q45+Q46</f>
        <v>157382.54354862022</v>
      </c>
      <c r="R47" s="297"/>
      <c r="S47" s="297"/>
      <c r="T47" s="259"/>
      <c r="U47" s="259">
        <f ca="1">U45+U46</f>
        <v>157382.54354862022</v>
      </c>
      <c r="V47" s="396"/>
      <c r="W47" s="455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thickTop="1">
      <c r="C48" s="260"/>
      <c r="D48" s="294" t="s">
        <v>31</v>
      </c>
      <c r="E48" s="260"/>
      <c r="F48" s="248"/>
      <c r="G48" s="1" t="s">
        <v>31</v>
      </c>
      <c r="H48" s="260"/>
      <c r="I48" s="2" t="s">
        <v>31</v>
      </c>
      <c r="J48" s="2"/>
      <c r="K48" s="1" t="s">
        <v>31</v>
      </c>
      <c r="L48" s="260"/>
      <c r="M48" s="2" t="s">
        <v>31</v>
      </c>
      <c r="N48" s="2"/>
      <c r="O48" s="1" t="s">
        <v>31</v>
      </c>
      <c r="P48" s="260"/>
      <c r="Q48" s="2" t="s">
        <v>31</v>
      </c>
      <c r="R48" s="2"/>
      <c r="S48" s="1" t="s">
        <v>31</v>
      </c>
      <c r="T48" s="260"/>
      <c r="U48" s="2" t="s">
        <v>31</v>
      </c>
      <c r="V48" s="20"/>
      <c r="W48" s="74"/>
      <c r="X48" s="74"/>
      <c r="Y48" s="74"/>
      <c r="Z48" s="20"/>
      <c r="AA48" s="20"/>
      <c r="AB48" s="20"/>
      <c r="AC48" s="20"/>
      <c r="AD48" s="20"/>
      <c r="AE48" s="20"/>
      <c r="AF48" s="20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>
      <c r="A49" s="247" t="s">
        <v>341</v>
      </c>
      <c r="F49" s="248"/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>
      <c r="A50" s="3" t="s">
        <v>356</v>
      </c>
      <c r="F50" s="248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>
      <c r="A52" s="3" t="s">
        <v>343</v>
      </c>
      <c r="F52" s="248"/>
      <c r="V52" s="263"/>
      <c r="W52" s="263"/>
      <c r="X52" s="74"/>
      <c r="Y52" s="74"/>
      <c r="Z52" s="264"/>
      <c r="AA52" s="264"/>
      <c r="AB52" s="265"/>
      <c r="AC52" s="265"/>
      <c r="AD52" s="265"/>
      <c r="AE52" s="265"/>
      <c r="AF52" s="266"/>
      <c r="AG52" s="267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>
      <c r="A53" s="3" t="s">
        <v>344</v>
      </c>
      <c r="C53" s="249">
        <v>13565.461216694168</v>
      </c>
      <c r="D53" s="250">
        <v>10.79</v>
      </c>
      <c r="F53" s="2">
        <f>D53*C53</f>
        <v>146371.32652813007</v>
      </c>
      <c r="G53" s="250">
        <f ca="1">$G$15</f>
        <v>10.98</v>
      </c>
      <c r="I53" s="2">
        <f t="shared" ref="I53:I55" ca="1" si="6">(G53*$C53)</f>
        <v>148948.76415930197</v>
      </c>
      <c r="J53" s="2"/>
      <c r="K53" s="250">
        <f ca="1">$G$15</f>
        <v>10.98</v>
      </c>
      <c r="M53" s="2">
        <f t="shared" ref="M53:M55" ca="1" si="7">(K53*$C53)</f>
        <v>148948.76415930197</v>
      </c>
      <c r="N53" s="2"/>
      <c r="O53" s="250">
        <f ca="1">$G$15</f>
        <v>10.98</v>
      </c>
      <c r="Q53" s="2">
        <f t="shared" ref="Q53:Q55" ca="1" si="8">(O53*$C53)</f>
        <v>148948.76415930197</v>
      </c>
      <c r="R53" s="2"/>
      <c r="S53" s="250">
        <f ca="1">$G$15</f>
        <v>10.98</v>
      </c>
      <c r="U53" s="2">
        <f t="shared" ref="U53:U55" ca="1" si="9">(S53*$C53)</f>
        <v>148948.76415930197</v>
      </c>
      <c r="V53" s="20"/>
      <c r="W53" s="266"/>
      <c r="X53" s="74"/>
      <c r="Y53" s="74"/>
      <c r="Z53" s="263"/>
      <c r="AA53" s="263"/>
      <c r="AB53" s="268"/>
      <c r="AC53" s="268"/>
      <c r="AD53" s="268"/>
      <c r="AE53" s="268"/>
      <c r="AF53" s="269"/>
      <c r="AG53" s="263"/>
      <c r="AH53" s="266"/>
      <c r="AI53" s="266"/>
      <c r="AJ53" s="270"/>
      <c r="AK53" s="266"/>
      <c r="AL53" s="20"/>
      <c r="AM53" s="20"/>
      <c r="AN53" s="20"/>
      <c r="AO53" s="20"/>
      <c r="AP53" s="20"/>
      <c r="AR53" s="84"/>
    </row>
    <row r="54" spans="1:44">
      <c r="A54" s="3" t="s">
        <v>345</v>
      </c>
      <c r="C54" s="249">
        <v>3532.598813033077</v>
      </c>
      <c r="D54" s="250">
        <v>20.53</v>
      </c>
      <c r="F54" s="2">
        <f>D54*C54</f>
        <v>72524.253631569081</v>
      </c>
      <c r="G54" s="250">
        <f ca="1">$G$16</f>
        <v>20.88</v>
      </c>
      <c r="I54" s="2">
        <f t="shared" ca="1" si="6"/>
        <v>73760.663216130648</v>
      </c>
      <c r="J54" s="2"/>
      <c r="K54" s="250">
        <f ca="1">$G$16</f>
        <v>20.88</v>
      </c>
      <c r="M54" s="2">
        <f t="shared" ca="1" si="7"/>
        <v>73760.663216130648</v>
      </c>
      <c r="N54" s="2"/>
      <c r="O54" s="250">
        <f ca="1">$G$16</f>
        <v>20.88</v>
      </c>
      <c r="Q54" s="2">
        <f t="shared" ca="1" si="8"/>
        <v>73760.663216130648</v>
      </c>
      <c r="R54" s="2"/>
      <c r="S54" s="250">
        <f ca="1">$G$16</f>
        <v>20.88</v>
      </c>
      <c r="U54" s="2">
        <f t="shared" ca="1" si="9"/>
        <v>73760.663216130648</v>
      </c>
      <c r="V54" s="20"/>
      <c r="W54" s="266"/>
      <c r="X54" s="74"/>
      <c r="Y54" s="74"/>
      <c r="Z54" s="20"/>
      <c r="AA54" s="20"/>
      <c r="AB54" s="272"/>
      <c r="AC54" s="272"/>
      <c r="AD54" s="272"/>
      <c r="AE54" s="272"/>
      <c r="AF54" s="263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>
      <c r="A55" s="3" t="s">
        <v>346</v>
      </c>
      <c r="C55" s="249">
        <v>489.16675699261128</v>
      </c>
      <c r="D55" s="250">
        <v>42.48</v>
      </c>
      <c r="F55" s="2">
        <f>D55*C55</f>
        <v>20779.803837046125</v>
      </c>
      <c r="G55" s="250">
        <f ca="1">$G$17</f>
        <v>43.21</v>
      </c>
      <c r="I55" s="2">
        <f t="shared" ca="1" si="6"/>
        <v>21136.895569650733</v>
      </c>
      <c r="J55" s="2"/>
      <c r="K55" s="250">
        <f ca="1">$G$17</f>
        <v>43.21</v>
      </c>
      <c r="M55" s="2">
        <f t="shared" ca="1" si="7"/>
        <v>21136.895569650733</v>
      </c>
      <c r="N55" s="2"/>
      <c r="O55" s="250">
        <f ca="1">$G$17</f>
        <v>43.21</v>
      </c>
      <c r="Q55" s="2">
        <f t="shared" ca="1" si="8"/>
        <v>21136.895569650733</v>
      </c>
      <c r="R55" s="2"/>
      <c r="S55" s="250">
        <f ca="1">$G$17</f>
        <v>43.21</v>
      </c>
      <c r="U55" s="2">
        <f t="shared" ca="1" si="9"/>
        <v>21136.895569650733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>
      <c r="A56" s="3" t="s">
        <v>347</v>
      </c>
      <c r="C56" s="249"/>
      <c r="D56" s="250"/>
      <c r="F56" s="2"/>
      <c r="G56" s="250"/>
      <c r="I56" s="2"/>
      <c r="J56" s="2"/>
      <c r="K56" s="250"/>
      <c r="M56" s="2"/>
      <c r="N56" s="2"/>
      <c r="O56" s="250"/>
      <c r="Q56" s="2"/>
      <c r="R56" s="2"/>
      <c r="S56" s="250"/>
      <c r="U56" s="2"/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>
      <c r="A57" s="3" t="s">
        <v>348</v>
      </c>
      <c r="C57" s="249">
        <v>1191.3721888629</v>
      </c>
      <c r="D57" s="250">
        <v>12.27</v>
      </c>
      <c r="F57" s="2">
        <f>D57*C57</f>
        <v>14618.136757347782</v>
      </c>
      <c r="G57" s="250">
        <f ca="1">$G$19</f>
        <v>12.48</v>
      </c>
      <c r="I57" s="2">
        <f t="shared" ref="I57:I60" ca="1" si="10">(G57*$C57)</f>
        <v>14868.324917008993</v>
      </c>
      <c r="J57" s="2"/>
      <c r="K57" s="250">
        <f ca="1">$G$19</f>
        <v>12.48</v>
      </c>
      <c r="M57" s="2">
        <f t="shared" ref="M57:M60" ca="1" si="11">(K57*$C57)</f>
        <v>14868.324917008993</v>
      </c>
      <c r="N57" s="2"/>
      <c r="O57" s="250">
        <f ca="1">$G$19</f>
        <v>12.48</v>
      </c>
      <c r="Q57" s="2">
        <f t="shared" ref="Q57:Q60" ca="1" si="12">(O57*$C57)</f>
        <v>14868.324917008993</v>
      </c>
      <c r="R57" s="2"/>
      <c r="S57" s="250">
        <f ca="1">$G$19</f>
        <v>12.48</v>
      </c>
      <c r="U57" s="2">
        <f t="shared" ref="U57:U60" ca="1" si="13">(S57*$C57)</f>
        <v>14868.324917008993</v>
      </c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>
      <c r="A58" s="3" t="s">
        <v>349</v>
      </c>
      <c r="C58" s="249">
        <v>1361.8043880047101</v>
      </c>
      <c r="D58" s="250">
        <v>18.02</v>
      </c>
      <c r="F58" s="2">
        <f>D58*C58</f>
        <v>24539.715071844876</v>
      </c>
      <c r="G58" s="250">
        <f ca="1">$G$20</f>
        <v>18.329999999999998</v>
      </c>
      <c r="I58" s="2">
        <f t="shared" ca="1" si="10"/>
        <v>24961.874432126333</v>
      </c>
      <c r="J58" s="2"/>
      <c r="K58" s="250">
        <f ca="1">$G$20</f>
        <v>18.329999999999998</v>
      </c>
      <c r="M58" s="2">
        <f t="shared" ca="1" si="11"/>
        <v>24961.874432126333</v>
      </c>
      <c r="N58" s="2"/>
      <c r="O58" s="250">
        <f ca="1">$G$20</f>
        <v>18.329999999999998</v>
      </c>
      <c r="Q58" s="2">
        <f t="shared" ca="1" si="12"/>
        <v>24961.874432126333</v>
      </c>
      <c r="R58" s="2"/>
      <c r="S58" s="250">
        <f ca="1">$G$20</f>
        <v>18.329999999999998</v>
      </c>
      <c r="U58" s="2">
        <f t="shared" ca="1" si="13"/>
        <v>24961.874432126333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>
      <c r="A59" s="3" t="s">
        <v>350</v>
      </c>
      <c r="C59" s="249">
        <v>503.93238412641102</v>
      </c>
      <c r="D59" s="250">
        <v>29.07</v>
      </c>
      <c r="F59" s="2">
        <f>D59*C59</f>
        <v>14649.314406554769</v>
      </c>
      <c r="G59" s="250">
        <f ca="1">$G$21</f>
        <v>29.57</v>
      </c>
      <c r="I59" s="2">
        <f t="shared" ca="1" si="10"/>
        <v>14901.280598617974</v>
      </c>
      <c r="J59" s="2"/>
      <c r="K59" s="250">
        <f ca="1">$G$21</f>
        <v>29.57</v>
      </c>
      <c r="M59" s="2">
        <f t="shared" ca="1" si="11"/>
        <v>14901.280598617974</v>
      </c>
      <c r="N59" s="2"/>
      <c r="O59" s="250">
        <f ca="1">$G$21</f>
        <v>29.57</v>
      </c>
      <c r="Q59" s="2">
        <f t="shared" ca="1" si="12"/>
        <v>14901.280598617974</v>
      </c>
      <c r="R59" s="2"/>
      <c r="S59" s="250">
        <f ca="1">$G$21</f>
        <v>29.57</v>
      </c>
      <c r="U59" s="2">
        <f t="shared" ca="1" si="13"/>
        <v>14901.280598617974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>
      <c r="A60" s="3" t="s">
        <v>351</v>
      </c>
      <c r="C60" s="249">
        <v>324.1657048160514</v>
      </c>
      <c r="D60" s="250">
        <v>1</v>
      </c>
      <c r="E60" s="20"/>
      <c r="F60" s="2">
        <f>D60*C60</f>
        <v>324.1657048160514</v>
      </c>
      <c r="G60" s="254">
        <f>$G$22</f>
        <v>1</v>
      </c>
      <c r="H60" s="20"/>
      <c r="I60" s="2">
        <f t="shared" si="10"/>
        <v>324.1657048160514</v>
      </c>
      <c r="J60" s="2"/>
      <c r="K60" s="254">
        <f>$G$22</f>
        <v>1</v>
      </c>
      <c r="L60" s="20"/>
      <c r="M60" s="2">
        <f t="shared" si="11"/>
        <v>324.1657048160514</v>
      </c>
      <c r="N60" s="2"/>
      <c r="O60" s="254">
        <f>$G$22</f>
        <v>1</v>
      </c>
      <c r="P60" s="20"/>
      <c r="Q60" s="2">
        <f t="shared" si="12"/>
        <v>324.1657048160514</v>
      </c>
      <c r="R60" s="2"/>
      <c r="S60" s="254">
        <f>$G$22</f>
        <v>1</v>
      </c>
      <c r="T60" s="20"/>
      <c r="U60" s="2">
        <f t="shared" si="13"/>
        <v>324.1657048160514</v>
      </c>
      <c r="V60" s="263"/>
      <c r="W60" s="266"/>
      <c r="X60" s="74"/>
      <c r="Y60" s="74"/>
      <c r="Z60" s="20"/>
      <c r="AA60" s="20"/>
      <c r="AB60" s="263"/>
      <c r="AC60" s="263"/>
      <c r="AD60" s="263"/>
      <c r="AE60" s="263"/>
      <c r="AF60" s="263"/>
      <c r="AG60" s="263"/>
      <c r="AH60" s="266"/>
      <c r="AI60" s="266"/>
      <c r="AJ60" s="266"/>
      <c r="AK60" s="266"/>
      <c r="AL60" s="20"/>
      <c r="AM60" s="20"/>
      <c r="AN60" s="20"/>
      <c r="AO60" s="20"/>
      <c r="AP60" s="20"/>
      <c r="AR60" s="84"/>
    </row>
    <row r="61" spans="1:44" s="1118" customFormat="1" hidden="1">
      <c r="A61" s="968" t="s">
        <v>856</v>
      </c>
      <c r="C61" s="1122">
        <f>C63</f>
        <v>2083856</v>
      </c>
      <c r="D61" s="254">
        <v>0</v>
      </c>
      <c r="E61" s="1119"/>
      <c r="F61" s="1123"/>
      <c r="G61" s="1128">
        <f>G23</f>
        <v>0</v>
      </c>
      <c r="H61" s="1126" t="s">
        <v>364</v>
      </c>
      <c r="I61" s="1123">
        <f>G61*C61/100</f>
        <v>0</v>
      </c>
      <c r="J61" s="1123"/>
      <c r="K61" s="1128" t="str">
        <f>K23</f>
        <v xml:space="preserve"> </v>
      </c>
      <c r="L61" s="1126" t="s">
        <v>364</v>
      </c>
      <c r="M61" s="1123" t="e">
        <f>K61*#REF!/100</f>
        <v>#REF!</v>
      </c>
      <c r="N61" s="1123"/>
      <c r="O61" s="1128" t="str">
        <f>O23</f>
        <v xml:space="preserve"> </v>
      </c>
      <c r="P61" s="1126" t="s">
        <v>364</v>
      </c>
      <c r="Q61" s="1123">
        <f>O61*G61/100</f>
        <v>0</v>
      </c>
      <c r="R61" s="1123"/>
      <c r="S61" s="1128">
        <f>S23</f>
        <v>0</v>
      </c>
      <c r="T61" s="1126" t="s">
        <v>364</v>
      </c>
      <c r="U61" s="1123">
        <f>S61*K61/100</f>
        <v>0</v>
      </c>
      <c r="W61" s="784"/>
      <c r="Z61" s="1125"/>
      <c r="AA61" s="1125"/>
      <c r="AF61" s="1119"/>
      <c r="AG61" s="1119"/>
      <c r="AH61" s="1119"/>
      <c r="AI61" s="1119"/>
      <c r="AJ61" s="1119"/>
      <c r="AK61" s="1119"/>
      <c r="AL61" s="1119"/>
      <c r="AM61" s="1119"/>
      <c r="AN61" s="1119"/>
      <c r="AO61" s="1119"/>
      <c r="AP61" s="1119"/>
      <c r="AR61" s="1124"/>
    </row>
    <row r="62" spans="1:44">
      <c r="A62" s="3" t="s">
        <v>352</v>
      </c>
      <c r="C62" s="249">
        <v>15518</v>
      </c>
      <c r="D62" s="250"/>
      <c r="F62" s="2"/>
      <c r="G62" s="250"/>
      <c r="I62" s="2"/>
      <c r="J62" s="2"/>
      <c r="K62" s="250"/>
      <c r="M62" s="2"/>
      <c r="N62" s="2"/>
      <c r="O62" s="250"/>
      <c r="Q62" s="2"/>
      <c r="R62" s="2"/>
      <c r="S62" s="250"/>
      <c r="U62" s="2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73"/>
      <c r="AI62" s="263"/>
      <c r="AJ62" s="263"/>
      <c r="AK62" s="263"/>
      <c r="AL62" s="20"/>
      <c r="AM62" s="20"/>
      <c r="AN62" s="20"/>
      <c r="AO62" s="20"/>
      <c r="AP62" s="20"/>
      <c r="AR62" s="84"/>
    </row>
    <row r="63" spans="1:44">
      <c r="A63" s="3" t="s">
        <v>35</v>
      </c>
      <c r="C63" s="249">
        <v>2083856</v>
      </c>
      <c r="D63" s="254"/>
      <c r="E63" s="20"/>
      <c r="F63" s="257">
        <f>SUM(F53:F60)</f>
        <v>293806.71593730879</v>
      </c>
      <c r="G63" s="254"/>
      <c r="H63" s="20"/>
      <c r="I63" s="257">
        <f ca="1">SUM(I53:I61)</f>
        <v>298901.96859765274</v>
      </c>
      <c r="J63" s="257"/>
      <c r="K63" s="254"/>
      <c r="L63" s="20"/>
      <c r="M63" s="257" t="e">
        <f ca="1">SUM(M53:M61)</f>
        <v>#REF!</v>
      </c>
      <c r="N63" s="257"/>
      <c r="O63" s="254"/>
      <c r="P63" s="20"/>
      <c r="Q63" s="257">
        <f ca="1">SUM(Q53:Q61)</f>
        <v>298901.96859765274</v>
      </c>
      <c r="R63" s="257"/>
      <c r="S63" s="254"/>
      <c r="T63" s="20"/>
      <c r="U63" s="257">
        <f ca="1">SUM(U53:U61)</f>
        <v>298901.96859765274</v>
      </c>
      <c r="V63" s="263"/>
      <c r="W63" s="272"/>
      <c r="X63" s="263"/>
      <c r="Y63" s="263"/>
      <c r="Z63" s="20"/>
      <c r="AA63" s="20"/>
      <c r="AB63" s="20"/>
      <c r="AC63" s="20"/>
      <c r="AD63" s="20"/>
      <c r="AE63" s="20"/>
      <c r="AF63" s="20"/>
      <c r="AG63" s="263"/>
      <c r="AH63" s="26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>
      <c r="A64" s="3" t="s">
        <v>353</v>
      </c>
      <c r="C64" s="249">
        <f>'Table 2'!H52</f>
        <v>14372.590194620605</v>
      </c>
      <c r="D64" s="254"/>
      <c r="E64" s="20"/>
      <c r="F64" s="257">
        <f>'Table 3'!E52</f>
        <v>2323.2050877783413</v>
      </c>
      <c r="G64" s="254"/>
      <c r="H64" s="20"/>
      <c r="I64" s="257">
        <f>F64</f>
        <v>2323.2050877783413</v>
      </c>
      <c r="J64" s="257"/>
      <c r="K64" s="254"/>
      <c r="L64" s="20"/>
      <c r="M64" s="257">
        <f>I64</f>
        <v>2323.2050877783413</v>
      </c>
      <c r="N64" s="257"/>
      <c r="O64" s="254"/>
      <c r="P64" s="20"/>
      <c r="Q64" s="257">
        <f>M64</f>
        <v>2323.2050877783413</v>
      </c>
      <c r="R64" s="257"/>
      <c r="S64" s="254"/>
      <c r="T64" s="20"/>
      <c r="U64" s="257">
        <f>Q64</f>
        <v>2323.2050877783413</v>
      </c>
      <c r="V64" s="429"/>
      <c r="W64" s="272"/>
      <c r="X64" s="263"/>
      <c r="Y64" s="263"/>
      <c r="Z64" s="263"/>
      <c r="AA64" s="263"/>
      <c r="AB64" s="268"/>
      <c r="AC64" s="268"/>
      <c r="AD64" s="268"/>
      <c r="AE64" s="268"/>
      <c r="AF64" s="266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t="16.5" thickBot="1">
      <c r="A65" s="3" t="s">
        <v>9</v>
      </c>
      <c r="C65" s="258">
        <f>C63+C64</f>
        <v>2098228.5901946207</v>
      </c>
      <c r="D65" s="297"/>
      <c r="E65" s="259"/>
      <c r="F65" s="259">
        <f>F63+F64</f>
        <v>296129.92102508713</v>
      </c>
      <c r="G65" s="297"/>
      <c r="H65" s="259"/>
      <c r="I65" s="259">
        <f ca="1">I63+I64</f>
        <v>301225.17368543107</v>
      </c>
      <c r="J65" s="51"/>
      <c r="K65" s="297"/>
      <c r="L65" s="259"/>
      <c r="M65" s="259" t="e">
        <f ca="1">M63+M64</f>
        <v>#REF!</v>
      </c>
      <c r="N65" s="297"/>
      <c r="O65" s="297"/>
      <c r="P65" s="259"/>
      <c r="Q65" s="259">
        <f ca="1">Q63+Q64</f>
        <v>301225.17368543107</v>
      </c>
      <c r="R65" s="297"/>
      <c r="S65" s="297"/>
      <c r="T65" s="259"/>
      <c r="U65" s="259">
        <f ca="1">U63+U64</f>
        <v>301225.17368543107</v>
      </c>
      <c r="V65" s="396"/>
      <c r="W65" s="455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thickTop="1">
      <c r="C66" s="260"/>
      <c r="D66" s="294" t="s">
        <v>31</v>
      </c>
      <c r="E66" s="260"/>
      <c r="F66" s="248"/>
      <c r="G66" s="1" t="s">
        <v>31</v>
      </c>
      <c r="H66" s="260"/>
      <c r="I66" s="2" t="s">
        <v>31</v>
      </c>
      <c r="J66" s="2"/>
      <c r="K66" s="1" t="s">
        <v>31</v>
      </c>
      <c r="L66" s="260"/>
      <c r="M66" s="2" t="s">
        <v>31</v>
      </c>
      <c r="N66" s="2"/>
      <c r="O66" s="1" t="s">
        <v>31</v>
      </c>
      <c r="P66" s="260"/>
      <c r="Q66" s="2" t="s">
        <v>31</v>
      </c>
      <c r="R66" s="2"/>
      <c r="S66" s="1" t="s">
        <v>31</v>
      </c>
      <c r="T66" s="260"/>
      <c r="U66" s="2" t="s">
        <v>31</v>
      </c>
      <c r="V66" s="20"/>
      <c r="W66" s="74"/>
      <c r="X66" s="74"/>
      <c r="Y66" s="74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R66" s="84"/>
    </row>
    <row r="67" spans="1:44">
      <c r="A67" s="247" t="s">
        <v>341</v>
      </c>
      <c r="F67" s="248"/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>
      <c r="A68" s="3" t="s">
        <v>357</v>
      </c>
      <c r="F68" s="248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263"/>
      <c r="AG68" s="263"/>
      <c r="AH68" s="263"/>
      <c r="AI68" s="263"/>
      <c r="AJ68" s="263"/>
      <c r="AK68" s="263"/>
      <c r="AL68" s="20"/>
      <c r="AM68" s="20"/>
      <c r="AN68" s="20"/>
      <c r="AO68" s="20"/>
      <c r="AP68" s="20"/>
      <c r="AR68" s="84"/>
    </row>
    <row r="69" spans="1:44"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>
      <c r="A70" s="3" t="s">
        <v>343</v>
      </c>
      <c r="F70" s="248"/>
      <c r="V70" s="263"/>
      <c r="W70" s="263"/>
      <c r="X70" s="74"/>
      <c r="Y70" s="74"/>
      <c r="Z70" s="264"/>
      <c r="AA70" s="264"/>
      <c r="AB70" s="265"/>
      <c r="AC70" s="265"/>
      <c r="AD70" s="265"/>
      <c r="AE70" s="265"/>
      <c r="AF70" s="266"/>
      <c r="AG70" s="267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>
      <c r="A71" s="3" t="s">
        <v>344</v>
      </c>
      <c r="C71" s="249">
        <v>604.99709761288204</v>
      </c>
      <c r="D71" s="250">
        <v>10.79</v>
      </c>
      <c r="F71" s="2">
        <f>D71*C71</f>
        <v>6527.9186832429968</v>
      </c>
      <c r="G71" s="250">
        <f ca="1">$G$15</f>
        <v>10.98</v>
      </c>
      <c r="I71" s="2">
        <f t="shared" ref="I71:I73" ca="1" si="14">(G71*$C71)</f>
        <v>6642.8681317894452</v>
      </c>
      <c r="J71" s="2"/>
      <c r="K71" s="250">
        <f ca="1">$G$15</f>
        <v>10.98</v>
      </c>
      <c r="M71" s="2">
        <f t="shared" ref="M71:M73" ca="1" si="15">(K71*$C71)</f>
        <v>6642.8681317894452</v>
      </c>
      <c r="N71" s="2"/>
      <c r="O71" s="250">
        <f ca="1">$G$15</f>
        <v>10.98</v>
      </c>
      <c r="Q71" s="2">
        <f t="shared" ref="Q71:Q73" ca="1" si="16">(O71*$C71)</f>
        <v>6642.8681317894452</v>
      </c>
      <c r="R71" s="2"/>
      <c r="S71" s="250">
        <f ca="1">$G$15</f>
        <v>10.98</v>
      </c>
      <c r="U71" s="2">
        <f t="shared" ref="U71:U73" ca="1" si="17">(S71*$C71)</f>
        <v>6642.8681317894452</v>
      </c>
      <c r="V71" s="20"/>
      <c r="W71" s="266"/>
      <c r="X71" s="74"/>
      <c r="Y71" s="74"/>
      <c r="Z71" s="263"/>
      <c r="AA71" s="263"/>
      <c r="AB71" s="268"/>
      <c r="AC71" s="268"/>
      <c r="AD71" s="268"/>
      <c r="AE71" s="268"/>
      <c r="AF71" s="269"/>
      <c r="AG71" s="263"/>
      <c r="AH71" s="266"/>
      <c r="AI71" s="266"/>
      <c r="AJ71" s="270"/>
      <c r="AK71" s="266"/>
      <c r="AL71" s="20"/>
      <c r="AM71" s="20"/>
      <c r="AN71" s="20"/>
      <c r="AO71" s="20"/>
      <c r="AP71" s="20"/>
      <c r="AR71" s="84"/>
    </row>
    <row r="72" spans="1:44">
      <c r="A72" s="3" t="s">
        <v>345</v>
      </c>
      <c r="C72" s="249">
        <v>401.56488078949502</v>
      </c>
      <c r="D72" s="250">
        <v>20.53</v>
      </c>
      <c r="F72" s="2">
        <f>D72*C72</f>
        <v>8244.127002608333</v>
      </c>
      <c r="G72" s="250">
        <f ca="1">$G$16</f>
        <v>20.88</v>
      </c>
      <c r="I72" s="2">
        <f t="shared" ca="1" si="14"/>
        <v>8384.6747108846557</v>
      </c>
      <c r="J72" s="2"/>
      <c r="K72" s="250">
        <f ca="1">$G$16</f>
        <v>20.88</v>
      </c>
      <c r="M72" s="2">
        <f t="shared" ca="1" si="15"/>
        <v>8384.6747108846557</v>
      </c>
      <c r="N72" s="2"/>
      <c r="O72" s="250">
        <f ca="1">$G$16</f>
        <v>20.88</v>
      </c>
      <c r="Q72" s="2">
        <f t="shared" ca="1" si="16"/>
        <v>8384.6747108846557</v>
      </c>
      <c r="R72" s="2"/>
      <c r="S72" s="250">
        <f ca="1">$G$16</f>
        <v>20.88</v>
      </c>
      <c r="U72" s="2">
        <f t="shared" ca="1" si="17"/>
        <v>8384.6747108846557</v>
      </c>
      <c r="V72" s="20"/>
      <c r="W72" s="266"/>
      <c r="X72" s="74"/>
      <c r="Y72" s="74"/>
      <c r="Z72" s="20"/>
      <c r="AA72" s="20"/>
      <c r="AB72" s="272"/>
      <c r="AC72" s="272"/>
      <c r="AD72" s="272"/>
      <c r="AE72" s="272"/>
      <c r="AF72" s="263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>
      <c r="A73" s="3" t="s">
        <v>346</v>
      </c>
      <c r="C73" s="249">
        <v>37.033422524669703</v>
      </c>
      <c r="D73" s="250">
        <v>42.48</v>
      </c>
      <c r="F73" s="2">
        <f>D73*C73</f>
        <v>1573.1797888479689</v>
      </c>
      <c r="G73" s="250">
        <f ca="1">$G$17</f>
        <v>43.21</v>
      </c>
      <c r="I73" s="2">
        <f t="shared" ca="1" si="14"/>
        <v>1600.2141872909779</v>
      </c>
      <c r="J73" s="2"/>
      <c r="K73" s="250">
        <f ca="1">$G$17</f>
        <v>43.21</v>
      </c>
      <c r="M73" s="2">
        <f t="shared" ca="1" si="15"/>
        <v>1600.2141872909779</v>
      </c>
      <c r="N73" s="2"/>
      <c r="O73" s="250">
        <f ca="1">$G$17</f>
        <v>43.21</v>
      </c>
      <c r="Q73" s="2">
        <f t="shared" ca="1" si="16"/>
        <v>1600.2141872909779</v>
      </c>
      <c r="R73" s="2"/>
      <c r="S73" s="250">
        <f ca="1">$G$17</f>
        <v>43.21</v>
      </c>
      <c r="U73" s="2">
        <f t="shared" ca="1" si="17"/>
        <v>1600.2141872909779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>
      <c r="A74" s="3" t="s">
        <v>347</v>
      </c>
      <c r="C74" s="249"/>
      <c r="D74" s="250"/>
      <c r="F74" s="2"/>
      <c r="G74" s="250"/>
      <c r="I74" s="2"/>
      <c r="J74" s="2"/>
      <c r="K74" s="250"/>
      <c r="M74" s="2"/>
      <c r="N74" s="2"/>
      <c r="O74" s="250"/>
      <c r="Q74" s="2"/>
      <c r="R74" s="2"/>
      <c r="S74" s="250"/>
      <c r="U74" s="2"/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>
      <c r="A75" s="3" t="s">
        <v>348</v>
      </c>
      <c r="C75" s="249">
        <v>12</v>
      </c>
      <c r="D75" s="250">
        <v>12.27</v>
      </c>
      <c r="F75" s="2">
        <f>D75*C75</f>
        <v>147.24</v>
      </c>
      <c r="G75" s="250">
        <f ca="1">$G$19</f>
        <v>12.48</v>
      </c>
      <c r="I75" s="2">
        <f t="shared" ref="I75:I78" ca="1" si="18">(G75*$C75)</f>
        <v>149.76</v>
      </c>
      <c r="J75" s="2"/>
      <c r="K75" s="250">
        <f ca="1">$G$19</f>
        <v>12.48</v>
      </c>
      <c r="M75" s="2">
        <f t="shared" ref="M75:M78" ca="1" si="19">(K75*$C75)</f>
        <v>149.76</v>
      </c>
      <c r="N75" s="2"/>
      <c r="O75" s="250">
        <f ca="1">$G$19</f>
        <v>12.48</v>
      </c>
      <c r="Q75" s="2">
        <f t="shared" ref="Q75:Q78" ca="1" si="20">(O75*$C75)</f>
        <v>149.76</v>
      </c>
      <c r="R75" s="2"/>
      <c r="S75" s="250">
        <f ca="1">$G$19</f>
        <v>12.48</v>
      </c>
      <c r="U75" s="2">
        <f t="shared" ref="U75:U78" ca="1" si="21">(S75*$C75)</f>
        <v>149.76</v>
      </c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>
      <c r="A76" s="3" t="s">
        <v>349</v>
      </c>
      <c r="C76" s="249">
        <v>96.000818853397803</v>
      </c>
      <c r="D76" s="250">
        <v>18.02</v>
      </c>
      <c r="F76" s="2">
        <f>D76*C76</f>
        <v>1729.9347557382284</v>
      </c>
      <c r="G76" s="250">
        <f ca="1">$G$20</f>
        <v>18.329999999999998</v>
      </c>
      <c r="I76" s="2">
        <f t="shared" ca="1" si="18"/>
        <v>1759.6950095827815</v>
      </c>
      <c r="J76" s="2"/>
      <c r="K76" s="250">
        <f ca="1">$G$20</f>
        <v>18.329999999999998</v>
      </c>
      <c r="M76" s="2">
        <f t="shared" ca="1" si="19"/>
        <v>1759.6950095827815</v>
      </c>
      <c r="N76" s="2"/>
      <c r="O76" s="250">
        <f ca="1">$G$20</f>
        <v>18.329999999999998</v>
      </c>
      <c r="Q76" s="2">
        <f t="shared" ca="1" si="20"/>
        <v>1759.6950095827815</v>
      </c>
      <c r="R76" s="2"/>
      <c r="S76" s="250">
        <f ca="1">$G$20</f>
        <v>18.329999999999998</v>
      </c>
      <c r="U76" s="2">
        <f t="shared" ca="1" si="21"/>
        <v>1759.6950095827815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>
      <c r="A77" s="3" t="s">
        <v>350</v>
      </c>
      <c r="C77" s="249">
        <v>2.0666895840495001</v>
      </c>
      <c r="D77" s="250">
        <v>29.07</v>
      </c>
      <c r="F77" s="2">
        <f>D77*C77</f>
        <v>60.078666208318971</v>
      </c>
      <c r="G77" s="250">
        <f ca="1">$G$21</f>
        <v>29.57</v>
      </c>
      <c r="I77" s="2">
        <f t="shared" ca="1" si="18"/>
        <v>61.11201100034372</v>
      </c>
      <c r="J77" s="2"/>
      <c r="K77" s="250">
        <f ca="1">$G$21</f>
        <v>29.57</v>
      </c>
      <c r="M77" s="2">
        <f t="shared" ca="1" si="19"/>
        <v>61.11201100034372</v>
      </c>
      <c r="N77" s="2"/>
      <c r="O77" s="250">
        <f ca="1">$G$21</f>
        <v>29.57</v>
      </c>
      <c r="Q77" s="2">
        <f t="shared" ca="1" si="20"/>
        <v>61.11201100034372</v>
      </c>
      <c r="R77" s="2"/>
      <c r="S77" s="250">
        <f ca="1">$G$21</f>
        <v>29.57</v>
      </c>
      <c r="U77" s="2">
        <f t="shared" ca="1" si="21"/>
        <v>61.11201100034372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>
      <c r="A78" s="3" t="s">
        <v>351</v>
      </c>
      <c r="C78" s="249">
        <v>131.99965205054301</v>
      </c>
      <c r="D78" s="250">
        <v>1</v>
      </c>
      <c r="E78" s="20"/>
      <c r="F78" s="2">
        <f>D78*C78</f>
        <v>131.99965205054301</v>
      </c>
      <c r="G78" s="254">
        <f>$G$22</f>
        <v>1</v>
      </c>
      <c r="H78" s="20"/>
      <c r="I78" s="2">
        <f t="shared" si="18"/>
        <v>131.99965205054301</v>
      </c>
      <c r="J78" s="2"/>
      <c r="K78" s="254">
        <f>$G$22</f>
        <v>1</v>
      </c>
      <c r="L78" s="20"/>
      <c r="M78" s="2">
        <f t="shared" si="19"/>
        <v>131.99965205054301</v>
      </c>
      <c r="N78" s="2"/>
      <c r="O78" s="254">
        <f>$G$22</f>
        <v>1</v>
      </c>
      <c r="P78" s="20"/>
      <c r="Q78" s="2">
        <f t="shared" si="20"/>
        <v>131.99965205054301</v>
      </c>
      <c r="R78" s="2"/>
      <c r="S78" s="254">
        <f>$G$22</f>
        <v>1</v>
      </c>
      <c r="T78" s="20"/>
      <c r="U78" s="2">
        <f t="shared" si="21"/>
        <v>131.99965205054301</v>
      </c>
      <c r="V78" s="263"/>
      <c r="W78" s="266"/>
      <c r="X78" s="74"/>
      <c r="Y78" s="74"/>
      <c r="Z78" s="20"/>
      <c r="AA78" s="20"/>
      <c r="AB78" s="263"/>
      <c r="AC78" s="263"/>
      <c r="AD78" s="263"/>
      <c r="AE78" s="263"/>
      <c r="AF78" s="263"/>
      <c r="AG78" s="263"/>
      <c r="AH78" s="266"/>
      <c r="AI78" s="266"/>
      <c r="AJ78" s="266"/>
      <c r="AK78" s="266"/>
      <c r="AL78" s="20"/>
      <c r="AM78" s="20"/>
      <c r="AN78" s="20"/>
      <c r="AO78" s="20"/>
      <c r="AP78" s="20"/>
      <c r="AR78" s="84"/>
    </row>
    <row r="79" spans="1:44" s="1118" customFormat="1" hidden="1">
      <c r="A79" s="968" t="s">
        <v>856</v>
      </c>
      <c r="C79" s="1122">
        <f>C81</f>
        <v>140168</v>
      </c>
      <c r="D79" s="254">
        <v>0</v>
      </c>
      <c r="E79" s="1119"/>
      <c r="F79" s="1123"/>
      <c r="G79" s="1128">
        <f>G23</f>
        <v>0</v>
      </c>
      <c r="H79" s="1126" t="s">
        <v>364</v>
      </c>
      <c r="I79" s="1123">
        <f>G79*C79/100</f>
        <v>0</v>
      </c>
      <c r="J79" s="1123"/>
      <c r="K79" s="1128" t="str">
        <f>K23</f>
        <v xml:space="preserve"> </v>
      </c>
      <c r="L79" s="1126" t="s">
        <v>364</v>
      </c>
      <c r="M79" s="1123" t="e">
        <f>K79*#REF!/100</f>
        <v>#REF!</v>
      </c>
      <c r="N79" s="1123"/>
      <c r="O79" s="1128" t="str">
        <f>O23</f>
        <v xml:space="preserve"> </v>
      </c>
      <c r="P79" s="1126" t="s">
        <v>364</v>
      </c>
      <c r="Q79" s="1123">
        <f>O79*G79/100</f>
        <v>0</v>
      </c>
      <c r="R79" s="1123"/>
      <c r="S79" s="1128">
        <f>S23</f>
        <v>0</v>
      </c>
      <c r="T79" s="1126" t="s">
        <v>364</v>
      </c>
      <c r="U79" s="1123">
        <f>S79*K79/100</f>
        <v>0</v>
      </c>
      <c r="W79" s="784"/>
      <c r="Z79" s="1125"/>
      <c r="AA79" s="1125"/>
      <c r="AF79" s="1119"/>
      <c r="AG79" s="1119"/>
      <c r="AH79" s="1119"/>
      <c r="AI79" s="1119"/>
      <c r="AJ79" s="1119"/>
      <c r="AK79" s="1119"/>
      <c r="AL79" s="1119"/>
      <c r="AM79" s="1119"/>
      <c r="AN79" s="1119"/>
      <c r="AO79" s="1119"/>
      <c r="AP79" s="1119"/>
      <c r="AR79" s="1124"/>
    </row>
    <row r="80" spans="1:44">
      <c r="A80" s="3" t="s">
        <v>352</v>
      </c>
      <c r="C80" s="249">
        <v>641</v>
      </c>
      <c r="D80" s="250"/>
      <c r="F80" s="2"/>
      <c r="G80" s="250"/>
      <c r="I80" s="2"/>
      <c r="J80" s="2"/>
      <c r="K80" s="250"/>
      <c r="M80" s="2"/>
      <c r="N80" s="2"/>
      <c r="O80" s="250"/>
      <c r="Q80" s="2"/>
      <c r="R80" s="2"/>
      <c r="S80" s="250"/>
      <c r="U80" s="2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73"/>
      <c r="AI80" s="263"/>
      <c r="AJ80" s="263"/>
      <c r="AK80" s="263"/>
      <c r="AL80" s="20"/>
      <c r="AM80" s="20"/>
      <c r="AN80" s="20"/>
      <c r="AO80" s="20"/>
      <c r="AP80" s="20"/>
      <c r="AR80" s="84"/>
    </row>
    <row r="81" spans="1:44">
      <c r="A81" s="3" t="s">
        <v>35</v>
      </c>
      <c r="C81" s="249">
        <v>140168</v>
      </c>
      <c r="D81" s="254"/>
      <c r="E81" s="20"/>
      <c r="F81" s="257">
        <f>SUM(F71:F78)</f>
        <v>18414.478548696392</v>
      </c>
      <c r="G81" s="254"/>
      <c r="H81" s="20"/>
      <c r="I81" s="257">
        <f ca="1">SUM(I71:I79)</f>
        <v>18730.323702598747</v>
      </c>
      <c r="J81" s="257"/>
      <c r="K81" s="254"/>
      <c r="L81" s="20"/>
      <c r="M81" s="257" t="e">
        <f ca="1">SUM(M71:M79)</f>
        <v>#REF!</v>
      </c>
      <c r="N81" s="257"/>
      <c r="O81" s="254"/>
      <c r="P81" s="20"/>
      <c r="Q81" s="257">
        <f ca="1">SUM(Q71:Q79)</f>
        <v>18730.323702598747</v>
      </c>
      <c r="R81" s="257"/>
      <c r="S81" s="254"/>
      <c r="T81" s="20"/>
      <c r="U81" s="257">
        <f ca="1">SUM(U71:U79)</f>
        <v>18730.323702598747</v>
      </c>
      <c r="V81" s="263"/>
      <c r="W81" s="272"/>
      <c r="X81" s="263"/>
      <c r="Y81" s="263"/>
      <c r="Z81" s="20"/>
      <c r="AA81" s="20"/>
      <c r="AB81" s="20"/>
      <c r="AC81" s="20"/>
      <c r="AD81" s="20"/>
      <c r="AE81" s="20"/>
      <c r="AF81" s="20"/>
      <c r="AG81" s="263"/>
      <c r="AH81" s="26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>
      <c r="A82" s="3" t="s">
        <v>353</v>
      </c>
      <c r="C82" s="249">
        <f ca="1">'Table 2'!H84</f>
        <v>435.81097248984889</v>
      </c>
      <c r="D82" s="254"/>
      <c r="E82" s="20"/>
      <c r="F82" s="257">
        <f ca="1">'Table 3'!E84</f>
        <v>59.072572994694113</v>
      </c>
      <c r="G82" s="254"/>
      <c r="H82" s="20"/>
      <c r="I82" s="257">
        <f ca="1">F82</f>
        <v>59.072572994694113</v>
      </c>
      <c r="J82" s="257"/>
      <c r="K82" s="254"/>
      <c r="L82" s="20"/>
      <c r="M82" s="257">
        <f ca="1">I82</f>
        <v>59.072572994694113</v>
      </c>
      <c r="N82" s="257"/>
      <c r="O82" s="254"/>
      <c r="P82" s="20"/>
      <c r="Q82" s="257">
        <f ca="1">M82</f>
        <v>59.072572994694113</v>
      </c>
      <c r="R82" s="257"/>
      <c r="S82" s="254"/>
      <c r="T82" s="20"/>
      <c r="U82" s="257">
        <f ca="1">Q82</f>
        <v>59.072572994694113</v>
      </c>
      <c r="V82" s="429"/>
      <c r="W82" s="272"/>
      <c r="X82" s="263"/>
      <c r="Y82" s="263"/>
      <c r="Z82" s="263"/>
      <c r="AA82" s="263"/>
      <c r="AB82" s="268"/>
      <c r="AC82" s="268"/>
      <c r="AD82" s="268"/>
      <c r="AE82" s="268"/>
      <c r="AF82" s="266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t="16.5" thickBot="1">
      <c r="A83" s="3" t="s">
        <v>9</v>
      </c>
      <c r="C83" s="258">
        <f ca="1">C81+C82</f>
        <v>140603.81097248985</v>
      </c>
      <c r="D83" s="297"/>
      <c r="E83" s="259"/>
      <c r="F83" s="259">
        <f ca="1">F81+F82</f>
        <v>18473.551121691085</v>
      </c>
      <c r="G83" s="297"/>
      <c r="H83" s="259"/>
      <c r="I83" s="259">
        <f ca="1">I81+I82</f>
        <v>18789.396275593441</v>
      </c>
      <c r="J83" s="51"/>
      <c r="K83" s="297"/>
      <c r="L83" s="259"/>
      <c r="M83" s="259" t="e">
        <f ca="1">M81+M82</f>
        <v>#REF!</v>
      </c>
      <c r="N83" s="297"/>
      <c r="O83" s="297"/>
      <c r="P83" s="259"/>
      <c r="Q83" s="259">
        <f ca="1">Q81+Q82</f>
        <v>18789.396275593441</v>
      </c>
      <c r="R83" s="297"/>
      <c r="S83" s="297"/>
      <c r="T83" s="259"/>
      <c r="U83" s="259">
        <f ca="1">U81+U82</f>
        <v>18789.396275593441</v>
      </c>
      <c r="V83" s="396"/>
      <c r="W83" s="455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thickTop="1">
      <c r="C84" s="260"/>
      <c r="D84" s="294" t="s">
        <v>31</v>
      </c>
      <c r="E84" s="260"/>
      <c r="F84" s="248"/>
      <c r="G84" s="1" t="s">
        <v>31</v>
      </c>
      <c r="H84" s="260"/>
      <c r="I84" s="2" t="s">
        <v>31</v>
      </c>
      <c r="J84" s="2"/>
      <c r="K84" s="1" t="s">
        <v>31</v>
      </c>
      <c r="L84" s="260"/>
      <c r="M84" s="2" t="s">
        <v>31</v>
      </c>
      <c r="N84" s="2"/>
      <c r="O84" s="1" t="s">
        <v>31</v>
      </c>
      <c r="P84" s="260"/>
      <c r="Q84" s="2" t="s">
        <v>31</v>
      </c>
      <c r="R84" s="2"/>
      <c r="S84" s="1" t="s">
        <v>31</v>
      </c>
      <c r="T84" s="260"/>
      <c r="U84" s="2" t="s">
        <v>31</v>
      </c>
      <c r="V84" s="20"/>
      <c r="W84" s="74"/>
      <c r="X84" s="74"/>
      <c r="Y84" s="74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R84" s="84"/>
    </row>
    <row r="85" spans="1:44">
      <c r="A85" s="278" t="s">
        <v>358</v>
      </c>
      <c r="B85" s="1"/>
      <c r="C85" s="1"/>
      <c r="D85" s="21"/>
      <c r="E85" s="1"/>
      <c r="F85" s="1"/>
      <c r="G85" s="21"/>
      <c r="H85" s="1"/>
      <c r="I85" s="1"/>
      <c r="J85" s="1"/>
      <c r="K85" s="21"/>
      <c r="L85" s="1"/>
      <c r="M85" s="1"/>
      <c r="N85" s="1"/>
      <c r="O85" s="21"/>
      <c r="P85" s="1"/>
      <c r="Q85" s="1"/>
      <c r="R85" s="1"/>
      <c r="S85" s="21"/>
      <c r="T85" s="1"/>
      <c r="U85" s="1"/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1" t="s">
        <v>359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456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282"/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20"/>
      <c r="W87" s="74"/>
      <c r="X87" s="766" t="s">
        <v>625</v>
      </c>
      <c r="Y87" s="766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1" t="s">
        <v>360</v>
      </c>
      <c r="B88" s="1"/>
      <c r="C88" s="21">
        <f>C107+C122+C137+C152</f>
        <v>1263103.7974192717</v>
      </c>
      <c r="D88" s="283">
        <v>7.75</v>
      </c>
      <c r="E88" s="1"/>
      <c r="F88" s="2">
        <f>F107+F122+F137+F152</f>
        <v>9789055</v>
      </c>
      <c r="G88" s="283">
        <f>D88</f>
        <v>7.75</v>
      </c>
      <c r="H88" s="1"/>
      <c r="I88" s="2">
        <f>I107+I122+I137+I152</f>
        <v>9789055</v>
      </c>
      <c r="J88" s="2"/>
      <c r="K88" s="283">
        <f>G88</f>
        <v>7.75</v>
      </c>
      <c r="L88" s="1"/>
      <c r="M88" s="2">
        <f>I88</f>
        <v>9789055</v>
      </c>
      <c r="N88" s="2"/>
      <c r="O88" s="286" t="s">
        <v>31</v>
      </c>
      <c r="P88" s="1"/>
      <c r="Q88" s="2">
        <f>Q107+Q122+Q137+Q152</f>
        <v>0</v>
      </c>
      <c r="R88" s="2"/>
      <c r="S88" s="286" t="s">
        <v>31</v>
      </c>
      <c r="T88" s="1"/>
      <c r="U88" s="2">
        <f>U107+U122+U137+U152</f>
        <v>0</v>
      </c>
      <c r="Y88" s="14">
        <f t="shared" ref="Y88:Y93" si="22">(G88-D88)/D88</f>
        <v>0</v>
      </c>
      <c r="Z88" s="711" t="s">
        <v>31</v>
      </c>
      <c r="AK88" s="20"/>
      <c r="AL88" s="20"/>
      <c r="AM88" s="20"/>
      <c r="AN88" s="20"/>
      <c r="AO88" s="20"/>
      <c r="AP88" s="20"/>
      <c r="AR88" s="84"/>
    </row>
    <row r="89" spans="1:44">
      <c r="A89" s="1" t="s">
        <v>363</v>
      </c>
      <c r="B89" s="1"/>
      <c r="C89" s="21">
        <f>C108+C123+C138+C153</f>
        <v>706991944.07558155</v>
      </c>
      <c r="D89" s="284">
        <v>6.4249999999999998</v>
      </c>
      <c r="E89" s="1" t="s">
        <v>364</v>
      </c>
      <c r="F89" s="2">
        <f>F108+F123+F138+F153</f>
        <v>45424231</v>
      </c>
      <c r="G89" s="771">
        <f>ROUND(D89*(1+$X$101),3)+0.005</f>
        <v>6.548</v>
      </c>
      <c r="H89" s="1" t="s">
        <v>364</v>
      </c>
      <c r="I89" s="2">
        <f>I108+I123+I138+I153</f>
        <v>46293832</v>
      </c>
      <c r="J89" s="2"/>
      <c r="K89" s="284" t="e">
        <f>M89/C89*100</f>
        <v>#DIV/0!</v>
      </c>
      <c r="L89" s="1" t="s">
        <v>364</v>
      </c>
      <c r="M89" s="2" t="e">
        <f>(V103-M88-M99)*I89/(I89+I90)</f>
        <v>#DIV/0!</v>
      </c>
      <c r="N89" s="1" t="s">
        <v>31</v>
      </c>
      <c r="O89" s="284" t="e">
        <f>Q89/C89*100</f>
        <v>#DIV/0!</v>
      </c>
      <c r="P89" s="1" t="s">
        <v>364</v>
      </c>
      <c r="Q89" s="2" t="e">
        <f>(W103-Q88-Q99)*I89/(I89+I90)</f>
        <v>#DIV/0!</v>
      </c>
      <c r="R89" s="2"/>
      <c r="S89" s="284" t="e">
        <f ca="1">U89/C89*100-0.001</f>
        <v>#DIV/0!</v>
      </c>
      <c r="T89" s="1" t="s">
        <v>364</v>
      </c>
      <c r="U89" s="2" t="e">
        <f ca="1">(X103-U88-U91-U92-U93-U94-U95-U99)*I89/(I89+I90)</f>
        <v>#DIV/0!</v>
      </c>
      <c r="W89" s="88" t="s">
        <v>31</v>
      </c>
      <c r="X89" s="55" t="s">
        <v>31</v>
      </c>
      <c r="Y89" s="14">
        <f>((G89+G94)-D89)/D89</f>
        <v>1.9143968871595366E-2</v>
      </c>
      <c r="Z89" s="222">
        <f>(D90-D89)/D89</f>
        <v>0.58225680933852153</v>
      </c>
      <c r="AA89" s="222"/>
      <c r="AB89" s="222"/>
      <c r="AD89" s="84"/>
      <c r="AE89" s="84"/>
      <c r="AF89" s="222"/>
      <c r="AK89" s="20"/>
      <c r="AL89" s="20"/>
      <c r="AM89" s="20"/>
      <c r="AN89" s="20"/>
      <c r="AO89" s="20"/>
      <c r="AP89" s="20"/>
      <c r="AR89" s="84"/>
    </row>
    <row r="90" spans="1:44">
      <c r="A90" s="1" t="s">
        <v>365</v>
      </c>
      <c r="B90" s="1"/>
      <c r="C90" s="21">
        <f>C109+C124+C139+C154</f>
        <v>843225109.61000884</v>
      </c>
      <c r="D90" s="284">
        <v>10.166</v>
      </c>
      <c r="E90" s="1" t="s">
        <v>364</v>
      </c>
      <c r="F90" s="2">
        <f>F109+F124+F139+F154</f>
        <v>85722264</v>
      </c>
      <c r="G90" s="771">
        <f>ROUND(D90*(1+$X$101),3)-0.003</f>
        <v>10.35</v>
      </c>
      <c r="H90" s="1" t="s">
        <v>364</v>
      </c>
      <c r="I90" s="2">
        <f>I109+I124+I139+I154</f>
        <v>87273799</v>
      </c>
      <c r="J90" s="2"/>
      <c r="K90" s="284" t="e">
        <f>M90/C90*100</f>
        <v>#DIV/0!</v>
      </c>
      <c r="L90" s="1" t="s">
        <v>364</v>
      </c>
      <c r="M90" s="2" t="e">
        <f>(V103-M88-M99)*I90/(I89+I90)</f>
        <v>#DIV/0!</v>
      </c>
      <c r="N90" s="1" t="s">
        <v>31</v>
      </c>
      <c r="O90" s="284" t="e">
        <f>Q90/C90*100</f>
        <v>#DIV/0!</v>
      </c>
      <c r="P90" s="1" t="s">
        <v>364</v>
      </c>
      <c r="Q90" s="2" t="e">
        <f>(W103-Q88-Q99)*I90/(I89+I90)</f>
        <v>#DIV/0!</v>
      </c>
      <c r="R90" s="2"/>
      <c r="S90" s="284" t="e">
        <f ca="1">U90/C90*100</f>
        <v>#DIV/0!</v>
      </c>
      <c r="T90" s="1" t="s">
        <v>364</v>
      </c>
      <c r="U90" s="2" t="e">
        <f ca="1">(X103-U88-U91-U92-U93-U94-U95-U99)*I90/(I89+I90)</f>
        <v>#DIV/0!</v>
      </c>
      <c r="V90" s="285"/>
      <c r="X90" s="55" t="s">
        <v>31</v>
      </c>
      <c r="Y90" s="14">
        <f>((G90+G95)-D90)/D90</f>
        <v>1.8099547511312146E-2</v>
      </c>
      <c r="Z90" s="222">
        <f>(G90-G89)/G89</f>
        <v>0.58063530849114231</v>
      </c>
      <c r="AA90" s="770" t="s">
        <v>31</v>
      </c>
      <c r="AB90" s="222"/>
      <c r="AD90" s="106"/>
      <c r="AE90" s="106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367</v>
      </c>
      <c r="B91" s="1"/>
      <c r="C91" s="21">
        <f>C110+C125+C140+C155</f>
        <v>5306</v>
      </c>
      <c r="D91" s="286">
        <v>1.71</v>
      </c>
      <c r="E91" s="1"/>
      <c r="F91" s="2">
        <f>F110+F125+F140+F155</f>
        <v>9073</v>
      </c>
      <c r="G91" s="286">
        <f ca="1">ROUND(D91*(1+Z100),2)</f>
        <v>1.74</v>
      </c>
      <c r="H91" s="1"/>
      <c r="I91" s="2">
        <f ca="1">I110+I125+I140+I155</f>
        <v>9232</v>
      </c>
      <c r="J91" s="2"/>
      <c r="K91" s="286" t="s">
        <v>31</v>
      </c>
      <c r="L91" s="1"/>
      <c r="M91" s="2">
        <f>M110+M125+M140+M155</f>
        <v>0</v>
      </c>
      <c r="N91" s="2"/>
      <c r="O91" s="286" t="s">
        <v>31</v>
      </c>
      <c r="P91" s="1"/>
      <c r="Q91" s="2">
        <f>Q110+Q125+Q140+Q155</f>
        <v>0</v>
      </c>
      <c r="R91" s="2"/>
      <c r="S91" s="286">
        <f ca="1">G91</f>
        <v>1.74</v>
      </c>
      <c r="T91" s="1"/>
      <c r="U91" s="2">
        <f ca="1">U110+U125+U140+U155</f>
        <v>9232</v>
      </c>
      <c r="X91" s="55" t="s">
        <v>31</v>
      </c>
      <c r="Y91" s="14">
        <f t="shared" ca="1" si="22"/>
        <v>1.7543859649122823E-2</v>
      </c>
      <c r="Z91" s="69"/>
      <c r="AD91" s="84"/>
      <c r="AE91" s="84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288" t="s">
        <v>369</v>
      </c>
      <c r="B92" s="288"/>
      <c r="C92" s="21">
        <f>C111+C126+C141+C156</f>
        <v>703</v>
      </c>
      <c r="D92" s="286">
        <v>3.3</v>
      </c>
      <c r="E92" s="288"/>
      <c r="F92" s="2">
        <f>F111+F126+F141+F156</f>
        <v>2320</v>
      </c>
      <c r="G92" s="286">
        <f ca="1">ROUND(G91/D91*D92,1)</f>
        <v>3.4</v>
      </c>
      <c r="H92" s="288"/>
      <c r="I92" s="2">
        <f ca="1">I111+I126+I141+I156</f>
        <v>2390</v>
      </c>
      <c r="J92" s="2"/>
      <c r="K92" s="286" t="s">
        <v>31</v>
      </c>
      <c r="L92" s="288"/>
      <c r="M92" s="2">
        <f>M111+M126+M141+M156</f>
        <v>0</v>
      </c>
      <c r="N92" s="2"/>
      <c r="O92" s="286" t="s">
        <v>31</v>
      </c>
      <c r="P92" s="288"/>
      <c r="Q92" s="2">
        <f>Q111+Q126+Q141+Q156</f>
        <v>0</v>
      </c>
      <c r="R92" s="2"/>
      <c r="S92" s="286">
        <f ca="1">G92</f>
        <v>3.4</v>
      </c>
      <c r="T92" s="288"/>
      <c r="U92" s="2">
        <f ca="1">U111+U126+U141+U156</f>
        <v>2390</v>
      </c>
      <c r="Y92" s="14">
        <f t="shared" ca="1" si="22"/>
        <v>3.0303030303030332E-2</v>
      </c>
      <c r="Z92" s="69"/>
      <c r="AK92" s="20"/>
      <c r="AL92" s="20"/>
      <c r="AM92" s="20"/>
      <c r="AN92" s="20"/>
      <c r="AO92" s="20"/>
      <c r="AP92" s="20"/>
      <c r="AR92" s="84"/>
    </row>
    <row r="93" spans="1:44">
      <c r="A93" s="288" t="s">
        <v>370</v>
      </c>
      <c r="B93" s="288"/>
      <c r="C93" s="21">
        <f>C114+C127+C142+C157</f>
        <v>70.5</v>
      </c>
      <c r="D93" s="289">
        <v>-1.71</v>
      </c>
      <c r="E93" s="288"/>
      <c r="F93" s="2">
        <f>F114+F127+F142+F157</f>
        <v>-121</v>
      </c>
      <c r="G93" s="289">
        <f ca="1">-G91</f>
        <v>-1.74</v>
      </c>
      <c r="H93" s="288"/>
      <c r="I93" s="2">
        <f ca="1">I114+I127+I142+I157</f>
        <v>-123</v>
      </c>
      <c r="J93" s="2"/>
      <c r="K93" s="289" t="s">
        <v>31</v>
      </c>
      <c r="L93" s="288"/>
      <c r="M93" s="2">
        <f>M114+M127+M142+M157</f>
        <v>0</v>
      </c>
      <c r="N93" s="2"/>
      <c r="O93" s="289" t="s">
        <v>31</v>
      </c>
      <c r="P93" s="288"/>
      <c r="Q93" s="2">
        <f>Q114+Q127+Q142+Q157</f>
        <v>0</v>
      </c>
      <c r="R93" s="2"/>
      <c r="S93" s="289">
        <f ca="1">-S91</f>
        <v>-1.74</v>
      </c>
      <c r="T93" s="288"/>
      <c r="U93" s="2">
        <f ca="1">U114+U127+U142+U157</f>
        <v>-123</v>
      </c>
      <c r="Y93" s="14">
        <f t="shared" ca="1" si="22"/>
        <v>1.7543859649122823E-2</v>
      </c>
      <c r="Z93" s="69"/>
      <c r="AK93" s="20"/>
      <c r="AL93" s="20"/>
      <c r="AM93" s="20"/>
      <c r="AN93" s="20"/>
      <c r="AO93" s="20"/>
      <c r="AP93" s="20"/>
      <c r="AR93" s="84"/>
    </row>
    <row r="94" spans="1:44" s="1118" customFormat="1" hidden="1">
      <c r="A94" s="968" t="s">
        <v>886</v>
      </c>
      <c r="C94" s="1127">
        <f>C89</f>
        <v>706991944.07558155</v>
      </c>
      <c r="D94" s="254">
        <v>0</v>
      </c>
      <c r="E94" s="1119"/>
      <c r="F94" s="1123"/>
      <c r="G94" s="1128">
        <v>0</v>
      </c>
      <c r="H94" s="1126" t="s">
        <v>364</v>
      </c>
      <c r="I94" s="1123">
        <f>I112+I128+I143+I158</f>
        <v>0</v>
      </c>
      <c r="J94" s="1123"/>
      <c r="K94" s="1128" t="s">
        <v>31</v>
      </c>
      <c r="L94" s="1126" t="s">
        <v>31</v>
      </c>
      <c r="M94" s="1123">
        <f>M112+M128+M143+M158</f>
        <v>0</v>
      </c>
      <c r="N94" s="1123"/>
      <c r="O94" s="1128" t="s">
        <v>31</v>
      </c>
      <c r="P94" s="1126" t="s">
        <v>31</v>
      </c>
      <c r="Q94" s="1123">
        <f>Q112+Q128+Q143+Q158</f>
        <v>0</v>
      </c>
      <c r="R94" s="1123"/>
      <c r="S94" s="1128">
        <f>G94</f>
        <v>0</v>
      </c>
      <c r="T94" s="1126" t="s">
        <v>364</v>
      </c>
      <c r="U94" s="1123">
        <f>U112+U128+U143+U158</f>
        <v>0</v>
      </c>
      <c r="V94" s="1124"/>
      <c r="W94" s="784"/>
      <c r="Z94" s="1125"/>
      <c r="AA94" s="1125"/>
      <c r="AF94" s="1119"/>
      <c r="AG94" s="1119"/>
      <c r="AH94" s="1119"/>
      <c r="AI94" s="1119"/>
      <c r="AJ94" s="1119"/>
      <c r="AK94" s="1119"/>
      <c r="AL94" s="1119"/>
      <c r="AM94" s="1119"/>
      <c r="AN94" s="1119"/>
      <c r="AO94" s="1119"/>
      <c r="AP94" s="1119"/>
      <c r="AR94" s="1124"/>
    </row>
    <row r="95" spans="1:44" s="1118" customFormat="1" hidden="1">
      <c r="A95" s="968" t="s">
        <v>887</v>
      </c>
      <c r="C95" s="1127">
        <f>C90</f>
        <v>843225109.61000884</v>
      </c>
      <c r="D95" s="254">
        <v>0</v>
      </c>
      <c r="E95" s="1119"/>
      <c r="F95" s="1123"/>
      <c r="G95" s="1128">
        <v>0</v>
      </c>
      <c r="H95" s="1126" t="s">
        <v>364</v>
      </c>
      <c r="I95" s="1123">
        <f>I113+I129+I144+I159</f>
        <v>0</v>
      </c>
      <c r="J95" s="1123"/>
      <c r="K95" s="1128" t="s">
        <v>31</v>
      </c>
      <c r="L95" s="1126" t="s">
        <v>31</v>
      </c>
      <c r="M95" s="1123">
        <f>M113+M129+M144+M159</f>
        <v>0</v>
      </c>
      <c r="N95" s="1123"/>
      <c r="O95" s="1128" t="s">
        <v>31</v>
      </c>
      <c r="P95" s="1126" t="s">
        <v>31</v>
      </c>
      <c r="Q95" s="1123">
        <f>Q113+Q129+Q144+Q159</f>
        <v>0</v>
      </c>
      <c r="R95" s="1123"/>
      <c r="S95" s="1128">
        <f>G95</f>
        <v>0</v>
      </c>
      <c r="T95" s="1126" t="s">
        <v>364</v>
      </c>
      <c r="U95" s="1123">
        <f>U113+U129+U144+U159</f>
        <v>0</v>
      </c>
      <c r="V95" s="1124"/>
      <c r="W95" s="784"/>
      <c r="Z95" s="770" t="e">
        <f>(G95-G94)/G94</f>
        <v>#DIV/0!</v>
      </c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1255" t="s">
        <v>860</v>
      </c>
      <c r="B96" s="1256"/>
      <c r="C96" s="1257"/>
      <c r="D96" s="1260">
        <v>6.4249999999999998</v>
      </c>
      <c r="E96" s="1261" t="s">
        <v>364</v>
      </c>
      <c r="F96" s="1259"/>
      <c r="G96" s="1260">
        <f>G89+G94</f>
        <v>6.548</v>
      </c>
      <c r="H96" s="1261" t="s">
        <v>364</v>
      </c>
      <c r="I96" s="1259"/>
      <c r="J96" s="1259"/>
      <c r="K96" s="1260" t="e">
        <f>K89+K94</f>
        <v>#DIV/0!</v>
      </c>
      <c r="L96" s="1261" t="s">
        <v>364</v>
      </c>
      <c r="M96" s="1259"/>
      <c r="N96" s="1259"/>
      <c r="O96" s="1260" t="e">
        <f>O89+O94</f>
        <v>#DIV/0!</v>
      </c>
      <c r="P96" s="1261" t="s">
        <v>364</v>
      </c>
      <c r="Q96" s="1259"/>
      <c r="R96" s="1259"/>
      <c r="S96" s="1260" t="e">
        <f ca="1">S89+S94</f>
        <v>#DIV/0!</v>
      </c>
      <c r="T96" s="1261" t="s">
        <v>364</v>
      </c>
      <c r="U96" s="1259"/>
      <c r="V96" s="1124"/>
      <c r="W96" s="784"/>
      <c r="Z96" s="1125"/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861</v>
      </c>
      <c r="B97" s="1256"/>
      <c r="C97" s="1257"/>
      <c r="D97" s="1260">
        <v>10.166</v>
      </c>
      <c r="E97" s="1261" t="s">
        <v>364</v>
      </c>
      <c r="F97" s="1259"/>
      <c r="G97" s="1260">
        <f>G90+G95</f>
        <v>10.35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770">
        <f>(G97-G96)/G96</f>
        <v>0.58063530849114231</v>
      </c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>
      <c r="A98" s="1" t="s">
        <v>371</v>
      </c>
      <c r="B98" s="290"/>
      <c r="C98" s="21">
        <f>C115+C130+C145+C160</f>
        <v>1550217053.6855903</v>
      </c>
      <c r="D98" s="953"/>
      <c r="E98" s="2"/>
      <c r="F98" s="2">
        <f>F115+F130+F145+F160</f>
        <v>140946822</v>
      </c>
      <c r="G98" s="2"/>
      <c r="H98" s="2"/>
      <c r="I98" s="2">
        <f t="shared" ref="I98" ca="1" si="23">I115+I130+I145+I160</f>
        <v>143368185</v>
      </c>
      <c r="J98" s="2"/>
      <c r="K98" s="2"/>
      <c r="L98" s="2"/>
      <c r="M98" s="2" t="e">
        <f>SUM(M88:M97)</f>
        <v>#DIV/0!</v>
      </c>
      <c r="N98" s="2"/>
      <c r="O98" s="2"/>
      <c r="P98" s="2"/>
      <c r="Q98" s="2" t="e">
        <f>SUM(Q88:Q97)</f>
        <v>#DIV/0!</v>
      </c>
      <c r="R98" s="2"/>
      <c r="S98" s="2"/>
      <c r="T98" s="2"/>
      <c r="U98" s="2" t="e">
        <f ca="1">SUM(U88:U97)</f>
        <v>#DIV/0!</v>
      </c>
      <c r="W98" s="14"/>
      <c r="AK98" s="20"/>
      <c r="AL98" s="20"/>
      <c r="AM98" s="20"/>
      <c r="AN98" s="20"/>
      <c r="AO98" s="20"/>
      <c r="AP98" s="20"/>
      <c r="AR98" s="84"/>
    </row>
    <row r="99" spans="1:44">
      <c r="A99" s="1" t="s">
        <v>353</v>
      </c>
      <c r="B99" s="292"/>
      <c r="C99" s="293">
        <f>C116+C131+C146+C161</f>
        <v>19569583.803586423</v>
      </c>
      <c r="D99" s="294"/>
      <c r="E99" s="294"/>
      <c r="F99" s="1402">
        <f>F116+F131+F146+F161</f>
        <v>1987055.0327333291</v>
      </c>
      <c r="G99" s="294"/>
      <c r="H99" s="294"/>
      <c r="I99" s="295">
        <f>F99</f>
        <v>1987055.0327333291</v>
      </c>
      <c r="J99" s="51"/>
      <c r="K99" s="294"/>
      <c r="L99" s="294"/>
      <c r="M99" s="295" t="e">
        <f>$I$99*V103/($V$103+$W$103+$X$103)</f>
        <v>#DIV/0!</v>
      </c>
      <c r="N99" s="51"/>
      <c r="O99" s="294"/>
      <c r="P99" s="294"/>
      <c r="Q99" s="295" t="e">
        <f>$I$99*W103/($V$103+$W$103+$X$103)</f>
        <v>#DIV/0!</v>
      </c>
      <c r="R99" s="51"/>
      <c r="S99" s="294"/>
      <c r="T99" s="294"/>
      <c r="U99" s="295" t="e">
        <f>$I$99*X103/($V$103+$W$103+$X$103)</f>
        <v>#DIV/0!</v>
      </c>
      <c r="AK99" s="20"/>
      <c r="AL99" s="20"/>
      <c r="AM99" s="20"/>
      <c r="AN99" s="20"/>
      <c r="AO99" s="20"/>
      <c r="AP99" s="20"/>
      <c r="AR99" s="84"/>
    </row>
    <row r="100" spans="1:44" ht="16.5" thickBot="1">
      <c r="A100" s="1" t="s">
        <v>372</v>
      </c>
      <c r="B100" s="1"/>
      <c r="C100" s="296">
        <f>C98+C99</f>
        <v>1569786637.4891768</v>
      </c>
      <c r="D100" s="297"/>
      <c r="E100" s="297"/>
      <c r="F100" s="297">
        <f>F98+F99</f>
        <v>142933877.03273332</v>
      </c>
      <c r="G100" s="297"/>
      <c r="H100" s="297"/>
      <c r="I100" s="297">
        <f ca="1">I98+I99</f>
        <v>145355240.03273332</v>
      </c>
      <c r="J100" s="297"/>
      <c r="K100" s="297"/>
      <c r="L100" s="297"/>
      <c r="M100" s="297" t="e">
        <f>M98+M99</f>
        <v>#DIV/0!</v>
      </c>
      <c r="N100" s="297"/>
      <c r="O100" s="297"/>
      <c r="P100" s="297"/>
      <c r="Q100" s="297" t="e">
        <f>Q98+Q99</f>
        <v>#DIV/0!</v>
      </c>
      <c r="R100" s="297"/>
      <c r="S100" s="297"/>
      <c r="T100" s="297"/>
      <c r="U100" s="297" t="e">
        <f ca="1">U98+U99</f>
        <v>#DIV/0!</v>
      </c>
      <c r="V100" s="757" t="s">
        <v>354</v>
      </c>
      <c r="W100" s="1082">
        <f ca="1">'Rate Spread targets'!Q18*1000</f>
        <v>145355383.96504799</v>
      </c>
      <c r="X100" s="1417">
        <f ca="1">'Rate Spread targets'!V18</f>
        <v>1.6941448609556001E-2</v>
      </c>
      <c r="Y100" s="751"/>
      <c r="Z100" s="1296">
        <f ca="1">'Rate Spread targets'!V18</f>
        <v>1.6941448609556001E-2</v>
      </c>
      <c r="AA100" s="4" t="s">
        <v>894</v>
      </c>
      <c r="AK100" s="20"/>
      <c r="AL100" s="20"/>
      <c r="AM100" s="20"/>
      <c r="AN100" s="20"/>
      <c r="AO100" s="20"/>
      <c r="AP100" s="20"/>
      <c r="AR100" s="84"/>
    </row>
    <row r="101" spans="1:44" ht="16.5" thickTop="1">
      <c r="A101" s="1"/>
      <c r="B101" s="1"/>
      <c r="C101" s="335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112" t="s">
        <v>257</v>
      </c>
      <c r="W101" s="1452">
        <f ca="1">W100-I100</f>
        <v>143.93231466412544</v>
      </c>
      <c r="X101" s="394">
        <v>1.84E-2</v>
      </c>
      <c r="Y101" s="751"/>
      <c r="Z101" s="4"/>
      <c r="AA101" s="4"/>
      <c r="AK101" s="20"/>
      <c r="AL101" s="20"/>
      <c r="AM101" s="20"/>
      <c r="AN101" s="20"/>
      <c r="AO101" s="20"/>
      <c r="AP101" s="20"/>
      <c r="AR101" s="84"/>
    </row>
    <row r="102" spans="1:44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1279"/>
      <c r="W102" s="719"/>
      <c r="X102" s="1327"/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298"/>
      <c r="C103" s="21"/>
      <c r="D103" s="1" t="s">
        <v>31</v>
      </c>
      <c r="E103" s="1"/>
      <c r="G103" s="1" t="s">
        <v>31</v>
      </c>
      <c r="H103" s="1"/>
      <c r="I103" s="1312"/>
      <c r="J103" s="2"/>
      <c r="K103" s="1" t="s">
        <v>31</v>
      </c>
      <c r="L103" s="1"/>
      <c r="V103" s="1124"/>
      <c r="W103" s="1124"/>
      <c r="X103" s="1124"/>
      <c r="Y103" s="1"/>
      <c r="AK103" s="20"/>
      <c r="AL103" s="20"/>
      <c r="AM103" s="20"/>
      <c r="AN103" s="20"/>
      <c r="AO103" s="20"/>
      <c r="AP103" s="20"/>
      <c r="AR103" s="84"/>
    </row>
    <row r="104" spans="1:44">
      <c r="A104" s="278" t="s">
        <v>373</v>
      </c>
      <c r="B104" s="1"/>
      <c r="C104" s="1" t="s">
        <v>31</v>
      </c>
      <c r="D104" s="21"/>
      <c r="E104" s="1"/>
      <c r="F104" s="1"/>
      <c r="G104" s="21"/>
      <c r="H104" s="1"/>
      <c r="I104" s="1"/>
      <c r="J104" s="1"/>
      <c r="K104" s="21"/>
      <c r="L104" s="1"/>
      <c r="M104" s="1"/>
      <c r="N104" s="1"/>
      <c r="O104" s="21"/>
      <c r="P104" s="1"/>
      <c r="Q104" s="1"/>
      <c r="R104" s="1"/>
      <c r="S104" s="21"/>
      <c r="T104" s="1"/>
      <c r="U104" s="1"/>
      <c r="V104" s="2" t="s">
        <v>31</v>
      </c>
      <c r="W104" s="2" t="s">
        <v>31</v>
      </c>
      <c r="X104" s="2" t="s">
        <v>31</v>
      </c>
      <c r="AA104" s="2"/>
      <c r="AB104" s="1" t="s">
        <v>31</v>
      </c>
      <c r="AC104" s="1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R104" s="84"/>
    </row>
    <row r="105" spans="1:44">
      <c r="A105" s="1" t="s">
        <v>320</v>
      </c>
      <c r="B105" s="1"/>
      <c r="C105" s="1" t="s">
        <v>31</v>
      </c>
      <c r="D105" s="21"/>
      <c r="E105" s="1"/>
      <c r="F105" s="1"/>
      <c r="G105" s="21"/>
      <c r="H105" s="1"/>
      <c r="I105" s="1"/>
      <c r="J105" s="1"/>
      <c r="K105" s="21"/>
      <c r="L105" s="1"/>
      <c r="M105" s="1" t="s">
        <v>31</v>
      </c>
      <c r="N105" s="1"/>
      <c r="O105" s="21"/>
      <c r="P105" s="1"/>
      <c r="Q105" s="1"/>
      <c r="R105" s="1"/>
      <c r="S105" s="21"/>
      <c r="T105" s="1"/>
      <c r="U105" s="1"/>
      <c r="V105" s="20"/>
      <c r="W105" s="74"/>
      <c r="X105" s="74"/>
      <c r="Y105" s="74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333" t="s">
        <v>671</v>
      </c>
      <c r="B106" s="1"/>
      <c r="C106" s="1"/>
      <c r="D106" s="21"/>
      <c r="E106" s="1"/>
      <c r="F106" s="1"/>
      <c r="G106" s="21"/>
      <c r="H106" s="1"/>
      <c r="I106" s="1"/>
      <c r="J106" s="1"/>
      <c r="K106" s="21"/>
      <c r="L106" s="1"/>
      <c r="M106" s="1"/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7" t="s">
        <v>31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1" t="s">
        <v>360</v>
      </c>
      <c r="B107" s="1"/>
      <c r="C107" s="21">
        <v>1190382.0735483039</v>
      </c>
      <c r="D107" s="283">
        <v>7.75</v>
      </c>
      <c r="E107" s="1"/>
      <c r="F107" s="2">
        <f>ROUND(D107*C107,0)</f>
        <v>9225461</v>
      </c>
      <c r="G107" s="283">
        <f>$G$88</f>
        <v>7.75</v>
      </c>
      <c r="H107" s="1"/>
      <c r="I107" s="2">
        <f>ROUND(G107*$C107,0)</f>
        <v>9225461</v>
      </c>
      <c r="J107" s="2"/>
      <c r="K107" s="283">
        <f>$K$88</f>
        <v>7.75</v>
      </c>
      <c r="L107" s="1"/>
      <c r="M107" s="2">
        <f>K107*$C107</f>
        <v>9225461.0699993558</v>
      </c>
      <c r="N107" s="2"/>
      <c r="O107" s="283" t="str">
        <f>$O$88</f>
        <v xml:space="preserve"> </v>
      </c>
      <c r="P107" s="1"/>
      <c r="Q107" s="2">
        <f>ROUND(O107*$C107,0)</f>
        <v>0</v>
      </c>
      <c r="R107" s="2"/>
      <c r="S107" s="283" t="str">
        <f>$S$88</f>
        <v xml:space="preserve"> </v>
      </c>
      <c r="T107" s="1"/>
      <c r="U107" s="2">
        <f>ROUND(S107*$C107,0)</f>
        <v>0</v>
      </c>
      <c r="V107" s="20"/>
      <c r="W107" s="74"/>
      <c r="X107" s="74"/>
      <c r="Y107" s="74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363</v>
      </c>
      <c r="B108" s="1"/>
      <c r="C108" s="21">
        <v>664551696.22316003</v>
      </c>
      <c r="D108" s="284">
        <v>6.4249999999999998</v>
      </c>
      <c r="E108" s="1" t="s">
        <v>364</v>
      </c>
      <c r="F108" s="2">
        <f>ROUND(C108*D108/100,0)</f>
        <v>42697446</v>
      </c>
      <c r="G108" s="284">
        <f>$G$89</f>
        <v>6.548</v>
      </c>
      <c r="H108" s="1" t="s">
        <v>364</v>
      </c>
      <c r="I108" s="2">
        <f>ROUND(G108*$C108/100,0)</f>
        <v>43514845</v>
      </c>
      <c r="J108" s="2"/>
      <c r="K108" s="284" t="e">
        <f>K89</f>
        <v>#DIV/0!</v>
      </c>
      <c r="L108" s="1" t="s">
        <v>364</v>
      </c>
      <c r="M108" s="2" t="e">
        <f>K108*$C108/100</f>
        <v>#DIV/0!</v>
      </c>
      <c r="N108" s="2"/>
      <c r="O108" s="284" t="e">
        <f>O89</f>
        <v>#DIV/0!</v>
      </c>
      <c r="P108" s="1" t="s">
        <v>364</v>
      </c>
      <c r="Q108" s="2" t="e">
        <f>ROUND(O108*$C108/100,0)</f>
        <v>#DIV/0!</v>
      </c>
      <c r="R108" s="2"/>
      <c r="S108" s="284" t="e">
        <f ca="1">S89</f>
        <v>#DIV/0!</v>
      </c>
      <c r="T108" s="1" t="s">
        <v>364</v>
      </c>
      <c r="U108" s="2" t="e">
        <f ca="1">ROUND(S108*$C108/100,0)</f>
        <v>#DIV/0!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365</v>
      </c>
      <c r="B109" s="21"/>
      <c r="C109" s="21">
        <v>794267679.4665302</v>
      </c>
      <c r="D109" s="284">
        <v>10.166</v>
      </c>
      <c r="E109" s="1" t="s">
        <v>364</v>
      </c>
      <c r="F109" s="2">
        <f>ROUND(C109*D109/100,0)</f>
        <v>80745252</v>
      </c>
      <c r="G109" s="284">
        <f>$G$90</f>
        <v>10.35</v>
      </c>
      <c r="H109" s="1" t="s">
        <v>364</v>
      </c>
      <c r="I109" s="2">
        <f>ROUND(G109*$C109/100,0)</f>
        <v>82206705</v>
      </c>
      <c r="J109" s="2"/>
      <c r="K109" s="284" t="e">
        <f>K90</f>
        <v>#DIV/0!</v>
      </c>
      <c r="L109" s="1" t="s">
        <v>364</v>
      </c>
      <c r="M109" s="2" t="e">
        <f>K109*$C109/100</f>
        <v>#DIV/0!</v>
      </c>
      <c r="N109" s="2"/>
      <c r="O109" s="284" t="e">
        <f>O90</f>
        <v>#DIV/0!</v>
      </c>
      <c r="P109" s="1" t="s">
        <v>364</v>
      </c>
      <c r="Q109" s="2" t="e">
        <f>ROUND(O109*$C109/100,0)</f>
        <v>#DIV/0!</v>
      </c>
      <c r="R109" s="2"/>
      <c r="S109" s="284" t="e">
        <f ca="1">S90</f>
        <v>#DIV/0!</v>
      </c>
      <c r="T109" s="1" t="s">
        <v>364</v>
      </c>
      <c r="U109" s="2" t="e">
        <f ca="1">ROUND(S109*$C109/100,0)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367</v>
      </c>
      <c r="B110" s="1"/>
      <c r="C110" s="21">
        <v>0</v>
      </c>
      <c r="D110" s="286">
        <v>1.71</v>
      </c>
      <c r="E110" s="1"/>
      <c r="F110" s="2">
        <v>0</v>
      </c>
      <c r="G110" s="286">
        <f ca="1">$G$91</f>
        <v>1.74</v>
      </c>
      <c r="H110" s="1"/>
      <c r="I110" s="2">
        <f ca="1">ROUND(G110*$C110,0)</f>
        <v>0</v>
      </c>
      <c r="J110" s="2"/>
      <c r="K110" s="286">
        <v>0</v>
      </c>
      <c r="L110" s="1"/>
      <c r="M110" s="2">
        <f>ROUND(K110*$C110,0)</f>
        <v>0</v>
      </c>
      <c r="N110" s="2"/>
      <c r="O110" s="286">
        <v>0</v>
      </c>
      <c r="P110" s="1"/>
      <c r="Q110" s="2">
        <f>ROUND(O110*$C110,0)</f>
        <v>0</v>
      </c>
      <c r="R110" s="2"/>
      <c r="S110" s="286">
        <f ca="1">S91</f>
        <v>1.74</v>
      </c>
      <c r="T110" s="1"/>
      <c r="U110" s="2">
        <f ca="1">ROUND(S110*$C110,0)</f>
        <v>0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288" t="s">
        <v>369</v>
      </c>
      <c r="B111" s="288"/>
      <c r="C111" s="21">
        <v>0</v>
      </c>
      <c r="D111" s="286">
        <v>3.3</v>
      </c>
      <c r="E111" s="288"/>
      <c r="F111" s="2">
        <v>0</v>
      </c>
      <c r="G111" s="286">
        <f ca="1">$G$92</f>
        <v>3.4</v>
      </c>
      <c r="H111" s="288"/>
      <c r="I111" s="2">
        <f ca="1">ROUND(G111*$C111,0)</f>
        <v>0</v>
      </c>
      <c r="J111" s="2"/>
      <c r="K111" s="286">
        <v>0</v>
      </c>
      <c r="L111" s="288"/>
      <c r="M111" s="2">
        <f>ROUND(K111*$C111,0)</f>
        <v>0</v>
      </c>
      <c r="N111" s="2"/>
      <c r="O111" s="286">
        <v>0</v>
      </c>
      <c r="P111" s="288"/>
      <c r="Q111" s="2">
        <f>ROUND(O111*$C111,0)</f>
        <v>0</v>
      </c>
      <c r="R111" s="2"/>
      <c r="S111" s="286">
        <f ca="1">S92</f>
        <v>3.4</v>
      </c>
      <c r="T111" s="288"/>
      <c r="U111" s="2">
        <f ca="1">ROUND(S111*$C111,0)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 s="1118" customFormat="1" hidden="1">
      <c r="A112" s="968" t="s">
        <v>858</v>
      </c>
      <c r="C112" s="1122">
        <f>C108</f>
        <v>664551696.22316003</v>
      </c>
      <c r="D112" s="254">
        <v>0</v>
      </c>
      <c r="E112" s="1119"/>
      <c r="F112" s="1123"/>
      <c r="G112" s="1128">
        <f>G94</f>
        <v>0</v>
      </c>
      <c r="H112" s="1126" t="s">
        <v>364</v>
      </c>
      <c r="I112" s="1123">
        <f>G112*C112/100</f>
        <v>0</v>
      </c>
      <c r="J112" s="1123"/>
      <c r="K112" s="1128" t="str">
        <f>K94</f>
        <v xml:space="preserve"> </v>
      </c>
      <c r="L112" s="1126" t="s">
        <v>364</v>
      </c>
      <c r="M112" s="1123">
        <f>K112*C112/100</f>
        <v>0</v>
      </c>
      <c r="N112" s="1123"/>
      <c r="O112" s="1128">
        <v>0</v>
      </c>
      <c r="P112" s="1126" t="s">
        <v>364</v>
      </c>
      <c r="Q112" s="1123">
        <f>O112*C112/100</f>
        <v>0</v>
      </c>
      <c r="R112" s="1123"/>
      <c r="S112" s="1128">
        <f>G112</f>
        <v>0</v>
      </c>
      <c r="T112" s="1126" t="s">
        <v>364</v>
      </c>
      <c r="U112" s="1123">
        <f>S112*C112/100</f>
        <v>0</v>
      </c>
      <c r="W112" s="784"/>
      <c r="Z112" s="1125"/>
      <c r="AA112" s="1125"/>
      <c r="AF112" s="1119"/>
      <c r="AG112" s="1119"/>
      <c r="AH112" s="1119"/>
      <c r="AI112" s="1119"/>
      <c r="AJ112" s="1119"/>
      <c r="AK112" s="1119"/>
      <c r="AL112" s="1119"/>
      <c r="AM112" s="1119"/>
      <c r="AN112" s="1119"/>
      <c r="AO112" s="1119"/>
      <c r="AP112" s="1119"/>
      <c r="AR112" s="1124"/>
    </row>
    <row r="113" spans="1:44" s="1118" customFormat="1" hidden="1">
      <c r="A113" s="968" t="s">
        <v>859</v>
      </c>
      <c r="C113" s="1122">
        <f>C109</f>
        <v>794267679.4665302</v>
      </c>
      <c r="D113" s="254"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364</v>
      </c>
      <c r="M113" s="1123">
        <f>K113*C113/100</f>
        <v>0</v>
      </c>
      <c r="N113" s="1123"/>
      <c r="O113" s="1128">
        <v>0</v>
      </c>
      <c r="P113" s="1126" t="s">
        <v>364</v>
      </c>
      <c r="Q113" s="1123">
        <f>O113*C113/100</f>
        <v>0</v>
      </c>
      <c r="R113" s="1123"/>
      <c r="S113" s="1128">
        <f>G113</f>
        <v>0</v>
      </c>
      <c r="T113" s="1126" t="s">
        <v>364</v>
      </c>
      <c r="U113" s="1123">
        <f>S113*C113/100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>
      <c r="A114" s="288" t="s">
        <v>370</v>
      </c>
      <c r="B114" s="288"/>
      <c r="C114" s="21">
        <v>0</v>
      </c>
      <c r="D114" s="289">
        <v>-1.71</v>
      </c>
      <c r="E114" s="288"/>
      <c r="F114" s="2">
        <v>0</v>
      </c>
      <c r="G114" s="289">
        <f ca="1">-G110</f>
        <v>-1.74</v>
      </c>
      <c r="H114" s="288"/>
      <c r="I114" s="2">
        <f ca="1">ROUND(G114*$C114,0)</f>
        <v>0</v>
      </c>
      <c r="J114" s="2"/>
      <c r="K114" s="289">
        <f>-K110</f>
        <v>0</v>
      </c>
      <c r="L114" s="288"/>
      <c r="M114" s="2">
        <f>ROUND(K114*$C114,0)</f>
        <v>0</v>
      </c>
      <c r="N114" s="2"/>
      <c r="O114" s="289">
        <f>-O110</f>
        <v>0</v>
      </c>
      <c r="P114" s="288"/>
      <c r="Q114" s="2">
        <f>ROUND(O114*$C114,0)</f>
        <v>0</v>
      </c>
      <c r="R114" s="2"/>
      <c r="S114" s="289">
        <f ca="1">-S110</f>
        <v>-1.74</v>
      </c>
      <c r="T114" s="288"/>
      <c r="U114" s="2">
        <f ca="1">ROUND(S114*$C114,0)</f>
        <v>0</v>
      </c>
      <c r="V114" s="20"/>
      <c r="W114" s="74"/>
      <c r="X114" s="74"/>
      <c r="Y114" s="74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R114" s="84"/>
    </row>
    <row r="115" spans="1:44">
      <c r="A115" s="1" t="s">
        <v>371</v>
      </c>
      <c r="B115" s="290"/>
      <c r="C115" s="21">
        <f>SUM(C108:C109)</f>
        <v>1458819375.6896901</v>
      </c>
      <c r="D115" s="953"/>
      <c r="E115" s="2"/>
      <c r="F115" s="2">
        <f>SUM(F107:F114)</f>
        <v>132668159</v>
      </c>
      <c r="G115" s="2"/>
      <c r="H115" s="2"/>
      <c r="I115" s="2">
        <f ca="1">SUM(I107:I114)</f>
        <v>134947011</v>
      </c>
      <c r="J115" s="2"/>
      <c r="K115" s="2"/>
      <c r="L115" s="2"/>
      <c r="M115" s="2" t="e">
        <f>SUM(M107:M114)</f>
        <v>#DIV/0!</v>
      </c>
      <c r="N115" s="2"/>
      <c r="O115" s="2"/>
      <c r="P115" s="2"/>
      <c r="Q115" s="2" t="e">
        <f>SUM(Q107:Q114)</f>
        <v>#DIV/0!</v>
      </c>
      <c r="R115" s="2"/>
      <c r="S115" s="2"/>
      <c r="T115" s="2"/>
      <c r="U115" s="2" t="e">
        <f ca="1">SUM(U107:U114)</f>
        <v>#DIV/0!</v>
      </c>
      <c r="V115" s="20"/>
      <c r="W115" s="51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353</v>
      </c>
      <c r="B116" s="292"/>
      <c r="C116" s="302">
        <f>'Table 2'!H13+'Table 2'!H17</f>
        <v>18426169.205008153</v>
      </c>
      <c r="D116" s="294"/>
      <c r="E116" s="294"/>
      <c r="F116" s="1402">
        <f>'Table 3'!E13+'Table 3'!E17</f>
        <v>1871290.0371091876</v>
      </c>
      <c r="G116" s="294"/>
      <c r="H116" s="294"/>
      <c r="I116" s="295">
        <f>F116</f>
        <v>1871290.0371091876</v>
      </c>
      <c r="J116" s="51"/>
      <c r="K116" s="294"/>
      <c r="L116" s="294"/>
      <c r="M116" s="295" t="e">
        <f>I116/$I$99*$M$99</f>
        <v>#DIV/0!</v>
      </c>
      <c r="N116" s="51"/>
      <c r="O116" s="294"/>
      <c r="P116" s="294"/>
      <c r="Q116" s="295" t="e">
        <f>I116/$I$99*$Q$99</f>
        <v>#DIV/0!</v>
      </c>
      <c r="R116" s="51"/>
      <c r="S116" s="294"/>
      <c r="T116" s="294"/>
      <c r="U116" s="295" t="e">
        <f>I116/$I$99*$U$99</f>
        <v>#DIV/0!</v>
      </c>
      <c r="V116" s="429"/>
      <c r="W116" s="272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 ht="16.5" thickBot="1">
      <c r="A117" s="1" t="s">
        <v>372</v>
      </c>
      <c r="B117" s="1"/>
      <c r="C117" s="296">
        <f>C115+C116</f>
        <v>1477245544.8946984</v>
      </c>
      <c r="D117" s="297"/>
      <c r="E117" s="297"/>
      <c r="F117" s="297">
        <f>SUM(F115:F116)</f>
        <v>134539449.0371092</v>
      </c>
      <c r="G117" s="297"/>
      <c r="H117" s="297"/>
      <c r="I117" s="297">
        <f ca="1">I115+I116</f>
        <v>136818301.0371092</v>
      </c>
      <c r="J117" s="51"/>
      <c r="K117" s="297"/>
      <c r="L117" s="297"/>
      <c r="M117" s="297" t="e">
        <f>M115+M116</f>
        <v>#DIV/0!</v>
      </c>
      <c r="N117" s="297"/>
      <c r="O117" s="297"/>
      <c r="P117" s="297"/>
      <c r="Q117" s="297" t="e">
        <f>Q115+Q116</f>
        <v>#DIV/0!</v>
      </c>
      <c r="R117" s="297"/>
      <c r="S117" s="297"/>
      <c r="T117" s="297"/>
      <c r="U117" s="297" t="e">
        <f ca="1">U115+$U$116</f>
        <v>#DIV/0!</v>
      </c>
      <c r="V117" s="396"/>
      <c r="W117" s="455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Top="1">
      <c r="A118" s="1"/>
      <c r="B118" s="298"/>
      <c r="C118" s="21"/>
      <c r="D118" s="1" t="s">
        <v>31</v>
      </c>
      <c r="E118" s="1"/>
      <c r="F118" s="84" t="s">
        <v>31</v>
      </c>
      <c r="G118" s="1" t="s">
        <v>31</v>
      </c>
      <c r="H118" s="1"/>
      <c r="I118" s="2" t="s">
        <v>31</v>
      </c>
      <c r="J118" s="2"/>
      <c r="K118" s="1" t="s">
        <v>31</v>
      </c>
      <c r="L118" s="1"/>
      <c r="M118" s="2" t="s">
        <v>31</v>
      </c>
      <c r="N118" s="2"/>
      <c r="O118" s="1" t="s">
        <v>31</v>
      </c>
      <c r="P118" s="1"/>
      <c r="Q118" s="2" t="s">
        <v>31</v>
      </c>
      <c r="R118" s="2"/>
      <c r="S118" s="1" t="s">
        <v>31</v>
      </c>
      <c r="T118" s="1"/>
      <c r="U118" s="2" t="s">
        <v>31</v>
      </c>
      <c r="V118" s="20"/>
      <c r="W118" s="74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>
      <c r="A119" s="278" t="s">
        <v>374</v>
      </c>
      <c r="B119" s="1"/>
      <c r="C119" s="1" t="s">
        <v>31</v>
      </c>
      <c r="D119" s="21"/>
      <c r="E119" s="1"/>
      <c r="F119" s="1"/>
      <c r="G119" s="21"/>
      <c r="H119" s="1"/>
      <c r="I119" s="1"/>
      <c r="J119" s="1"/>
      <c r="K119" s="21"/>
      <c r="L119" s="1"/>
      <c r="M119" s="1"/>
      <c r="N119" s="1"/>
      <c r="O119" s="21"/>
      <c r="P119" s="1"/>
      <c r="Q119" s="1"/>
      <c r="R119" s="1"/>
      <c r="S119" s="21"/>
      <c r="T119" s="1"/>
      <c r="U119" s="1"/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1" t="s">
        <v>320</v>
      </c>
      <c r="B120" s="1"/>
      <c r="C120" s="1"/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282"/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1" t="s">
        <v>360</v>
      </c>
      <c r="B122" s="1"/>
      <c r="C122" s="21">
        <v>71521.491612903294</v>
      </c>
      <c r="D122" s="283">
        <v>7.75</v>
      </c>
      <c r="E122" s="1"/>
      <c r="F122" s="2">
        <f>ROUND(D122*C122,0)</f>
        <v>554292</v>
      </c>
      <c r="G122" s="283">
        <f>D122</f>
        <v>7.75</v>
      </c>
      <c r="H122" s="1"/>
      <c r="I122" s="2">
        <f>ROUND(G122*$C122,0)</f>
        <v>554292</v>
      </c>
      <c r="J122" s="2"/>
      <c r="K122" s="283">
        <f>G122</f>
        <v>7.75</v>
      </c>
      <c r="L122" s="1"/>
      <c r="M122" s="2">
        <f>K122*$C122</f>
        <v>554291.56000000052</v>
      </c>
      <c r="N122" s="2"/>
      <c r="O122" s="283" t="str">
        <f>$O$88</f>
        <v xml:space="preserve"> </v>
      </c>
      <c r="P122" s="1"/>
      <c r="Q122" s="2">
        <f>ROUND(O122*$C122,0)</f>
        <v>0</v>
      </c>
      <c r="R122" s="2"/>
      <c r="S122" s="283" t="str">
        <f>$S$88</f>
        <v xml:space="preserve"> </v>
      </c>
      <c r="T122" s="1"/>
      <c r="U122" s="2">
        <f>ROUND(S122*$C122,0)</f>
        <v>0</v>
      </c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363</v>
      </c>
      <c r="B123" s="1"/>
      <c r="C123" s="21">
        <v>41755519.776553854</v>
      </c>
      <c r="D123" s="284">
        <v>6.4249999999999998</v>
      </c>
      <c r="E123" s="1" t="s">
        <v>364</v>
      </c>
      <c r="F123" s="2">
        <f>ROUND(C123*D123/100,0)</f>
        <v>2682792</v>
      </c>
      <c r="G123" s="284">
        <f>$G$89</f>
        <v>6.548</v>
      </c>
      <c r="H123" s="1" t="s">
        <v>364</v>
      </c>
      <c r="I123" s="2">
        <f>ROUND(G123*$C123/100,0)</f>
        <v>2734151</v>
      </c>
      <c r="J123" s="2"/>
      <c r="K123" s="284" t="e">
        <f>K89</f>
        <v>#DIV/0!</v>
      </c>
      <c r="L123" s="1" t="s">
        <v>364</v>
      </c>
      <c r="M123" s="2" t="e">
        <f>K123*$C123/100</f>
        <v>#DIV/0!</v>
      </c>
      <c r="N123" s="2"/>
      <c r="O123" s="284" t="e">
        <f>O89</f>
        <v>#DIV/0!</v>
      </c>
      <c r="P123" s="1" t="s">
        <v>364</v>
      </c>
      <c r="Q123" s="2" t="e">
        <f>ROUND(O123*$C123/100,0)</f>
        <v>#DIV/0!</v>
      </c>
      <c r="R123" s="2"/>
      <c r="S123" s="284" t="e">
        <f ca="1">S89</f>
        <v>#DIV/0!</v>
      </c>
      <c r="T123" s="1" t="s">
        <v>364</v>
      </c>
      <c r="U123" s="2" t="e">
        <f ca="1">ROUND(S123*$C123/100,0)</f>
        <v>#DIV/0!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365</v>
      </c>
      <c r="B124" s="1"/>
      <c r="C124" s="21">
        <v>47018320.003545634</v>
      </c>
      <c r="D124" s="284">
        <v>10.166</v>
      </c>
      <c r="E124" s="1" t="s">
        <v>364</v>
      </c>
      <c r="F124" s="2">
        <f>ROUND(C124*D124/100,0)</f>
        <v>4779882</v>
      </c>
      <c r="G124" s="284">
        <f>$G$90</f>
        <v>10.35</v>
      </c>
      <c r="H124" s="1" t="s">
        <v>364</v>
      </c>
      <c r="I124" s="2">
        <f>ROUND(G124*$C124/100,0)</f>
        <v>4866396</v>
      </c>
      <c r="J124" s="2"/>
      <c r="K124" s="284" t="e">
        <f>K90</f>
        <v>#DIV/0!</v>
      </c>
      <c r="L124" s="1" t="s">
        <v>364</v>
      </c>
      <c r="M124" s="2" t="e">
        <f>K124*$C124/100</f>
        <v>#DIV/0!</v>
      </c>
      <c r="N124" s="2"/>
      <c r="O124" s="284" t="e">
        <f>O90</f>
        <v>#DIV/0!</v>
      </c>
      <c r="P124" s="1" t="s">
        <v>364</v>
      </c>
      <c r="Q124" s="2" t="e">
        <f>ROUND(O124*$C124/100,0)</f>
        <v>#DIV/0!</v>
      </c>
      <c r="R124" s="2"/>
      <c r="S124" s="284" t="e">
        <f ca="1">S90</f>
        <v>#DIV/0!</v>
      </c>
      <c r="T124" s="1" t="s">
        <v>364</v>
      </c>
      <c r="U124" s="2" t="e">
        <f ca="1">ROUND(S124*$C124/100,0)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367</v>
      </c>
      <c r="B125" s="1"/>
      <c r="C125" s="21">
        <v>0</v>
      </c>
      <c r="D125" s="286">
        <v>1.71</v>
      </c>
      <c r="E125" s="1"/>
      <c r="F125" s="2">
        <v>0</v>
      </c>
      <c r="G125" s="286">
        <f ca="1">$G$91</f>
        <v>1.74</v>
      </c>
      <c r="H125" s="1"/>
      <c r="I125" s="2">
        <f ca="1">ROUND(G125*$C125,0)</f>
        <v>0</v>
      </c>
      <c r="J125" s="2"/>
      <c r="K125" s="286">
        <v>0</v>
      </c>
      <c r="L125" s="1"/>
      <c r="M125" s="2">
        <f>ROUND(K125*$C125,0)</f>
        <v>0</v>
      </c>
      <c r="N125" s="2"/>
      <c r="O125" s="286">
        <v>0</v>
      </c>
      <c r="P125" s="1"/>
      <c r="Q125" s="2">
        <f>ROUND(O125*$C125,0)</f>
        <v>0</v>
      </c>
      <c r="R125" s="2"/>
      <c r="S125" s="286">
        <f ca="1">S91</f>
        <v>1.74</v>
      </c>
      <c r="T125" s="1"/>
      <c r="U125" s="2">
        <f ca="1">ROUND(S125*$C125,0)</f>
        <v>0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288" t="s">
        <v>369</v>
      </c>
      <c r="B126" s="288"/>
      <c r="C126" s="21">
        <v>0</v>
      </c>
      <c r="D126" s="286">
        <v>3.3</v>
      </c>
      <c r="E126" s="288"/>
      <c r="F126" s="2">
        <v>0</v>
      </c>
      <c r="G126" s="286">
        <f ca="1">$G$92</f>
        <v>3.4</v>
      </c>
      <c r="H126" s="288"/>
      <c r="I126" s="2">
        <f ca="1">ROUND(G126*$C126,0)</f>
        <v>0</v>
      </c>
      <c r="J126" s="2"/>
      <c r="K126" s="286">
        <v>0</v>
      </c>
      <c r="L126" s="288"/>
      <c r="M126" s="2">
        <f>ROUND(K126*$C126,0)</f>
        <v>0</v>
      </c>
      <c r="N126" s="2"/>
      <c r="O126" s="286">
        <v>0</v>
      </c>
      <c r="P126" s="288"/>
      <c r="Q126" s="2">
        <f>ROUND(O126*$C126,0)</f>
        <v>0</v>
      </c>
      <c r="R126" s="2"/>
      <c r="S126" s="286">
        <f ca="1">S92</f>
        <v>3.4</v>
      </c>
      <c r="T126" s="288"/>
      <c r="U126" s="2">
        <f ca="1">ROUND(S126*$C126,0)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370</v>
      </c>
      <c r="B127" s="288"/>
      <c r="C127" s="21">
        <v>0</v>
      </c>
      <c r="D127" s="289">
        <v>-1.71</v>
      </c>
      <c r="E127" s="288"/>
      <c r="F127" s="2">
        <v>0</v>
      </c>
      <c r="G127" s="289">
        <f ca="1">-G125</f>
        <v>-1.74</v>
      </c>
      <c r="H127" s="288"/>
      <c r="I127" s="2">
        <f ca="1">ROUND(G127*$C127,0)</f>
        <v>0</v>
      </c>
      <c r="J127" s="2"/>
      <c r="K127" s="289">
        <f>-K125</f>
        <v>0</v>
      </c>
      <c r="L127" s="288"/>
      <c r="M127" s="2">
        <f>ROUND(K127*$C127,0)</f>
        <v>0</v>
      </c>
      <c r="N127" s="2"/>
      <c r="O127" s="289">
        <f>-O125</f>
        <v>0</v>
      </c>
      <c r="P127" s="288"/>
      <c r="Q127" s="2">
        <f>ROUND(O127*$C127,0)</f>
        <v>0</v>
      </c>
      <c r="R127" s="2"/>
      <c r="S127" s="289">
        <f ca="1">-S125</f>
        <v>-1.74</v>
      </c>
      <c r="T127" s="288"/>
      <c r="U127" s="2">
        <f ca="1">ROUND(S127*$C127,0)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 s="1118" customFormat="1" hidden="1">
      <c r="A128" s="968" t="s">
        <v>858</v>
      </c>
      <c r="C128" s="1122">
        <f>C123</f>
        <v>41755519.776553854</v>
      </c>
      <c r="D128" s="254">
        <v>0</v>
      </c>
      <c r="E128" s="1119"/>
      <c r="F128" s="1123"/>
      <c r="G128" s="1128">
        <f>G112</f>
        <v>0</v>
      </c>
      <c r="H128" s="1126" t="s">
        <v>364</v>
      </c>
      <c r="I128" s="1123">
        <f>G128*C128/100</f>
        <v>0</v>
      </c>
      <c r="J128" s="1123"/>
      <c r="K128" s="1128" t="str">
        <f>K112</f>
        <v xml:space="preserve"> </v>
      </c>
      <c r="L128" s="1126" t="s">
        <v>364</v>
      </c>
      <c r="M128" s="1123">
        <f>K128*C128/100</f>
        <v>0</v>
      </c>
      <c r="N128" s="1123"/>
      <c r="O128" s="1128">
        <f>O112</f>
        <v>0</v>
      </c>
      <c r="P128" s="1126" t="s">
        <v>364</v>
      </c>
      <c r="Q128" s="1123">
        <f>O128*C128/100</f>
        <v>0</v>
      </c>
      <c r="R128" s="1123"/>
      <c r="S128" s="1128">
        <f>S112</f>
        <v>0</v>
      </c>
      <c r="T128" s="1126" t="s">
        <v>364</v>
      </c>
      <c r="U128" s="1123">
        <f>S128*C128/100</f>
        <v>0</v>
      </c>
      <c r="W128" s="784"/>
      <c r="Z128" s="1125"/>
      <c r="AA128" s="1125"/>
      <c r="AF128" s="1119"/>
      <c r="AG128" s="1119"/>
      <c r="AH128" s="1119"/>
      <c r="AI128" s="1119"/>
      <c r="AJ128" s="1119"/>
      <c r="AK128" s="1119"/>
      <c r="AL128" s="1119"/>
      <c r="AM128" s="1119"/>
      <c r="AN128" s="1119"/>
      <c r="AO128" s="1119"/>
      <c r="AP128" s="1119"/>
      <c r="AR128" s="1124"/>
    </row>
    <row r="129" spans="1:44" s="1118" customFormat="1" hidden="1">
      <c r="A129" s="968" t="s">
        <v>859</v>
      </c>
      <c r="C129" s="1122">
        <f>C124</f>
        <v>47018320.003545634</v>
      </c>
      <c r="D129" s="254"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1123">
        <f>K129*C129/100</f>
        <v>0</v>
      </c>
      <c r="N129" s="1123"/>
      <c r="O129" s="1128">
        <f>O113</f>
        <v>0</v>
      </c>
      <c r="P129" s="1126" t="s">
        <v>364</v>
      </c>
      <c r="Q129" s="1123">
        <f>O129*C129/100</f>
        <v>0</v>
      </c>
      <c r="R129" s="1123"/>
      <c r="S129" s="1128">
        <f>S113</f>
        <v>0</v>
      </c>
      <c r="T129" s="1126" t="s">
        <v>364</v>
      </c>
      <c r="U129" s="1123">
        <f>S129*C129/100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>
      <c r="A130" s="1" t="s">
        <v>371</v>
      </c>
      <c r="B130" s="1"/>
      <c r="C130" s="21">
        <f>SUM(C123:C124)</f>
        <v>88773839.780099481</v>
      </c>
      <c r="D130" s="953"/>
      <c r="E130" s="2"/>
      <c r="F130" s="2">
        <f>SUM(F122:F127)</f>
        <v>8016966</v>
      </c>
      <c r="G130" s="2"/>
      <c r="H130" s="2"/>
      <c r="I130" s="2">
        <f ca="1">SUM(I122:I129)</f>
        <v>8154839</v>
      </c>
      <c r="J130" s="2"/>
      <c r="K130" s="2"/>
      <c r="L130" s="2"/>
      <c r="M130" s="2" t="e">
        <f>SUM(M122:M129)</f>
        <v>#DIV/0!</v>
      </c>
      <c r="N130" s="2"/>
      <c r="O130" s="2"/>
      <c r="P130" s="2"/>
      <c r="Q130" s="2" t="e">
        <f>SUM(Q122:Q129)</f>
        <v>#DIV/0!</v>
      </c>
      <c r="R130" s="2"/>
      <c r="S130" s="2"/>
      <c r="T130" s="2"/>
      <c r="U130" s="2" t="e">
        <f ca="1">SUM(U122:U129)</f>
        <v>#DIV/0!</v>
      </c>
      <c r="V130" s="20"/>
      <c r="W130" s="74"/>
      <c r="X130" s="1297"/>
      <c r="Y130" s="32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R130" s="84"/>
    </row>
    <row r="131" spans="1:44">
      <c r="A131" s="1" t="s">
        <v>353</v>
      </c>
      <c r="B131" s="1"/>
      <c r="C131" s="302">
        <f>'Table 2'!H14</f>
        <v>1109915.5774999433</v>
      </c>
      <c r="D131" s="294"/>
      <c r="E131" s="294"/>
      <c r="F131" s="1402">
        <f>'Table 3'!E14</f>
        <v>112036.90433211296</v>
      </c>
      <c r="G131" s="294"/>
      <c r="H131" s="294"/>
      <c r="I131" s="295">
        <f>F131</f>
        <v>112036.90433211296</v>
      </c>
      <c r="J131" s="51"/>
      <c r="K131" s="294"/>
      <c r="L131" s="294"/>
      <c r="M131" s="295" t="e">
        <f>I131/$I$99*$M$99</f>
        <v>#DIV/0!</v>
      </c>
      <c r="N131" s="51"/>
      <c r="O131" s="294"/>
      <c r="P131" s="294"/>
      <c r="Q131" s="295" t="e">
        <f>I131/$I$99*$Q$99</f>
        <v>#DIV/0!</v>
      </c>
      <c r="R131" s="51"/>
      <c r="S131" s="294"/>
      <c r="T131" s="294"/>
      <c r="U131" s="295" t="e">
        <f>I131/$I$99*$U$99</f>
        <v>#DIV/0!</v>
      </c>
      <c r="V131" s="429"/>
      <c r="W131" s="272"/>
      <c r="X131" s="1297"/>
      <c r="Y131" s="32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 ht="16.5" thickBot="1">
      <c r="A132" s="1" t="s">
        <v>372</v>
      </c>
      <c r="B132" s="1"/>
      <c r="C132" s="296">
        <f>C130+C131</f>
        <v>89883755.357599422</v>
      </c>
      <c r="D132" s="297"/>
      <c r="E132" s="297"/>
      <c r="F132" s="297">
        <f>SUM(F130:F131)</f>
        <v>8129002.9043321125</v>
      </c>
      <c r="G132" s="297"/>
      <c r="H132" s="297"/>
      <c r="I132" s="297">
        <f ca="1">I130+I131</f>
        <v>8266875.9043321125</v>
      </c>
      <c r="J132" s="51"/>
      <c r="K132" s="297"/>
      <c r="L132" s="297"/>
      <c r="M132" s="297" t="e">
        <f>M130+M131</f>
        <v>#DIV/0!</v>
      </c>
      <c r="N132" s="297"/>
      <c r="O132" s="297"/>
      <c r="P132" s="297"/>
      <c r="Q132" s="297" t="e">
        <f>Q130+Q131</f>
        <v>#DIV/0!</v>
      </c>
      <c r="R132" s="297"/>
      <c r="S132" s="297"/>
      <c r="T132" s="297"/>
      <c r="U132" s="297" t="e">
        <f ca="1">U130+U131</f>
        <v>#DIV/0!</v>
      </c>
      <c r="V132" s="396"/>
      <c r="W132" s="455"/>
      <c r="X132" s="1297"/>
      <c r="Y132" s="32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Top="1">
      <c r="A133" s="1"/>
      <c r="B133" s="298"/>
      <c r="C133" s="21"/>
      <c r="D133" s="1" t="s">
        <v>31</v>
      </c>
      <c r="E133" s="1"/>
      <c r="G133" s="1" t="s">
        <v>31</v>
      </c>
      <c r="H133" s="1"/>
      <c r="I133" s="2" t="s">
        <v>31</v>
      </c>
      <c r="J133" s="2"/>
      <c r="K133" s="1" t="s">
        <v>31</v>
      </c>
      <c r="L133" s="1"/>
      <c r="M133" s="2" t="s">
        <v>31</v>
      </c>
      <c r="N133" s="2"/>
      <c r="O133" s="1" t="s">
        <v>31</v>
      </c>
      <c r="P133" s="1"/>
      <c r="Q133" s="2" t="s">
        <v>31</v>
      </c>
      <c r="R133" s="2"/>
      <c r="S133" s="1" t="s">
        <v>31</v>
      </c>
      <c r="T133" s="1"/>
      <c r="U133" s="2" t="s">
        <v>31</v>
      </c>
      <c r="V133" s="20"/>
      <c r="W133" s="74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>
      <c r="A134" s="278" t="s">
        <v>375</v>
      </c>
      <c r="B134" s="1"/>
      <c r="C134" s="1"/>
      <c r="D134" s="21"/>
      <c r="E134" s="1"/>
      <c r="F134" s="1"/>
      <c r="G134" s="21"/>
      <c r="H134" s="1"/>
      <c r="I134" s="1"/>
      <c r="J134" s="1"/>
      <c r="K134" s="21"/>
      <c r="L134" s="1"/>
      <c r="M134" s="1"/>
      <c r="N134" s="1"/>
      <c r="O134" s="21"/>
      <c r="P134" s="1"/>
      <c r="Q134" s="1"/>
      <c r="R134" s="1"/>
      <c r="S134" s="21"/>
      <c r="T134" s="1"/>
      <c r="U134" s="1"/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>
      <c r="A135" s="1" t="s">
        <v>320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>
      <c r="A136" s="282"/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>
      <c r="A137" s="1" t="s">
        <v>360</v>
      </c>
      <c r="B137" s="1"/>
      <c r="C137" s="21">
        <v>995.23225806451603</v>
      </c>
      <c r="D137" s="283">
        <v>7.75</v>
      </c>
      <c r="E137" s="1"/>
      <c r="F137" s="2">
        <f>ROUND(D137*C137,0)</f>
        <v>7713</v>
      </c>
      <c r="G137" s="283">
        <f>$G$88</f>
        <v>7.75</v>
      </c>
      <c r="H137" s="1"/>
      <c r="I137" s="2">
        <f>ROUND(G137*$C137,0)</f>
        <v>7713</v>
      </c>
      <c r="J137" s="2"/>
      <c r="K137" s="283">
        <f>$K$88</f>
        <v>7.75</v>
      </c>
      <c r="L137" s="1"/>
      <c r="M137" s="2">
        <f>K137*$C137</f>
        <v>7713.0499999999993</v>
      </c>
      <c r="N137" s="2"/>
      <c r="O137" s="283" t="str">
        <f>$O$88</f>
        <v xml:space="preserve"> </v>
      </c>
      <c r="P137" s="1"/>
      <c r="Q137" s="2">
        <f>ROUND(O137*$C137,0)</f>
        <v>0</v>
      </c>
      <c r="R137" s="2"/>
      <c r="S137" s="283" t="str">
        <f>$S$88</f>
        <v xml:space="preserve"> </v>
      </c>
      <c r="T137" s="1"/>
      <c r="U137" s="2">
        <f>ROUND(S137*$C137,0)</f>
        <v>0</v>
      </c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>
      <c r="A138" s="1" t="s">
        <v>363</v>
      </c>
      <c r="B138" s="1"/>
      <c r="C138" s="21">
        <v>563242.07586769864</v>
      </c>
      <c r="D138" s="284">
        <v>6.4249999999999998</v>
      </c>
      <c r="E138" s="1" t="s">
        <v>364</v>
      </c>
      <c r="F138" s="2">
        <f>ROUND(C138*D138/100,0)</f>
        <v>36188</v>
      </c>
      <c r="G138" s="284">
        <f>$G$89</f>
        <v>6.548</v>
      </c>
      <c r="H138" s="1" t="s">
        <v>364</v>
      </c>
      <c r="I138" s="2">
        <f>ROUND(G138*$C138/100,0)</f>
        <v>36881</v>
      </c>
      <c r="J138" s="2"/>
      <c r="K138" s="284" t="e">
        <f>K89</f>
        <v>#DIV/0!</v>
      </c>
      <c r="L138" s="1" t="s">
        <v>364</v>
      </c>
      <c r="M138" s="2" t="e">
        <f>K138*$C138/100</f>
        <v>#DIV/0!</v>
      </c>
      <c r="N138" s="2"/>
      <c r="O138" s="284" t="e">
        <f>O89</f>
        <v>#DIV/0!</v>
      </c>
      <c r="P138" s="1" t="s">
        <v>364</v>
      </c>
      <c r="Q138" s="2" t="e">
        <f>ROUND(O138*$C138/100,0)</f>
        <v>#DIV/0!</v>
      </c>
      <c r="R138" s="2"/>
      <c r="S138" s="284" t="e">
        <f ca="1">S89</f>
        <v>#DIV/0!</v>
      </c>
      <c r="T138" s="1" t="s">
        <v>364</v>
      </c>
      <c r="U138" s="2" t="e">
        <f ca="1">ROUND(S138*$C138/100,0)</f>
        <v>#DIV/0!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>
      <c r="A139" s="1" t="s">
        <v>365</v>
      </c>
      <c r="B139" s="1"/>
      <c r="C139" s="21">
        <v>1663533.139932974</v>
      </c>
      <c r="D139" s="284">
        <v>10.166</v>
      </c>
      <c r="E139" s="1" t="s">
        <v>364</v>
      </c>
      <c r="F139" s="2">
        <f>ROUND(C139*D139/100,0)</f>
        <v>169115</v>
      </c>
      <c r="G139" s="284">
        <f>$G$90</f>
        <v>10.35</v>
      </c>
      <c r="H139" s="1" t="s">
        <v>364</v>
      </c>
      <c r="I139" s="2">
        <f>ROUND(G139*$C139/100,0)</f>
        <v>172176</v>
      </c>
      <c r="J139" s="2"/>
      <c r="K139" s="284" t="e">
        <f>K109</f>
        <v>#DIV/0!</v>
      </c>
      <c r="L139" s="1" t="s">
        <v>364</v>
      </c>
      <c r="M139" s="2" t="e">
        <f>K139*$C139/100</f>
        <v>#DIV/0!</v>
      </c>
      <c r="N139" s="2"/>
      <c r="O139" s="284" t="e">
        <f>O109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S109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>
      <c r="A140" s="1" t="s">
        <v>367</v>
      </c>
      <c r="B140" s="1"/>
      <c r="C140" s="21">
        <v>4598.5</v>
      </c>
      <c r="D140" s="286">
        <v>1.71</v>
      </c>
      <c r="E140" s="1"/>
      <c r="F140" s="2">
        <f>ROUND(D140*C140,0)</f>
        <v>7863</v>
      </c>
      <c r="G140" s="286">
        <f ca="1">$G$91</f>
        <v>1.74</v>
      </c>
      <c r="H140" s="1"/>
      <c r="I140" s="2">
        <f ca="1">ROUND(G140*$C140,0)</f>
        <v>8001</v>
      </c>
      <c r="J140" s="2"/>
      <c r="K140" s="286">
        <v>0</v>
      </c>
      <c r="L140" s="1"/>
      <c r="M140" s="2">
        <f>ROUND(K140*$C140,0)</f>
        <v>0</v>
      </c>
      <c r="N140" s="2"/>
      <c r="O140" s="286">
        <v>0</v>
      </c>
      <c r="P140" s="1"/>
      <c r="Q140" s="2">
        <f>ROUND(O140*$C140,0)</f>
        <v>0</v>
      </c>
      <c r="R140" s="2"/>
      <c r="S140" s="286">
        <f ca="1">S91</f>
        <v>1.74</v>
      </c>
      <c r="T140" s="1"/>
      <c r="U140" s="2">
        <f ca="1">ROUND(S140*$C140,0)</f>
        <v>8001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>
      <c r="A141" s="288" t="s">
        <v>369</v>
      </c>
      <c r="B141" s="288"/>
      <c r="C141" s="21">
        <v>605</v>
      </c>
      <c r="D141" s="286">
        <v>3.3</v>
      </c>
      <c r="E141" s="288"/>
      <c r="F141" s="2">
        <f>ROUND(D141*C141,0)</f>
        <v>1997</v>
      </c>
      <c r="G141" s="286">
        <f ca="1">$G$92</f>
        <v>3.4</v>
      </c>
      <c r="H141" s="288"/>
      <c r="I141" s="2">
        <f ca="1">ROUND(G141*$C141,0)</f>
        <v>2057</v>
      </c>
      <c r="J141" s="2"/>
      <c r="K141" s="286">
        <v>0</v>
      </c>
      <c r="L141" s="288"/>
      <c r="M141" s="2">
        <f>ROUND(K141*$C141,0)</f>
        <v>0</v>
      </c>
      <c r="N141" s="2"/>
      <c r="O141" s="286">
        <v>0</v>
      </c>
      <c r="P141" s="288"/>
      <c r="Q141" s="2">
        <f>ROUND(O141*$C141,0)</f>
        <v>0</v>
      </c>
      <c r="R141" s="2"/>
      <c r="S141" s="286">
        <f ca="1">S92</f>
        <v>3.4</v>
      </c>
      <c r="T141" s="288"/>
      <c r="U141" s="2">
        <f ca="1">ROUND(S141*$C141,0)</f>
        <v>2057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>
      <c r="A142" s="288" t="s">
        <v>370</v>
      </c>
      <c r="B142" s="288"/>
      <c r="C142" s="21">
        <v>55.5</v>
      </c>
      <c r="D142" s="289">
        <v>-1.71</v>
      </c>
      <c r="E142" s="288"/>
      <c r="F142" s="2">
        <f>ROUND(D142*C142,0)</f>
        <v>-95</v>
      </c>
      <c r="G142" s="289">
        <f ca="1">-G140</f>
        <v>-1.74</v>
      </c>
      <c r="H142" s="288"/>
      <c r="I142" s="2">
        <f ca="1">ROUND(G142*$C142,0)</f>
        <v>-97</v>
      </c>
      <c r="J142" s="2"/>
      <c r="K142" s="289">
        <f>-K140</f>
        <v>0</v>
      </c>
      <c r="L142" s="288"/>
      <c r="M142" s="2">
        <f>ROUND(K142*$C142,0)</f>
        <v>0</v>
      </c>
      <c r="N142" s="2"/>
      <c r="O142" s="289">
        <f>-O140</f>
        <v>0</v>
      </c>
      <c r="P142" s="288"/>
      <c r="Q142" s="2">
        <f>ROUND(O142*$C142,0)</f>
        <v>0</v>
      </c>
      <c r="R142" s="2"/>
      <c r="S142" s="289">
        <f ca="1">-S140</f>
        <v>-1.74</v>
      </c>
      <c r="T142" s="288"/>
      <c r="U142" s="2">
        <f ca="1">ROUND(S142*$C142,0)</f>
        <v>-97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s="1118" customFormat="1" hidden="1">
      <c r="A143" s="968" t="s">
        <v>858</v>
      </c>
      <c r="C143" s="1122">
        <f>C138</f>
        <v>563242.07586769864</v>
      </c>
      <c r="D143" s="254">
        <v>0</v>
      </c>
      <c r="E143" s="1119"/>
      <c r="F143" s="1123"/>
      <c r="G143" s="1128">
        <f>G128</f>
        <v>0</v>
      </c>
      <c r="H143" s="1126" t="s">
        <v>364</v>
      </c>
      <c r="I143" s="1123">
        <f>G143*C143/100</f>
        <v>0</v>
      </c>
      <c r="J143" s="1123"/>
      <c r="K143" s="1128" t="str">
        <f>K128</f>
        <v xml:space="preserve"> </v>
      </c>
      <c r="L143" s="1126" t="s">
        <v>364</v>
      </c>
      <c r="M143" s="1123">
        <f>K143*C143/100</f>
        <v>0</v>
      </c>
      <c r="N143" s="1123"/>
      <c r="O143" s="1128">
        <f>O128</f>
        <v>0</v>
      </c>
      <c r="P143" s="1126" t="s">
        <v>364</v>
      </c>
      <c r="Q143" s="1123">
        <f>O143*C143/100</f>
        <v>0</v>
      </c>
      <c r="R143" s="1123"/>
      <c r="S143" s="1128">
        <f>S128</f>
        <v>0</v>
      </c>
      <c r="T143" s="1126" t="s">
        <v>364</v>
      </c>
      <c r="U143" s="1123">
        <f>S143*C143/100</f>
        <v>0</v>
      </c>
      <c r="W143" s="784"/>
      <c r="Z143" s="1125"/>
      <c r="AA143" s="1125"/>
      <c r="AF143" s="1119"/>
      <c r="AG143" s="1119"/>
      <c r="AH143" s="1119"/>
      <c r="AI143" s="1119"/>
      <c r="AJ143" s="1119"/>
      <c r="AK143" s="1119"/>
      <c r="AL143" s="1119"/>
      <c r="AM143" s="1119"/>
      <c r="AN143" s="1119"/>
      <c r="AO143" s="1119"/>
      <c r="AP143" s="1119"/>
      <c r="AR143" s="1124"/>
    </row>
    <row r="144" spans="1:44" s="1118" customFormat="1" hidden="1">
      <c r="A144" s="968" t="s">
        <v>859</v>
      </c>
      <c r="C144" s="1122">
        <f>C139</f>
        <v>1663533.139932974</v>
      </c>
      <c r="D144" s="254"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>
        <f>O129</f>
        <v>0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>
      <c r="A145" s="1" t="s">
        <v>371</v>
      </c>
      <c r="B145" s="290"/>
      <c r="C145" s="21">
        <f>SUM(C138:C139)</f>
        <v>2226775.2158006728</v>
      </c>
      <c r="D145" s="953"/>
      <c r="E145" s="2"/>
      <c r="F145" s="2">
        <f>SUM(F137:F142)</f>
        <v>222781</v>
      </c>
      <c r="G145" s="2"/>
      <c r="H145" s="2"/>
      <c r="I145" s="2">
        <f ca="1">SUM(I137:I144)</f>
        <v>226731</v>
      </c>
      <c r="J145" s="2"/>
      <c r="K145" s="2"/>
      <c r="L145" s="2"/>
      <c r="M145" s="2" t="e">
        <f>SUM(M137:M144)</f>
        <v>#DIV/0!</v>
      </c>
      <c r="N145" s="2"/>
      <c r="O145" s="2"/>
      <c r="P145" s="2"/>
      <c r="Q145" s="2" t="e">
        <f>SUM(Q137:Q144)</f>
        <v>#DIV/0!</v>
      </c>
      <c r="R145" s="2"/>
      <c r="S145" s="2"/>
      <c r="T145" s="2"/>
      <c r="U145" s="2" t="e">
        <f ca="1">SUM(U137:U144)</f>
        <v>#DIV/0!</v>
      </c>
      <c r="V145" s="20"/>
      <c r="W145" s="74"/>
      <c r="X145" s="74"/>
      <c r="Y145" s="74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R145" s="84"/>
    </row>
    <row r="146" spans="1:44">
      <c r="A146" s="1" t="s">
        <v>353</v>
      </c>
      <c r="B146" s="25"/>
      <c r="C146" s="302">
        <f>'Table 2'!H15</f>
        <v>28355.575910563297</v>
      </c>
      <c r="D146" s="294"/>
      <c r="E146" s="294"/>
      <c r="F146" s="295">
        <f>'Table 3'!E15</f>
        <v>3166.5031041856219</v>
      </c>
      <c r="G146" s="294"/>
      <c r="H146" s="294"/>
      <c r="I146" s="295">
        <f>F146</f>
        <v>3166.5031041856219</v>
      </c>
      <c r="J146" s="51"/>
      <c r="K146" s="294"/>
      <c r="L146" s="294"/>
      <c r="M146" s="295" t="e">
        <f>I146/$I$99*$M$99</f>
        <v>#DIV/0!</v>
      </c>
      <c r="N146" s="51"/>
      <c r="O146" s="294"/>
      <c r="P146" s="294"/>
      <c r="Q146" s="295" t="e">
        <f>I146/$I$99*$Q$99</f>
        <v>#DIV/0!</v>
      </c>
      <c r="R146" s="51"/>
      <c r="S146" s="294"/>
      <c r="T146" s="294"/>
      <c r="U146" s="295" t="e">
        <f>I146/$I$99*$U$99</f>
        <v>#DIV/0!</v>
      </c>
      <c r="V146" s="429"/>
      <c r="W146" s="272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t="16.5" thickBot="1">
      <c r="A147" s="1" t="s">
        <v>372</v>
      </c>
      <c r="B147" s="1"/>
      <c r="C147" s="296">
        <f>C145+C146</f>
        <v>2255130.7917112359</v>
      </c>
      <c r="D147" s="297"/>
      <c r="E147" s="297"/>
      <c r="F147" s="297">
        <f>F145+F146</f>
        <v>225947.50310418563</v>
      </c>
      <c r="G147" s="297"/>
      <c r="H147" s="297"/>
      <c r="I147" s="297">
        <f ca="1">I145+I146</f>
        <v>229897.50310418563</v>
      </c>
      <c r="J147" s="51"/>
      <c r="K147" s="297"/>
      <c r="L147" s="297"/>
      <c r="M147" s="297" t="e">
        <f>M145+M146</f>
        <v>#DIV/0!</v>
      </c>
      <c r="N147" s="297"/>
      <c r="O147" s="297"/>
      <c r="P147" s="297"/>
      <c r="Q147" s="297" t="e">
        <f>Q145+Q146</f>
        <v>#DIV/0!</v>
      </c>
      <c r="R147" s="297"/>
      <c r="S147" s="297"/>
      <c r="T147" s="297"/>
      <c r="U147" s="297" t="e">
        <f ca="1">U145+U146</f>
        <v>#DIV/0!</v>
      </c>
      <c r="V147" s="396"/>
      <c r="W147" s="455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thickTop="1">
      <c r="A148" s="1"/>
      <c r="B148" s="298"/>
      <c r="C148" s="21"/>
      <c r="D148" s="1" t="s">
        <v>31</v>
      </c>
      <c r="E148" s="1"/>
      <c r="G148" s="1" t="s">
        <v>31</v>
      </c>
      <c r="H148" s="1"/>
      <c r="I148" s="2" t="s">
        <v>31</v>
      </c>
      <c r="J148" s="2"/>
      <c r="K148" s="1" t="s">
        <v>31</v>
      </c>
      <c r="L148" s="1"/>
      <c r="M148" s="2" t="s">
        <v>31</v>
      </c>
      <c r="N148" s="2"/>
      <c r="O148" s="1" t="s">
        <v>31</v>
      </c>
      <c r="P148" s="1"/>
      <c r="Q148" s="2" t="s">
        <v>31</v>
      </c>
      <c r="R148" s="2"/>
      <c r="S148" s="1" t="s">
        <v>31</v>
      </c>
      <c r="T148" s="1"/>
      <c r="U148" s="2" t="s">
        <v>31</v>
      </c>
      <c r="V148" s="20"/>
      <c r="W148" s="74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>
      <c r="A149" s="278" t="s">
        <v>376</v>
      </c>
      <c r="B149" s="1"/>
      <c r="C149" s="1"/>
      <c r="D149" s="21"/>
      <c r="E149" s="1"/>
      <c r="F149" s="1"/>
      <c r="G149" s="21"/>
      <c r="H149" s="1"/>
      <c r="I149" s="1"/>
      <c r="J149" s="1"/>
      <c r="K149" s="21"/>
      <c r="L149" s="1"/>
      <c r="M149" s="1"/>
      <c r="N149" s="1"/>
      <c r="O149" s="21"/>
      <c r="P149" s="1"/>
      <c r="Q149" s="1"/>
      <c r="R149" s="1"/>
      <c r="S149" s="21"/>
      <c r="T149" s="1"/>
      <c r="U149" s="1"/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>
      <c r="A150" s="1" t="s">
        <v>320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>
      <c r="A151" s="282"/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>
      <c r="A152" s="1" t="s">
        <v>360</v>
      </c>
      <c r="B152" s="1"/>
      <c r="C152" s="21">
        <v>205</v>
      </c>
      <c r="D152" s="283">
        <v>7.75</v>
      </c>
      <c r="E152" s="1"/>
      <c r="F152" s="2">
        <f>ROUND(D152*C152,0)</f>
        <v>1589</v>
      </c>
      <c r="G152" s="283">
        <f>$G$88</f>
        <v>7.75</v>
      </c>
      <c r="H152" s="1"/>
      <c r="I152" s="2">
        <f>ROUND(G152*$C152,0)</f>
        <v>1589</v>
      </c>
      <c r="J152" s="2"/>
      <c r="K152" s="283">
        <f>$K$88</f>
        <v>7.75</v>
      </c>
      <c r="L152" s="1"/>
      <c r="M152" s="2">
        <f>K152*$C152</f>
        <v>1588.75</v>
      </c>
      <c r="N152" s="2"/>
      <c r="O152" s="283" t="str">
        <f>$O$88</f>
        <v xml:space="preserve"> </v>
      </c>
      <c r="P152" s="1"/>
      <c r="Q152" s="2">
        <f>ROUND(O152*$C152,0)</f>
        <v>0</v>
      </c>
      <c r="R152" s="2"/>
      <c r="S152" s="283" t="str">
        <f>$S$88</f>
        <v xml:space="preserve"> </v>
      </c>
      <c r="T152" s="1"/>
      <c r="U152" s="2">
        <f>ROUND(S152*$C152,0)</f>
        <v>0</v>
      </c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>
      <c r="A153" s="1" t="s">
        <v>363</v>
      </c>
      <c r="B153" s="1"/>
      <c r="C153" s="21">
        <v>121486</v>
      </c>
      <c r="D153" s="284">
        <v>6.4249999999999998</v>
      </c>
      <c r="E153" s="1" t="s">
        <v>364</v>
      </c>
      <c r="F153" s="2">
        <f>ROUND(C153*D153/100,0)</f>
        <v>7805</v>
      </c>
      <c r="G153" s="284">
        <f>$G$89</f>
        <v>6.548</v>
      </c>
      <c r="H153" s="1" t="s">
        <v>364</v>
      </c>
      <c r="I153" s="2">
        <f>ROUND(G153*$C153/100,0)</f>
        <v>7955</v>
      </c>
      <c r="J153" s="2"/>
      <c r="K153" s="284" t="e">
        <f>K89</f>
        <v>#DIV/0!</v>
      </c>
      <c r="L153" s="1" t="s">
        <v>364</v>
      </c>
      <c r="M153" s="2" t="e">
        <f>K153*$C153/100</f>
        <v>#DIV/0!</v>
      </c>
      <c r="N153" s="2"/>
      <c r="O153" s="284" t="e">
        <f>O89</f>
        <v>#DIV/0!</v>
      </c>
      <c r="P153" s="1" t="s">
        <v>364</v>
      </c>
      <c r="Q153" s="2" t="e">
        <f>ROUND(O153*$C153/100,0)</f>
        <v>#DIV/0!</v>
      </c>
      <c r="R153" s="2"/>
      <c r="S153" s="284" t="e">
        <f ca="1">S89</f>
        <v>#DIV/0!</v>
      </c>
      <c r="T153" s="1" t="s">
        <v>364</v>
      </c>
      <c r="U153" s="2" t="e">
        <f ca="1">ROUND(S153*$C153/100,0)</f>
        <v>#DIV/0!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>
      <c r="A154" s="1" t="s">
        <v>365</v>
      </c>
      <c r="B154" s="1"/>
      <c r="C154" s="21">
        <v>275577</v>
      </c>
      <c r="D154" s="284">
        <v>10.166</v>
      </c>
      <c r="E154" s="1" t="s">
        <v>364</v>
      </c>
      <c r="F154" s="2">
        <f>ROUND(C154*D154/100,0)</f>
        <v>28015</v>
      </c>
      <c r="G154" s="284">
        <f>$G$90</f>
        <v>10.35</v>
      </c>
      <c r="H154" s="1" t="s">
        <v>364</v>
      </c>
      <c r="I154" s="2">
        <f>ROUND(G154*$C154/100,0)</f>
        <v>28522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>
      <c r="A155" s="1" t="s">
        <v>367</v>
      </c>
      <c r="B155" s="1"/>
      <c r="C155" s="21">
        <v>707.5</v>
      </c>
      <c r="D155" s="286">
        <v>1.71</v>
      </c>
      <c r="E155" s="1"/>
      <c r="F155" s="2">
        <f>ROUND(D155*C155,0)</f>
        <v>1210</v>
      </c>
      <c r="G155" s="286">
        <f ca="1">$G$91</f>
        <v>1.74</v>
      </c>
      <c r="H155" s="1"/>
      <c r="I155" s="2">
        <f ca="1">ROUND(G155*$C155,0)</f>
        <v>1231</v>
      </c>
      <c r="J155" s="2"/>
      <c r="K155" s="286">
        <v>0</v>
      </c>
      <c r="L155" s="1"/>
      <c r="M155" s="2">
        <f>ROUND(K155*$C155,0)</f>
        <v>0</v>
      </c>
      <c r="N155" s="2"/>
      <c r="O155" s="286">
        <v>0</v>
      </c>
      <c r="P155" s="1"/>
      <c r="Q155" s="2">
        <f>ROUND(O155*$C155,0)</f>
        <v>0</v>
      </c>
      <c r="R155" s="2"/>
      <c r="S155" s="286">
        <f ca="1">S91</f>
        <v>1.74</v>
      </c>
      <c r="T155" s="1"/>
      <c r="U155" s="2">
        <f ca="1">ROUND(S155*$C155,0)</f>
        <v>1231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>
      <c r="A156" s="288" t="s">
        <v>369</v>
      </c>
      <c r="B156" s="288"/>
      <c r="C156" s="21">
        <v>98</v>
      </c>
      <c r="D156" s="286">
        <v>3.3</v>
      </c>
      <c r="E156" s="288"/>
      <c r="F156" s="2">
        <f>ROUND(D156*C156,0)</f>
        <v>323</v>
      </c>
      <c r="G156" s="286">
        <f ca="1">$G$92</f>
        <v>3.4</v>
      </c>
      <c r="H156" s="288"/>
      <c r="I156" s="2">
        <f ca="1">ROUND(G156*$C156,0)</f>
        <v>333</v>
      </c>
      <c r="J156" s="2"/>
      <c r="K156" s="286">
        <v>0</v>
      </c>
      <c r="L156" s="288"/>
      <c r="M156" s="2">
        <f>ROUND(K156*$C156,0)</f>
        <v>0</v>
      </c>
      <c r="N156" s="2"/>
      <c r="O156" s="286">
        <v>0</v>
      </c>
      <c r="P156" s="288"/>
      <c r="Q156" s="2">
        <f>ROUND(O156*$C156,0)</f>
        <v>0</v>
      </c>
      <c r="R156" s="2"/>
      <c r="S156" s="286">
        <f ca="1">S92</f>
        <v>3.4</v>
      </c>
      <c r="T156" s="288"/>
      <c r="U156" s="2">
        <f ca="1">ROUND(S156*$C156,0)</f>
        <v>333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>
      <c r="A157" s="288" t="s">
        <v>370</v>
      </c>
      <c r="B157" s="288"/>
      <c r="C157" s="21">
        <v>15</v>
      </c>
      <c r="D157" s="289">
        <v>-1.71</v>
      </c>
      <c r="E157" s="288"/>
      <c r="F157" s="2">
        <f>ROUND(D157*C157,0)</f>
        <v>-26</v>
      </c>
      <c r="G157" s="289">
        <f ca="1">-G155</f>
        <v>-1.74</v>
      </c>
      <c r="H157" s="288"/>
      <c r="I157" s="2">
        <f ca="1">ROUND(G157*$C157,0)</f>
        <v>-26</v>
      </c>
      <c r="J157" s="2"/>
      <c r="K157" s="289">
        <f>-K155</f>
        <v>0</v>
      </c>
      <c r="L157" s="288"/>
      <c r="M157" s="2">
        <f>ROUND(K157*$C157,0)</f>
        <v>0</v>
      </c>
      <c r="N157" s="2"/>
      <c r="O157" s="289">
        <f>-O155</f>
        <v>0</v>
      </c>
      <c r="P157" s="288"/>
      <c r="Q157" s="2">
        <f>ROUND(O157*$C157,0)</f>
        <v>0</v>
      </c>
      <c r="R157" s="2"/>
      <c r="S157" s="289">
        <f ca="1">-S155</f>
        <v>-1.74</v>
      </c>
      <c r="T157" s="288"/>
      <c r="U157" s="2">
        <f ca="1">ROUND(S157*$C157,0)</f>
        <v>-26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s="1118" customFormat="1" hidden="1">
      <c r="A158" s="968" t="s">
        <v>858</v>
      </c>
      <c r="C158" s="1122">
        <f>C153</f>
        <v>121486</v>
      </c>
      <c r="D158" s="254">
        <v>0</v>
      </c>
      <c r="E158" s="1119"/>
      <c r="F158" s="1123"/>
      <c r="G158" s="1128">
        <f>G143</f>
        <v>0</v>
      </c>
      <c r="H158" s="1126" t="s">
        <v>364</v>
      </c>
      <c r="I158" s="1123">
        <f>G158*C158/100</f>
        <v>0</v>
      </c>
      <c r="J158" s="1123"/>
      <c r="K158" s="1128" t="str">
        <f>K143</f>
        <v xml:space="preserve"> </v>
      </c>
      <c r="L158" s="1126" t="s">
        <v>364</v>
      </c>
      <c r="M158" s="1123">
        <f>K158*C158/100</f>
        <v>0</v>
      </c>
      <c r="N158" s="1123"/>
      <c r="O158" s="1128">
        <f>O143</f>
        <v>0</v>
      </c>
      <c r="P158" s="1126" t="s">
        <v>364</v>
      </c>
      <c r="Q158" s="1123">
        <f>O158*C158/100</f>
        <v>0</v>
      </c>
      <c r="R158" s="1123"/>
      <c r="S158" s="1128">
        <f>S143</f>
        <v>0</v>
      </c>
      <c r="T158" s="1126" t="s">
        <v>364</v>
      </c>
      <c r="U158" s="1123">
        <f>S158*C158/100</f>
        <v>0</v>
      </c>
      <c r="W158" s="784"/>
      <c r="Z158" s="1125"/>
      <c r="AA158" s="1125"/>
      <c r="AF158" s="1119"/>
      <c r="AG158" s="1119"/>
      <c r="AH158" s="1119"/>
      <c r="AI158" s="1119"/>
      <c r="AJ158" s="1119"/>
      <c r="AK158" s="1119"/>
      <c r="AL158" s="1119"/>
      <c r="AM158" s="1119"/>
      <c r="AN158" s="1119"/>
      <c r="AO158" s="1119"/>
      <c r="AP158" s="1119"/>
      <c r="AR158" s="1124"/>
    </row>
    <row r="159" spans="1:44" s="1118" customFormat="1" hidden="1">
      <c r="A159" s="968" t="s">
        <v>859</v>
      </c>
      <c r="C159" s="1122">
        <f>C154</f>
        <v>275577</v>
      </c>
      <c r="D159" s="254"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>
        <f>O144</f>
        <v>0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>
      <c r="A160" s="1" t="s">
        <v>371</v>
      </c>
      <c r="B160" s="1"/>
      <c r="C160" s="21">
        <f>SUM(C153:C154)</f>
        <v>397063</v>
      </c>
      <c r="D160" s="953"/>
      <c r="E160" s="2"/>
      <c r="F160" s="2">
        <f>SUM(F152:F157)</f>
        <v>38916</v>
      </c>
      <c r="G160" s="2"/>
      <c r="H160" s="2"/>
      <c r="I160" s="2">
        <f ca="1">SUM(I152:I159)</f>
        <v>39604</v>
      </c>
      <c r="J160" s="2"/>
      <c r="K160" s="2"/>
      <c r="L160" s="2"/>
      <c r="M160" s="2" t="e">
        <f>SUM(M152:M159)</f>
        <v>#DIV/0!</v>
      </c>
      <c r="N160" s="2"/>
      <c r="O160" s="2"/>
      <c r="P160" s="2"/>
      <c r="Q160" s="2" t="e">
        <f>SUM(Q152:Q159)</f>
        <v>#DIV/0!</v>
      </c>
      <c r="R160" s="2"/>
      <c r="S160" s="2"/>
      <c r="T160" s="2"/>
      <c r="U160" s="2" t="e">
        <f ca="1">SUM(U152:U159)</f>
        <v>#DIV/0!</v>
      </c>
      <c r="V160" s="20"/>
      <c r="W160" s="74"/>
      <c r="X160" s="74"/>
      <c r="Y160" s="74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R160" s="84"/>
    </row>
    <row r="161" spans="1:51">
      <c r="A161" s="1" t="s">
        <v>353</v>
      </c>
      <c r="B161" s="1"/>
      <c r="C161" s="302">
        <f>'Table 2'!H16</f>
        <v>5143.445167760472</v>
      </c>
      <c r="D161" s="294"/>
      <c r="E161" s="294"/>
      <c r="F161" s="295">
        <f>'Table 3'!E16</f>
        <v>561.58818784280481</v>
      </c>
      <c r="G161" s="294"/>
      <c r="H161" s="294"/>
      <c r="I161" s="295">
        <f>F161</f>
        <v>561.58818784280481</v>
      </c>
      <c r="J161" s="51"/>
      <c r="K161" s="294"/>
      <c r="L161" s="294"/>
      <c r="M161" s="295" t="e">
        <f>I161/$I$99*$M$99</f>
        <v>#DIV/0!</v>
      </c>
      <c r="N161" s="51"/>
      <c r="O161" s="294"/>
      <c r="P161" s="294"/>
      <c r="Q161" s="295" t="e">
        <f>I161/$I$99*$Q$99</f>
        <v>#DIV/0!</v>
      </c>
      <c r="R161" s="51"/>
      <c r="S161" s="294"/>
      <c r="T161" s="294"/>
      <c r="U161" s="295" t="e">
        <f>I161/$I$99*$U$99</f>
        <v>#DIV/0!</v>
      </c>
      <c r="V161" s="429"/>
      <c r="W161" s="272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t="16.5" thickBot="1">
      <c r="A162" s="1" t="s">
        <v>372</v>
      </c>
      <c r="B162" s="1"/>
      <c r="C162" s="296">
        <f>C160+C161</f>
        <v>402206.44516776048</v>
      </c>
      <c r="D162" s="297"/>
      <c r="E162" s="297"/>
      <c r="F162" s="297">
        <f>F160+F161</f>
        <v>39477.588187842804</v>
      </c>
      <c r="G162" s="297"/>
      <c r="H162" s="297"/>
      <c r="I162" s="297">
        <f ca="1">I160+I161</f>
        <v>40165.588187842804</v>
      </c>
      <c r="J162" s="51"/>
      <c r="K162" s="297"/>
      <c r="L162" s="297"/>
      <c r="M162" s="297" t="e">
        <f>M160+M161</f>
        <v>#DIV/0!</v>
      </c>
      <c r="N162" s="297"/>
      <c r="O162" s="297"/>
      <c r="P162" s="297"/>
      <c r="Q162" s="297" t="e">
        <f>Q160+Q161</f>
        <v>#DIV/0!</v>
      </c>
      <c r="R162" s="297"/>
      <c r="S162" s="297"/>
      <c r="T162" s="297"/>
      <c r="U162" s="297" t="e">
        <f ca="1">U160+U161</f>
        <v>#DIV/0!</v>
      </c>
      <c r="V162" s="396"/>
      <c r="W162" s="455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thickTop="1">
      <c r="A163" s="1"/>
      <c r="B163" s="298"/>
      <c r="C163" s="21"/>
      <c r="D163" s="1" t="s">
        <v>31</v>
      </c>
      <c r="E163" s="1"/>
      <c r="G163" s="1" t="s">
        <v>31</v>
      </c>
      <c r="H163" s="1"/>
      <c r="I163" s="2" t="s">
        <v>31</v>
      </c>
      <c r="J163" s="2"/>
      <c r="K163" s="1" t="s">
        <v>31</v>
      </c>
      <c r="L163" s="1"/>
      <c r="M163" s="2" t="s">
        <v>31</v>
      </c>
      <c r="N163" s="2"/>
      <c r="O163" s="1" t="s">
        <v>31</v>
      </c>
      <c r="P163" s="1"/>
      <c r="Q163" s="2" t="s">
        <v>31</v>
      </c>
      <c r="R163" s="2"/>
      <c r="S163" s="1" t="s">
        <v>31</v>
      </c>
      <c r="T163" s="1"/>
      <c r="U163" s="2" t="s">
        <v>31</v>
      </c>
      <c r="V163" s="20"/>
      <c r="W163" s="74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>
      <c r="A164" s="278" t="s">
        <v>377</v>
      </c>
      <c r="B164" s="1"/>
      <c r="C164" s="1" t="s">
        <v>31</v>
      </c>
      <c r="D164" s="2"/>
      <c r="E164" s="1"/>
      <c r="F164" s="1"/>
      <c r="G164" s="2"/>
      <c r="H164" s="1"/>
      <c r="I164" s="1"/>
      <c r="J164" s="1"/>
      <c r="K164" s="2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>
      <c r="A165" s="1" t="s">
        <v>378</v>
      </c>
      <c r="B165" s="1"/>
      <c r="C165" s="1"/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/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 t="s">
        <v>379</v>
      </c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W167" s="74"/>
      <c r="X167" s="766" t="s">
        <v>625</v>
      </c>
      <c r="Y167" s="766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380</v>
      </c>
      <c r="B168" s="1"/>
      <c r="C168" s="21">
        <f>C491</f>
        <v>2</v>
      </c>
      <c r="D168" s="283">
        <v>115.19999999999999</v>
      </c>
      <c r="E168" s="1"/>
      <c r="F168" s="2">
        <f t="shared" ref="F168:F170" si="24">F456</f>
        <v>230</v>
      </c>
      <c r="G168" s="286">
        <f ca="1">G172*12</f>
        <v>117.12</v>
      </c>
      <c r="H168" s="1"/>
      <c r="I168" s="2">
        <f ca="1">I456</f>
        <v>234</v>
      </c>
      <c r="J168" s="2"/>
      <c r="K168" s="286">
        <f ca="1">K172*12</f>
        <v>117.12</v>
      </c>
      <c r="L168" s="1"/>
      <c r="M168" s="2">
        <f ca="1">I168</f>
        <v>234</v>
      </c>
      <c r="N168" s="2"/>
      <c r="O168" s="286" t="s">
        <v>31</v>
      </c>
      <c r="P168" s="1"/>
      <c r="Q168" s="2">
        <f>O168*C168</f>
        <v>0</v>
      </c>
      <c r="R168" s="2"/>
      <c r="S168" s="286" t="s">
        <v>31</v>
      </c>
      <c r="T168" s="1"/>
      <c r="U168" s="2">
        <f>S168*C168</f>
        <v>0</v>
      </c>
      <c r="X168" s="55">
        <f ca="1">(G168-D168)/D168</f>
        <v>1.6666666666666805E-2</v>
      </c>
      <c r="Y168" s="55"/>
      <c r="AB168" s="53"/>
      <c r="AD168" s="53"/>
      <c r="AF168" s="53"/>
      <c r="AG168" s="53"/>
      <c r="AR168" s="20"/>
      <c r="AS168" s="20"/>
      <c r="AT168" s="20"/>
      <c r="AU168" s="20"/>
      <c r="AV168" s="20"/>
      <c r="AW168" s="20"/>
      <c r="AY168" s="84"/>
    </row>
    <row r="169" spans="1:51">
      <c r="A169" s="1" t="s">
        <v>381</v>
      </c>
      <c r="B169" s="1"/>
      <c r="C169" s="21">
        <f>C457</f>
        <v>82.084931506849301</v>
      </c>
      <c r="D169" s="283">
        <v>171.60000000000002</v>
      </c>
      <c r="E169" s="1"/>
      <c r="F169" s="2">
        <f t="shared" si="24"/>
        <v>14086</v>
      </c>
      <c r="G169" s="286">
        <f ca="1">G173*12</f>
        <v>174.48</v>
      </c>
      <c r="H169" s="1"/>
      <c r="I169" s="2">
        <f ca="1">I457</f>
        <v>14322</v>
      </c>
      <c r="J169" s="2"/>
      <c r="K169" s="286">
        <f ca="1">K173*12</f>
        <v>174.48</v>
      </c>
      <c r="L169" s="1"/>
      <c r="M169" s="2">
        <f ca="1">I169</f>
        <v>14322</v>
      </c>
      <c r="N169" s="2"/>
      <c r="O169" s="286" t="s">
        <v>31</v>
      </c>
      <c r="P169" s="1"/>
      <c r="Q169" s="2">
        <f>O169*C169</f>
        <v>0</v>
      </c>
      <c r="R169" s="2"/>
      <c r="S169" s="286" t="s">
        <v>31</v>
      </c>
      <c r="T169" s="1"/>
      <c r="U169" s="2">
        <f>S169*C169</f>
        <v>0</v>
      </c>
      <c r="V169" s="84"/>
      <c r="X169" s="55">
        <f ca="1">(G169-D169)/D169</f>
        <v>1.6783216783216589E-2</v>
      </c>
      <c r="Y169" s="55"/>
      <c r="AA169" s="84"/>
      <c r="AB169" s="713"/>
      <c r="AC169" s="84"/>
      <c r="AD169" s="713"/>
      <c r="AE169" s="84"/>
      <c r="AF169" s="84"/>
      <c r="AG169" s="713"/>
      <c r="AH169" s="222"/>
      <c r="AI169" s="84"/>
      <c r="AJ169" s="84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382</v>
      </c>
      <c r="B170" s="1"/>
      <c r="C170" s="21">
        <f>C458</f>
        <v>2770.9452054794501</v>
      </c>
      <c r="D170" s="283">
        <v>12</v>
      </c>
      <c r="E170" s="1"/>
      <c r="F170" s="2">
        <f t="shared" si="24"/>
        <v>33251</v>
      </c>
      <c r="G170" s="286">
        <f ca="1">G174*12</f>
        <v>12.24</v>
      </c>
      <c r="H170" s="1"/>
      <c r="I170" s="2">
        <f ca="1">I458</f>
        <v>33916</v>
      </c>
      <c r="J170" s="2"/>
      <c r="K170" s="286">
        <f ca="1">K174*12</f>
        <v>12.24</v>
      </c>
      <c r="L170" s="1"/>
      <c r="M170" s="2">
        <f ca="1">I170</f>
        <v>33916</v>
      </c>
      <c r="N170" s="2"/>
      <c r="O170" s="286" t="s">
        <v>31</v>
      </c>
      <c r="P170" s="1"/>
      <c r="Q170" s="2">
        <f>O170*C170</f>
        <v>0</v>
      </c>
      <c r="R170" s="2"/>
      <c r="S170" s="286" t="s">
        <v>31</v>
      </c>
      <c r="T170" s="1"/>
      <c r="U170" s="2">
        <f>S170*C170</f>
        <v>0</v>
      </c>
      <c r="X170" s="55">
        <f ca="1">(G170-D170)/D170</f>
        <v>2.0000000000000018E-2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383</v>
      </c>
      <c r="B171" s="1"/>
      <c r="C171" s="304"/>
      <c r="D171" s="2"/>
      <c r="E171" s="1"/>
      <c r="F171" s="1"/>
      <c r="G171" s="2"/>
      <c r="H171" s="1"/>
      <c r="I171" s="1"/>
      <c r="J171" s="1"/>
      <c r="K171" s="2"/>
      <c r="L171" s="1"/>
      <c r="M171" s="1"/>
      <c r="N171" s="1"/>
      <c r="O171" s="2" t="s">
        <v>31</v>
      </c>
      <c r="P171" s="1"/>
      <c r="Q171" s="1"/>
      <c r="R171" s="1"/>
      <c r="S171" s="2"/>
      <c r="T171" s="1"/>
      <c r="U171" s="1"/>
      <c r="X171" s="305"/>
      <c r="Y171" s="30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380</v>
      </c>
      <c r="B172" s="1"/>
      <c r="C172" s="304">
        <f>C213+C350</f>
        <v>166474.82968162166</v>
      </c>
      <c r="D172" s="283">
        <v>9.6</v>
      </c>
      <c r="E172" s="308"/>
      <c r="F172" s="307">
        <f>F213+F350</f>
        <v>1598158</v>
      </c>
      <c r="G172" s="286">
        <f ca="1">ROUND(D172*(1+$X$204),2)</f>
        <v>9.76</v>
      </c>
      <c r="H172" s="308"/>
      <c r="I172" s="307">
        <f ca="1">I213+I350</f>
        <v>1624795</v>
      </c>
      <c r="J172" s="307"/>
      <c r="K172" s="286">
        <f ca="1">G172</f>
        <v>9.76</v>
      </c>
      <c r="L172" s="308"/>
      <c r="M172" s="307">
        <f ca="1">I172</f>
        <v>1624795</v>
      </c>
      <c r="N172" s="307"/>
      <c r="O172" s="286" t="s">
        <v>31</v>
      </c>
      <c r="P172" s="308"/>
      <c r="Q172" s="2">
        <f>O172*C172</f>
        <v>0</v>
      </c>
      <c r="R172" s="307"/>
      <c r="S172" s="286" t="str">
        <f>O172</f>
        <v xml:space="preserve"> </v>
      </c>
      <c r="T172" s="308"/>
      <c r="U172" s="2">
        <f>S172*C172</f>
        <v>0</v>
      </c>
      <c r="X172" s="55">
        <f ca="1">(G172-D172)/D172</f>
        <v>1.6666666666666684E-2</v>
      </c>
      <c r="Y172" s="5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381</v>
      </c>
      <c r="B173" s="1"/>
      <c r="C173" s="304">
        <f>C214+C351</f>
        <v>64148.300000000723</v>
      </c>
      <c r="D173" s="283">
        <v>14.3</v>
      </c>
      <c r="E173" s="310"/>
      <c r="F173" s="307">
        <f>F214+F351</f>
        <v>917321</v>
      </c>
      <c r="G173" s="286">
        <f ca="1">ROUND(D173*(1+$X$204),2)</f>
        <v>14.54</v>
      </c>
      <c r="H173" s="310"/>
      <c r="I173" s="307">
        <f ca="1">I214+I351</f>
        <v>932716</v>
      </c>
      <c r="J173" s="307"/>
      <c r="K173" s="286">
        <f ca="1">G173</f>
        <v>14.54</v>
      </c>
      <c r="L173" s="310"/>
      <c r="M173" s="307">
        <f ca="1">I173</f>
        <v>932716</v>
      </c>
      <c r="N173" s="307"/>
      <c r="O173" s="286" t="s">
        <v>31</v>
      </c>
      <c r="P173" s="310"/>
      <c r="Q173" s="2">
        <f>O173*C173</f>
        <v>0</v>
      </c>
      <c r="R173" s="307"/>
      <c r="S173" s="286" t="str">
        <f>O173</f>
        <v xml:space="preserve"> </v>
      </c>
      <c r="T173" s="310"/>
      <c r="U173" s="2">
        <f>S173*C173</f>
        <v>0</v>
      </c>
      <c r="X173" s="55">
        <f ca="1">(G173-D173)/D173</f>
        <v>1.6783216783216672E-2</v>
      </c>
      <c r="Y173" s="55"/>
      <c r="Z173" s="69"/>
      <c r="AA173" s="84"/>
      <c r="AB173" s="713"/>
      <c r="AC173" s="84"/>
      <c r="AD173" s="712"/>
      <c r="AE173" s="84"/>
      <c r="AF173" s="84"/>
      <c r="AG173" s="712"/>
      <c r="AI173" s="20"/>
      <c r="AJ173" s="20"/>
      <c r="AK173" s="20"/>
      <c r="AL173" s="20"/>
      <c r="AM173" s="20"/>
      <c r="AN173" s="20"/>
      <c r="AO173" s="20"/>
      <c r="AP173" s="20"/>
      <c r="AR173" s="84"/>
    </row>
    <row r="174" spans="1:51">
      <c r="A174" s="1" t="s">
        <v>382</v>
      </c>
      <c r="B174" s="1"/>
      <c r="C174" s="304">
        <f>C215+C352</f>
        <v>1035367</v>
      </c>
      <c r="D174" s="283">
        <v>1</v>
      </c>
      <c r="E174" s="310"/>
      <c r="F174" s="307">
        <f>F215+F352</f>
        <v>1035367</v>
      </c>
      <c r="G174" s="286">
        <f ca="1">ROUND(D174*(1+$X$204),2)</f>
        <v>1.02</v>
      </c>
      <c r="H174" s="310"/>
      <c r="I174" s="307">
        <f ca="1">I215+I352</f>
        <v>1056074</v>
      </c>
      <c r="J174" s="307"/>
      <c r="K174" s="286">
        <f ca="1">G174</f>
        <v>1.02</v>
      </c>
      <c r="L174" s="310"/>
      <c r="M174" s="307">
        <f ca="1">M215+M352</f>
        <v>1056074</v>
      </c>
      <c r="N174" s="307"/>
      <c r="O174" s="286" t="s">
        <v>31</v>
      </c>
      <c r="P174" s="310"/>
      <c r="Q174" s="2">
        <f>O174*C174</f>
        <v>0</v>
      </c>
      <c r="R174" s="307"/>
      <c r="S174" s="286" t="str">
        <f>O174</f>
        <v xml:space="preserve"> </v>
      </c>
      <c r="T174" s="310"/>
      <c r="U174" s="2">
        <f>S174*C174</f>
        <v>0</v>
      </c>
      <c r="X174" s="55">
        <f ca="1">(G174-D174)/D174</f>
        <v>2.0000000000000018E-2</v>
      </c>
      <c r="Y174" s="55"/>
      <c r="Z174" s="69"/>
      <c r="AC174" s="15"/>
      <c r="AD174" s="15"/>
      <c r="AE174" s="15"/>
      <c r="AF174" s="15"/>
      <c r="AG174" s="15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384</v>
      </c>
      <c r="B175" s="1"/>
      <c r="C175" s="304">
        <f>SUM(C172:C173)</f>
        <v>230623.12968162238</v>
      </c>
      <c r="D175" s="283"/>
      <c r="E175" s="308"/>
      <c r="F175" s="307"/>
      <c r="G175" s="286"/>
      <c r="H175" s="308"/>
      <c r="I175" s="307"/>
      <c r="J175" s="307"/>
      <c r="K175" s="286"/>
      <c r="L175" s="308"/>
      <c r="M175" s="307"/>
      <c r="N175" s="307"/>
      <c r="O175" s="286"/>
      <c r="P175" s="308"/>
      <c r="Q175" s="307"/>
      <c r="R175" s="307"/>
      <c r="S175" s="286"/>
      <c r="T175" s="308"/>
      <c r="U175" s="307"/>
      <c r="X175" s="305"/>
      <c r="Y175" s="305"/>
      <c r="Z175" s="69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352</v>
      </c>
      <c r="B176" s="1"/>
      <c r="C176" s="304">
        <f t="shared" ref="C176:C181" si="25">C216+C354+C460</f>
        <v>228552.50150792321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385</v>
      </c>
      <c r="B177" s="1"/>
      <c r="C177" s="304">
        <f t="shared" si="25"/>
        <v>844065.53671882139</v>
      </c>
      <c r="D177" s="283">
        <v>3.64</v>
      </c>
      <c r="E177" s="308"/>
      <c r="F177" s="307">
        <f>F217+F355+F461</f>
        <v>3072399</v>
      </c>
      <c r="G177" s="286">
        <f ca="1">ROUND(D177*(1+$X$204),2)</f>
        <v>3.7</v>
      </c>
      <c r="H177" s="308"/>
      <c r="I177" s="307">
        <f t="shared" ref="I177:I182" ca="1" si="26">I217+I355+I461</f>
        <v>3123042</v>
      </c>
      <c r="J177" s="307"/>
      <c r="K177" s="286" t="e">
        <f ca="1">ROUND(M177/$C$177,2)</f>
        <v>#REF!</v>
      </c>
      <c r="L177" s="1" t="s">
        <v>31</v>
      </c>
      <c r="M177" s="307" t="e">
        <f ca="1">($V$207-$M$168-$M$169-$M$170-$M$172-$M$173-$M$174-$M$189-$M$190-$M$191-$M$192-$M$193-$M$194-$M$195-$M$198-$M$203)*I177/($I$177+$I$178+$I$179+$I$180)</f>
        <v>#REF!</v>
      </c>
      <c r="N177" s="1" t="s">
        <v>31</v>
      </c>
      <c r="O177" s="286" t="e">
        <f ca="1">ROUND(Q177/$C$177,2)</f>
        <v>#DIV/0!</v>
      </c>
      <c r="P177" s="1" t="s">
        <v>31</v>
      </c>
      <c r="Q177" s="307" t="e">
        <f ca="1">($W$207-$Q$168-$Q$169-$Q$170-$Q$172-$Q$173-$Q$174-$Q$181-$Q$192-$Q$193-$Q$194-$Q$195-$Q$196-$Q$197-$Q$203)*I177/($I$177+$I$178+$I$179+$I$180)</f>
        <v>#DIV/0!</v>
      </c>
      <c r="R177" s="2"/>
      <c r="S177" s="286" t="e">
        <f ca="1">ROUND(U177/$C$177,2)</f>
        <v>#DIV/0!</v>
      </c>
      <c r="T177" s="1" t="s">
        <v>31</v>
      </c>
      <c r="U177" s="307" t="e">
        <f ca="1">($X$207-$U$168-$U$169-$U$170-$U$172-$U$173-$U$174-$U$181-$U$182-$U$183-$U$184-$U$192-$U$193-$U$194-$U$195-$U$196-$U$197-$U$199-$U$200-$U$201-$U$203)*I177/($I$177+$I$178+$I$179+$I$180)</f>
        <v>#DIV/0!</v>
      </c>
      <c r="X177" s="55">
        <f ca="1">(G177-D177)/D177</f>
        <v>1.6483516483516498E-2</v>
      </c>
      <c r="Y177" s="5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387</v>
      </c>
      <c r="B178" s="1"/>
      <c r="C178" s="304">
        <f t="shared" si="25"/>
        <v>130952667.91217485</v>
      </c>
      <c r="D178" s="284">
        <v>10.449</v>
      </c>
      <c r="E178" s="308" t="s">
        <v>364</v>
      </c>
      <c r="F178" s="307">
        <f>F218+F356+F462</f>
        <v>13683244</v>
      </c>
      <c r="G178" s="771">
        <f ca="1">ROUND((D178)*(1+$X$204),3)+0.002</f>
        <v>10.628</v>
      </c>
      <c r="H178" s="308" t="s">
        <v>364</v>
      </c>
      <c r="I178" s="307">
        <f t="shared" ca="1" si="26"/>
        <v>13917649</v>
      </c>
      <c r="J178" s="307"/>
      <c r="K178" s="284" t="e">
        <f ca="1">M178/$C$178*100</f>
        <v>#REF!</v>
      </c>
      <c r="L178" s="1126" t="s">
        <v>364</v>
      </c>
      <c r="M178" s="307" t="e">
        <f ca="1">($V$207-$M$168-$M$169-$M$170-$M$172-$M$173-$M$174-$M$189-$M$190-$M$191-$M$192-$M$193-$M$194-$M$195-$M$198-$M$203)*I178/($I$177+$I$178+$I$179+$I$180)</f>
        <v>#REF!</v>
      </c>
      <c r="N178" s="307"/>
      <c r="O178" s="284" t="e">
        <f ca="1">Q178/$C$178*100+0.001</f>
        <v>#DIV/0!</v>
      </c>
      <c r="P178" s="308" t="s">
        <v>364</v>
      </c>
      <c r="Q178" s="307" t="e">
        <f t="shared" ref="Q178:Q180" ca="1" si="27">($W$207-$Q$168-$Q$169-$Q$170-$Q$172-$Q$173-$Q$174-$Q$181-$Q$192-$Q$193-$Q$194-$Q$195-$Q$196-$Q$197-$Q$203)*I178/($I$177+$I$178+$I$179+$I$180)</f>
        <v>#DIV/0!</v>
      </c>
      <c r="R178" s="307"/>
      <c r="S178" s="284" t="e">
        <f ca="1">U178/$C$178*100+0.001</f>
        <v>#DIV/0!</v>
      </c>
      <c r="T178" s="308" t="s">
        <v>364</v>
      </c>
      <c r="U178" s="307" t="e">
        <f t="shared" ref="U178:U180" ca="1" si="28">($X$207-$U$168-$U$169-$U$170-$U$172-$U$173-$U$174-$U$181-$U$182-$U$183-$U$184-$U$192-$U$193-$U$194-$U$195-$U$196-$U$197-$U$199-$U$200-$U$201-$U$203)*I178/($I$177+$I$178+$I$179+$I$180)</f>
        <v>#DIV/0!</v>
      </c>
      <c r="X178" s="55">
        <f ca="1">((G178+G182)-D178)/D178</f>
        <v>1.7130825916355657E-2</v>
      </c>
      <c r="Y178" s="55"/>
      <c r="Z178" s="69"/>
      <c r="AA178" s="221"/>
      <c r="AB178" s="221"/>
      <c r="AC178" s="221"/>
      <c r="AD178" s="221"/>
      <c r="AE178" s="221"/>
      <c r="AF178" s="221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388</v>
      </c>
      <c r="B179" s="1"/>
      <c r="C179" s="304">
        <f t="shared" si="25"/>
        <v>281502228.69846565</v>
      </c>
      <c r="D179" s="284">
        <v>7.218</v>
      </c>
      <c r="E179" s="308" t="s">
        <v>364</v>
      </c>
      <c r="F179" s="307">
        <f>F219+F357+F463</f>
        <v>20318831</v>
      </c>
      <c r="G179" s="771">
        <f ca="1">ROUND((D179)*(1+$X$204),3)+0.001</f>
        <v>7.3410000000000002</v>
      </c>
      <c r="H179" s="308" t="s">
        <v>364</v>
      </c>
      <c r="I179" s="307">
        <f t="shared" ca="1" si="26"/>
        <v>20665077</v>
      </c>
      <c r="J179" s="307"/>
      <c r="K179" s="284" t="e">
        <f ca="1">M179/$C$179*100</f>
        <v>#REF!</v>
      </c>
      <c r="L179" s="1126" t="s">
        <v>364</v>
      </c>
      <c r="M179" s="307" t="e">
        <f t="shared" ref="M179" ca="1" si="29">($V$207-$M$168-$M$169-$M$170-$M$172-$M$173-$M$174-$M$189-$M$190-$M$191-$M$192-$M$193-$M$194-$M$195-$M$198-$M$203)*I179/($I$177+$I$178+$I$179+$I$180)</f>
        <v>#REF!</v>
      </c>
      <c r="N179" s="307"/>
      <c r="O179" s="284" t="e">
        <f ca="1">Q179/$C$179*100+0.001</f>
        <v>#DIV/0!</v>
      </c>
      <c r="P179" s="308" t="s">
        <v>364</v>
      </c>
      <c r="Q179" s="307" t="e">
        <f t="shared" ca="1" si="27"/>
        <v>#DIV/0!</v>
      </c>
      <c r="R179" s="307"/>
      <c r="S179" s="284" t="e">
        <f ca="1">U179/$C$179*100</f>
        <v>#DIV/0!</v>
      </c>
      <c r="T179" s="308" t="s">
        <v>364</v>
      </c>
      <c r="U179" s="307" t="e">
        <f t="shared" ca="1" si="28"/>
        <v>#DIV/0!</v>
      </c>
      <c r="V179" s="314"/>
      <c r="X179" s="55">
        <f ca="1">((G179+G183)-D179)/D179</f>
        <v>1.7040731504571933E-2</v>
      </c>
      <c r="Y179" s="55"/>
      <c r="Z179" s="69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389</v>
      </c>
      <c r="B180" s="1"/>
      <c r="C180" s="304">
        <f t="shared" si="25"/>
        <v>119991272.36558694</v>
      </c>
      <c r="D180" s="284">
        <v>6.218</v>
      </c>
      <c r="E180" s="308" t="s">
        <v>364</v>
      </c>
      <c r="F180" s="307">
        <f>F220+F358+F464</f>
        <v>7461057</v>
      </c>
      <c r="G180" s="771">
        <f ca="1">ROUND((D180)*(1+$X$204),3)+0.001</f>
        <v>6.3240000000000007</v>
      </c>
      <c r="H180" s="308" t="s">
        <v>364</v>
      </c>
      <c r="I180" s="307">
        <f t="shared" ca="1" si="26"/>
        <v>7588248</v>
      </c>
      <c r="J180" s="307"/>
      <c r="K180" s="284" t="e">
        <f ca="1">M180/$C$180*100</f>
        <v>#REF!</v>
      </c>
      <c r="L180" s="1126" t="s">
        <v>364</v>
      </c>
      <c r="M180" s="307" t="e">
        <f ca="1">($V$207-$M$168-$M$169-$M$170-$M$172-$M$173-$M$174-$M$189-$M$190-$M$191-$M$192-$M$193-$M$194-$M$195-$M$198-$M$203)*I180/($I$177+$I$178+$I$179+$I$180)</f>
        <v>#REF!</v>
      </c>
      <c r="N180" s="307"/>
      <c r="O180" s="284" t="e">
        <f ca="1">Q180/$C$180*100</f>
        <v>#DIV/0!</v>
      </c>
      <c r="P180" s="308" t="s">
        <v>364</v>
      </c>
      <c r="Q180" s="307" t="e">
        <f t="shared" ca="1" si="27"/>
        <v>#DIV/0!</v>
      </c>
      <c r="R180" s="307"/>
      <c r="S180" s="284" t="e">
        <f ca="1">U180/$C$180*100+0.001</f>
        <v>#DIV/0!</v>
      </c>
      <c r="T180" s="308" t="s">
        <v>364</v>
      </c>
      <c r="U180" s="307" t="e">
        <f t="shared" ca="1" si="28"/>
        <v>#DIV/0!</v>
      </c>
      <c r="V180" s="285"/>
      <c r="X180" s="55">
        <f ca="1">((G180+G184)-D180)/D180</f>
        <v>1.7047282084271594E-2</v>
      </c>
      <c r="Y180" s="55"/>
      <c r="Z180" s="69"/>
      <c r="AA180" s="84"/>
      <c r="AB180" s="84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390</v>
      </c>
      <c r="B181" s="1"/>
      <c r="C181" s="304">
        <f t="shared" si="25"/>
        <v>122445.59285714269</v>
      </c>
      <c r="D181" s="315">
        <v>56</v>
      </c>
      <c r="E181" s="308" t="s">
        <v>364</v>
      </c>
      <c r="F181" s="307">
        <f>F221+F359+F465</f>
        <v>68569</v>
      </c>
      <c r="G181" s="315">
        <f ca="1">ROUND(D181*(1+$X$204),0)</f>
        <v>57</v>
      </c>
      <c r="H181" s="308" t="s">
        <v>364</v>
      </c>
      <c r="I181" s="307">
        <f t="shared" ca="1" si="26"/>
        <v>69794</v>
      </c>
      <c r="J181" s="307"/>
      <c r="K181" s="772" t="s">
        <v>31</v>
      </c>
      <c r="L181" s="308"/>
      <c r="M181" s="999">
        <f>K181*C181</f>
        <v>0</v>
      </c>
      <c r="N181" s="307"/>
      <c r="O181" s="315" t="e">
        <f>ROUND(Q181/$C$181,2)*100</f>
        <v>#DIV/0!</v>
      </c>
      <c r="P181" s="308" t="s">
        <v>364</v>
      </c>
      <c r="Q181" s="307" t="e">
        <f>F181*(W207/(W207+X207))</f>
        <v>#DIV/0!</v>
      </c>
      <c r="R181" s="307"/>
      <c r="S181" s="315" t="e">
        <f>ROUND(U181/$C$181,2)*100</f>
        <v>#DIV/0!</v>
      </c>
      <c r="T181" s="308" t="s">
        <v>364</v>
      </c>
      <c r="U181" s="307" t="e">
        <f>F181*(X207/(W207+X207))</f>
        <v>#DIV/0!</v>
      </c>
      <c r="X181" s="55">
        <f ca="1">(G181-D181)/D181</f>
        <v>1.7857142857142856E-2</v>
      </c>
      <c r="Y181" s="55"/>
      <c r="Z181" s="69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 s="1118" customFormat="1" hidden="1">
      <c r="A182" s="968" t="s">
        <v>888</v>
      </c>
      <c r="C182" s="987">
        <f>C178</f>
        <v>130952667.91217485</v>
      </c>
      <c r="D182" s="254">
        <v>0</v>
      </c>
      <c r="E182" s="1119"/>
      <c r="F182" s="1123"/>
      <c r="G182" s="1128">
        <v>0</v>
      </c>
      <c r="H182" s="972" t="s">
        <v>364</v>
      </c>
      <c r="I182" s="999">
        <f t="shared" si="26"/>
        <v>0</v>
      </c>
      <c r="J182" s="999"/>
      <c r="K182" s="1128" t="s">
        <v>31</v>
      </c>
      <c r="L182" s="972"/>
      <c r="M182" s="999">
        <f>K182*C182</f>
        <v>0</v>
      </c>
      <c r="N182" s="999"/>
      <c r="O182" s="1128" t="s">
        <v>31</v>
      </c>
      <c r="P182" s="972" t="s">
        <v>31</v>
      </c>
      <c r="Q182" s="999">
        <f>O182*C182</f>
        <v>0</v>
      </c>
      <c r="R182" s="999"/>
      <c r="S182" s="1128">
        <f>G182</f>
        <v>0</v>
      </c>
      <c r="T182" s="972" t="s">
        <v>364</v>
      </c>
      <c r="U182" s="999">
        <f>I182</f>
        <v>0</v>
      </c>
      <c r="V182" s="1124"/>
      <c r="W182" s="784"/>
      <c r="Z182" s="1125"/>
      <c r="AA182" s="1125"/>
      <c r="AF182" s="1119"/>
      <c r="AG182" s="1119"/>
      <c r="AH182" s="1119"/>
      <c r="AI182" s="1119"/>
      <c r="AJ182" s="1119"/>
      <c r="AK182" s="1119"/>
      <c r="AL182" s="1119"/>
      <c r="AM182" s="1119"/>
      <c r="AN182" s="1119"/>
      <c r="AO182" s="1119"/>
      <c r="AP182" s="1119"/>
      <c r="AR182" s="1124"/>
    </row>
    <row r="183" spans="1:44" s="1118" customFormat="1" hidden="1">
      <c r="A183" s="968" t="s">
        <v>889</v>
      </c>
      <c r="C183" s="987">
        <f t="shared" ref="C183:C184" si="30">C179</f>
        <v>281502228.69846565</v>
      </c>
      <c r="D183" s="254">
        <v>0</v>
      </c>
      <c r="E183" s="1119"/>
      <c r="F183" s="1123"/>
      <c r="G183" s="1128">
        <v>0</v>
      </c>
      <c r="H183" s="972" t="s">
        <v>364</v>
      </c>
      <c r="I183" s="999">
        <f t="shared" ref="I183:I184" si="31">I223+I361+I467</f>
        <v>0</v>
      </c>
      <c r="J183" s="999"/>
      <c r="K183" s="1128" t="s">
        <v>31</v>
      </c>
      <c r="L183" s="972"/>
      <c r="M183" s="999">
        <f>K183*C183</f>
        <v>0</v>
      </c>
      <c r="N183" s="999"/>
      <c r="O183" s="1128" t="s">
        <v>31</v>
      </c>
      <c r="P183" s="972" t="s">
        <v>31</v>
      </c>
      <c r="Q183" s="999">
        <f>O183*C183</f>
        <v>0</v>
      </c>
      <c r="R183" s="999"/>
      <c r="S183" s="1128">
        <f>G183</f>
        <v>0</v>
      </c>
      <c r="T183" s="972" t="s">
        <v>364</v>
      </c>
      <c r="U183" s="999">
        <f>I183</f>
        <v>0</v>
      </c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890</v>
      </c>
      <c r="C184" s="987">
        <f t="shared" si="30"/>
        <v>119991272.36558694</v>
      </c>
      <c r="D184" s="254">
        <v>0</v>
      </c>
      <c r="E184" s="1119"/>
      <c r="F184" s="1123"/>
      <c r="G184" s="1128">
        <v>0</v>
      </c>
      <c r="H184" s="972" t="s">
        <v>364</v>
      </c>
      <c r="I184" s="999">
        <f t="shared" ca="1" si="31"/>
        <v>8572</v>
      </c>
      <c r="J184" s="999"/>
      <c r="K184" s="1128" t="s">
        <v>31</v>
      </c>
      <c r="L184" s="972"/>
      <c r="M184" s="999">
        <f>K184*C184</f>
        <v>0</v>
      </c>
      <c r="N184" s="999"/>
      <c r="O184" s="1128" t="s">
        <v>31</v>
      </c>
      <c r="P184" s="972" t="s">
        <v>31</v>
      </c>
      <c r="Q184" s="999">
        <f>O184*C184</f>
        <v>0</v>
      </c>
      <c r="R184" s="999"/>
      <c r="S184" s="1128">
        <f>G184</f>
        <v>0</v>
      </c>
      <c r="T184" s="972" t="s">
        <v>364</v>
      </c>
      <c r="U184" s="999">
        <f ca="1">I184</f>
        <v>8572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1255" t="s">
        <v>865</v>
      </c>
      <c r="B185" s="1256"/>
      <c r="C185" s="1262"/>
      <c r="D185" s="1260">
        <v>10.449</v>
      </c>
      <c r="E185" s="1263" t="s">
        <v>364</v>
      </c>
      <c r="F185" s="1259"/>
      <c r="G185" s="1260">
        <f ca="1">G178+G182</f>
        <v>10.628</v>
      </c>
      <c r="H185" s="1263" t="s">
        <v>364</v>
      </c>
      <c r="I185" s="1264"/>
      <c r="J185" s="1264"/>
      <c r="K185" s="1260" t="e">
        <f ca="1">K178+K182</f>
        <v>#REF!</v>
      </c>
      <c r="L185" s="1263" t="s">
        <v>364</v>
      </c>
      <c r="M185" s="1264"/>
      <c r="N185" s="1264"/>
      <c r="O185" s="1260" t="e">
        <f ca="1">O178+O182</f>
        <v>#DIV/0!</v>
      </c>
      <c r="P185" s="1263" t="s">
        <v>364</v>
      </c>
      <c r="Q185" s="1264"/>
      <c r="R185" s="1264"/>
      <c r="S185" s="1260" t="e">
        <f ca="1">S178+S182</f>
        <v>#DIV/0!</v>
      </c>
      <c r="T185" s="1263" t="s">
        <v>364</v>
      </c>
      <c r="U185" s="1264"/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866</v>
      </c>
      <c r="B186" s="1256"/>
      <c r="C186" s="1262"/>
      <c r="D186" s="1260">
        <v>7.218</v>
      </c>
      <c r="E186" s="1263" t="s">
        <v>364</v>
      </c>
      <c r="F186" s="1259"/>
      <c r="G186" s="1260">
        <f t="shared" ref="G186:G187" ca="1" si="32">G179+G183</f>
        <v>7.3410000000000002</v>
      </c>
      <c r="H186" s="1263" t="s">
        <v>364</v>
      </c>
      <c r="I186" s="1264"/>
      <c r="J186" s="1264"/>
      <c r="K186" s="1260" t="e">
        <f t="shared" ref="K186:K187" ca="1" si="33">K179+K183</f>
        <v>#REF!</v>
      </c>
      <c r="L186" s="1263" t="s">
        <v>364</v>
      </c>
      <c r="M186" s="1264"/>
      <c r="N186" s="1264"/>
      <c r="O186" s="1260" t="e">
        <f t="shared" ref="O186:O187" ca="1" si="34">O179+O183</f>
        <v>#DIV/0!</v>
      </c>
      <c r="P186" s="1263" t="s">
        <v>364</v>
      </c>
      <c r="Q186" s="1264"/>
      <c r="R186" s="1264"/>
      <c r="S186" s="1260" t="e">
        <f t="shared" ref="S186:S187" ca="1" si="35">S179+S183</f>
        <v>#DIV/0!</v>
      </c>
      <c r="T186" s="1263" t="s">
        <v>364</v>
      </c>
      <c r="U186" s="1264"/>
      <c r="W186" s="784" t="s">
        <v>31</v>
      </c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867</v>
      </c>
      <c r="B187" s="1256"/>
      <c r="C187" s="1262"/>
      <c r="D187" s="1260">
        <v>6.218</v>
      </c>
      <c r="E187" s="1263" t="s">
        <v>364</v>
      </c>
      <c r="F187" s="1259"/>
      <c r="G187" s="1260">
        <f t="shared" ca="1" si="32"/>
        <v>6.3240000000000007</v>
      </c>
      <c r="H187" s="1263" t="s">
        <v>364</v>
      </c>
      <c r="I187" s="1264"/>
      <c r="J187" s="1264"/>
      <c r="K187" s="1260" t="e">
        <f t="shared" ca="1" si="33"/>
        <v>#REF!</v>
      </c>
      <c r="L187" s="1263" t="s">
        <v>364</v>
      </c>
      <c r="M187" s="1264"/>
      <c r="N187" s="1264"/>
      <c r="O187" s="1260" t="e">
        <f t="shared" ca="1" si="34"/>
        <v>#DIV/0!</v>
      </c>
      <c r="P187" s="1263" t="s">
        <v>364</v>
      </c>
      <c r="Q187" s="1264"/>
      <c r="R187" s="1264"/>
      <c r="S187" s="1260" t="e">
        <f t="shared" ca="1" si="35"/>
        <v>#DIV/0!</v>
      </c>
      <c r="T187" s="1263" t="s">
        <v>364</v>
      </c>
      <c r="U187" s="1264"/>
      <c r="W187" s="784"/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>
      <c r="A188" s="316" t="s">
        <v>391</v>
      </c>
      <c r="B188" s="1"/>
      <c r="C188" s="304"/>
      <c r="D188" s="317">
        <v>-0.01</v>
      </c>
      <c r="E188" s="308"/>
      <c r="F188" s="307"/>
      <c r="G188" s="317">
        <v>-0.01</v>
      </c>
      <c r="H188" s="308"/>
      <c r="I188" s="307"/>
      <c r="J188" s="307"/>
      <c r="K188" s="317">
        <v>-0.01</v>
      </c>
      <c r="L188" s="308"/>
      <c r="M188" s="307"/>
      <c r="N188" s="307"/>
      <c r="O188" s="317">
        <v>-0.01</v>
      </c>
      <c r="P188" s="308"/>
      <c r="Q188" s="307"/>
      <c r="R188" s="307"/>
      <c r="S188" s="317">
        <v>-0.01</v>
      </c>
      <c r="T188" s="308"/>
      <c r="U188" s="307"/>
      <c r="W188" s="318"/>
      <c r="AI188" s="20"/>
      <c r="AJ188" s="20"/>
      <c r="AK188" s="20"/>
      <c r="AL188" s="20"/>
      <c r="AM188" s="20"/>
      <c r="AN188" s="20"/>
      <c r="AO188" s="20"/>
      <c r="AP188" s="20"/>
      <c r="AR188" s="84"/>
    </row>
    <row r="189" spans="1:44">
      <c r="A189" s="1" t="s">
        <v>380</v>
      </c>
      <c r="B189" s="1"/>
      <c r="C189" s="304">
        <f t="shared" ref="C189:C198" si="36">C226+C364+C470</f>
        <v>74.633333333333297</v>
      </c>
      <c r="D189" s="319">
        <v>9.6</v>
      </c>
      <c r="E189" s="306"/>
      <c r="F189" s="307">
        <f t="shared" ref="F189:F198" si="37">F226+F364+F470</f>
        <v>-7</v>
      </c>
      <c r="G189" s="319">
        <f ca="1">G172</f>
        <v>9.76</v>
      </c>
      <c r="H189" s="306"/>
      <c r="I189" s="307">
        <f t="shared" ref="I189:I198" ca="1" si="38">I226+I364+I470</f>
        <v>-7</v>
      </c>
      <c r="J189" s="307"/>
      <c r="K189" s="319">
        <f ca="1">K172</f>
        <v>9.76</v>
      </c>
      <c r="L189" s="306"/>
      <c r="M189" s="307">
        <f ca="1">K189*C189*K188</f>
        <v>-7.2842133333333301</v>
      </c>
      <c r="N189" s="307"/>
      <c r="O189" s="319" t="str">
        <f>O172</f>
        <v xml:space="preserve"> </v>
      </c>
      <c r="P189" s="306"/>
      <c r="Q189" s="307">
        <f>O189*C189*O188</f>
        <v>0</v>
      </c>
      <c r="R189" s="307"/>
      <c r="S189" s="319" t="str">
        <f>S172</f>
        <v xml:space="preserve"> </v>
      </c>
      <c r="T189" s="306"/>
      <c r="U189" s="307">
        <f>S189*C189*S188</f>
        <v>0</v>
      </c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381</v>
      </c>
      <c r="B190" s="1"/>
      <c r="C190" s="304">
        <f t="shared" si="36"/>
        <v>79.799999999999983</v>
      </c>
      <c r="D190" s="319">
        <v>14.3</v>
      </c>
      <c r="E190" s="306"/>
      <c r="F190" s="307">
        <f t="shared" si="37"/>
        <v>-11</v>
      </c>
      <c r="G190" s="319">
        <f ca="1">G173</f>
        <v>14.54</v>
      </c>
      <c r="H190" s="306"/>
      <c r="I190" s="307">
        <f t="shared" ca="1" si="38"/>
        <v>-11</v>
      </c>
      <c r="J190" s="307"/>
      <c r="K190" s="319">
        <f ca="1">K173</f>
        <v>14.54</v>
      </c>
      <c r="L190" s="306"/>
      <c r="M190" s="307">
        <f ca="1">K190*C190*K188</f>
        <v>-11.602919999999997</v>
      </c>
      <c r="N190" s="307"/>
      <c r="O190" s="319" t="str">
        <f>O173</f>
        <v xml:space="preserve"> </v>
      </c>
      <c r="P190" s="306"/>
      <c r="Q190" s="307">
        <f>O190*C190*O188</f>
        <v>0</v>
      </c>
      <c r="R190" s="307"/>
      <c r="S190" s="319" t="str">
        <f>S173</f>
        <v xml:space="preserve"> </v>
      </c>
      <c r="T190" s="306"/>
      <c r="U190" s="307">
        <f>S190*C190*S188</f>
        <v>0</v>
      </c>
      <c r="W190" s="88" t="s">
        <v>31</v>
      </c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392</v>
      </c>
      <c r="B191" s="1"/>
      <c r="C191" s="304">
        <f t="shared" si="36"/>
        <v>2161</v>
      </c>
      <c r="D191" s="319">
        <v>1</v>
      </c>
      <c r="E191" s="306"/>
      <c r="F191" s="307">
        <f t="shared" si="37"/>
        <v>-21</v>
      </c>
      <c r="G191" s="319">
        <f ca="1">G174</f>
        <v>1.02</v>
      </c>
      <c r="H191" s="306"/>
      <c r="I191" s="307">
        <f t="shared" ca="1" si="38"/>
        <v>-23</v>
      </c>
      <c r="J191" s="307"/>
      <c r="K191" s="319">
        <f ca="1">K174</f>
        <v>1.02</v>
      </c>
      <c r="L191" s="306"/>
      <c r="M191" s="307">
        <f ca="1">K191*C191*K188</f>
        <v>-22.042200000000005</v>
      </c>
      <c r="N191" s="307"/>
      <c r="O191" s="319" t="str">
        <f>O174</f>
        <v xml:space="preserve"> </v>
      </c>
      <c r="P191" s="306"/>
      <c r="Q191" s="307">
        <f>O191*C191*O188</f>
        <v>0</v>
      </c>
      <c r="R191" s="307"/>
      <c r="S191" s="319" t="str">
        <f>S174</f>
        <v xml:space="preserve"> </v>
      </c>
      <c r="T191" s="306"/>
      <c r="U191" s="307">
        <f>S191*C191*S188</f>
        <v>0</v>
      </c>
      <c r="X191" s="88" t="s">
        <v>31</v>
      </c>
      <c r="Z191" s="4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393</v>
      </c>
      <c r="B192" s="1"/>
      <c r="C192" s="304">
        <f t="shared" si="36"/>
        <v>1487</v>
      </c>
      <c r="D192" s="319">
        <v>3.64</v>
      </c>
      <c r="E192" s="308"/>
      <c r="F192" s="307">
        <f t="shared" si="37"/>
        <v>-54</v>
      </c>
      <c r="G192" s="319">
        <f ca="1">G177</f>
        <v>3.7</v>
      </c>
      <c r="H192" s="308"/>
      <c r="I192" s="307">
        <f t="shared" ca="1" si="38"/>
        <v>-55</v>
      </c>
      <c r="J192" s="307"/>
      <c r="K192" s="319" t="e">
        <f ca="1">K177</f>
        <v>#REF!</v>
      </c>
      <c r="L192" s="308"/>
      <c r="M192" s="307" t="e">
        <f ca="1">K192*C192*K188</f>
        <v>#REF!</v>
      </c>
      <c r="N192" s="307"/>
      <c r="O192" s="319" t="e">
        <f ca="1">O177</f>
        <v>#DIV/0!</v>
      </c>
      <c r="P192" s="308"/>
      <c r="Q192" s="307" t="e">
        <f ca="1">O192*C192*O188</f>
        <v>#DIV/0!</v>
      </c>
      <c r="R192" s="307"/>
      <c r="S192" s="319" t="e">
        <f ca="1">S177</f>
        <v>#DIV/0!</v>
      </c>
      <c r="T192" s="308"/>
      <c r="U192" s="307" t="e">
        <f ca="1">S192*C192*S188</f>
        <v>#DIV/0!</v>
      </c>
      <c r="Y192" s="88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395</v>
      </c>
      <c r="B193" s="1"/>
      <c r="C193" s="304">
        <f t="shared" si="36"/>
        <v>116452.33333333327</v>
      </c>
      <c r="D193" s="320">
        <v>10.449</v>
      </c>
      <c r="E193" s="308" t="s">
        <v>364</v>
      </c>
      <c r="F193" s="307">
        <f t="shared" si="37"/>
        <v>-121</v>
      </c>
      <c r="G193" s="320">
        <f ca="1">G178</f>
        <v>10.628</v>
      </c>
      <c r="H193" s="308" t="s">
        <v>364</v>
      </c>
      <c r="I193" s="307">
        <f t="shared" ca="1" si="38"/>
        <v>-123</v>
      </c>
      <c r="J193" s="307"/>
      <c r="K193" s="320" t="e">
        <f ca="1">K178</f>
        <v>#REF!</v>
      </c>
      <c r="L193" s="308"/>
      <c r="M193" s="999" t="e">
        <f ca="1">K193*C193/100*K188</f>
        <v>#REF!</v>
      </c>
      <c r="N193" s="307"/>
      <c r="O193" s="320" t="e">
        <f ca="1">O178</f>
        <v>#DIV/0!</v>
      </c>
      <c r="P193" s="308" t="s">
        <v>364</v>
      </c>
      <c r="Q193" s="999" t="e">
        <f ca="1">O193*C193/100*O188</f>
        <v>#DIV/0!</v>
      </c>
      <c r="R193" s="307"/>
      <c r="S193" s="320" t="e">
        <f ca="1">S178</f>
        <v>#DIV/0!</v>
      </c>
      <c r="T193" s="308" t="s">
        <v>364</v>
      </c>
      <c r="U193" s="999" t="e">
        <f ca="1">S193*C193/100*S188</f>
        <v>#DIV/0!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388</v>
      </c>
      <c r="B194" s="1"/>
      <c r="C194" s="304">
        <f t="shared" si="36"/>
        <v>524872.66666666698</v>
      </c>
      <c r="D194" s="320">
        <v>7.218</v>
      </c>
      <c r="E194" s="308" t="s">
        <v>364</v>
      </c>
      <c r="F194" s="307">
        <f t="shared" si="37"/>
        <v>-378</v>
      </c>
      <c r="G194" s="320">
        <f ca="1">G179</f>
        <v>7.3410000000000002</v>
      </c>
      <c r="H194" s="308" t="s">
        <v>364</v>
      </c>
      <c r="I194" s="307">
        <f t="shared" ca="1" si="38"/>
        <v>-385</v>
      </c>
      <c r="J194" s="307"/>
      <c r="K194" s="320" t="e">
        <f ca="1">K179</f>
        <v>#REF!</v>
      </c>
      <c r="L194" s="308"/>
      <c r="M194" s="999" t="e">
        <f ca="1">K194*C194/100*K188</f>
        <v>#REF!</v>
      </c>
      <c r="N194" s="307"/>
      <c r="O194" s="320" t="e">
        <f ca="1">O179</f>
        <v>#DIV/0!</v>
      </c>
      <c r="P194" s="308" t="s">
        <v>364</v>
      </c>
      <c r="Q194" s="999" t="e">
        <f ca="1">O194*C194/100*O188</f>
        <v>#DIV/0!</v>
      </c>
      <c r="R194" s="307"/>
      <c r="S194" s="320" t="e">
        <f ca="1">S179</f>
        <v>#DIV/0!</v>
      </c>
      <c r="T194" s="308" t="s">
        <v>364</v>
      </c>
      <c r="U194" s="999" t="e">
        <f ca="1">S194*C194/100*S188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389</v>
      </c>
      <c r="B195" s="1"/>
      <c r="C195" s="304">
        <f t="shared" si="36"/>
        <v>933865</v>
      </c>
      <c r="D195" s="320">
        <v>6.218</v>
      </c>
      <c r="E195" s="308" t="s">
        <v>364</v>
      </c>
      <c r="F195" s="307">
        <f t="shared" si="37"/>
        <v>-580</v>
      </c>
      <c r="G195" s="320">
        <f ca="1">G180</f>
        <v>6.3240000000000007</v>
      </c>
      <c r="H195" s="308" t="s">
        <v>364</v>
      </c>
      <c r="I195" s="307">
        <f t="shared" ca="1" si="38"/>
        <v>-591</v>
      </c>
      <c r="J195" s="307"/>
      <c r="K195" s="320" t="e">
        <f ca="1">K180</f>
        <v>#REF!</v>
      </c>
      <c r="L195" s="308"/>
      <c r="M195" s="999" t="e">
        <f ca="1">K195*C195/100*K188</f>
        <v>#REF!</v>
      </c>
      <c r="N195" s="307"/>
      <c r="O195" s="320" t="e">
        <f ca="1">O180</f>
        <v>#DIV/0!</v>
      </c>
      <c r="P195" s="308" t="s">
        <v>364</v>
      </c>
      <c r="Q195" s="999" t="e">
        <f ca="1">O195*C195/100*O188</f>
        <v>#DIV/0!</v>
      </c>
      <c r="R195" s="307"/>
      <c r="S195" s="320" t="e">
        <f ca="1">S180</f>
        <v>#DIV/0!</v>
      </c>
      <c r="T195" s="308" t="s">
        <v>364</v>
      </c>
      <c r="U195" s="999" t="e">
        <f ca="1">S195*C195/100*S188</f>
        <v>#DIV/0!</v>
      </c>
      <c r="AI195" s="20"/>
      <c r="AJ195" s="20"/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390</v>
      </c>
      <c r="B196" s="1"/>
      <c r="C196" s="304">
        <f t="shared" si="36"/>
        <v>1389.3333333333335</v>
      </c>
      <c r="D196" s="321">
        <v>56</v>
      </c>
      <c r="E196" s="308" t="s">
        <v>364</v>
      </c>
      <c r="F196" s="307">
        <f t="shared" si="37"/>
        <v>-8</v>
      </c>
      <c r="G196" s="321">
        <f ca="1">G181</f>
        <v>57</v>
      </c>
      <c r="H196" s="308" t="s">
        <v>364</v>
      </c>
      <c r="I196" s="307">
        <f t="shared" ca="1" si="38"/>
        <v>-8</v>
      </c>
      <c r="J196" s="307"/>
      <c r="K196" s="321" t="str">
        <f>K181</f>
        <v xml:space="preserve"> </v>
      </c>
      <c r="L196" s="308"/>
      <c r="M196" s="999">
        <f>K196*C196</f>
        <v>0</v>
      </c>
      <c r="N196" s="307"/>
      <c r="O196" s="321" t="e">
        <f>O181</f>
        <v>#DIV/0!</v>
      </c>
      <c r="P196" s="308" t="s">
        <v>364</v>
      </c>
      <c r="Q196" s="999" t="e">
        <f>O196*D196*O188</f>
        <v>#DIV/0!</v>
      </c>
      <c r="R196" s="307"/>
      <c r="S196" s="321" t="e">
        <f>S181</f>
        <v>#DIV/0!</v>
      </c>
      <c r="T196" s="308" t="s">
        <v>364</v>
      </c>
      <c r="U196" s="999" t="e">
        <f>S196*C196*S188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397</v>
      </c>
      <c r="B197" s="1"/>
      <c r="C197" s="304">
        <f t="shared" si="36"/>
        <v>130.39999999999998</v>
      </c>
      <c r="D197" s="322">
        <v>60</v>
      </c>
      <c r="E197" s="308"/>
      <c r="F197" s="307">
        <f t="shared" si="37"/>
        <v>7824</v>
      </c>
      <c r="G197" s="322">
        <f>'Blocking - detail'!$I$172</f>
        <v>60</v>
      </c>
      <c r="H197" s="308"/>
      <c r="I197" s="307">
        <f t="shared" si="38"/>
        <v>7824</v>
      </c>
      <c r="J197" s="307"/>
      <c r="K197" s="311" t="s">
        <v>31</v>
      </c>
      <c r="L197" s="308"/>
      <c r="M197" s="999">
        <f>K197*C197</f>
        <v>0</v>
      </c>
      <c r="N197" s="307"/>
      <c r="O197" s="286" t="e">
        <f>ROUND(Q197/$C$197,2)</f>
        <v>#DIV/0!</v>
      </c>
      <c r="P197" s="308"/>
      <c r="Q197" s="999" t="e">
        <f>I197*(W207/(W207+X207))</f>
        <v>#DIV/0!</v>
      </c>
      <c r="R197" s="307"/>
      <c r="S197" s="286" t="e">
        <f>ROUND(U197/$C$197,2)</f>
        <v>#DIV/0!</v>
      </c>
      <c r="T197" s="308"/>
      <c r="U197" s="999" t="e">
        <f>I197*(X207/(W207+X207))</f>
        <v>#DIV/0!</v>
      </c>
      <c r="X197" s="88" t="s">
        <v>31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398</v>
      </c>
      <c r="B198" s="1"/>
      <c r="C198" s="304">
        <f t="shared" si="36"/>
        <v>709.3</v>
      </c>
      <c r="D198" s="324">
        <v>-30</v>
      </c>
      <c r="E198" s="308" t="s">
        <v>364</v>
      </c>
      <c r="F198" s="307">
        <f t="shared" si="37"/>
        <v>-213</v>
      </c>
      <c r="G198" s="324">
        <f>'Blocking - detail'!$I$173</f>
        <v>-30</v>
      </c>
      <c r="H198" s="308" t="s">
        <v>364</v>
      </c>
      <c r="I198" s="307">
        <f t="shared" si="38"/>
        <v>-213</v>
      </c>
      <c r="J198" s="307"/>
      <c r="K198" s="324">
        <f>'Blocking - detail'!$I$173</f>
        <v>-30</v>
      </c>
      <c r="L198" s="308" t="s">
        <v>364</v>
      </c>
      <c r="M198" s="307">
        <f>I198</f>
        <v>-213</v>
      </c>
      <c r="N198" s="307"/>
      <c r="O198" s="1281" t="s">
        <v>31</v>
      </c>
      <c r="P198" s="308" t="s">
        <v>31</v>
      </c>
      <c r="Q198" s="307">
        <f>O198*C198*O188</f>
        <v>0</v>
      </c>
      <c r="R198" s="307"/>
      <c r="S198" s="1281" t="s">
        <v>31</v>
      </c>
      <c r="T198" s="308" t="s">
        <v>31</v>
      </c>
      <c r="U198" s="307">
        <f>S198*D198*S188</f>
        <v>0</v>
      </c>
      <c r="X198" s="88" t="s">
        <v>31</v>
      </c>
      <c r="Z198" s="279"/>
      <c r="AA198" s="279"/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 s="1118" customFormat="1" hidden="1">
      <c r="A199" s="968" t="s">
        <v>888</v>
      </c>
      <c r="C199" s="987">
        <f>C193</f>
        <v>116452.33333333327</v>
      </c>
      <c r="D199" s="254">
        <v>0</v>
      </c>
      <c r="E199" s="1119"/>
      <c r="F199" s="1123"/>
      <c r="G199" s="1128">
        <f>G182</f>
        <v>0</v>
      </c>
      <c r="H199" s="972" t="s">
        <v>364</v>
      </c>
      <c r="I199" s="307">
        <f t="shared" ref="I199:I201" ca="1" si="39">I236+I374+I480</f>
        <v>0</v>
      </c>
      <c r="J199" s="307"/>
      <c r="K199" s="1128" t="str">
        <f>K182</f>
        <v xml:space="preserve"> </v>
      </c>
      <c r="L199" s="972"/>
      <c r="M199" s="999" t="e">
        <f ca="1">K199*C199/100*K194</f>
        <v>#REF!</v>
      </c>
      <c r="N199" s="307"/>
      <c r="O199" s="1128" t="str">
        <f>O182</f>
        <v xml:space="preserve"> </v>
      </c>
      <c r="P199" s="972" t="s">
        <v>31</v>
      </c>
      <c r="Q199" s="999" t="e">
        <f ca="1">O199*C199/100*O194</f>
        <v>#DIV/0!</v>
      </c>
      <c r="R199" s="307"/>
      <c r="S199" s="1128">
        <f>S182</f>
        <v>0</v>
      </c>
      <c r="T199" s="972" t="s">
        <v>364</v>
      </c>
      <c r="U199" s="307">
        <f ca="1">I199</f>
        <v>0</v>
      </c>
      <c r="W199" s="784"/>
      <c r="Z199" s="1125"/>
      <c r="AA199" s="1125"/>
      <c r="AF199" s="1119"/>
      <c r="AG199" s="1119"/>
      <c r="AH199" s="1119"/>
      <c r="AI199" s="1119"/>
      <c r="AJ199" s="1119"/>
      <c r="AK199" s="1119"/>
      <c r="AL199" s="1119"/>
      <c r="AM199" s="1119"/>
      <c r="AN199" s="1119"/>
      <c r="AO199" s="1119"/>
      <c r="AP199" s="1119"/>
      <c r="AR199" s="1124"/>
    </row>
    <row r="200" spans="1:44" s="1118" customFormat="1" hidden="1">
      <c r="A200" s="968" t="s">
        <v>889</v>
      </c>
      <c r="C200" s="987">
        <f t="shared" ref="C200:C201" si="40">C194</f>
        <v>524872.66666666698</v>
      </c>
      <c r="D200" s="254"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39"/>
        <v>0</v>
      </c>
      <c r="J200" s="307"/>
      <c r="K200" s="1128" t="str">
        <f>K183</f>
        <v xml:space="preserve"> </v>
      </c>
      <c r="L200" s="972"/>
      <c r="M200" s="999" t="e">
        <f ca="1">K200*C200/100*K195</f>
        <v>#REF!</v>
      </c>
      <c r="N200" s="307"/>
      <c r="O200" s="1128" t="str">
        <f>O183</f>
        <v xml:space="preserve"> </v>
      </c>
      <c r="P200" s="972" t="s">
        <v>31</v>
      </c>
      <c r="Q200" s="999" t="e">
        <f ca="1">O200*C200/100*O195</f>
        <v>#DIV/0!</v>
      </c>
      <c r="R200" s="307"/>
      <c r="S200" s="1128">
        <f>S183</f>
        <v>0</v>
      </c>
      <c r="T200" s="972" t="s">
        <v>364</v>
      </c>
      <c r="U200" s="307">
        <f ca="1">I200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890</v>
      </c>
      <c r="C201" s="987">
        <f t="shared" si="40"/>
        <v>933865</v>
      </c>
      <c r="D201" s="254"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39"/>
        <v>0</v>
      </c>
      <c r="J201" s="307"/>
      <c r="K201" s="1128" t="str">
        <f>K184</f>
        <v xml:space="preserve"> </v>
      </c>
      <c r="L201" s="972"/>
      <c r="M201" s="999">
        <f>K201*C201/100*K196</f>
        <v>0</v>
      </c>
      <c r="N201" s="307"/>
      <c r="O201" s="1128" t="str">
        <f>O184</f>
        <v xml:space="preserve"> </v>
      </c>
      <c r="P201" s="972" t="s">
        <v>31</v>
      </c>
      <c r="Q201" s="999" t="e">
        <f>O201*C201/100*O196</f>
        <v>#DIV/0!</v>
      </c>
      <c r="R201" s="307"/>
      <c r="S201" s="1128">
        <f>S184</f>
        <v>0</v>
      </c>
      <c r="T201" s="972" t="s">
        <v>364</v>
      </c>
      <c r="U201" s="307">
        <f ca="1">I201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>
      <c r="A202" s="1" t="s">
        <v>371</v>
      </c>
      <c r="B202" s="249"/>
      <c r="C202" s="304">
        <f>C239+C377+C483</f>
        <v>532446168.97622746</v>
      </c>
      <c r="D202" s="315"/>
      <c r="E202" s="308"/>
      <c r="F202" s="307">
        <f>F239+F377+F483</f>
        <v>48208945</v>
      </c>
      <c r="G202" s="315"/>
      <c r="H202" s="308"/>
      <c r="I202" s="307">
        <f t="shared" ref="I202" ca="1" si="41">I239+I377+I483</f>
        <v>49032275</v>
      </c>
      <c r="J202" s="307"/>
      <c r="K202" s="315"/>
      <c r="L202" s="308"/>
      <c r="M202" s="307" t="e">
        <f ca="1">SUM(M168:M201)</f>
        <v>#REF!</v>
      </c>
      <c r="N202" s="307"/>
      <c r="O202" s="315"/>
      <c r="P202" s="308"/>
      <c r="Q202" s="307" t="e">
        <f ca="1">SUM(Q168:Q201)</f>
        <v>#DIV/0!</v>
      </c>
      <c r="R202" s="307"/>
      <c r="S202" s="315"/>
      <c r="T202" s="308"/>
      <c r="U202" s="307" t="e">
        <f ca="1">SUM(U168:U201)</f>
        <v>#DIV/0!</v>
      </c>
      <c r="AI202" s="20"/>
      <c r="AJ202" s="20"/>
      <c r="AK202" s="20"/>
      <c r="AL202" s="20"/>
      <c r="AM202" s="20"/>
      <c r="AN202" s="20"/>
      <c r="AO202" s="20"/>
      <c r="AP202" s="20"/>
      <c r="AR202" s="84"/>
    </row>
    <row r="203" spans="1:44">
      <c r="A203" s="1" t="s">
        <v>353</v>
      </c>
      <c r="B203" s="25"/>
      <c r="C203" s="325">
        <f ca="1">C240+C378+C484</f>
        <v>3820431.375987567</v>
      </c>
      <c r="D203" s="294"/>
      <c r="E203" s="294"/>
      <c r="F203" s="326">
        <f ca="1">F240+F378+F484</f>
        <v>398180.89115916123</v>
      </c>
      <c r="G203" s="294"/>
      <c r="H203" s="294"/>
      <c r="I203" s="295">
        <f ca="1">F203</f>
        <v>398180.89115916123</v>
      </c>
      <c r="J203" s="51"/>
      <c r="K203" s="294"/>
      <c r="L203" s="294"/>
      <c r="M203" s="295" t="e">
        <f ca="1">$I$203*V207/($V$207+$W$207+$X$207)</f>
        <v>#DIV/0!</v>
      </c>
      <c r="N203" s="51"/>
      <c r="O203" s="294"/>
      <c r="P203" s="294"/>
      <c r="Q203" s="295" t="e">
        <f ca="1">$I$203*W207/($V$207+$W$207+$X$207)</f>
        <v>#DIV/0!</v>
      </c>
      <c r="R203" s="51"/>
      <c r="S203" s="294"/>
      <c r="T203" s="294"/>
      <c r="U203" s="295" t="e">
        <f ca="1">$I$203*X207/($V$207+$W$207+$X$207)</f>
        <v>#DIV/0!</v>
      </c>
      <c r="X203" s="770"/>
      <c r="Y203" s="770"/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 ht="16.5" thickBot="1">
      <c r="A204" s="1" t="s">
        <v>372</v>
      </c>
      <c r="B204" s="1"/>
      <c r="C204" s="296">
        <f ca="1">SUM(C202:C203)</f>
        <v>536266600.35221505</v>
      </c>
      <c r="D204" s="954"/>
      <c r="E204" s="330"/>
      <c r="F204" s="329">
        <f ca="1">F202+F203</f>
        <v>48607125.891159162</v>
      </c>
      <c r="G204" s="457"/>
      <c r="H204" s="330"/>
      <c r="I204" s="329">
        <f ca="1">I202+I203</f>
        <v>49430455.891159162</v>
      </c>
      <c r="J204" s="329"/>
      <c r="K204" s="457"/>
      <c r="L204" s="330"/>
      <c r="M204" s="329" t="e">
        <f ca="1">M202+M203</f>
        <v>#REF!</v>
      </c>
      <c r="N204" s="329"/>
      <c r="O204" s="457"/>
      <c r="P204" s="330"/>
      <c r="Q204" s="329" t="e">
        <f ca="1">Q202+Q203</f>
        <v>#DIV/0!</v>
      </c>
      <c r="R204" s="329"/>
      <c r="S204" s="457"/>
      <c r="T204" s="330"/>
      <c r="U204" s="329" t="e">
        <f ca="1">U202+U203</f>
        <v>#DIV/0!</v>
      </c>
      <c r="V204" s="757" t="s">
        <v>399</v>
      </c>
      <c r="W204" s="778">
        <f ca="1">'Rate Spread targets'!Q24*1000</f>
        <v>49430599.999561004</v>
      </c>
      <c r="X204" s="1438">
        <f ca="1">'Rate Spread targets'!V24</f>
        <v>1.6941448609556001E-2</v>
      </c>
      <c r="Y204" s="793"/>
      <c r="Z204" s="55" t="s">
        <v>31</v>
      </c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Top="1">
      <c r="A205" s="1"/>
      <c r="B205" s="1"/>
      <c r="C205" s="335"/>
      <c r="D205" s="1277"/>
      <c r="E205" s="23"/>
      <c r="F205" s="307"/>
      <c r="G205" s="1278"/>
      <c r="H205" s="23"/>
      <c r="I205" s="307"/>
      <c r="J205" s="307"/>
      <c r="K205" s="1278"/>
      <c r="L205" s="23"/>
      <c r="M205" s="307"/>
      <c r="N205" s="307"/>
      <c r="O205" s="1278"/>
      <c r="P205" s="23"/>
      <c r="Q205" s="307"/>
      <c r="R205" s="307"/>
      <c r="S205" s="1278"/>
      <c r="T205" s="23"/>
      <c r="U205" s="307"/>
      <c r="V205" s="112" t="s">
        <v>257</v>
      </c>
      <c r="W205" s="780">
        <f ca="1">W204-I204</f>
        <v>144.10840184241533</v>
      </c>
      <c r="X205" s="785"/>
      <c r="Y205" s="793"/>
      <c r="Z205" s="55"/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customHeight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/>
      <c r="V206" s="1279"/>
      <c r="W206" s="1279"/>
      <c r="X206" s="719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>
      <c r="A207" s="1"/>
      <c r="B207" s="1"/>
      <c r="C207" s="21"/>
      <c r="D207" s="322"/>
      <c r="E207" s="1"/>
      <c r="F207" s="2" t="s">
        <v>31</v>
      </c>
      <c r="G207" s="322"/>
      <c r="H207" s="1"/>
      <c r="I207" s="2" t="s">
        <v>31</v>
      </c>
      <c r="J207" s="2"/>
      <c r="K207" s="322"/>
      <c r="L207" s="1"/>
      <c r="M207" s="2" t="s">
        <v>31</v>
      </c>
      <c r="N207" s="2"/>
      <c r="O207" s="322"/>
      <c r="P207" s="1"/>
      <c r="Q207" s="2" t="s">
        <v>31</v>
      </c>
      <c r="R207" s="2"/>
      <c r="S207" s="322"/>
      <c r="T207" s="1"/>
      <c r="U207" s="2" t="s">
        <v>31</v>
      </c>
      <c r="V207" s="1124"/>
      <c r="W207" s="1124"/>
      <c r="X207" s="1124"/>
      <c r="Y207" s="1129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>
      <c r="A208" s="1"/>
      <c r="B208" s="1"/>
      <c r="C208" s="21"/>
      <c r="D208" s="322"/>
      <c r="E208" s="1"/>
      <c r="F208" s="2"/>
      <c r="G208" s="322"/>
      <c r="H208" s="1"/>
      <c r="K208" s="322"/>
      <c r="L208" s="1"/>
      <c r="O208" s="322"/>
      <c r="P208" s="1"/>
      <c r="S208" s="322"/>
      <c r="T208" s="1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>
      <c r="A209" s="278" t="s">
        <v>377</v>
      </c>
      <c r="B209" s="1"/>
      <c r="C209" s="1"/>
      <c r="D209" s="2"/>
      <c r="E209" s="1"/>
      <c r="F209" s="1"/>
      <c r="G209" s="2"/>
      <c r="H209" s="1"/>
      <c r="I209" s="1"/>
      <c r="J209" s="1"/>
      <c r="K209" s="2"/>
      <c r="L209" s="1"/>
      <c r="M209" s="1"/>
      <c r="N209" s="1"/>
      <c r="O209" s="2"/>
      <c r="P209" s="1"/>
      <c r="Q209" s="1"/>
      <c r="R209" s="1"/>
      <c r="S209" s="2"/>
      <c r="T209" s="1"/>
      <c r="U209" s="1"/>
      <c r="W209" s="331" t="s">
        <v>31</v>
      </c>
      <c r="X209" s="14"/>
      <c r="Y209" s="14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>
      <c r="A210" s="1" t="s">
        <v>400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401"/>
      <c r="W210" s="74"/>
      <c r="X210" s="74"/>
      <c r="Y210" s="74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>
      <c r="A211" s="1"/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>
      <c r="A212" s="1" t="s">
        <v>383</v>
      </c>
      <c r="B212" s="1"/>
      <c r="C212" s="304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0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>
      <c r="A213" s="1" t="s">
        <v>380</v>
      </c>
      <c r="B213" s="1"/>
      <c r="C213" s="304">
        <f>C282+C316+C247</f>
        <v>161975.73333331931</v>
      </c>
      <c r="D213" s="283">
        <v>9.6</v>
      </c>
      <c r="E213" s="308"/>
      <c r="F213" s="2">
        <f>F282+F316+F247</f>
        <v>1554967</v>
      </c>
      <c r="G213" s="283">
        <f ca="1">$G$172</f>
        <v>9.76</v>
      </c>
      <c r="H213" s="308"/>
      <c r="I213" s="2">
        <f ca="1">I282+I316+I247</f>
        <v>1580883</v>
      </c>
      <c r="J213" s="2"/>
      <c r="K213" s="283">
        <f ca="1">$K$172</f>
        <v>9.76</v>
      </c>
      <c r="L213" s="308"/>
      <c r="M213" s="2">
        <f ca="1">M282+M316+M247</f>
        <v>1580883</v>
      </c>
      <c r="N213" s="2"/>
      <c r="O213" s="283" t="str">
        <f>$O$172</f>
        <v xml:space="preserve"> </v>
      </c>
      <c r="P213" s="308"/>
      <c r="Q213" s="2">
        <f>Q282+Q316+Q247</f>
        <v>0</v>
      </c>
      <c r="R213" s="2"/>
      <c r="S213" s="283" t="str">
        <f>$S$172</f>
        <v xml:space="preserve"> </v>
      </c>
      <c r="T213" s="308"/>
      <c r="U213" s="2">
        <f>U282+U316+U247</f>
        <v>0</v>
      </c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>
      <c r="A214" s="1" t="s">
        <v>381</v>
      </c>
      <c r="B214" s="1"/>
      <c r="C214" s="304">
        <f>C283+C317+C248</f>
        <v>64148.300000000723</v>
      </c>
      <c r="D214" s="283">
        <v>14.3</v>
      </c>
      <c r="E214" s="310"/>
      <c r="F214" s="2">
        <f>F283+F317+F248</f>
        <v>917321</v>
      </c>
      <c r="G214" s="283">
        <f ca="1">$G$173</f>
        <v>14.54</v>
      </c>
      <c r="H214" s="310"/>
      <c r="I214" s="2">
        <f ca="1">I283+I317+I248</f>
        <v>932716</v>
      </c>
      <c r="J214" s="2"/>
      <c r="K214" s="283">
        <f ca="1">$K$173</f>
        <v>14.54</v>
      </c>
      <c r="L214" s="310"/>
      <c r="M214" s="2">
        <f ca="1">M283+M317+M248</f>
        <v>932716</v>
      </c>
      <c r="N214" s="2"/>
      <c r="O214" s="283" t="str">
        <f>$O$173</f>
        <v xml:space="preserve"> </v>
      </c>
      <c r="P214" s="310"/>
      <c r="Q214" s="2">
        <f>Q283+Q317+Q248</f>
        <v>0</v>
      </c>
      <c r="R214" s="2"/>
      <c r="S214" s="283" t="str">
        <f>$S$173</f>
        <v xml:space="preserve"> </v>
      </c>
      <c r="T214" s="310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>
      <c r="A215" s="1" t="s">
        <v>382</v>
      </c>
      <c r="B215" s="1"/>
      <c r="C215" s="304">
        <f>C284+C318+C249</f>
        <v>1035367</v>
      </c>
      <c r="D215" s="283">
        <v>1</v>
      </c>
      <c r="E215" s="310"/>
      <c r="F215" s="2">
        <f>F284+F318+F249</f>
        <v>1035367</v>
      </c>
      <c r="G215" s="283">
        <f ca="1">$G$174</f>
        <v>1.02</v>
      </c>
      <c r="H215" s="310"/>
      <c r="I215" s="2">
        <f ca="1">I284+I318+I249</f>
        <v>1056074</v>
      </c>
      <c r="J215" s="2"/>
      <c r="K215" s="283">
        <f ca="1">$K$174</f>
        <v>1.02</v>
      </c>
      <c r="L215" s="310"/>
      <c r="M215" s="2">
        <f ca="1">M284+M318+M249</f>
        <v>1056074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>
      <c r="A216" s="1" t="s">
        <v>384</v>
      </c>
      <c r="B216" s="1"/>
      <c r="C216" s="304">
        <f>SUM(C213:C214)</f>
        <v>226124.03333332003</v>
      </c>
      <c r="D216" s="283"/>
      <c r="E216" s="308"/>
      <c r="F216" s="2"/>
      <c r="G216" s="283"/>
      <c r="H216" s="308"/>
      <c r="I216" s="2"/>
      <c r="J216" s="2"/>
      <c r="K216" s="283"/>
      <c r="L216" s="308"/>
      <c r="M216" s="2"/>
      <c r="N216" s="2"/>
      <c r="O216" s="283"/>
      <c r="P216" s="308"/>
      <c r="Q216" s="2"/>
      <c r="R216" s="2"/>
      <c r="S216" s="283"/>
      <c r="T216" s="308"/>
      <c r="U216" s="2"/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>
      <c r="A217" s="1" t="s">
        <v>385</v>
      </c>
      <c r="B217" s="1"/>
      <c r="C217" s="304">
        <f>C286+C320+C251</f>
        <v>835989</v>
      </c>
      <c r="D217" s="311">
        <v>3.64</v>
      </c>
      <c r="E217" s="308"/>
      <c r="F217" s="2">
        <f>F286+F320+F251</f>
        <v>3043000</v>
      </c>
      <c r="G217" s="311">
        <f ca="1">$G$177</f>
        <v>3.7</v>
      </c>
      <c r="H217" s="308"/>
      <c r="I217" s="2">
        <f ca="1">I286+I320+I251</f>
        <v>3093159</v>
      </c>
      <c r="J217" s="2"/>
      <c r="K217" s="311" t="e">
        <f ca="1">$K$177</f>
        <v>#REF!</v>
      </c>
      <c r="L217" s="308"/>
      <c r="M217" s="2" t="e">
        <f ca="1">M286+M320+M251</f>
        <v>#REF!</v>
      </c>
      <c r="N217" s="2"/>
      <c r="O217" s="311" t="e">
        <f ca="1">$O$177</f>
        <v>#DIV/0!</v>
      </c>
      <c r="P217" s="308"/>
      <c r="Q217" s="2" t="e">
        <f ca="1">Q286+Q320+Q251</f>
        <v>#DIV/0!</v>
      </c>
      <c r="R217" s="2"/>
      <c r="S217" s="311" t="e">
        <f ca="1">$S$177</f>
        <v>#DIV/0!</v>
      </c>
      <c r="T217" s="308"/>
      <c r="U217" s="2" t="e">
        <f ca="1">U286+U320+U251</f>
        <v>#DIV/0!</v>
      </c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>
      <c r="A218" s="1" t="s">
        <v>387</v>
      </c>
      <c r="B218" s="1"/>
      <c r="C218" s="304">
        <f>C287+C321+C252</f>
        <v>129554839.11787954</v>
      </c>
      <c r="D218" s="284">
        <v>10.449</v>
      </c>
      <c r="E218" s="308" t="s">
        <v>364</v>
      </c>
      <c r="F218" s="2">
        <f>F287+F321+F252</f>
        <v>13537185</v>
      </c>
      <c r="G218" s="284">
        <f ca="1">$G$178</f>
        <v>10.628</v>
      </c>
      <c r="H218" s="308" t="s">
        <v>364</v>
      </c>
      <c r="I218" s="2">
        <f ca="1">I287+I321+I252</f>
        <v>13769088</v>
      </c>
      <c r="J218" s="2"/>
      <c r="K218" s="284" t="e">
        <f ca="1">$K$178</f>
        <v>#REF!</v>
      </c>
      <c r="L218" s="308" t="s">
        <v>364</v>
      </c>
      <c r="M218" s="2" t="e">
        <f ca="1">M287+M321+M252</f>
        <v>#REF!</v>
      </c>
      <c r="N218" s="2"/>
      <c r="O218" s="284" t="e">
        <f ca="1">$O$178</f>
        <v>#DIV/0!</v>
      </c>
      <c r="P218" s="308" t="s">
        <v>364</v>
      </c>
      <c r="Q218" s="2" t="e">
        <f ca="1">Q287+Q321+Q252</f>
        <v>#DIV/0!</v>
      </c>
      <c r="R218" s="2"/>
      <c r="S218" s="284" t="e">
        <f ca="1">$S$178</f>
        <v>#DIV/0!</v>
      </c>
      <c r="T218" s="308" t="s">
        <v>364</v>
      </c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>
      <c r="A219" s="1" t="s">
        <v>388</v>
      </c>
      <c r="B219" s="1"/>
      <c r="C219" s="304">
        <f>C288+C322+C253</f>
        <v>281305509.69846565</v>
      </c>
      <c r="D219" s="284">
        <v>7.218</v>
      </c>
      <c r="E219" s="308" t="s">
        <v>364</v>
      </c>
      <c r="F219" s="2">
        <f>F288+F322+F253</f>
        <v>20304632</v>
      </c>
      <c r="G219" s="284">
        <f ca="1">$G$179</f>
        <v>7.3410000000000002</v>
      </c>
      <c r="H219" s="308" t="s">
        <v>364</v>
      </c>
      <c r="I219" s="2">
        <f ca="1">I288+I322+I253</f>
        <v>20650637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>
      <c r="A220" s="1" t="s">
        <v>389</v>
      </c>
      <c r="B220" s="1"/>
      <c r="C220" s="304">
        <f>C289+C323+C254</f>
        <v>119991272.36558694</v>
      </c>
      <c r="D220" s="284">
        <v>6.218</v>
      </c>
      <c r="E220" s="308" t="s">
        <v>364</v>
      </c>
      <c r="F220" s="2">
        <f>F289+F323+F254</f>
        <v>7461057</v>
      </c>
      <c r="G220" s="284">
        <f ca="1">$G$180</f>
        <v>6.3240000000000007</v>
      </c>
      <c r="H220" s="308" t="s">
        <v>364</v>
      </c>
      <c r="I220" s="2">
        <f ca="1">I289+I323+I254</f>
        <v>7588248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>
      <c r="A221" s="1" t="s">
        <v>390</v>
      </c>
      <c r="B221" s="1"/>
      <c r="C221" s="304">
        <f>C290+C324+C255</f>
        <v>120876.56666666651</v>
      </c>
      <c r="D221" s="315">
        <v>56</v>
      </c>
      <c r="E221" s="308" t="s">
        <v>364</v>
      </c>
      <c r="F221" s="2">
        <f>F290+F324+F255</f>
        <v>67690</v>
      </c>
      <c r="G221" s="315">
        <f ca="1">$G$181</f>
        <v>57</v>
      </c>
      <c r="H221" s="308" t="s">
        <v>364</v>
      </c>
      <c r="I221" s="2">
        <f ca="1">I290+I324+I255</f>
        <v>68900</v>
      </c>
      <c r="J221" s="2"/>
      <c r="K221" s="315" t="str">
        <f>$K$181</f>
        <v xml:space="preserve"> </v>
      </c>
      <c r="L221" s="308" t="s">
        <v>364</v>
      </c>
      <c r="M221" s="2">
        <f>M290+M324+M255</f>
        <v>0</v>
      </c>
      <c r="N221" s="2"/>
      <c r="O221" s="315" t="e">
        <f>$O$181</f>
        <v>#DIV/0!</v>
      </c>
      <c r="P221" s="308" t="s">
        <v>364</v>
      </c>
      <c r="Q221" s="2" t="e">
        <f>Q290+Q324+Q255</f>
        <v>#DIV/0!</v>
      </c>
      <c r="R221" s="2"/>
      <c r="S221" s="315" t="e">
        <f>$S$181</f>
        <v>#DIV/0!</v>
      </c>
      <c r="T221" s="308" t="s">
        <v>364</v>
      </c>
      <c r="U221" s="2" t="e">
        <f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s="1118" customFormat="1" hidden="1">
      <c r="A222" s="968" t="s">
        <v>862</v>
      </c>
      <c r="C222" s="987">
        <f>C218</f>
        <v>129554839.11787954</v>
      </c>
      <c r="D222" s="254">
        <v>0</v>
      </c>
      <c r="E222" s="1119"/>
      <c r="F222" s="1123"/>
      <c r="G222" s="1128">
        <f>G182</f>
        <v>0</v>
      </c>
      <c r="H222" s="972" t="s">
        <v>364</v>
      </c>
      <c r="I222" s="1123">
        <f>I256+I291+I325</f>
        <v>0</v>
      </c>
      <c r="J222" s="1123"/>
      <c r="K222" s="1128" t="str">
        <f>K182</f>
        <v xml:space="preserve"> </v>
      </c>
      <c r="L222" s="972" t="s">
        <v>364</v>
      </c>
      <c r="M222" s="1123">
        <f>M256+M291+M325</f>
        <v>0</v>
      </c>
      <c r="N222" s="1123"/>
      <c r="O222" s="1128" t="str">
        <f>O182</f>
        <v xml:space="preserve"> </v>
      </c>
      <c r="P222" s="972" t="s">
        <v>364</v>
      </c>
      <c r="Q222" s="1123">
        <f>Q256+Q291+Q325</f>
        <v>0</v>
      </c>
      <c r="R222" s="1123"/>
      <c r="S222" s="1128">
        <f>S182</f>
        <v>0</v>
      </c>
      <c r="T222" s="972" t="s">
        <v>364</v>
      </c>
      <c r="U222" s="1123">
        <f>U256+U291+U325</f>
        <v>0</v>
      </c>
      <c r="W222" s="784"/>
      <c r="Z222" s="1125"/>
      <c r="AA222" s="1125"/>
      <c r="AF222" s="1119"/>
      <c r="AG222" s="1119"/>
      <c r="AH222" s="1119"/>
      <c r="AI222" s="1119"/>
      <c r="AJ222" s="1119"/>
      <c r="AK222" s="1119"/>
      <c r="AL222" s="1119"/>
      <c r="AM222" s="1119"/>
      <c r="AN222" s="1119"/>
      <c r="AO222" s="1119"/>
      <c r="AP222" s="1119"/>
      <c r="AR222" s="1124"/>
    </row>
    <row r="223" spans="1:44" s="1118" customFormat="1" hidden="1">
      <c r="A223" s="968" t="s">
        <v>863</v>
      </c>
      <c r="C223" s="987">
        <f t="shared" ref="C223:C224" si="42">C219</f>
        <v>281305509.69846565</v>
      </c>
      <c r="D223" s="254">
        <v>0</v>
      </c>
      <c r="E223" s="1119"/>
      <c r="F223" s="1123"/>
      <c r="G223" s="1128">
        <f>G183</f>
        <v>0</v>
      </c>
      <c r="H223" s="972" t="s">
        <v>364</v>
      </c>
      <c r="I223" s="1123">
        <f t="shared" ref="I223:I224" si="43"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 t="shared" ref="M223:M224" si="44"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 t="shared" ref="Q223:Q224" si="45">Q257+Q292+Q326</f>
        <v>0</v>
      </c>
      <c r="R223" s="1123"/>
      <c r="S223" s="1128">
        <f>S183</f>
        <v>0</v>
      </c>
      <c r="T223" s="972" t="s">
        <v>364</v>
      </c>
      <c r="U223" s="1123">
        <f t="shared" ref="U223:U224" si="46"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864</v>
      </c>
      <c r="C224" s="987">
        <f t="shared" si="42"/>
        <v>119991272.36558694</v>
      </c>
      <c r="D224" s="254">
        <v>0</v>
      </c>
      <c r="E224" s="1119"/>
      <c r="F224" s="1123"/>
      <c r="G224" s="1128">
        <f>G184</f>
        <v>0</v>
      </c>
      <c r="H224" s="972" t="s">
        <v>364</v>
      </c>
      <c r="I224" s="1123">
        <f t="shared" si="43"/>
        <v>0</v>
      </c>
      <c r="J224" s="1123"/>
      <c r="K224" s="1128" t="str">
        <f>K184</f>
        <v xml:space="preserve"> </v>
      </c>
      <c r="L224" s="972" t="s">
        <v>364</v>
      </c>
      <c r="M224" s="1123">
        <f t="shared" si="44"/>
        <v>0</v>
      </c>
      <c r="N224" s="1123"/>
      <c r="O224" s="1128" t="str">
        <f>O184</f>
        <v xml:space="preserve"> </v>
      </c>
      <c r="P224" s="972" t="s">
        <v>364</v>
      </c>
      <c r="Q224" s="1123">
        <f t="shared" si="45"/>
        <v>0</v>
      </c>
      <c r="R224" s="1123"/>
      <c r="S224" s="1128">
        <f>S184</f>
        <v>0</v>
      </c>
      <c r="T224" s="972" t="s">
        <v>364</v>
      </c>
      <c r="U224" s="1123">
        <f t="shared" si="46"/>
        <v>0</v>
      </c>
      <c r="W224" s="784" t="s">
        <v>31</v>
      </c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>
      <c r="A225" s="316" t="s">
        <v>391</v>
      </c>
      <c r="B225" s="1"/>
      <c r="C225" s="304"/>
      <c r="D225" s="317">
        <v>-0.01</v>
      </c>
      <c r="E225" s="308"/>
      <c r="F225" s="2"/>
      <c r="G225" s="317">
        <v>-0.01</v>
      </c>
      <c r="H225" s="308"/>
      <c r="I225" s="2"/>
      <c r="J225" s="2"/>
      <c r="K225" s="317">
        <v>-0.01</v>
      </c>
      <c r="L225" s="308"/>
      <c r="M225" s="2"/>
      <c r="N225" s="2"/>
      <c r="O225" s="317">
        <v>-0.01</v>
      </c>
      <c r="P225" s="308"/>
      <c r="Q225" s="2"/>
      <c r="R225" s="2"/>
      <c r="S225" s="317">
        <v>-0.01</v>
      </c>
      <c r="T225" s="308"/>
      <c r="U225" s="2"/>
      <c r="V225" s="20"/>
      <c r="W225" s="32" t="s">
        <v>31</v>
      </c>
      <c r="X225" s="74"/>
      <c r="Y225" s="74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R225" s="84"/>
    </row>
    <row r="226" spans="1:44">
      <c r="A226" s="1" t="s">
        <v>380</v>
      </c>
      <c r="B226" s="1"/>
      <c r="C226" s="304">
        <f t="shared" ref="C226:C235" si="47">C295+C329+C260</f>
        <v>74.633333333333297</v>
      </c>
      <c r="D226" s="319">
        <v>9.6</v>
      </c>
      <c r="E226" s="306"/>
      <c r="F226" s="2">
        <f t="shared" ref="F226:F235" si="48">F295+F329+F260</f>
        <v>-7</v>
      </c>
      <c r="G226" s="319">
        <f ca="1">G213</f>
        <v>9.76</v>
      </c>
      <c r="H226" s="306"/>
      <c r="I226" s="2">
        <f t="shared" ref="I226:I235" ca="1" si="49">I295+I329+I260</f>
        <v>-7</v>
      </c>
      <c r="J226" s="2"/>
      <c r="K226" s="319">
        <f ca="1">K213</f>
        <v>9.76</v>
      </c>
      <c r="L226" s="306"/>
      <c r="M226" s="2">
        <f t="shared" ref="M226:M235" ca="1" si="50">M295+M329+M260</f>
        <v>-7</v>
      </c>
      <c r="N226" s="2"/>
      <c r="O226" s="319" t="str">
        <f>O213</f>
        <v xml:space="preserve"> </v>
      </c>
      <c r="P226" s="306"/>
      <c r="Q226" s="2">
        <f t="shared" ref="Q226:Q235" si="51">Q295+Q329+Q260</f>
        <v>0</v>
      </c>
      <c r="R226" s="2"/>
      <c r="S226" s="319" t="str">
        <f>S213</f>
        <v xml:space="preserve"> </v>
      </c>
      <c r="T226" s="306"/>
      <c r="U226" s="2">
        <f t="shared" ref="U226:U235" si="52">U295+U329+U260</f>
        <v>0</v>
      </c>
      <c r="V226" s="20"/>
      <c r="W226" s="74"/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>
      <c r="A227" s="1" t="s">
        <v>381</v>
      </c>
      <c r="B227" s="1"/>
      <c r="C227" s="304">
        <f t="shared" si="47"/>
        <v>79.799999999999983</v>
      </c>
      <c r="D227" s="319">
        <v>14.3</v>
      </c>
      <c r="E227" s="306"/>
      <c r="F227" s="2">
        <f t="shared" si="48"/>
        <v>-11</v>
      </c>
      <c r="G227" s="319">
        <f ca="1">G214</f>
        <v>14.54</v>
      </c>
      <c r="H227" s="306"/>
      <c r="I227" s="2">
        <f t="shared" ca="1" si="49"/>
        <v>-11</v>
      </c>
      <c r="J227" s="2"/>
      <c r="K227" s="319">
        <f ca="1">K214</f>
        <v>14.54</v>
      </c>
      <c r="L227" s="306"/>
      <c r="M227" s="2">
        <f t="shared" ca="1" si="50"/>
        <v>-11</v>
      </c>
      <c r="N227" s="2"/>
      <c r="O227" s="319" t="str">
        <f>O214</f>
        <v xml:space="preserve"> </v>
      </c>
      <c r="P227" s="306"/>
      <c r="Q227" s="2">
        <f t="shared" si="51"/>
        <v>0</v>
      </c>
      <c r="R227" s="2"/>
      <c r="S227" s="319" t="str">
        <f>S214</f>
        <v xml:space="preserve"> </v>
      </c>
      <c r="T227" s="306"/>
      <c r="U227" s="2">
        <f t="shared" si="52"/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>
      <c r="A228" s="1" t="s">
        <v>392</v>
      </c>
      <c r="B228" s="1"/>
      <c r="C228" s="304">
        <f t="shared" si="47"/>
        <v>2161</v>
      </c>
      <c r="D228" s="319">
        <v>1</v>
      </c>
      <c r="E228" s="306"/>
      <c r="F228" s="2">
        <f t="shared" si="48"/>
        <v>-21</v>
      </c>
      <c r="G228" s="319">
        <f ca="1">G215</f>
        <v>1.02</v>
      </c>
      <c r="H228" s="306"/>
      <c r="I228" s="2">
        <f t="shared" ca="1" si="49"/>
        <v>-23</v>
      </c>
      <c r="J228" s="2"/>
      <c r="K228" s="319">
        <f ca="1">K215</f>
        <v>1.02</v>
      </c>
      <c r="L228" s="306"/>
      <c r="M228" s="2">
        <f t="shared" ca="1" si="50"/>
        <v>-23</v>
      </c>
      <c r="N228" s="2"/>
      <c r="O228" s="319" t="str">
        <f>O215</f>
        <v xml:space="preserve"> </v>
      </c>
      <c r="P228" s="306"/>
      <c r="Q228" s="2">
        <f t="shared" si="51"/>
        <v>0</v>
      </c>
      <c r="R228" s="2"/>
      <c r="S228" s="319" t="str">
        <f>S215</f>
        <v xml:space="preserve"> </v>
      </c>
      <c r="T228" s="306"/>
      <c r="U228" s="2">
        <f t="shared" si="52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>
      <c r="A229" s="1" t="s">
        <v>393</v>
      </c>
      <c r="B229" s="1"/>
      <c r="C229" s="304">
        <f t="shared" si="47"/>
        <v>1487</v>
      </c>
      <c r="D229" s="319">
        <v>3.64</v>
      </c>
      <c r="E229" s="308"/>
      <c r="F229" s="2">
        <f t="shared" si="48"/>
        <v>-54</v>
      </c>
      <c r="G229" s="319">
        <f ca="1">G217</f>
        <v>3.7</v>
      </c>
      <c r="H229" s="308"/>
      <c r="I229" s="2">
        <f t="shared" ca="1" si="49"/>
        <v>-55</v>
      </c>
      <c r="J229" s="2"/>
      <c r="K229" s="319" t="e">
        <f ca="1">K217</f>
        <v>#REF!</v>
      </c>
      <c r="L229" s="308"/>
      <c r="M229" s="2" t="e">
        <f t="shared" ca="1" si="50"/>
        <v>#REF!</v>
      </c>
      <c r="N229" s="2"/>
      <c r="O229" s="319" t="e">
        <f ca="1">O217</f>
        <v>#DIV/0!</v>
      </c>
      <c r="P229" s="308"/>
      <c r="Q229" s="2" t="e">
        <f t="shared" ca="1" si="51"/>
        <v>#DIV/0!</v>
      </c>
      <c r="R229" s="2"/>
      <c r="S229" s="319" t="e">
        <f ca="1">S217</f>
        <v>#DIV/0!</v>
      </c>
      <c r="T229" s="308"/>
      <c r="U229" s="2" t="e">
        <f t="shared" ca="1" si="52"/>
        <v>#DIV/0!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>
      <c r="A230" s="1" t="s">
        <v>395</v>
      </c>
      <c r="B230" s="1"/>
      <c r="C230" s="304">
        <f t="shared" si="47"/>
        <v>116452.33333333327</v>
      </c>
      <c r="D230" s="320">
        <v>10.449</v>
      </c>
      <c r="E230" s="308" t="s">
        <v>364</v>
      </c>
      <c r="F230" s="2">
        <f t="shared" si="48"/>
        <v>-121</v>
      </c>
      <c r="G230" s="320">
        <f ca="1">G218</f>
        <v>10.628</v>
      </c>
      <c r="H230" s="308" t="s">
        <v>364</v>
      </c>
      <c r="I230" s="2">
        <f t="shared" ca="1" si="49"/>
        <v>-123</v>
      </c>
      <c r="J230" s="2"/>
      <c r="K230" s="320" t="e">
        <f ca="1">K218</f>
        <v>#REF!</v>
      </c>
      <c r="L230" s="308" t="s">
        <v>364</v>
      </c>
      <c r="M230" s="2" t="e">
        <f t="shared" ca="1" si="50"/>
        <v>#REF!</v>
      </c>
      <c r="N230" s="2"/>
      <c r="O230" s="320" t="e">
        <f ca="1">O218</f>
        <v>#DIV/0!</v>
      </c>
      <c r="P230" s="308" t="s">
        <v>364</v>
      </c>
      <c r="Q230" s="2" t="e">
        <f t="shared" ca="1" si="51"/>
        <v>#DIV/0!</v>
      </c>
      <c r="R230" s="2"/>
      <c r="S230" s="320" t="e">
        <f ca="1">S218</f>
        <v>#DIV/0!</v>
      </c>
      <c r="T230" s="308" t="s">
        <v>364</v>
      </c>
      <c r="U230" s="2" t="e">
        <f t="shared" ca="1" si="52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>
      <c r="A231" s="1" t="s">
        <v>388</v>
      </c>
      <c r="B231" s="1"/>
      <c r="C231" s="304">
        <f t="shared" si="47"/>
        <v>524872.66666666698</v>
      </c>
      <c r="D231" s="320">
        <v>7.218</v>
      </c>
      <c r="E231" s="308" t="s">
        <v>364</v>
      </c>
      <c r="F231" s="2">
        <f t="shared" si="48"/>
        <v>-378</v>
      </c>
      <c r="G231" s="320">
        <f ca="1">G219</f>
        <v>7.3410000000000002</v>
      </c>
      <c r="H231" s="308" t="s">
        <v>364</v>
      </c>
      <c r="I231" s="2">
        <f t="shared" ca="1" si="49"/>
        <v>-385</v>
      </c>
      <c r="J231" s="2"/>
      <c r="K231" s="320" t="e">
        <f ca="1">K219</f>
        <v>#REF!</v>
      </c>
      <c r="L231" s="308" t="s">
        <v>364</v>
      </c>
      <c r="M231" s="2" t="e">
        <f t="shared" ca="1" si="50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51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52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>
      <c r="A232" s="1" t="s">
        <v>389</v>
      </c>
      <c r="B232" s="1"/>
      <c r="C232" s="304">
        <f t="shared" si="47"/>
        <v>933865</v>
      </c>
      <c r="D232" s="320">
        <v>6.218</v>
      </c>
      <c r="E232" s="308" t="s">
        <v>364</v>
      </c>
      <c r="F232" s="2">
        <f t="shared" si="48"/>
        <v>-580</v>
      </c>
      <c r="G232" s="320">
        <f ca="1">G220</f>
        <v>6.3240000000000007</v>
      </c>
      <c r="H232" s="308" t="s">
        <v>364</v>
      </c>
      <c r="I232" s="2">
        <f t="shared" ca="1" si="49"/>
        <v>-591</v>
      </c>
      <c r="J232" s="2"/>
      <c r="K232" s="320" t="e">
        <f ca="1">K220</f>
        <v>#REF!</v>
      </c>
      <c r="L232" s="308" t="s">
        <v>364</v>
      </c>
      <c r="M232" s="2" t="e">
        <f t="shared" ca="1" si="50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51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52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>
      <c r="A233" s="1" t="s">
        <v>390</v>
      </c>
      <c r="B233" s="1"/>
      <c r="C233" s="304">
        <f t="shared" si="47"/>
        <v>1389.3333333333335</v>
      </c>
      <c r="D233" s="321">
        <v>56</v>
      </c>
      <c r="E233" s="308" t="s">
        <v>364</v>
      </c>
      <c r="F233" s="2">
        <f t="shared" si="48"/>
        <v>-8</v>
      </c>
      <c r="G233" s="321">
        <f ca="1">G221</f>
        <v>57</v>
      </c>
      <c r="H233" s="308" t="s">
        <v>364</v>
      </c>
      <c r="I233" s="2">
        <f t="shared" ca="1" si="49"/>
        <v>-8</v>
      </c>
      <c r="J233" s="2"/>
      <c r="K233" s="321" t="str">
        <f>K221</f>
        <v xml:space="preserve"> </v>
      </c>
      <c r="L233" s="308" t="s">
        <v>364</v>
      </c>
      <c r="M233" s="2">
        <f t="shared" si="50"/>
        <v>0</v>
      </c>
      <c r="N233" s="2"/>
      <c r="O233" s="321" t="e">
        <f>O221</f>
        <v>#DIV/0!</v>
      </c>
      <c r="P233" s="308" t="s">
        <v>364</v>
      </c>
      <c r="Q233" s="2" t="e">
        <f t="shared" si="51"/>
        <v>#DIV/0!</v>
      </c>
      <c r="R233" s="2"/>
      <c r="S233" s="321" t="e">
        <f>S221</f>
        <v>#DIV/0!</v>
      </c>
      <c r="T233" s="308" t="s">
        <v>364</v>
      </c>
      <c r="U233" s="2" t="e">
        <f t="shared" si="52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>
      <c r="A234" s="1" t="s">
        <v>397</v>
      </c>
      <c r="B234" s="1"/>
      <c r="C234" s="304">
        <f t="shared" si="47"/>
        <v>130.39999999999998</v>
      </c>
      <c r="D234" s="322">
        <v>60</v>
      </c>
      <c r="E234" s="308"/>
      <c r="F234" s="2">
        <f t="shared" si="48"/>
        <v>7824</v>
      </c>
      <c r="G234" s="322">
        <f>$G$197</f>
        <v>60</v>
      </c>
      <c r="H234" s="308"/>
      <c r="I234" s="2">
        <f t="shared" si="49"/>
        <v>7824</v>
      </c>
      <c r="J234" s="2"/>
      <c r="K234" s="322">
        <f>$G$197</f>
        <v>60</v>
      </c>
      <c r="L234" s="308"/>
      <c r="M234" s="2">
        <f t="shared" si="50"/>
        <v>0</v>
      </c>
      <c r="N234" s="2"/>
      <c r="O234" s="322" t="e">
        <f>$O$197</f>
        <v>#DIV/0!</v>
      </c>
      <c r="P234" s="308"/>
      <c r="Q234" s="1301" t="e">
        <f>I234*(W207/(W207+X207))</f>
        <v>#DIV/0!</v>
      </c>
      <c r="R234" s="2"/>
      <c r="S234" s="322" t="e">
        <f>$S$197</f>
        <v>#DIV/0!</v>
      </c>
      <c r="T234" s="308"/>
      <c r="U234" s="2" t="e">
        <f t="shared" si="52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>
      <c r="A235" s="1" t="s">
        <v>398</v>
      </c>
      <c r="B235" s="1"/>
      <c r="C235" s="304">
        <f t="shared" si="47"/>
        <v>709.3</v>
      </c>
      <c r="D235" s="324">
        <v>-30</v>
      </c>
      <c r="E235" s="308" t="s">
        <v>364</v>
      </c>
      <c r="F235" s="2">
        <f t="shared" si="48"/>
        <v>-213</v>
      </c>
      <c r="G235" s="324">
        <f>$G$198</f>
        <v>-30</v>
      </c>
      <c r="H235" s="308" t="s">
        <v>364</v>
      </c>
      <c r="I235" s="2">
        <f t="shared" si="49"/>
        <v>-213</v>
      </c>
      <c r="J235" s="2"/>
      <c r="K235" s="324">
        <f>$G$198</f>
        <v>-30</v>
      </c>
      <c r="L235" s="308" t="s">
        <v>364</v>
      </c>
      <c r="M235" s="2">
        <f t="shared" si="50"/>
        <v>-213</v>
      </c>
      <c r="N235" s="2"/>
      <c r="O235" s="324">
        <f>$G$198</f>
        <v>-30</v>
      </c>
      <c r="P235" s="308" t="s">
        <v>364</v>
      </c>
      <c r="Q235" s="2">
        <f t="shared" si="51"/>
        <v>0</v>
      </c>
      <c r="R235" s="2"/>
      <c r="S235" s="324">
        <f>$G$198</f>
        <v>-30</v>
      </c>
      <c r="T235" s="308" t="s">
        <v>364</v>
      </c>
      <c r="U235" s="2">
        <f t="shared" si="52"/>
        <v>0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s="1118" customFormat="1" hidden="1">
      <c r="A236" s="968" t="s">
        <v>862</v>
      </c>
      <c r="C236" s="987">
        <f>C230</f>
        <v>116452.33333333327</v>
      </c>
      <c r="D236" s="254">
        <v>0</v>
      </c>
      <c r="E236" s="1119"/>
      <c r="F236" s="1123"/>
      <c r="G236" s="1128">
        <f>G182</f>
        <v>0</v>
      </c>
      <c r="H236" s="972" t="s">
        <v>364</v>
      </c>
      <c r="I236" s="1123">
        <f t="shared" ref="I236:I238" si="53">I270+I305+I339</f>
        <v>0</v>
      </c>
      <c r="J236" s="1123"/>
      <c r="K236" s="1128" t="str">
        <f>K182</f>
        <v xml:space="preserve"> </v>
      </c>
      <c r="L236" s="972" t="s">
        <v>364</v>
      </c>
      <c r="M236" s="1123">
        <f t="shared" ref="M236:M238" si="54">M270+M305+M339</f>
        <v>0</v>
      </c>
      <c r="N236" s="1123"/>
      <c r="O236" s="1128" t="str">
        <f>O182</f>
        <v xml:space="preserve"> </v>
      </c>
      <c r="P236" s="972" t="s">
        <v>364</v>
      </c>
      <c r="Q236" s="1123">
        <f t="shared" ref="Q236:Q238" si="55">Q270+Q305+Q339</f>
        <v>0</v>
      </c>
      <c r="R236" s="1123"/>
      <c r="S236" s="1128">
        <f>S182</f>
        <v>0</v>
      </c>
      <c r="T236" s="972" t="s">
        <v>364</v>
      </c>
      <c r="U236" s="1123">
        <f t="shared" ref="U236:U238" si="56">U270+U305+U339</f>
        <v>0</v>
      </c>
      <c r="W236" s="784"/>
      <c r="Z236" s="1125"/>
      <c r="AA236" s="1125"/>
      <c r="AF236" s="1119"/>
      <c r="AG236" s="1119"/>
      <c r="AH236" s="1119"/>
      <c r="AI236" s="1119"/>
      <c r="AJ236" s="1119"/>
      <c r="AK236" s="1119"/>
      <c r="AL236" s="1119"/>
      <c r="AM236" s="1119"/>
      <c r="AN236" s="1119"/>
      <c r="AO236" s="1119"/>
      <c r="AP236" s="1119"/>
      <c r="AR236" s="1124"/>
    </row>
    <row r="237" spans="1:44" s="1118" customFormat="1" hidden="1">
      <c r="A237" s="968" t="s">
        <v>863</v>
      </c>
      <c r="C237" s="987">
        <f t="shared" ref="C237:C238" si="57">C231</f>
        <v>524872.66666666698</v>
      </c>
      <c r="D237" s="254">
        <v>0</v>
      </c>
      <c r="E237" s="1119"/>
      <c r="F237" s="1123"/>
      <c r="G237" s="1128">
        <f>G183</f>
        <v>0</v>
      </c>
      <c r="H237" s="972" t="s">
        <v>364</v>
      </c>
      <c r="I237" s="1123">
        <f t="shared" si="53"/>
        <v>0</v>
      </c>
      <c r="J237" s="1123"/>
      <c r="K237" s="1128" t="str">
        <f>K183</f>
        <v xml:space="preserve"> </v>
      </c>
      <c r="L237" s="972" t="s">
        <v>364</v>
      </c>
      <c r="M237" s="1123">
        <f t="shared" si="54"/>
        <v>0</v>
      </c>
      <c r="N237" s="1123"/>
      <c r="O237" s="1128" t="str">
        <f>O183</f>
        <v xml:space="preserve"> </v>
      </c>
      <c r="P237" s="972" t="s">
        <v>364</v>
      </c>
      <c r="Q237" s="1123">
        <f t="shared" si="55"/>
        <v>0</v>
      </c>
      <c r="R237" s="1123"/>
      <c r="S237" s="1128">
        <f>S183</f>
        <v>0</v>
      </c>
      <c r="T237" s="972" t="s">
        <v>364</v>
      </c>
      <c r="U237" s="1123">
        <f t="shared" si="56"/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864</v>
      </c>
      <c r="C238" s="987">
        <f t="shared" si="57"/>
        <v>933865</v>
      </c>
      <c r="D238" s="254"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53"/>
        <v>0</v>
      </c>
      <c r="J238" s="1123"/>
      <c r="K238" s="1128" t="str">
        <f>K184</f>
        <v xml:space="preserve"> </v>
      </c>
      <c r="L238" s="972" t="s">
        <v>364</v>
      </c>
      <c r="M238" s="1123">
        <f t="shared" ca="1" si="54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55"/>
        <v>0</v>
      </c>
      <c r="R238" s="1123"/>
      <c r="S238" s="1128">
        <f>S184</f>
        <v>0</v>
      </c>
      <c r="T238" s="972" t="s">
        <v>364</v>
      </c>
      <c r="U238" s="1123">
        <f t="shared" si="56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>
      <c r="A239" s="1" t="s">
        <v>371</v>
      </c>
      <c r="B239" s="249"/>
      <c r="C239" s="304">
        <f t="shared" ref="C239" si="58">C308+C342+C273</f>
        <v>530851621.18193215</v>
      </c>
      <c r="D239" s="315"/>
      <c r="E239" s="308"/>
      <c r="F239" s="2">
        <f t="shared" ref="F239" si="59">F308+F342+F273</f>
        <v>47927650</v>
      </c>
      <c r="G239" s="315"/>
      <c r="H239" s="308"/>
      <c r="I239" s="2">
        <f t="shared" ref="I239" ca="1" si="60">I308+I342+I273</f>
        <v>48746113</v>
      </c>
      <c r="J239" s="2"/>
      <c r="K239" s="315"/>
      <c r="L239" s="308"/>
      <c r="M239" s="2" t="e">
        <f t="shared" ref="M239" ca="1" si="61">M308+M342+M273</f>
        <v>#REF!</v>
      </c>
      <c r="N239" s="2"/>
      <c r="O239" s="315"/>
      <c r="P239" s="308"/>
      <c r="Q239" s="2" t="e">
        <f t="shared" ref="Q239" ca="1" si="62">Q308+Q342+Q273</f>
        <v>#DIV/0!</v>
      </c>
      <c r="R239" s="2"/>
      <c r="S239" s="315"/>
      <c r="T239" s="308"/>
      <c r="U239" s="2" t="e">
        <f t="shared" ref="U239" ca="1" si="63">U308+U342+U273</f>
        <v>#DIV/0!</v>
      </c>
      <c r="V239" s="20"/>
      <c r="W239" s="74"/>
      <c r="X239" s="74"/>
      <c r="Y239" s="74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R239" s="84"/>
    </row>
    <row r="240" spans="1:44">
      <c r="A240" s="1" t="s">
        <v>353</v>
      </c>
      <c r="B240" s="332"/>
      <c r="C240" s="325">
        <f ca="1">C274+C309+C343</f>
        <v>3809581.6993984496</v>
      </c>
      <c r="D240" s="294"/>
      <c r="E240" s="294"/>
      <c r="F240" s="326">
        <f ca="1">F274+F309+F343</f>
        <v>396041.247892012</v>
      </c>
      <c r="G240" s="294"/>
      <c r="H240" s="294"/>
      <c r="I240" s="326">
        <f ca="1">F240</f>
        <v>396041.247892012</v>
      </c>
      <c r="J240" s="307"/>
      <c r="K240" s="294"/>
      <c r="L240" s="294"/>
      <c r="M240" s="326" t="e">
        <f ca="1">$I$240*V207/($V$207+$W$207+$X$207)</f>
        <v>#DIV/0!</v>
      </c>
      <c r="N240" s="51"/>
      <c r="O240" s="294"/>
      <c r="P240" s="294"/>
      <c r="Q240" s="738" t="e">
        <f ca="1">$I$240*W207/($V$207+$W$207+$X$207)</f>
        <v>#DIV/0!</v>
      </c>
      <c r="R240" s="51"/>
      <c r="S240" s="294"/>
      <c r="T240" s="294"/>
      <c r="U240" s="738" t="e">
        <f ca="1">$I$240*X207/($V$207+$W$207+$X$207)</f>
        <v>#DIV/0!</v>
      </c>
      <c r="V240" s="429"/>
      <c r="W240" s="272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t="16.5" thickBot="1">
      <c r="A241" s="1" t="s">
        <v>372</v>
      </c>
      <c r="B241" s="1"/>
      <c r="C241" s="296">
        <f ca="1">SUM(C239:C240)</f>
        <v>534661202.88133061</v>
      </c>
      <c r="D241" s="327"/>
      <c r="E241" s="330"/>
      <c r="F241" s="329">
        <f ca="1">F239+F240</f>
        <v>48323691.247892015</v>
      </c>
      <c r="G241" s="327"/>
      <c r="H241" s="330"/>
      <c r="I241" s="329">
        <f ca="1">I239+I240</f>
        <v>49142154.247892015</v>
      </c>
      <c r="J241" s="307"/>
      <c r="K241" s="327"/>
      <c r="L241" s="330"/>
      <c r="M241" s="329" t="e">
        <f ca="1">M239+M240</f>
        <v>#REF!</v>
      </c>
      <c r="N241" s="329"/>
      <c r="O241" s="327"/>
      <c r="P241" s="330"/>
      <c r="Q241" s="329" t="e">
        <f ca="1">Q239+Q240</f>
        <v>#DIV/0!</v>
      </c>
      <c r="R241" s="329"/>
      <c r="S241" s="327"/>
      <c r="T241" s="330"/>
      <c r="U241" s="329" t="e">
        <f ca="1">U239+U240</f>
        <v>#DIV/0!</v>
      </c>
      <c r="V241" s="396"/>
      <c r="W241" s="455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thickTop="1">
      <c r="A242" s="1"/>
      <c r="B242" s="1"/>
      <c r="C242" s="21"/>
      <c r="D242" s="322"/>
      <c r="E242" s="1"/>
      <c r="F242" s="2"/>
      <c r="G242" s="322"/>
      <c r="H242" s="1"/>
      <c r="I242" s="2" t="s">
        <v>31</v>
      </c>
      <c r="J242" s="2"/>
      <c r="K242" s="322"/>
      <c r="L242" s="1"/>
      <c r="M242" s="2" t="s">
        <v>31</v>
      </c>
      <c r="N242" s="2"/>
      <c r="O242" s="322"/>
      <c r="P242" s="1"/>
      <c r="Q242" s="2" t="s">
        <v>31</v>
      </c>
      <c r="R242" s="2"/>
      <c r="S242" s="322"/>
      <c r="T242" s="1"/>
      <c r="U242" s="2" t="s">
        <v>31</v>
      </c>
      <c r="V242" s="20"/>
      <c r="W242" s="74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>
      <c r="A243" s="278" t="s">
        <v>377</v>
      </c>
      <c r="B243" s="1"/>
      <c r="C243" s="1"/>
      <c r="D243" s="2"/>
      <c r="E243" s="1"/>
      <c r="F243" s="1"/>
      <c r="G243" s="2"/>
      <c r="H243" s="1"/>
      <c r="I243" s="1"/>
      <c r="J243" s="1"/>
      <c r="K243" s="2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>
      <c r="A244" s="1" t="s">
        <v>759</v>
      </c>
      <c r="B244" s="1"/>
      <c r="C244" s="1"/>
      <c r="D244" s="2"/>
      <c r="E244" s="1"/>
      <c r="F244" s="1"/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>
      <c r="A245" s="333" t="s">
        <v>31</v>
      </c>
      <c r="B245" s="1"/>
      <c r="C245" s="2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>
      <c r="A246" s="1" t="s">
        <v>383</v>
      </c>
      <c r="B246" s="1"/>
      <c r="C246" s="304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>
      <c r="A247" s="1" t="s">
        <v>380</v>
      </c>
      <c r="B247" s="1"/>
      <c r="C247" s="304">
        <v>38513.06666666727</v>
      </c>
      <c r="D247" s="283">
        <v>9.6</v>
      </c>
      <c r="E247" s="308"/>
      <c r="F247" s="2">
        <f>ROUND(D247*$C247,0)</f>
        <v>369725</v>
      </c>
      <c r="G247" s="283">
        <f ca="1">$G$172</f>
        <v>9.76</v>
      </c>
      <c r="H247" s="308"/>
      <c r="I247" s="2">
        <f ca="1">ROUND(G247*$C247,0)</f>
        <v>375888</v>
      </c>
      <c r="J247" s="2"/>
      <c r="K247" s="283">
        <f ca="1">$K$172</f>
        <v>9.76</v>
      </c>
      <c r="L247" s="308"/>
      <c r="M247" s="2">
        <f ca="1">ROUND(K247*$C247,0)</f>
        <v>375888</v>
      </c>
      <c r="N247" s="2"/>
      <c r="O247" s="283" t="str">
        <f>$O$172</f>
        <v xml:space="preserve"> </v>
      </c>
      <c r="P247" s="308"/>
      <c r="Q247" s="2">
        <f>ROUND(O247*$C247,0)</f>
        <v>0</v>
      </c>
      <c r="R247" s="2"/>
      <c r="S247" s="283" t="str">
        <f>$S$172</f>
        <v xml:space="preserve"> </v>
      </c>
      <c r="T247" s="308"/>
      <c r="U247" s="2">
        <f>ROUND(S247*$C247,0)</f>
        <v>0</v>
      </c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>
      <c r="A248" s="1" t="s">
        <v>381</v>
      </c>
      <c r="B248" s="1"/>
      <c r="C248" s="304">
        <v>2939.36666666667</v>
      </c>
      <c r="D248" s="283">
        <v>14.3</v>
      </c>
      <c r="E248" s="310"/>
      <c r="F248" s="2">
        <f t="shared" ref="F248:F249" si="64">ROUND(D248*$C248,0)</f>
        <v>42033</v>
      </c>
      <c r="G248" s="283">
        <f ca="1">$G$173</f>
        <v>14.54</v>
      </c>
      <c r="H248" s="310"/>
      <c r="I248" s="2">
        <f ca="1">ROUND(G248*$C248,0)</f>
        <v>42738</v>
      </c>
      <c r="J248" s="2"/>
      <c r="K248" s="283">
        <f ca="1">$K$173</f>
        <v>14.54</v>
      </c>
      <c r="L248" s="310"/>
      <c r="M248" s="2">
        <f ca="1">ROUND(K248*$C248,0)</f>
        <v>42738</v>
      </c>
      <c r="N248" s="2"/>
      <c r="O248" s="283" t="str">
        <f>$O$173</f>
        <v xml:space="preserve"> </v>
      </c>
      <c r="P248" s="310"/>
      <c r="Q248" s="2">
        <f>ROUND(O248*$C248,0)</f>
        <v>0</v>
      </c>
      <c r="R248" s="2"/>
      <c r="S248" s="283" t="str">
        <f>$S$173</f>
        <v xml:space="preserve"> </v>
      </c>
      <c r="T248" s="310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>
      <c r="A249" s="1" t="s">
        <v>382</v>
      </c>
      <c r="B249" s="1"/>
      <c r="C249" s="304">
        <v>21457</v>
      </c>
      <c r="D249" s="283">
        <v>1</v>
      </c>
      <c r="E249" s="310"/>
      <c r="F249" s="2">
        <f t="shared" si="64"/>
        <v>21457</v>
      </c>
      <c r="G249" s="283">
        <f ca="1">$G$174</f>
        <v>1.02</v>
      </c>
      <c r="H249" s="310"/>
      <c r="I249" s="2">
        <f ca="1">ROUND(G249*$C249,0)</f>
        <v>21886</v>
      </c>
      <c r="J249" s="2"/>
      <c r="K249" s="283">
        <f ca="1">$K$174</f>
        <v>1.02</v>
      </c>
      <c r="L249" s="310"/>
      <c r="M249" s="2">
        <f ca="1">ROUND(K249*$C249,0)</f>
        <v>21886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>
      <c r="A250" s="1" t="s">
        <v>384</v>
      </c>
      <c r="B250" s="1"/>
      <c r="C250" s="304">
        <f>SUM(C247:C248)</f>
        <v>41452.433333333938</v>
      </c>
      <c r="D250" s="283"/>
      <c r="E250" s="308"/>
      <c r="F250" s="2"/>
      <c r="G250" s="283"/>
      <c r="H250" s="308"/>
      <c r="I250" s="2"/>
      <c r="J250" s="2"/>
      <c r="K250" s="283"/>
      <c r="L250" s="308"/>
      <c r="M250" s="2"/>
      <c r="N250" s="2"/>
      <c r="O250" s="283"/>
      <c r="P250" s="308"/>
      <c r="Q250" s="2"/>
      <c r="R250" s="2"/>
      <c r="S250" s="283"/>
      <c r="T250" s="308"/>
      <c r="U250" s="2"/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>
      <c r="A251" s="1" t="s">
        <v>385</v>
      </c>
      <c r="B251" s="1"/>
      <c r="C251" s="304">
        <v>15663</v>
      </c>
      <c r="D251" s="311">
        <v>3.64</v>
      </c>
      <c r="E251" s="308"/>
      <c r="F251" s="2">
        <f>ROUND(D251*C251,0)</f>
        <v>57013</v>
      </c>
      <c r="G251" s="311">
        <f ca="1">$G$177</f>
        <v>3.7</v>
      </c>
      <c r="H251" s="308"/>
      <c r="I251" s="2">
        <f ca="1">ROUND(G251*$C251,0)</f>
        <v>57953</v>
      </c>
      <c r="J251" s="2"/>
      <c r="K251" s="311" t="e">
        <f ca="1">$K$177</f>
        <v>#REF!</v>
      </c>
      <c r="L251" s="308"/>
      <c r="M251" s="2" t="e">
        <f ca="1">ROUND(K251*$C251,0)</f>
        <v>#REF!</v>
      </c>
      <c r="N251" s="2"/>
      <c r="O251" s="311" t="e">
        <f ca="1">$O$177</f>
        <v>#DIV/0!</v>
      </c>
      <c r="P251" s="308"/>
      <c r="Q251" s="2" t="e">
        <f ca="1">ROUND(O251*$C251,0)</f>
        <v>#DIV/0!</v>
      </c>
      <c r="R251" s="2"/>
      <c r="S251" s="311" t="e">
        <f ca="1">$S$177</f>
        <v>#DIV/0!</v>
      </c>
      <c r="T251" s="308"/>
      <c r="U251" s="2" t="e">
        <f ca="1">ROUND(S251*$C251,0)</f>
        <v>#DIV/0!</v>
      </c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>
      <c r="A252" s="1" t="s">
        <v>387</v>
      </c>
      <c r="B252" s="304"/>
      <c r="C252" s="304">
        <v>12838882.284157982</v>
      </c>
      <c r="D252" s="284">
        <v>10.449</v>
      </c>
      <c r="E252" s="308" t="s">
        <v>364</v>
      </c>
      <c r="F252" s="2">
        <f>ROUND(D252*C252/100,0)</f>
        <v>1341535</v>
      </c>
      <c r="G252" s="284">
        <f ca="1">$G$178</f>
        <v>10.628</v>
      </c>
      <c r="H252" s="308" t="s">
        <v>364</v>
      </c>
      <c r="I252" s="2">
        <f ca="1">ROUND(G252*$C252/100,0)</f>
        <v>1364516</v>
      </c>
      <c r="J252" s="2"/>
      <c r="K252" s="284" t="e">
        <f ca="1">$K$178</f>
        <v>#REF!</v>
      </c>
      <c r="L252" s="308" t="s">
        <v>364</v>
      </c>
      <c r="M252" s="2" t="e">
        <f ca="1">ROUND(K252*$C252/100,0)</f>
        <v>#REF!</v>
      </c>
      <c r="N252" s="2"/>
      <c r="O252" s="284" t="e">
        <f ca="1">$O$178</f>
        <v>#DIV/0!</v>
      </c>
      <c r="P252" s="308" t="s">
        <v>364</v>
      </c>
      <c r="Q252" s="2" t="e">
        <f ca="1">ROUND(O252*$C252/100,0)</f>
        <v>#DIV/0!</v>
      </c>
      <c r="R252" s="2"/>
      <c r="S252" s="284" t="e">
        <f ca="1">$S$178</f>
        <v>#DIV/0!</v>
      </c>
      <c r="T252" s="308" t="s">
        <v>364</v>
      </c>
      <c r="U252" s="2" t="e">
        <f ca="1">ROUND(S252*$C252/100,0)</f>
        <v>#DIV/0!</v>
      </c>
      <c r="V252" s="458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>
      <c r="A253" s="1" t="s">
        <v>388</v>
      </c>
      <c r="B253" s="304"/>
      <c r="C253" s="304">
        <v>6928716.389879657</v>
      </c>
      <c r="D253" s="284">
        <v>7.218</v>
      </c>
      <c r="E253" s="308" t="s">
        <v>364</v>
      </c>
      <c r="F253" s="2">
        <f>ROUND(D253*C253/100,0)</f>
        <v>500115</v>
      </c>
      <c r="G253" s="284">
        <f ca="1">$G$179</f>
        <v>7.3410000000000002</v>
      </c>
      <c r="H253" s="308" t="s">
        <v>364</v>
      </c>
      <c r="I253" s="2">
        <f ca="1">ROUND(G253*$C253/100,0)</f>
        <v>508637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>
      <c r="A254" s="1" t="s">
        <v>389</v>
      </c>
      <c r="B254" s="304"/>
      <c r="C254" s="304">
        <v>1198686.3021607364</v>
      </c>
      <c r="D254" s="284">
        <v>6.218</v>
      </c>
      <c r="E254" s="308" t="s">
        <v>364</v>
      </c>
      <c r="F254" s="2">
        <f>ROUND(D254*C254/100,0)</f>
        <v>74534</v>
      </c>
      <c r="G254" s="284">
        <f ca="1">$G$180</f>
        <v>6.3240000000000007</v>
      </c>
      <c r="H254" s="308" t="s">
        <v>364</v>
      </c>
      <c r="I254" s="2">
        <f ca="1">ROUND(G254*$C254/100,0)</f>
        <v>75805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>
      <c r="A255" s="1" t="s">
        <v>390</v>
      </c>
      <c r="B255" s="21"/>
      <c r="C255" s="304">
        <v>84.1666666666667</v>
      </c>
      <c r="D255" s="315">
        <v>56</v>
      </c>
      <c r="E255" s="308" t="s">
        <v>364</v>
      </c>
      <c r="F255" s="2">
        <f>ROUND(D255*C255/100,0)</f>
        <v>47</v>
      </c>
      <c r="G255" s="315">
        <f ca="1">$G$181</f>
        <v>57</v>
      </c>
      <c r="H255" s="308" t="s">
        <v>364</v>
      </c>
      <c r="I255" s="2">
        <f ca="1">ROUND(G255*$C255/100,0)</f>
        <v>48</v>
      </c>
      <c r="J255" s="2"/>
      <c r="K255" s="315" t="str">
        <f>$K$181</f>
        <v xml:space="preserve"> </v>
      </c>
      <c r="L255" s="308" t="s">
        <v>364</v>
      </c>
      <c r="M255" s="2">
        <f>ROUND(K255*$C255/100,0)</f>
        <v>0</v>
      </c>
      <c r="N255" s="2"/>
      <c r="O255" s="315" t="e">
        <f>$O$181</f>
        <v>#DIV/0!</v>
      </c>
      <c r="P255" s="308" t="s">
        <v>364</v>
      </c>
      <c r="Q255" s="2" t="e">
        <f>ROUND(O255*$C255/100,0)</f>
        <v>#DIV/0!</v>
      </c>
      <c r="R255" s="2"/>
      <c r="S255" s="315" t="e">
        <f>$S$181</f>
        <v>#DIV/0!</v>
      </c>
      <c r="T255" s="308" t="s">
        <v>364</v>
      </c>
      <c r="U255" s="2" t="e">
        <f>ROUND(S255*$C255/100,0)</f>
        <v>#DIV/0!</v>
      </c>
      <c r="V255" s="20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s="1118" customFormat="1" hidden="1">
      <c r="A256" s="968" t="s">
        <v>862</v>
      </c>
      <c r="C256" s="1122">
        <f>C252</f>
        <v>12838882.284157982</v>
      </c>
      <c r="D256" s="254">
        <v>0</v>
      </c>
      <c r="E256" s="1119"/>
      <c r="F256" s="1123"/>
      <c r="G256" s="1128">
        <f>G182</f>
        <v>0</v>
      </c>
      <c r="H256" s="972" t="s">
        <v>364</v>
      </c>
      <c r="I256" s="1123">
        <f t="shared" ref="I256:I258" si="65">ROUND(G256*$C256/100,0)</f>
        <v>0</v>
      </c>
      <c r="J256" s="1123"/>
      <c r="K256" s="1128" t="str">
        <f>K182</f>
        <v xml:space="preserve"> </v>
      </c>
      <c r="L256" s="972" t="s">
        <v>364</v>
      </c>
      <c r="M256" s="1123">
        <f t="shared" ref="M256:M258" si="66">ROUND(K256*$C256/100,0)</f>
        <v>0</v>
      </c>
      <c r="N256" s="1123"/>
      <c r="O256" s="1128" t="str">
        <f>O182</f>
        <v xml:space="preserve"> </v>
      </c>
      <c r="P256" s="972" t="s">
        <v>364</v>
      </c>
      <c r="Q256" s="1123">
        <f t="shared" ref="Q256:Q258" si="67">ROUND(O256*$C256/100,0)</f>
        <v>0</v>
      </c>
      <c r="R256" s="1123"/>
      <c r="S256" s="1128">
        <f>S182</f>
        <v>0</v>
      </c>
      <c r="T256" s="972" t="s">
        <v>364</v>
      </c>
      <c r="U256" s="1123">
        <f t="shared" ref="U256:U258" si="68">ROUND(S256*$C256/100,0)</f>
        <v>0</v>
      </c>
      <c r="W256" s="784"/>
      <c r="Z256" s="1125"/>
      <c r="AA256" s="1125"/>
      <c r="AF256" s="1119"/>
      <c r="AG256" s="1119"/>
      <c r="AH256" s="1119"/>
      <c r="AI256" s="1119"/>
      <c r="AJ256" s="1119"/>
      <c r="AK256" s="1119"/>
      <c r="AL256" s="1119"/>
      <c r="AM256" s="1119"/>
      <c r="AN256" s="1119"/>
      <c r="AO256" s="1119"/>
      <c r="AP256" s="1119"/>
      <c r="AR256" s="1124"/>
    </row>
    <row r="257" spans="1:44" s="1118" customFormat="1" hidden="1">
      <c r="A257" s="968" t="s">
        <v>863</v>
      </c>
      <c r="C257" s="1122">
        <f>C253</f>
        <v>6928716.389879657</v>
      </c>
      <c r="D257" s="254">
        <v>0</v>
      </c>
      <c r="E257" s="1119"/>
      <c r="F257" s="1123"/>
      <c r="G257" s="1128">
        <f>G183</f>
        <v>0</v>
      </c>
      <c r="H257" s="972" t="s">
        <v>364</v>
      </c>
      <c r="I257" s="1123">
        <f t="shared" si="65"/>
        <v>0</v>
      </c>
      <c r="J257" s="1123"/>
      <c r="K257" s="1128" t="str">
        <f>K183</f>
        <v xml:space="preserve"> </v>
      </c>
      <c r="L257" s="972" t="s">
        <v>364</v>
      </c>
      <c r="M257" s="1123">
        <f t="shared" si="66"/>
        <v>0</v>
      </c>
      <c r="N257" s="1123"/>
      <c r="O257" s="1128" t="str">
        <f>O183</f>
        <v xml:space="preserve"> </v>
      </c>
      <c r="P257" s="972" t="s">
        <v>364</v>
      </c>
      <c r="Q257" s="1123">
        <f t="shared" si="67"/>
        <v>0</v>
      </c>
      <c r="R257" s="1123"/>
      <c r="S257" s="1128">
        <f>S183</f>
        <v>0</v>
      </c>
      <c r="T257" s="972" t="s">
        <v>364</v>
      </c>
      <c r="U257" s="1123">
        <f t="shared" si="68"/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864</v>
      </c>
      <c r="C258" s="1122">
        <f>C254</f>
        <v>1198686.3021607364</v>
      </c>
      <c r="D258" s="254"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65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66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67"/>
        <v>0</v>
      </c>
      <c r="R258" s="1123"/>
      <c r="S258" s="1128">
        <f>S184</f>
        <v>0</v>
      </c>
      <c r="T258" s="972" t="s">
        <v>364</v>
      </c>
      <c r="U258" s="1123">
        <f t="shared" si="68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>
      <c r="A259" s="316" t="s">
        <v>391</v>
      </c>
      <c r="B259" s="21"/>
      <c r="C259" s="304"/>
      <c r="D259" s="317">
        <v>-0.01</v>
      </c>
      <c r="E259" s="308"/>
      <c r="F259" s="2"/>
      <c r="G259" s="317">
        <v>-0.01</v>
      </c>
      <c r="H259" s="308"/>
      <c r="I259" s="2"/>
      <c r="J259" s="2"/>
      <c r="K259" s="317">
        <v>-0.01</v>
      </c>
      <c r="L259" s="308"/>
      <c r="M259" s="2"/>
      <c r="N259" s="2"/>
      <c r="O259" s="317">
        <v>-0.01</v>
      </c>
      <c r="P259" s="308"/>
      <c r="Q259" s="2"/>
      <c r="R259" s="2"/>
      <c r="S259" s="317">
        <v>-0.01</v>
      </c>
      <c r="T259" s="308"/>
      <c r="U259" s="2"/>
      <c r="V259" s="20"/>
      <c r="W259" s="74"/>
      <c r="X259" s="74"/>
      <c r="Y259" s="74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R259" s="84"/>
    </row>
    <row r="260" spans="1:44">
      <c r="A260" s="1" t="s">
        <v>380</v>
      </c>
      <c r="B260" s="1"/>
      <c r="C260" s="304">
        <v>0</v>
      </c>
      <c r="D260" s="319">
        <v>9.6</v>
      </c>
      <c r="E260" s="306"/>
      <c r="F260" s="2">
        <f>-ROUND(D260*$C260/100,0)</f>
        <v>0</v>
      </c>
      <c r="G260" s="319">
        <f ca="1">G247</f>
        <v>9.76</v>
      </c>
      <c r="H260" s="306"/>
      <c r="I260" s="2">
        <f ca="1">-ROUND(G260*$C260/100,0)</f>
        <v>0</v>
      </c>
      <c r="J260" s="2"/>
      <c r="K260" s="319">
        <f ca="1">K247</f>
        <v>9.76</v>
      </c>
      <c r="L260" s="306"/>
      <c r="M260" s="2">
        <f ca="1">-ROUND(K260*$C260/100,0)</f>
        <v>0</v>
      </c>
      <c r="N260" s="2"/>
      <c r="O260" s="319" t="str">
        <f>O247</f>
        <v xml:space="preserve"> </v>
      </c>
      <c r="P260" s="306"/>
      <c r="Q260" s="2">
        <f>-ROUND(O260*$C260/100,0)</f>
        <v>0</v>
      </c>
      <c r="R260" s="2"/>
      <c r="S260" s="319" t="str">
        <f>S247</f>
        <v xml:space="preserve"> </v>
      </c>
      <c r="T260" s="306"/>
      <c r="U260" s="2">
        <f>-ROUND(S260*$C260/100,0)</f>
        <v>0</v>
      </c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>
      <c r="A261" s="1" t="s">
        <v>381</v>
      </c>
      <c r="B261" s="1"/>
      <c r="C261" s="304">
        <v>0</v>
      </c>
      <c r="D261" s="319">
        <v>14.3</v>
      </c>
      <c r="E261" s="306"/>
      <c r="F261" s="2">
        <f t="shared" ref="F261:F263" si="69">-ROUND(D261*$C261/100,0)</f>
        <v>0</v>
      </c>
      <c r="G261" s="319">
        <f ca="1">G248</f>
        <v>14.54</v>
      </c>
      <c r="H261" s="306"/>
      <c r="I261" s="2">
        <f ca="1">-ROUND(G261*$C261/100,0)</f>
        <v>0</v>
      </c>
      <c r="J261" s="2"/>
      <c r="K261" s="319">
        <f ca="1">K248</f>
        <v>14.54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>
      <c r="A262" s="1" t="s">
        <v>392</v>
      </c>
      <c r="B262" s="1"/>
      <c r="C262" s="304">
        <v>0</v>
      </c>
      <c r="D262" s="319">
        <v>1</v>
      </c>
      <c r="E262" s="306"/>
      <c r="F262" s="2">
        <f t="shared" si="69"/>
        <v>0</v>
      </c>
      <c r="G262" s="319">
        <f ca="1">G249</f>
        <v>1.02</v>
      </c>
      <c r="H262" s="306"/>
      <c r="I262" s="2">
        <f ca="1">-ROUND(G262*$C262/100,0)</f>
        <v>0</v>
      </c>
      <c r="J262" s="2"/>
      <c r="K262" s="319">
        <f ca="1">K249</f>
        <v>1.02</v>
      </c>
      <c r="L262" s="306"/>
      <c r="M262" s="2">
        <f ca="1">-ROUND(K262*$C262/100,0)</f>
        <v>0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>
      <c r="A263" s="1" t="s">
        <v>403</v>
      </c>
      <c r="B263" s="1"/>
      <c r="C263" s="304">
        <f>0</f>
        <v>0</v>
      </c>
      <c r="D263" s="319">
        <v>3.64</v>
      </c>
      <c r="E263" s="308"/>
      <c r="F263" s="2">
        <f t="shared" si="69"/>
        <v>0</v>
      </c>
      <c r="G263" s="319">
        <f ca="1">G251</f>
        <v>3.7</v>
      </c>
      <c r="H263" s="308"/>
      <c r="I263" s="2">
        <f ca="1">-ROUND(G263*$C263/100,0)</f>
        <v>0</v>
      </c>
      <c r="J263" s="2"/>
      <c r="K263" s="319" t="e">
        <f ca="1">K251</f>
        <v>#REF!</v>
      </c>
      <c r="L263" s="308"/>
      <c r="M263" s="2" t="e">
        <f ca="1">-ROUND(K263*$C263/100,0)</f>
        <v>#REF!</v>
      </c>
      <c r="N263" s="2"/>
      <c r="O263" s="319" t="e">
        <f ca="1">O251</f>
        <v>#DIV/0!</v>
      </c>
      <c r="P263" s="308"/>
      <c r="Q263" s="2" t="e">
        <f ca="1">-ROUND(O263*$C263/100,0)</f>
        <v>#DIV/0!</v>
      </c>
      <c r="R263" s="2"/>
      <c r="S263" s="319" t="e">
        <f ca="1">S251</f>
        <v>#DIV/0!</v>
      </c>
      <c r="T263" s="308"/>
      <c r="U263" s="2" t="e">
        <f ca="1">-ROUND(S263*$C263/100,0)</f>
        <v>#DIV/0!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>
      <c r="A264" s="1" t="s">
        <v>395</v>
      </c>
      <c r="B264" s="1"/>
      <c r="C264" s="304">
        <v>0</v>
      </c>
      <c r="D264" s="320">
        <v>10.449</v>
      </c>
      <c r="E264" s="308" t="s">
        <v>364</v>
      </c>
      <c r="F264" s="2">
        <f>ROUND(D264*$C264/100*D259,0)</f>
        <v>0</v>
      </c>
      <c r="G264" s="320">
        <f ca="1">G252</f>
        <v>10.628</v>
      </c>
      <c r="H264" s="308" t="s">
        <v>364</v>
      </c>
      <c r="I264" s="2">
        <f ca="1">ROUND(G264*$C264/100*G259,0)</f>
        <v>0</v>
      </c>
      <c r="J264" s="2"/>
      <c r="K264" s="320" t="e">
        <f ca="1">K252</f>
        <v>#REF!</v>
      </c>
      <c r="L264" s="308" t="s">
        <v>364</v>
      </c>
      <c r="M264" s="2" t="e">
        <f ca="1">ROUND(K264*$C264/100*K259,0)</f>
        <v>#REF!</v>
      </c>
      <c r="N264" s="2"/>
      <c r="O264" s="320" t="e">
        <f ca="1">O252</f>
        <v>#DIV/0!</v>
      </c>
      <c r="P264" s="308" t="s">
        <v>364</v>
      </c>
      <c r="Q264" s="2" t="e">
        <f ca="1">ROUND(O264*$C264/100*O259,0)</f>
        <v>#DIV/0!</v>
      </c>
      <c r="R264" s="2"/>
      <c r="S264" s="320" t="e">
        <f ca="1">S252</f>
        <v>#DIV/0!</v>
      </c>
      <c r="T264" s="308" t="s">
        <v>364</v>
      </c>
      <c r="U264" s="2" t="e">
        <f ca="1">ROUND(S264*$C264/100*S259,0)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>
      <c r="A265" s="1" t="s">
        <v>388</v>
      </c>
      <c r="B265" s="1"/>
      <c r="C265" s="304">
        <v>0</v>
      </c>
      <c r="D265" s="320">
        <v>7.218</v>
      </c>
      <c r="E265" s="308" t="s">
        <v>364</v>
      </c>
      <c r="F265" s="2">
        <f>ROUND(D265*$C265/100*D259,0)</f>
        <v>0</v>
      </c>
      <c r="G265" s="320">
        <f ca="1">G253</f>
        <v>7.3410000000000002</v>
      </c>
      <c r="H265" s="308" t="s">
        <v>364</v>
      </c>
      <c r="I265" s="2">
        <f ca="1">ROUND(G265*$C265/100*G259,0)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ROUND(K265*$C265/100*K259,0)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ROUND(O265*$C265/100*O259,0)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ROUND(S265*$C265/100*S259,0)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>
      <c r="A266" s="1" t="s">
        <v>389</v>
      </c>
      <c r="B266" s="1"/>
      <c r="C266" s="304">
        <v>0</v>
      </c>
      <c r="D266" s="320">
        <v>6.218</v>
      </c>
      <c r="E266" s="308" t="s">
        <v>364</v>
      </c>
      <c r="F266" s="2">
        <f>ROUND(D266*$C266/100*D259,0)</f>
        <v>0</v>
      </c>
      <c r="G266" s="320">
        <f ca="1">G254</f>
        <v>6.3240000000000007</v>
      </c>
      <c r="H266" s="308" t="s">
        <v>364</v>
      </c>
      <c r="I266" s="2">
        <f ca="1">ROUND(G266*$C266/100*G259,0)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ROUND(K266*$C266/100*K259,0)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ROUND(O266*$C266/100*O259,0)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ROUND(S266*$C266/100*S259,0)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>
      <c r="A267" s="1" t="s">
        <v>390</v>
      </c>
      <c r="B267" s="1"/>
      <c r="C267" s="304">
        <v>0</v>
      </c>
      <c r="D267" s="321">
        <v>56</v>
      </c>
      <c r="E267" s="308" t="s">
        <v>364</v>
      </c>
      <c r="F267" s="2">
        <f>ROUND(D267*$C267/100*D259,0)</f>
        <v>0</v>
      </c>
      <c r="G267" s="321">
        <f ca="1">G255</f>
        <v>57</v>
      </c>
      <c r="H267" s="308" t="s">
        <v>364</v>
      </c>
      <c r="I267" s="2">
        <f ca="1">ROUND(G267*$C267/100*G259,0)</f>
        <v>0</v>
      </c>
      <c r="J267" s="2"/>
      <c r="K267" s="321" t="str">
        <f>K255</f>
        <v xml:space="preserve"> </v>
      </c>
      <c r="L267" s="308" t="s">
        <v>364</v>
      </c>
      <c r="M267" s="2">
        <f>ROUND(K267*$C267/100*K259,0)</f>
        <v>0</v>
      </c>
      <c r="N267" s="2"/>
      <c r="O267" s="321" t="e">
        <f>O255</f>
        <v>#DIV/0!</v>
      </c>
      <c r="P267" s="308" t="s">
        <v>364</v>
      </c>
      <c r="Q267" s="2" t="e">
        <f>ROUND(O267*$C267/100*O259,0)</f>
        <v>#DIV/0!</v>
      </c>
      <c r="R267" s="2"/>
      <c r="S267" s="321" t="e">
        <f>S255</f>
        <v>#DIV/0!</v>
      </c>
      <c r="T267" s="308" t="s">
        <v>364</v>
      </c>
      <c r="U267" s="2" t="e">
        <f>ROUND(S267*$C267/100*S259,0)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>
      <c r="A268" s="1" t="s">
        <v>397</v>
      </c>
      <c r="B268" s="1"/>
      <c r="C268" s="304">
        <v>0</v>
      </c>
      <c r="D268" s="322">
        <v>60</v>
      </c>
      <c r="E268" s="308"/>
      <c r="F268" s="2">
        <f>ROUND(D268*C268,0)</f>
        <v>0</v>
      </c>
      <c r="G268" s="322">
        <f>$G$197</f>
        <v>60</v>
      </c>
      <c r="H268" s="308"/>
      <c r="I268" s="2">
        <f>ROUND(G268*$C268,0)</f>
        <v>0</v>
      </c>
      <c r="J268" s="2"/>
      <c r="K268" s="311" t="s">
        <v>31</v>
      </c>
      <c r="L268" s="308"/>
      <c r="M268" s="999">
        <f>K268*C268</f>
        <v>0</v>
      </c>
      <c r="N268" s="307"/>
      <c r="O268" s="286" t="e">
        <f>O197</f>
        <v>#DIV/0!</v>
      </c>
      <c r="P268" s="308"/>
      <c r="Q268" s="999" t="e">
        <f>I268*(W207/(W207+X207))</f>
        <v>#DIV/0!</v>
      </c>
      <c r="R268" s="307"/>
      <c r="S268" s="286" t="e">
        <f>S197</f>
        <v>#DIV/0!</v>
      </c>
      <c r="T268" s="308"/>
      <c r="U268" s="999" t="e">
        <f>I268*(X207/(W207+X207))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>
      <c r="A269" s="1" t="s">
        <v>398</v>
      </c>
      <c r="B269" s="1"/>
      <c r="C269" s="304">
        <v>0</v>
      </c>
      <c r="D269" s="324">
        <v>-30</v>
      </c>
      <c r="E269" s="308" t="s">
        <v>364</v>
      </c>
      <c r="F269" s="2">
        <f>ROUND(D269*C269/100,0)</f>
        <v>0</v>
      </c>
      <c r="G269" s="324">
        <f>$G$198</f>
        <v>-30</v>
      </c>
      <c r="H269" s="308" t="s">
        <v>364</v>
      </c>
      <c r="I269" s="2">
        <f>ROUND(G269*$C269/100,0)</f>
        <v>0</v>
      </c>
      <c r="J269" s="2"/>
      <c r="K269" s="324">
        <f>'Blocking - detail'!$I$173</f>
        <v>-30</v>
      </c>
      <c r="L269" s="308" t="s">
        <v>364</v>
      </c>
      <c r="M269" s="307">
        <f>I269</f>
        <v>0</v>
      </c>
      <c r="N269" s="307"/>
      <c r="O269" s="1281" t="s">
        <v>31</v>
      </c>
      <c r="P269" s="308" t="s">
        <v>31</v>
      </c>
      <c r="Q269" s="307">
        <f>O269*C269*O259</f>
        <v>0</v>
      </c>
      <c r="R269" s="307"/>
      <c r="S269" s="1281" t="s">
        <v>31</v>
      </c>
      <c r="T269" s="308" t="s">
        <v>31</v>
      </c>
      <c r="U269" s="307">
        <f>S269*D269*S259</f>
        <v>0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s="1118" customFormat="1" hidden="1">
      <c r="A270" s="968" t="s">
        <v>862</v>
      </c>
      <c r="C270" s="1122">
        <f>C252</f>
        <v>12838882.284157982</v>
      </c>
      <c r="D270" s="254">
        <v>0</v>
      </c>
      <c r="E270" s="1119"/>
      <c r="F270" s="1123"/>
      <c r="G270" s="1128">
        <f>G182</f>
        <v>0</v>
      </c>
      <c r="H270" s="972" t="s">
        <v>364</v>
      </c>
      <c r="I270" s="1123">
        <f>ROUND(G270*$C270/100*G259,0)</f>
        <v>0</v>
      </c>
      <c r="J270" s="1123"/>
      <c r="K270" s="1128" t="str">
        <f>K182</f>
        <v xml:space="preserve"> </v>
      </c>
      <c r="L270" s="972" t="s">
        <v>364</v>
      </c>
      <c r="M270" s="1123">
        <f>ROUND(K270*$C270/100*K259,0)</f>
        <v>0</v>
      </c>
      <c r="N270" s="1123"/>
      <c r="O270" s="1128" t="str">
        <f>O182</f>
        <v xml:space="preserve"> </v>
      </c>
      <c r="P270" s="972" t="s">
        <v>364</v>
      </c>
      <c r="Q270" s="1123">
        <f>ROUND(O270*$C270/100*O259,0)</f>
        <v>0</v>
      </c>
      <c r="R270" s="1123"/>
      <c r="S270" s="1128">
        <f>S182</f>
        <v>0</v>
      </c>
      <c r="T270" s="972" t="s">
        <v>364</v>
      </c>
      <c r="U270" s="1123">
        <f>ROUND(S270*$C270/100*S259,0)</f>
        <v>0</v>
      </c>
      <c r="W270" s="784"/>
      <c r="Z270" s="1125"/>
      <c r="AA270" s="1125"/>
      <c r="AF270" s="1119"/>
      <c r="AG270" s="1119"/>
      <c r="AH270" s="1119"/>
      <c r="AI270" s="1119"/>
      <c r="AJ270" s="1119"/>
      <c r="AK270" s="1119"/>
      <c r="AL270" s="1119"/>
      <c r="AM270" s="1119"/>
      <c r="AN270" s="1119"/>
      <c r="AO270" s="1119"/>
      <c r="AP270" s="1119"/>
      <c r="AR270" s="1124"/>
    </row>
    <row r="271" spans="1:44" s="1118" customFormat="1" hidden="1">
      <c r="A271" s="968" t="s">
        <v>863</v>
      </c>
      <c r="C271" s="1122">
        <f>C253</f>
        <v>6928716.389879657</v>
      </c>
      <c r="D271" s="254"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ROUND(G271*$C271/100*G259,0)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ROUND(K271*$C271/100*K259,0)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ROUND(O271*$C271/100*O259,0)</f>
        <v>0</v>
      </c>
      <c r="R271" s="1123"/>
      <c r="S271" s="1128">
        <f>S183</f>
        <v>0</v>
      </c>
      <c r="T271" s="972" t="s">
        <v>364</v>
      </c>
      <c r="U271" s="1123">
        <f>ROUND(S271*$C271/100*S259,0)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864</v>
      </c>
      <c r="C272" s="1122">
        <f>C254</f>
        <v>1198686.3021607364</v>
      </c>
      <c r="D272" s="254"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ROUND(G272*$C272/100*G259,0)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ROUND(K272*$C272/100*K259,0)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ROUND(O272*$C272/100*O259,0)</f>
        <v>0</v>
      </c>
      <c r="R272" s="1123"/>
      <c r="S272" s="1128">
        <f>S184</f>
        <v>0</v>
      </c>
      <c r="T272" s="972" t="s">
        <v>364</v>
      </c>
      <c r="U272" s="1123">
        <f>ROUND(S272*$C272/100*S259,0)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>
      <c r="A273" s="1" t="s">
        <v>371</v>
      </c>
      <c r="B273" s="292"/>
      <c r="C273" s="304">
        <f>SUM(C252:C254)</f>
        <v>20966284.976198375</v>
      </c>
      <c r="D273" s="315"/>
      <c r="E273" s="308"/>
      <c r="F273" s="2">
        <f>SUM(F247:F269)</f>
        <v>2406459</v>
      </c>
      <c r="G273" s="315"/>
      <c r="H273" s="308"/>
      <c r="I273" s="2">
        <f ca="1">SUM(I247:I272)</f>
        <v>2447471</v>
      </c>
      <c r="J273" s="2"/>
      <c r="K273" s="315"/>
      <c r="L273" s="308"/>
      <c r="M273" s="2" t="e">
        <f ca="1">SUM(M247:M272)</f>
        <v>#REF!</v>
      </c>
      <c r="N273" s="2"/>
      <c r="O273" s="315"/>
      <c r="P273" s="308"/>
      <c r="Q273" s="2" t="e">
        <f ca="1">SUM(Q247:Q272)</f>
        <v>#DIV/0!</v>
      </c>
      <c r="R273" s="2"/>
      <c r="S273" s="315"/>
      <c r="T273" s="308"/>
      <c r="U273" s="2" t="e">
        <f ca="1">SUM(U247:U272)</f>
        <v>#DIV/0!</v>
      </c>
      <c r="V273" s="401"/>
      <c r="W273" s="74"/>
      <c r="X273" s="74"/>
      <c r="Y273" s="74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R273" s="84"/>
    </row>
    <row r="274" spans="1:44">
      <c r="A274" s="1" t="s">
        <v>353</v>
      </c>
      <c r="B274" s="1"/>
      <c r="C274" s="334">
        <f>'Table 2'!H18</f>
        <v>278028.18415744783</v>
      </c>
      <c r="D274" s="294"/>
      <c r="E274" s="294"/>
      <c r="F274" s="326">
        <f>'Table 3'!E18</f>
        <v>35708.181559390563</v>
      </c>
      <c r="G274" s="294"/>
      <c r="H274" s="294"/>
      <c r="I274" s="326">
        <f>F274</f>
        <v>35708.181559390563</v>
      </c>
      <c r="J274" s="307"/>
      <c r="K274" s="294"/>
      <c r="L274" s="294"/>
      <c r="M274" s="326" t="e">
        <f>$I$274*V207/($V$207+$W$207+$X$207)</f>
        <v>#DIV/0!</v>
      </c>
      <c r="N274" s="51"/>
      <c r="O274" s="294"/>
      <c r="P274" s="294"/>
      <c r="Q274" s="326" t="e">
        <f>$I$274*W207/($V$207+$W$207+$X$207)</f>
        <v>#DIV/0!</v>
      </c>
      <c r="R274" s="51"/>
      <c r="S274" s="294"/>
      <c r="T274" s="294"/>
      <c r="U274" s="326" t="e">
        <f>$I$274*X207/($V$207+$W$207+$X$207)</f>
        <v>#DIV/0!</v>
      </c>
      <c r="V274" s="429"/>
      <c r="W274" s="272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t="16.5" thickBot="1">
      <c r="A275" s="1" t="s">
        <v>372</v>
      </c>
      <c r="B275" s="1"/>
      <c r="C275" s="296">
        <f>SUM(C273:C274)</f>
        <v>21244313.160355821</v>
      </c>
      <c r="D275" s="327"/>
      <c r="E275" s="330"/>
      <c r="F275" s="329">
        <f>F273+F274</f>
        <v>2442167.1815593904</v>
      </c>
      <c r="G275" s="327"/>
      <c r="H275" s="330"/>
      <c r="I275" s="329">
        <f ca="1">I273+I274</f>
        <v>2483179.1815593904</v>
      </c>
      <c r="J275" s="307"/>
      <c r="K275" s="327"/>
      <c r="L275" s="330"/>
      <c r="M275" s="329" t="e">
        <f ca="1">M273+M274</f>
        <v>#REF!</v>
      </c>
      <c r="N275" s="329"/>
      <c r="O275" s="327"/>
      <c r="P275" s="330"/>
      <c r="Q275" s="329" t="e">
        <f ca="1">Q273+Q274</f>
        <v>#DIV/0!</v>
      </c>
      <c r="R275" s="329"/>
      <c r="S275" s="327"/>
      <c r="T275" s="330"/>
      <c r="U275" s="329" t="e">
        <f ca="1">U273+U274</f>
        <v>#DIV/0!</v>
      </c>
      <c r="V275" s="396"/>
      <c r="W275" s="455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thickTop="1">
      <c r="A276" s="1"/>
      <c r="B276" s="1"/>
      <c r="C276" s="21"/>
      <c r="D276" s="322"/>
      <c r="E276" s="1"/>
      <c r="F276" s="2"/>
      <c r="G276" s="322"/>
      <c r="H276" s="1"/>
      <c r="I276" s="2" t="s">
        <v>31</v>
      </c>
      <c r="J276" s="2"/>
      <c r="K276" s="322"/>
      <c r="L276" s="1"/>
      <c r="M276" s="2" t="s">
        <v>31</v>
      </c>
      <c r="N276" s="2"/>
      <c r="O276" s="322"/>
      <c r="P276" s="1"/>
      <c r="Q276" s="2" t="s">
        <v>31</v>
      </c>
      <c r="R276" s="2"/>
      <c r="S276" s="322"/>
      <c r="T276" s="1"/>
      <c r="U276" s="2" t="s">
        <v>31</v>
      </c>
      <c r="V276" s="20"/>
      <c r="W276" s="74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>
      <c r="A278" s="278" t="s">
        <v>377</v>
      </c>
      <c r="B278" s="1"/>
      <c r="C278" s="1"/>
      <c r="D278" s="2"/>
      <c r="E278" s="1"/>
      <c r="F278" s="1"/>
      <c r="G278" s="2"/>
      <c r="H278" s="1"/>
      <c r="I278" s="1"/>
      <c r="J278" s="1"/>
      <c r="K278" s="2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>
      <c r="A279" s="1" t="s">
        <v>401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>
      <c r="A280" s="333" t="s">
        <v>402</v>
      </c>
      <c r="B280" s="1"/>
      <c r="C280" s="2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>
      <c r="A281" s="1" t="s">
        <v>383</v>
      </c>
      <c r="B281" s="1"/>
      <c r="C281" s="304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>
      <c r="A282" s="1" t="s">
        <v>380</v>
      </c>
      <c r="B282" s="1"/>
      <c r="C282" s="304">
        <v>121803.19999998537</v>
      </c>
      <c r="D282" s="283">
        <v>9.6</v>
      </c>
      <c r="E282" s="308"/>
      <c r="F282" s="2">
        <f>ROUND(D282*$C282,0)</f>
        <v>1169311</v>
      </c>
      <c r="G282" s="283">
        <f ca="1">$G$172</f>
        <v>9.76</v>
      </c>
      <c r="H282" s="308"/>
      <c r="I282" s="2">
        <f ca="1">ROUND(G282*$C282,0)</f>
        <v>1188799</v>
      </c>
      <c r="J282" s="2"/>
      <c r="K282" s="283">
        <f ca="1">$K$172</f>
        <v>9.76</v>
      </c>
      <c r="L282" s="308"/>
      <c r="M282" s="2">
        <f ca="1">ROUND(K282*$C282,0)</f>
        <v>1188799</v>
      </c>
      <c r="N282" s="2"/>
      <c r="O282" s="283" t="str">
        <f>$O$172</f>
        <v xml:space="preserve"> </v>
      </c>
      <c r="P282" s="308"/>
      <c r="Q282" s="2">
        <f>ROUND(O282*$C282,0)</f>
        <v>0</v>
      </c>
      <c r="R282" s="2"/>
      <c r="S282" s="283" t="str">
        <f>$S$172</f>
        <v xml:space="preserve"> </v>
      </c>
      <c r="T282" s="308"/>
      <c r="U282" s="2">
        <f>ROUND(S282*$C282,0)</f>
        <v>0</v>
      </c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>
      <c r="A283" s="1" t="s">
        <v>381</v>
      </c>
      <c r="B283" s="1"/>
      <c r="C283" s="304">
        <v>58310.700000000717</v>
      </c>
      <c r="D283" s="283">
        <v>14.3</v>
      </c>
      <c r="E283" s="310"/>
      <c r="F283" s="2">
        <f t="shared" ref="F283:F284" si="70">ROUND(D283*$C283,0)</f>
        <v>833843</v>
      </c>
      <c r="G283" s="283">
        <f ca="1">$G$173</f>
        <v>14.54</v>
      </c>
      <c r="H283" s="310"/>
      <c r="I283" s="2">
        <f ca="1">ROUND(G283*$C283,0)</f>
        <v>847838</v>
      </c>
      <c r="J283" s="2"/>
      <c r="K283" s="283">
        <f ca="1">$K$173</f>
        <v>14.54</v>
      </c>
      <c r="L283" s="310"/>
      <c r="M283" s="2">
        <f ca="1">ROUND(K283*$C283,0)</f>
        <v>847838</v>
      </c>
      <c r="N283" s="2"/>
      <c r="O283" s="283" t="str">
        <f>$O$173</f>
        <v xml:space="preserve"> </v>
      </c>
      <c r="P283" s="310"/>
      <c r="Q283" s="2">
        <f>ROUND(O283*$C283,0)</f>
        <v>0</v>
      </c>
      <c r="R283" s="2"/>
      <c r="S283" s="283" t="str">
        <f>$S$173</f>
        <v xml:space="preserve"> </v>
      </c>
      <c r="T283" s="310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>
      <c r="A284" s="1" t="s">
        <v>382</v>
      </c>
      <c r="B284" s="1"/>
      <c r="C284" s="304">
        <v>966505</v>
      </c>
      <c r="D284" s="283">
        <v>1</v>
      </c>
      <c r="E284" s="310"/>
      <c r="F284" s="2">
        <f t="shared" si="70"/>
        <v>966505</v>
      </c>
      <c r="G284" s="283">
        <f ca="1">$G$174</f>
        <v>1.02</v>
      </c>
      <c r="H284" s="310"/>
      <c r="I284" s="2">
        <f ca="1">ROUND(G284*$C284,0)</f>
        <v>985835</v>
      </c>
      <c r="J284" s="2"/>
      <c r="K284" s="283">
        <f ca="1">$K$174</f>
        <v>1.02</v>
      </c>
      <c r="L284" s="310"/>
      <c r="M284" s="2">
        <f ca="1">ROUND(K284*$C284,0)</f>
        <v>985835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>
      <c r="A285" s="1" t="s">
        <v>384</v>
      </c>
      <c r="B285" s="1"/>
      <c r="C285" s="304">
        <f>SUM(C282:C283)</f>
        <v>180113.89999998608</v>
      </c>
      <c r="D285" s="283"/>
      <c r="E285" s="308"/>
      <c r="F285" s="2"/>
      <c r="G285" s="283"/>
      <c r="H285" s="308"/>
      <c r="I285" s="2"/>
      <c r="J285" s="2"/>
      <c r="K285" s="283"/>
      <c r="L285" s="308"/>
      <c r="M285" s="2"/>
      <c r="N285" s="2"/>
      <c r="O285" s="283"/>
      <c r="P285" s="308"/>
      <c r="Q285" s="2"/>
      <c r="R285" s="2"/>
      <c r="S285" s="283"/>
      <c r="T285" s="308"/>
      <c r="U285" s="2"/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>
      <c r="A286" s="1" t="s">
        <v>385</v>
      </c>
      <c r="B286" s="1"/>
      <c r="C286" s="304">
        <v>782383</v>
      </c>
      <c r="D286" s="311">
        <v>3.64</v>
      </c>
      <c r="E286" s="308"/>
      <c r="F286" s="2">
        <f>ROUND(D286*C286,0)</f>
        <v>2847874</v>
      </c>
      <c r="G286" s="311">
        <f ca="1">$G$177</f>
        <v>3.7</v>
      </c>
      <c r="H286" s="308"/>
      <c r="I286" s="2">
        <f ca="1">ROUND(G286*$C286,0)</f>
        <v>2894817</v>
      </c>
      <c r="J286" s="2"/>
      <c r="K286" s="311" t="e">
        <f ca="1">$K$177</f>
        <v>#REF!</v>
      </c>
      <c r="L286" s="308"/>
      <c r="M286" s="2" t="e">
        <f ca="1">ROUND(K286*$C286,0)</f>
        <v>#REF!</v>
      </c>
      <c r="N286" s="2"/>
      <c r="O286" s="311" t="e">
        <f ca="1">$O$177</f>
        <v>#DIV/0!</v>
      </c>
      <c r="P286" s="308"/>
      <c r="Q286" s="2" t="e">
        <f ca="1">ROUND(O286*$C286,0)</f>
        <v>#DIV/0!</v>
      </c>
      <c r="R286" s="2"/>
      <c r="S286" s="311" t="e">
        <f ca="1">$S$177</f>
        <v>#DIV/0!</v>
      </c>
      <c r="T286" s="308"/>
      <c r="U286" s="2" t="e">
        <f ca="1">ROUND(S286*$C286,0)</f>
        <v>#DIV/0!</v>
      </c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>
      <c r="A287" s="1" t="s">
        <v>387</v>
      </c>
      <c r="B287" s="304"/>
      <c r="C287" s="304">
        <v>113594338.50038823</v>
      </c>
      <c r="D287" s="284">
        <v>10.449</v>
      </c>
      <c r="E287" s="308" t="s">
        <v>364</v>
      </c>
      <c r="F287" s="2">
        <f>ROUND(D287*C287/100,0)</f>
        <v>11869472</v>
      </c>
      <c r="G287" s="284">
        <f ca="1">$G$178</f>
        <v>10.628</v>
      </c>
      <c r="H287" s="308" t="s">
        <v>364</v>
      </c>
      <c r="I287" s="2">
        <f ca="1">ROUND(G287*$C287/100,0)</f>
        <v>12072806</v>
      </c>
      <c r="J287" s="2"/>
      <c r="K287" s="284" t="e">
        <f ca="1">$K$178</f>
        <v>#REF!</v>
      </c>
      <c r="L287" s="308" t="s">
        <v>364</v>
      </c>
      <c r="M287" s="2" t="e">
        <f ca="1">ROUND(K287*$C287/100,0)</f>
        <v>#REF!</v>
      </c>
      <c r="N287" s="2"/>
      <c r="O287" s="284" t="e">
        <f ca="1">$O$178</f>
        <v>#DIV/0!</v>
      </c>
      <c r="P287" s="308" t="s">
        <v>364</v>
      </c>
      <c r="Q287" s="2" t="e">
        <f ca="1">ROUND(O287*$C287/100,0)</f>
        <v>#DIV/0!</v>
      </c>
      <c r="R287" s="2"/>
      <c r="S287" s="284" t="e">
        <f ca="1">$S$178</f>
        <v>#DIV/0!</v>
      </c>
      <c r="T287" s="308" t="s">
        <v>364</v>
      </c>
      <c r="U287" s="2" t="e">
        <f ca="1">ROUND(S287*$C287/100,0)</f>
        <v>#DIV/0!</v>
      </c>
      <c r="V287" s="458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>
      <c r="A288" s="1" t="s">
        <v>388</v>
      </c>
      <c r="B288" s="304"/>
      <c r="C288" s="304">
        <v>264972441.64191934</v>
      </c>
      <c r="D288" s="284">
        <v>7.218</v>
      </c>
      <c r="E288" s="308" t="s">
        <v>364</v>
      </c>
      <c r="F288" s="2">
        <f>ROUND(D288*C288/100,0)</f>
        <v>19125711</v>
      </c>
      <c r="G288" s="284">
        <f ca="1">$G$179</f>
        <v>7.3410000000000002</v>
      </c>
      <c r="H288" s="308" t="s">
        <v>364</v>
      </c>
      <c r="I288" s="2">
        <f ca="1">ROUND(G288*$C288/100,0)</f>
        <v>19451627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>
      <c r="A289" s="1" t="s">
        <v>389</v>
      </c>
      <c r="B289" s="304"/>
      <c r="C289" s="304">
        <v>114038405.0634262</v>
      </c>
      <c r="D289" s="284">
        <v>6.218</v>
      </c>
      <c r="E289" s="308" t="s">
        <v>364</v>
      </c>
      <c r="F289" s="2">
        <f>ROUND(D289*C289/100,0)</f>
        <v>7090908</v>
      </c>
      <c r="G289" s="284">
        <f ca="1">$G$180</f>
        <v>6.3240000000000007</v>
      </c>
      <c r="H289" s="308" t="s">
        <v>364</v>
      </c>
      <c r="I289" s="2">
        <f ca="1">ROUND(G289*$C289/100,0)</f>
        <v>7211789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>
      <c r="A290" s="1" t="s">
        <v>390</v>
      </c>
      <c r="B290" s="21"/>
      <c r="C290" s="304">
        <v>107329.06666666651</v>
      </c>
      <c r="D290" s="315">
        <v>56</v>
      </c>
      <c r="E290" s="308" t="s">
        <v>364</v>
      </c>
      <c r="F290" s="2">
        <f>ROUND(D290*C290/100,0)</f>
        <v>60104</v>
      </c>
      <c r="G290" s="315">
        <f ca="1">$G$181</f>
        <v>57</v>
      </c>
      <c r="H290" s="308" t="s">
        <v>364</v>
      </c>
      <c r="I290" s="2">
        <f ca="1">ROUND(G290*$C290/100,0)</f>
        <v>61178</v>
      </c>
      <c r="J290" s="2"/>
      <c r="K290" s="315" t="str">
        <f>$K$181</f>
        <v xml:space="preserve"> </v>
      </c>
      <c r="L290" s="308" t="s">
        <v>364</v>
      </c>
      <c r="M290" s="2">
        <f>ROUND(K290*$C290/100,0)</f>
        <v>0</v>
      </c>
      <c r="N290" s="2"/>
      <c r="O290" s="315" t="e">
        <f>$O$181</f>
        <v>#DIV/0!</v>
      </c>
      <c r="P290" s="308" t="s">
        <v>364</v>
      </c>
      <c r="Q290" s="2" t="e">
        <f>ROUND(O290*$C290/100,0)</f>
        <v>#DIV/0!</v>
      </c>
      <c r="R290" s="2"/>
      <c r="S290" s="315" t="e">
        <f>$S$181</f>
        <v>#DIV/0!</v>
      </c>
      <c r="T290" s="308" t="s">
        <v>364</v>
      </c>
      <c r="U290" s="2" t="e">
        <f>ROUND(S290*$C290/100,0)</f>
        <v>#DIV/0!</v>
      </c>
      <c r="V290" s="20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s="1118" customFormat="1" hidden="1">
      <c r="A291" s="968" t="s">
        <v>862</v>
      </c>
      <c r="C291" s="1122">
        <f>C287</f>
        <v>113594338.50038823</v>
      </c>
      <c r="D291" s="254">
        <v>0</v>
      </c>
      <c r="E291" s="1119"/>
      <c r="F291" s="1123"/>
      <c r="G291" s="1128">
        <f>G182</f>
        <v>0</v>
      </c>
      <c r="H291" s="972" t="s">
        <v>364</v>
      </c>
      <c r="I291" s="1123">
        <f t="shared" ref="I291:I293" si="71">ROUND(G291*$C291/100,0)</f>
        <v>0</v>
      </c>
      <c r="J291" s="1123"/>
      <c r="K291" s="1128" t="str">
        <f>K182</f>
        <v xml:space="preserve"> </v>
      </c>
      <c r="L291" s="972" t="s">
        <v>364</v>
      </c>
      <c r="M291" s="1123">
        <f t="shared" ref="M291:M293" si="72">ROUND(K291*$C291/100,0)</f>
        <v>0</v>
      </c>
      <c r="N291" s="1123"/>
      <c r="O291" s="1128" t="str">
        <f>O182</f>
        <v xml:space="preserve"> </v>
      </c>
      <c r="P291" s="972" t="s">
        <v>364</v>
      </c>
      <c r="Q291" s="1123">
        <f t="shared" ref="Q291:Q293" si="73">ROUND(O291*$C291/100,0)</f>
        <v>0</v>
      </c>
      <c r="R291" s="1123"/>
      <c r="S291" s="1128">
        <f>S182</f>
        <v>0</v>
      </c>
      <c r="T291" s="972" t="s">
        <v>364</v>
      </c>
      <c r="U291" s="1123">
        <f t="shared" ref="U291:U293" si="74">ROUND(S291*$C291/100,0)</f>
        <v>0</v>
      </c>
      <c r="W291" s="784"/>
      <c r="Z291" s="1125"/>
      <c r="AA291" s="1125"/>
      <c r="AF291" s="1119"/>
      <c r="AG291" s="1119"/>
      <c r="AH291" s="1119"/>
      <c r="AI291" s="1119"/>
      <c r="AJ291" s="1119"/>
      <c r="AK291" s="1119"/>
      <c r="AL291" s="1119"/>
      <c r="AM291" s="1119"/>
      <c r="AN291" s="1119"/>
      <c r="AO291" s="1119"/>
      <c r="AP291" s="1119"/>
      <c r="AR291" s="1124"/>
    </row>
    <row r="292" spans="1:44" s="1118" customFormat="1" hidden="1">
      <c r="A292" s="968" t="s">
        <v>863</v>
      </c>
      <c r="C292" s="1122">
        <f>C288</f>
        <v>264972441.64191934</v>
      </c>
      <c r="D292" s="254">
        <v>0</v>
      </c>
      <c r="E292" s="1119"/>
      <c r="F292" s="1123"/>
      <c r="G292" s="1128">
        <f>G183</f>
        <v>0</v>
      </c>
      <c r="H292" s="972" t="s">
        <v>364</v>
      </c>
      <c r="I292" s="1123">
        <f t="shared" si="71"/>
        <v>0</v>
      </c>
      <c r="J292" s="1123"/>
      <c r="K292" s="1128" t="str">
        <f>K183</f>
        <v xml:space="preserve"> </v>
      </c>
      <c r="L292" s="972" t="s">
        <v>364</v>
      </c>
      <c r="M292" s="1123">
        <f t="shared" si="72"/>
        <v>0</v>
      </c>
      <c r="N292" s="1123"/>
      <c r="O292" s="1128" t="str">
        <f>O183</f>
        <v xml:space="preserve"> </v>
      </c>
      <c r="P292" s="972" t="s">
        <v>364</v>
      </c>
      <c r="Q292" s="1123">
        <f t="shared" si="73"/>
        <v>0</v>
      </c>
      <c r="R292" s="1123"/>
      <c r="S292" s="1128">
        <f>S183</f>
        <v>0</v>
      </c>
      <c r="T292" s="972" t="s">
        <v>364</v>
      </c>
      <c r="U292" s="1123">
        <f t="shared" si="74"/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864</v>
      </c>
      <c r="C293" s="1122">
        <f>C289</f>
        <v>114038405.0634262</v>
      </c>
      <c r="D293" s="254"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71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72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73"/>
        <v>0</v>
      </c>
      <c r="R293" s="1123"/>
      <c r="S293" s="1128">
        <f>S184</f>
        <v>0</v>
      </c>
      <c r="T293" s="972" t="s">
        <v>364</v>
      </c>
      <c r="U293" s="1123">
        <f t="shared" si="74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>
      <c r="A294" s="316" t="s">
        <v>391</v>
      </c>
      <c r="B294" s="21"/>
      <c r="C294" s="304"/>
      <c r="D294" s="317">
        <v>-0.01</v>
      </c>
      <c r="E294" s="308"/>
      <c r="F294" s="2"/>
      <c r="G294" s="317">
        <v>-0.01</v>
      </c>
      <c r="H294" s="308"/>
      <c r="I294" s="2"/>
      <c r="J294" s="2"/>
      <c r="K294" s="317">
        <v>-0.01</v>
      </c>
      <c r="L294" s="308"/>
      <c r="M294" s="2"/>
      <c r="N294" s="2"/>
      <c r="O294" s="317">
        <v>-0.01</v>
      </c>
      <c r="P294" s="308"/>
      <c r="Q294" s="2"/>
      <c r="R294" s="2"/>
      <c r="S294" s="317">
        <v>-0.01</v>
      </c>
      <c r="T294" s="308"/>
      <c r="U294" s="2"/>
      <c r="V294" s="20"/>
      <c r="W294" s="74"/>
      <c r="X294" s="74"/>
      <c r="Y294" s="74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R294" s="84"/>
    </row>
    <row r="295" spans="1:44">
      <c r="A295" s="1" t="s">
        <v>380</v>
      </c>
      <c r="B295" s="1"/>
      <c r="C295" s="304">
        <v>74.633333333333297</v>
      </c>
      <c r="D295" s="319">
        <v>9.6</v>
      </c>
      <c r="E295" s="306"/>
      <c r="F295" s="2">
        <f>-ROUND(D295*$C295/100,0)</f>
        <v>-7</v>
      </c>
      <c r="G295" s="319">
        <f ca="1">G282</f>
        <v>9.76</v>
      </c>
      <c r="H295" s="306"/>
      <c r="I295" s="2">
        <f ca="1">-ROUND(G295*$C295/100,0)</f>
        <v>-7</v>
      </c>
      <c r="J295" s="2"/>
      <c r="K295" s="319">
        <f ca="1">K282</f>
        <v>9.76</v>
      </c>
      <c r="L295" s="306"/>
      <c r="M295" s="2">
        <f ca="1">-ROUND(K295*$C295/100,0)</f>
        <v>-7</v>
      </c>
      <c r="N295" s="2"/>
      <c r="O295" s="319" t="str">
        <f>O282</f>
        <v xml:space="preserve"> </v>
      </c>
      <c r="P295" s="306"/>
      <c r="Q295" s="2">
        <f>-ROUND(O295*$C295/100,0)</f>
        <v>0</v>
      </c>
      <c r="R295" s="2"/>
      <c r="S295" s="319" t="str">
        <f>S282</f>
        <v xml:space="preserve"> </v>
      </c>
      <c r="T295" s="306"/>
      <c r="U295" s="2">
        <f>-ROUND(S295*$C295/100,0)</f>
        <v>0</v>
      </c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>
      <c r="A296" s="1" t="s">
        <v>381</v>
      </c>
      <c r="B296" s="1"/>
      <c r="C296" s="304">
        <v>71.933333333333309</v>
      </c>
      <c r="D296" s="319">
        <v>14.3</v>
      </c>
      <c r="E296" s="306"/>
      <c r="F296" s="2">
        <f>-ROUND(D296*$C296/100,0)</f>
        <v>-10</v>
      </c>
      <c r="G296" s="319">
        <f ca="1">G283</f>
        <v>14.54</v>
      </c>
      <c r="H296" s="306"/>
      <c r="I296" s="2">
        <f ca="1">-ROUND(G296*$C296/100,0)</f>
        <v>-10</v>
      </c>
      <c r="J296" s="2"/>
      <c r="K296" s="319">
        <f ca="1">K283</f>
        <v>14.54</v>
      </c>
      <c r="L296" s="306"/>
      <c r="M296" s="2">
        <f ca="1">-ROUND(K296*$C296/100,0)</f>
        <v>-10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>
      <c r="A297" s="1" t="s">
        <v>392</v>
      </c>
      <c r="B297" s="1"/>
      <c r="C297" s="304">
        <v>1618</v>
      </c>
      <c r="D297" s="319">
        <v>1</v>
      </c>
      <c r="E297" s="306"/>
      <c r="F297" s="2">
        <f>-ROUND(D297*$C297/100,0)</f>
        <v>-16</v>
      </c>
      <c r="G297" s="319">
        <f ca="1">G284</f>
        <v>1.02</v>
      </c>
      <c r="H297" s="306"/>
      <c r="I297" s="2">
        <f ca="1">-ROUND(G297*$C297/100,0)</f>
        <v>-17</v>
      </c>
      <c r="J297" s="2"/>
      <c r="K297" s="319">
        <f ca="1">K284</f>
        <v>1.02</v>
      </c>
      <c r="L297" s="306"/>
      <c r="M297" s="2">
        <f ca="1">-ROUND(K297*$C297/100,0)</f>
        <v>-17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>
      <c r="A298" s="1" t="s">
        <v>403</v>
      </c>
      <c r="B298" s="1"/>
      <c r="C298" s="304">
        <v>765</v>
      </c>
      <c r="D298" s="319">
        <v>3.64</v>
      </c>
      <c r="E298" s="308"/>
      <c r="F298" s="2">
        <f t="shared" ref="F298" si="75">-ROUND(D298*$C298/100,0)</f>
        <v>-28</v>
      </c>
      <c r="G298" s="319">
        <f ca="1">G286</f>
        <v>3.7</v>
      </c>
      <c r="H298" s="308"/>
      <c r="I298" s="2">
        <f ca="1">-ROUND(G298*$C298/100,0)</f>
        <v>-28</v>
      </c>
      <c r="J298" s="2"/>
      <c r="K298" s="319" t="e">
        <f ca="1">K286</f>
        <v>#REF!</v>
      </c>
      <c r="L298" s="308"/>
      <c r="M298" s="2" t="e">
        <f ca="1">-ROUND(K298*$C298/100,0)</f>
        <v>#REF!</v>
      </c>
      <c r="N298" s="2"/>
      <c r="O298" s="319" t="e">
        <f ca="1">O286</f>
        <v>#DIV/0!</v>
      </c>
      <c r="P298" s="308"/>
      <c r="Q298" s="2" t="e">
        <f ca="1">-ROUND(O298*$C298/100,0)</f>
        <v>#DIV/0!</v>
      </c>
      <c r="R298" s="2"/>
      <c r="S298" s="319" t="e">
        <f ca="1">S286</f>
        <v>#DIV/0!</v>
      </c>
      <c r="T298" s="308"/>
      <c r="U298" s="2" t="e">
        <f ca="1">-ROUND(S298*$C298/100,0)</f>
        <v>#DIV/0!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>
      <c r="A299" s="1" t="s">
        <v>395</v>
      </c>
      <c r="B299" s="1"/>
      <c r="C299" s="304">
        <v>108585.6666666666</v>
      </c>
      <c r="D299" s="320">
        <v>10.449</v>
      </c>
      <c r="E299" s="308" t="s">
        <v>364</v>
      </c>
      <c r="F299" s="2">
        <f>ROUND(D299*$C299/100*D294,0)</f>
        <v>-113</v>
      </c>
      <c r="G299" s="320">
        <f ca="1">G287</f>
        <v>10.628</v>
      </c>
      <c r="H299" s="308" t="s">
        <v>364</v>
      </c>
      <c r="I299" s="2">
        <f ca="1">ROUND(G299*$C299/100*G294,0)</f>
        <v>-115</v>
      </c>
      <c r="J299" s="2"/>
      <c r="K299" s="320" t="e">
        <f ca="1">K287</f>
        <v>#REF!</v>
      </c>
      <c r="L299" s="308" t="s">
        <v>364</v>
      </c>
      <c r="M299" s="2" t="e">
        <f ca="1">ROUND(K299*$C299/100*K294,0)</f>
        <v>#REF!</v>
      </c>
      <c r="N299" s="2"/>
      <c r="O299" s="320" t="e">
        <f ca="1">O287</f>
        <v>#DIV/0!</v>
      </c>
      <c r="P299" s="308" t="s">
        <v>364</v>
      </c>
      <c r="Q299" s="2" t="e">
        <f ca="1">ROUND(O299*$C299/100*O294,0)</f>
        <v>#DIV/0!</v>
      </c>
      <c r="R299" s="2"/>
      <c r="S299" s="320" t="e">
        <f ca="1">S287</f>
        <v>#DIV/0!</v>
      </c>
      <c r="T299" s="308" t="s">
        <v>364</v>
      </c>
      <c r="U299" s="2" t="e">
        <f ca="1">ROUND(S299*$C299/100*S294,0)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>
      <c r="A300" s="1" t="s">
        <v>388</v>
      </c>
      <c r="B300" s="1"/>
      <c r="C300" s="304">
        <v>461939.33333333366</v>
      </c>
      <c r="D300" s="320">
        <v>7.218</v>
      </c>
      <c r="E300" s="308" t="s">
        <v>364</v>
      </c>
      <c r="F300" s="2">
        <f>ROUND(D300*$C300/100*D294,0)</f>
        <v>-333</v>
      </c>
      <c r="G300" s="320">
        <f ca="1">G288</f>
        <v>7.3410000000000002</v>
      </c>
      <c r="H300" s="308" t="s">
        <v>364</v>
      </c>
      <c r="I300" s="2">
        <f ca="1">ROUND(G300*$C300/100*G294,0)</f>
        <v>-339</v>
      </c>
      <c r="J300" s="2"/>
      <c r="K300" s="320" t="e">
        <f ca="1">K288</f>
        <v>#REF!</v>
      </c>
      <c r="L300" s="308" t="s">
        <v>364</v>
      </c>
      <c r="M300" s="2" t="e">
        <f ca="1">ROUND(K300*$C300/100*K294,0)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ROUND(O300*$C300/100*O294,0)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ROUND(S300*$C300/100*S294,0)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>
      <c r="A301" s="1" t="s">
        <v>389</v>
      </c>
      <c r="B301" s="1"/>
      <c r="C301" s="304">
        <v>701665</v>
      </c>
      <c r="D301" s="320">
        <v>6.218</v>
      </c>
      <c r="E301" s="308" t="s">
        <v>364</v>
      </c>
      <c r="F301" s="2">
        <f>ROUND(D301*$C301/100*D294,0)</f>
        <v>-436</v>
      </c>
      <c r="G301" s="320">
        <f ca="1">G289</f>
        <v>6.3240000000000007</v>
      </c>
      <c r="H301" s="308" t="s">
        <v>364</v>
      </c>
      <c r="I301" s="2">
        <f ca="1">ROUND(G301*$C301/100*G294,0)</f>
        <v>-444</v>
      </c>
      <c r="J301" s="2"/>
      <c r="K301" s="320" t="e">
        <f ca="1">K289</f>
        <v>#REF!</v>
      </c>
      <c r="L301" s="308" t="s">
        <v>364</v>
      </c>
      <c r="M301" s="2" t="e">
        <f ca="1">ROUND(K301*$C301/100*K294,0)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ROUND(O301*$C301/100*O294,0)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ROUND(S301*$C301/100*S294,0)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>
      <c r="A302" s="1" t="s">
        <v>390</v>
      </c>
      <c r="B302" s="1"/>
      <c r="C302" s="304">
        <v>913.93333333333339</v>
      </c>
      <c r="D302" s="321">
        <v>56</v>
      </c>
      <c r="E302" s="308" t="s">
        <v>364</v>
      </c>
      <c r="F302" s="2">
        <f>ROUND(D302*$C302/100*D294,0)</f>
        <v>-5</v>
      </c>
      <c r="G302" s="321">
        <f ca="1">G290</f>
        <v>57</v>
      </c>
      <c r="H302" s="308" t="s">
        <v>364</v>
      </c>
      <c r="I302" s="2">
        <f ca="1">ROUND(G302*$C302/100*G294,0)</f>
        <v>-5</v>
      </c>
      <c r="J302" s="2"/>
      <c r="K302" s="321" t="str">
        <f>K290</f>
        <v xml:space="preserve"> </v>
      </c>
      <c r="L302" s="308" t="s">
        <v>364</v>
      </c>
      <c r="M302" s="2">
        <f>ROUND(K302*$C302/100*K294,0)</f>
        <v>0</v>
      </c>
      <c r="N302" s="2"/>
      <c r="O302" s="321" t="e">
        <f>O290</f>
        <v>#DIV/0!</v>
      </c>
      <c r="P302" s="308" t="s">
        <v>364</v>
      </c>
      <c r="Q302" s="2" t="e">
        <f>ROUND(O302*$C302/100*O294,0)</f>
        <v>#DIV/0!</v>
      </c>
      <c r="R302" s="2"/>
      <c r="S302" s="321" t="e">
        <f>S290</f>
        <v>#DIV/0!</v>
      </c>
      <c r="T302" s="308" t="s">
        <v>364</v>
      </c>
      <c r="U302" s="2" t="e">
        <f>ROUND(S302*$C302/100*S294,0)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>
      <c r="A303" s="1" t="s">
        <v>397</v>
      </c>
      <c r="B303" s="1"/>
      <c r="C303" s="304">
        <v>122.5333333333333</v>
      </c>
      <c r="D303" s="322">
        <v>60</v>
      </c>
      <c r="E303" s="308"/>
      <c r="F303" s="2">
        <f>ROUND(D303*C303,0)</f>
        <v>7352</v>
      </c>
      <c r="G303" s="322">
        <f>$G$197</f>
        <v>60</v>
      </c>
      <c r="H303" s="308"/>
      <c r="I303" s="2">
        <f>ROUND(G303*$C303,0)</f>
        <v>7352</v>
      </c>
      <c r="J303" s="2"/>
      <c r="K303" s="311" t="s">
        <v>31</v>
      </c>
      <c r="L303" s="308"/>
      <c r="M303" s="999">
        <f>K303*C303</f>
        <v>0</v>
      </c>
      <c r="N303" s="307"/>
      <c r="O303" s="286" t="e">
        <f>O197</f>
        <v>#DIV/0!</v>
      </c>
      <c r="P303" s="308"/>
      <c r="Q303" s="2" t="e">
        <f>I303*(W207/(W207+X207))</f>
        <v>#DIV/0!</v>
      </c>
      <c r="R303" s="307"/>
      <c r="S303" s="286" t="e">
        <f>S197</f>
        <v>#DIV/0!</v>
      </c>
      <c r="T303" s="308"/>
      <c r="U303" s="2" t="e">
        <f>I303*(X207/(W207+X207))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>
      <c r="A304" s="1" t="s">
        <v>398</v>
      </c>
      <c r="B304" s="1"/>
      <c r="C304" s="304">
        <v>166.29999999999998</v>
      </c>
      <c r="D304" s="324">
        <v>-30</v>
      </c>
      <c r="E304" s="308" t="s">
        <v>364</v>
      </c>
      <c r="F304" s="2">
        <f>ROUND(D304*C304/100,0)</f>
        <v>-50</v>
      </c>
      <c r="G304" s="324">
        <f>$G$198</f>
        <v>-30</v>
      </c>
      <c r="H304" s="308" t="s">
        <v>364</v>
      </c>
      <c r="I304" s="2">
        <f>ROUND(G304*$C304/100,0)</f>
        <v>-50</v>
      </c>
      <c r="J304" s="2"/>
      <c r="K304" s="324">
        <f>'Blocking - detail'!$I$173</f>
        <v>-30</v>
      </c>
      <c r="L304" s="308" t="s">
        <v>364</v>
      </c>
      <c r="M304" s="307">
        <f>I304</f>
        <v>-50</v>
      </c>
      <c r="N304" s="307"/>
      <c r="O304" s="1281" t="s">
        <v>31</v>
      </c>
      <c r="P304" s="308" t="s">
        <v>31</v>
      </c>
      <c r="Q304" s="307">
        <f>O304*C304*O294</f>
        <v>0</v>
      </c>
      <c r="R304" s="307"/>
      <c r="S304" s="1281" t="s">
        <v>31</v>
      </c>
      <c r="T304" s="308" t="s">
        <v>31</v>
      </c>
      <c r="U304" s="307">
        <f>S304*D304*S294</f>
        <v>0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s="1118" customFormat="1" hidden="1">
      <c r="A305" s="968" t="s">
        <v>862</v>
      </c>
      <c r="C305" s="1122">
        <f>C299</f>
        <v>108585.6666666666</v>
      </c>
      <c r="D305" s="254">
        <v>0</v>
      </c>
      <c r="E305" s="1119"/>
      <c r="F305" s="1123"/>
      <c r="G305" s="1128">
        <f>G182</f>
        <v>0</v>
      </c>
      <c r="H305" s="972" t="s">
        <v>364</v>
      </c>
      <c r="I305" s="1123">
        <f>ROUND(G305*$C305/100*G294,0)</f>
        <v>0</v>
      </c>
      <c r="J305" s="1123"/>
      <c r="K305" s="1128" t="str">
        <f>K182</f>
        <v xml:space="preserve"> </v>
      </c>
      <c r="L305" s="972" t="s">
        <v>364</v>
      </c>
      <c r="M305" s="1123">
        <f>ROUND(K305*$C305/100*K294,0)</f>
        <v>0</v>
      </c>
      <c r="N305" s="1123"/>
      <c r="O305" s="1128" t="str">
        <f>O182</f>
        <v xml:space="preserve"> </v>
      </c>
      <c r="P305" s="972" t="s">
        <v>364</v>
      </c>
      <c r="Q305" s="1123">
        <f>ROUND(O305*$C305/100*O294,0)</f>
        <v>0</v>
      </c>
      <c r="R305" s="1123"/>
      <c r="S305" s="1128">
        <f>S182</f>
        <v>0</v>
      </c>
      <c r="T305" s="972" t="s">
        <v>364</v>
      </c>
      <c r="U305" s="1123">
        <f>ROUND(S305*$C305/100*S294,0)</f>
        <v>0</v>
      </c>
      <c r="W305" s="784"/>
      <c r="Z305" s="1125"/>
      <c r="AA305" s="1125"/>
      <c r="AF305" s="1119"/>
      <c r="AG305" s="1119"/>
      <c r="AH305" s="1119"/>
      <c r="AI305" s="1119"/>
      <c r="AJ305" s="1119"/>
      <c r="AK305" s="1119"/>
      <c r="AL305" s="1119"/>
      <c r="AM305" s="1119"/>
      <c r="AN305" s="1119"/>
      <c r="AO305" s="1119"/>
      <c r="AP305" s="1119"/>
      <c r="AR305" s="1124"/>
    </row>
    <row r="306" spans="1:44" s="1118" customFormat="1" hidden="1">
      <c r="A306" s="968" t="s">
        <v>863</v>
      </c>
      <c r="C306" s="1122">
        <f>C300</f>
        <v>461939.33333333366</v>
      </c>
      <c r="D306" s="254"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ROUND(G306*$C306/100*G294,0)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ROUND(K306*$C306/100*K294,0)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ROUND(O306*$C306/100*O294,0)</f>
        <v>0</v>
      </c>
      <c r="R306" s="1123"/>
      <c r="S306" s="1128">
        <f>S183</f>
        <v>0</v>
      </c>
      <c r="T306" s="972" t="s">
        <v>364</v>
      </c>
      <c r="U306" s="1123">
        <f>ROUND(S306*$C306/100*S294,0)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864</v>
      </c>
      <c r="C307" s="1122">
        <f>C301</f>
        <v>701665</v>
      </c>
      <c r="D307" s="254"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ROUND(G307*$C307/100*G294,0)</f>
        <v>0</v>
      </c>
      <c r="J307" s="1123"/>
      <c r="K307" s="1128" t="str">
        <f>K184</f>
        <v xml:space="preserve"> </v>
      </c>
      <c r="L307" s="972" t="s">
        <v>364</v>
      </c>
      <c r="M307" s="1123">
        <f ca="1">ROUND(K307*$C307/100*K296*K294,0)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ROUND(O307*$C307/100*O296*O294,0)</f>
        <v>0</v>
      </c>
      <c r="R307" s="1123"/>
      <c r="S307" s="1128">
        <f>S184</f>
        <v>0</v>
      </c>
      <c r="T307" s="972" t="s">
        <v>364</v>
      </c>
      <c r="U307" s="1123">
        <f>ROUND(S307*$C307/100*S294,0)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>
      <c r="A308" s="1" t="s">
        <v>371</v>
      </c>
      <c r="B308" s="292"/>
      <c r="C308" s="304">
        <f>SUM(C287:C289)</f>
        <v>492605185.20573378</v>
      </c>
      <c r="D308" s="315"/>
      <c r="E308" s="308"/>
      <c r="F308" s="2">
        <f>SUM(F282:F304)</f>
        <v>43970082</v>
      </c>
      <c r="G308" s="315"/>
      <c r="H308" s="308"/>
      <c r="I308" s="2">
        <f ca="1">SUM(I282:I307)</f>
        <v>44721026</v>
      </c>
      <c r="J308" s="2"/>
      <c r="K308" s="315"/>
      <c r="L308" s="308"/>
      <c r="M308" s="2" t="e">
        <f ca="1">SUM(M282:M307)</f>
        <v>#REF!</v>
      </c>
      <c r="N308" s="2"/>
      <c r="O308" s="315"/>
      <c r="P308" s="308"/>
      <c r="Q308" s="2" t="e">
        <f ca="1">SUM(Q282:Q307)</f>
        <v>#DIV/0!</v>
      </c>
      <c r="R308" s="2"/>
      <c r="S308" s="315"/>
      <c r="T308" s="308"/>
      <c r="U308" s="2" t="e">
        <f ca="1">SUM(U282:U307)</f>
        <v>#DIV/0!</v>
      </c>
      <c r="V308" s="401"/>
      <c r="W308" s="74"/>
      <c r="X308" s="74"/>
      <c r="Y308" s="74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R308" s="84"/>
    </row>
    <row r="309" spans="1:44">
      <c r="A309" s="1" t="s">
        <v>353</v>
      </c>
      <c r="B309" s="1"/>
      <c r="C309" s="334">
        <f>'Table 2'!H41</f>
        <v>3477825.992467748</v>
      </c>
      <c r="D309" s="294"/>
      <c r="E309" s="294"/>
      <c r="F309" s="326">
        <f>'Table 3'!E41</f>
        <v>355356.90214655403</v>
      </c>
      <c r="G309" s="294"/>
      <c r="H309" s="294"/>
      <c r="I309" s="326">
        <f>F309</f>
        <v>355356.90214655403</v>
      </c>
      <c r="J309" s="307"/>
      <c r="K309" s="294"/>
      <c r="L309" s="294"/>
      <c r="M309" s="326" t="e">
        <f>$I$309*V207/($V$207+$W$207+$X$207)</f>
        <v>#DIV/0!</v>
      </c>
      <c r="N309" s="51"/>
      <c r="O309" s="294"/>
      <c r="P309" s="294"/>
      <c r="Q309" s="326" t="e">
        <f>$I$309*W207/($V$207+$W$207+$X$207)</f>
        <v>#DIV/0!</v>
      </c>
      <c r="R309" s="51"/>
      <c r="S309" s="294"/>
      <c r="T309" s="294"/>
      <c r="U309" s="326" t="e">
        <f>$I$309*X207/($V$207+$W$207+$X$207)</f>
        <v>#DIV/0!</v>
      </c>
      <c r="V309" s="429"/>
      <c r="W309" s="272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t="16.5" thickBot="1">
      <c r="A310" s="1" t="s">
        <v>372</v>
      </c>
      <c r="B310" s="1"/>
      <c r="C310" s="296">
        <f>SUM(C308:C309)</f>
        <v>496083011.19820154</v>
      </c>
      <c r="D310" s="327"/>
      <c r="E310" s="330"/>
      <c r="F310" s="329">
        <f>F308+F309</f>
        <v>44325438.902146555</v>
      </c>
      <c r="G310" s="327"/>
      <c r="H310" s="330"/>
      <c r="I310" s="329">
        <f ca="1">I308+I309</f>
        <v>45076382.902146555</v>
      </c>
      <c r="J310" s="307"/>
      <c r="K310" s="327"/>
      <c r="L310" s="330"/>
      <c r="M310" s="329" t="e">
        <f ca="1">M308+M309</f>
        <v>#REF!</v>
      </c>
      <c r="N310" s="329"/>
      <c r="O310" s="327"/>
      <c r="P310" s="330"/>
      <c r="Q310" s="329" t="e">
        <f ca="1">Q308+Q309</f>
        <v>#DIV/0!</v>
      </c>
      <c r="R310" s="329"/>
      <c r="S310" s="327"/>
      <c r="T310" s="330"/>
      <c r="U310" s="329" t="e">
        <f ca="1">U308+U309</f>
        <v>#DIV/0!</v>
      </c>
      <c r="V310" s="396"/>
      <c r="W310" s="455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thickTop="1">
      <c r="A311" s="1"/>
      <c r="B311" s="1"/>
      <c r="C311" s="21"/>
      <c r="D311" s="322"/>
      <c r="E311" s="1"/>
      <c r="F311" s="2"/>
      <c r="G311" s="322"/>
      <c r="H311" s="1"/>
      <c r="I311" s="2" t="s">
        <v>31</v>
      </c>
      <c r="J311" s="2"/>
      <c r="K311" s="322"/>
      <c r="L311" s="1"/>
      <c r="M311" s="2" t="s">
        <v>31</v>
      </c>
      <c r="N311" s="2"/>
      <c r="O311" s="322"/>
      <c r="P311" s="1"/>
      <c r="Q311" s="2" t="s">
        <v>31</v>
      </c>
      <c r="R311" s="2"/>
      <c r="S311" s="322"/>
      <c r="T311" s="1"/>
      <c r="U311" s="2" t="s">
        <v>31</v>
      </c>
      <c r="V311" s="20"/>
      <c r="W311" s="74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>
      <c r="A312" s="278" t="s">
        <v>377</v>
      </c>
      <c r="B312" s="1"/>
      <c r="C312" s="1"/>
      <c r="D312" s="2"/>
      <c r="E312" s="1"/>
      <c r="F312" s="1381"/>
      <c r="G312" s="2"/>
      <c r="H312" s="1"/>
      <c r="I312" s="1"/>
      <c r="J312" s="1"/>
      <c r="K312" s="2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>
      <c r="A313" s="1" t="s">
        <v>404</v>
      </c>
      <c r="B313" s="1"/>
      <c r="C313" s="2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>
      <c r="A314" s="1"/>
      <c r="B314" s="1"/>
      <c r="C314" s="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>
      <c r="A315" s="1" t="s">
        <v>383</v>
      </c>
      <c r="B315" s="1"/>
      <c r="C315" s="304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>
      <c r="A316" s="1" t="s">
        <v>380</v>
      </c>
      <c r="B316" s="1"/>
      <c r="C316" s="304">
        <v>1659.4666666666701</v>
      </c>
      <c r="D316" s="283">
        <v>9.6</v>
      </c>
      <c r="E316" s="308"/>
      <c r="F316" s="2">
        <f>ROUND(D316*$C316,0)</f>
        <v>15931</v>
      </c>
      <c r="G316" s="283">
        <f ca="1">$G$172</f>
        <v>9.76</v>
      </c>
      <c r="H316" s="308"/>
      <c r="I316" s="2">
        <f ca="1">ROUND(G316*$C316,0)</f>
        <v>16196</v>
      </c>
      <c r="J316" s="2"/>
      <c r="K316" s="283">
        <f ca="1">$K$172</f>
        <v>9.76</v>
      </c>
      <c r="L316" s="308"/>
      <c r="M316" s="2">
        <f ca="1">ROUND(K316*$C316,0)</f>
        <v>16196</v>
      </c>
      <c r="N316" s="2"/>
      <c r="O316" s="283" t="str">
        <f>$O$172</f>
        <v xml:space="preserve"> </v>
      </c>
      <c r="P316" s="308"/>
      <c r="Q316" s="2">
        <f>ROUND(O316*$C316,0)</f>
        <v>0</v>
      </c>
      <c r="R316" s="2"/>
      <c r="S316" s="283" t="str">
        <f>$S$172</f>
        <v xml:space="preserve"> </v>
      </c>
      <c r="T316" s="308"/>
      <c r="U316" s="2">
        <f>ROUND(S316*$C316,0)</f>
        <v>0</v>
      </c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>
      <c r="A317" s="1" t="s">
        <v>381</v>
      </c>
      <c r="B317" s="1"/>
      <c r="C317" s="304">
        <v>2898.2333333333399</v>
      </c>
      <c r="D317" s="283">
        <v>14.3</v>
      </c>
      <c r="E317" s="310"/>
      <c r="F317" s="2">
        <f t="shared" ref="F317:F318" si="76">ROUND(D317*$C317,0)</f>
        <v>41445</v>
      </c>
      <c r="G317" s="283">
        <f ca="1">$G$173</f>
        <v>14.54</v>
      </c>
      <c r="H317" s="310"/>
      <c r="I317" s="2">
        <f ca="1">ROUND(G317*$C317,0)</f>
        <v>42140</v>
      </c>
      <c r="J317" s="2"/>
      <c r="K317" s="283">
        <f ca="1">$K$173</f>
        <v>14.54</v>
      </c>
      <c r="L317" s="310"/>
      <c r="M317" s="2">
        <f ca="1">ROUND(K317*$C317,0)</f>
        <v>42140</v>
      </c>
      <c r="N317" s="2"/>
      <c r="O317" s="283" t="str">
        <f>$O$173</f>
        <v xml:space="preserve"> </v>
      </c>
      <c r="P317" s="310"/>
      <c r="Q317" s="2">
        <f>ROUND(O317*$C317,0)</f>
        <v>0</v>
      </c>
      <c r="R317" s="2"/>
      <c r="S317" s="283" t="str">
        <f>$S$173</f>
        <v xml:space="preserve"> </v>
      </c>
      <c r="T317" s="310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>
      <c r="A318" s="1" t="s">
        <v>382</v>
      </c>
      <c r="B318" s="1"/>
      <c r="C318" s="304">
        <v>47405</v>
      </c>
      <c r="D318" s="283">
        <v>1</v>
      </c>
      <c r="E318" s="310"/>
      <c r="F318" s="2">
        <f t="shared" si="76"/>
        <v>47405</v>
      </c>
      <c r="G318" s="283">
        <f ca="1">$G$174</f>
        <v>1.02</v>
      </c>
      <c r="H318" s="310"/>
      <c r="I318" s="2">
        <f ca="1">ROUND(G318*$C318,0)</f>
        <v>48353</v>
      </c>
      <c r="J318" s="2"/>
      <c r="K318" s="283">
        <f ca="1">$K$174</f>
        <v>1.02</v>
      </c>
      <c r="L318" s="310"/>
      <c r="M318" s="2">
        <f ca="1">ROUND(K318*$C318,0)</f>
        <v>48353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>
      <c r="A319" s="1" t="s">
        <v>384</v>
      </c>
      <c r="B319" s="1"/>
      <c r="C319" s="304">
        <f>SUM(C316:C317)</f>
        <v>4557.7000000000098</v>
      </c>
      <c r="D319" s="283"/>
      <c r="E319" s="308"/>
      <c r="F319" s="2"/>
      <c r="G319" s="283"/>
      <c r="H319" s="308"/>
      <c r="I319" s="2"/>
      <c r="J319" s="2"/>
      <c r="K319" s="283"/>
      <c r="L319" s="308"/>
      <c r="M319" s="2"/>
      <c r="N319" s="2"/>
      <c r="O319" s="283"/>
      <c r="P319" s="308"/>
      <c r="Q319" s="2"/>
      <c r="R319" s="2"/>
      <c r="S319" s="283"/>
      <c r="T319" s="308"/>
      <c r="U319" s="2"/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>
      <c r="A320" s="1" t="s">
        <v>385</v>
      </c>
      <c r="B320" s="1"/>
      <c r="C320" s="304">
        <v>37943</v>
      </c>
      <c r="D320" s="311">
        <v>3.64</v>
      </c>
      <c r="E320" s="308"/>
      <c r="F320" s="2">
        <f>ROUND(D320*C320,0)</f>
        <v>138113</v>
      </c>
      <c r="G320" s="311">
        <f ca="1">$G$177</f>
        <v>3.7</v>
      </c>
      <c r="H320" s="308"/>
      <c r="I320" s="2">
        <f ca="1">ROUND(G320*$C320,0)</f>
        <v>140389</v>
      </c>
      <c r="J320" s="2"/>
      <c r="K320" s="311" t="e">
        <f ca="1">$K$177</f>
        <v>#REF!</v>
      </c>
      <c r="L320" s="308"/>
      <c r="M320" s="2" t="e">
        <f ca="1">ROUND(K320*$C320,0)</f>
        <v>#REF!</v>
      </c>
      <c r="N320" s="2"/>
      <c r="O320" s="311" t="e">
        <f ca="1">$O$177</f>
        <v>#DIV/0!</v>
      </c>
      <c r="P320" s="308"/>
      <c r="Q320" s="2" t="e">
        <f ca="1">ROUND(O320*$C320,0)</f>
        <v>#DIV/0!</v>
      </c>
      <c r="R320" s="2"/>
      <c r="S320" s="311" t="e">
        <f ca="1">$S$177</f>
        <v>#DIV/0!</v>
      </c>
      <c r="T320" s="308"/>
      <c r="U320" s="2" t="e">
        <f ca="1">ROUND(S320*$C320,0)</f>
        <v>#DIV/0!</v>
      </c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>
      <c r="A321" s="1" t="s">
        <v>387</v>
      </c>
      <c r="B321" s="1"/>
      <c r="C321" s="304">
        <v>3121618.3333333335</v>
      </c>
      <c r="D321" s="284">
        <v>10.449</v>
      </c>
      <c r="E321" s="308" t="s">
        <v>364</v>
      </c>
      <c r="F321" s="2">
        <f>ROUND(D321*C321/100,0)</f>
        <v>326178</v>
      </c>
      <c r="G321" s="284">
        <f ca="1">$G$178</f>
        <v>10.628</v>
      </c>
      <c r="H321" s="308" t="s">
        <v>364</v>
      </c>
      <c r="I321" s="2">
        <f ca="1">ROUND(G321*$C321/100,0)</f>
        <v>331766</v>
      </c>
      <c r="J321" s="2"/>
      <c r="K321" s="284" t="e">
        <f ca="1">$K$178</f>
        <v>#REF!</v>
      </c>
      <c r="L321" s="308" t="s">
        <v>364</v>
      </c>
      <c r="M321" s="2" t="e">
        <f ca="1">ROUND(K321*$C321/100,0)</f>
        <v>#REF!</v>
      </c>
      <c r="N321" s="2"/>
      <c r="O321" s="284" t="e">
        <f ca="1">$O$178</f>
        <v>#DIV/0!</v>
      </c>
      <c r="P321" s="308" t="s">
        <v>364</v>
      </c>
      <c r="Q321" s="2" t="e">
        <f ca="1">ROUND(O321*$C321/100,0)</f>
        <v>#DIV/0!</v>
      </c>
      <c r="R321" s="2"/>
      <c r="S321" s="284" t="e">
        <f ca="1">$S$178</f>
        <v>#DIV/0!</v>
      </c>
      <c r="T321" s="308" t="s">
        <v>364</v>
      </c>
      <c r="U321" s="2" t="e">
        <f ca="1">ROUND(S321*$C321/100,0)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>
      <c r="A322" s="1" t="s">
        <v>388</v>
      </c>
      <c r="B322" s="1"/>
      <c r="C322" s="304">
        <v>9404351.6666666642</v>
      </c>
      <c r="D322" s="284">
        <v>7.218</v>
      </c>
      <c r="E322" s="308" t="s">
        <v>364</v>
      </c>
      <c r="F322" s="2">
        <f>ROUND(D322*C322/100,0)</f>
        <v>678806</v>
      </c>
      <c r="G322" s="284">
        <f ca="1">$G$179</f>
        <v>7.3410000000000002</v>
      </c>
      <c r="H322" s="308" t="s">
        <v>364</v>
      </c>
      <c r="I322" s="2">
        <f ca="1">ROUND(G322*$C322/100,0)</f>
        <v>690373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>
      <c r="A323" s="1" t="s">
        <v>389</v>
      </c>
      <c r="B323" s="1"/>
      <c r="C323" s="304">
        <v>4754181.0000000019</v>
      </c>
      <c r="D323" s="284">
        <v>6.218</v>
      </c>
      <c r="E323" s="308" t="s">
        <v>364</v>
      </c>
      <c r="F323" s="2">
        <f>ROUND(D323*C323/100,0)</f>
        <v>295615</v>
      </c>
      <c r="G323" s="284">
        <f ca="1">$G$180</f>
        <v>6.3240000000000007</v>
      </c>
      <c r="H323" s="308" t="s">
        <v>364</v>
      </c>
      <c r="I323" s="2">
        <f ca="1">ROUND(G323*$C323/100,0)</f>
        <v>300654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>
      <c r="A324" s="1" t="s">
        <v>390</v>
      </c>
      <c r="B324" s="1"/>
      <c r="C324" s="304">
        <v>13463.333333333332</v>
      </c>
      <c r="D324" s="315">
        <v>56</v>
      </c>
      <c r="E324" s="308" t="s">
        <v>364</v>
      </c>
      <c r="F324" s="2">
        <f>ROUND(D324*C324/100,0)</f>
        <v>7539</v>
      </c>
      <c r="G324" s="315">
        <f ca="1">$G$181</f>
        <v>57</v>
      </c>
      <c r="H324" s="308" t="s">
        <v>364</v>
      </c>
      <c r="I324" s="2">
        <f ca="1">ROUND(G324*$C324/100,0)</f>
        <v>7674</v>
      </c>
      <c r="J324" s="2"/>
      <c r="K324" s="315" t="str">
        <f>$K$181</f>
        <v xml:space="preserve"> </v>
      </c>
      <c r="L324" s="308" t="s">
        <v>364</v>
      </c>
      <c r="M324" s="2">
        <f>ROUND(K324*$C324/100,0)</f>
        <v>0</v>
      </c>
      <c r="N324" s="2"/>
      <c r="O324" s="315" t="e">
        <f>$O$181</f>
        <v>#DIV/0!</v>
      </c>
      <c r="P324" s="308" t="s">
        <v>364</v>
      </c>
      <c r="Q324" s="2" t="e">
        <f>ROUND(O324*$C324/100,0)</f>
        <v>#DIV/0!</v>
      </c>
      <c r="R324" s="2"/>
      <c r="S324" s="315" t="e">
        <f>$S$181</f>
        <v>#DIV/0!</v>
      </c>
      <c r="T324" s="308" t="s">
        <v>364</v>
      </c>
      <c r="U324" s="2" t="e">
        <f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s="1118" customFormat="1" hidden="1">
      <c r="A325" s="968" t="s">
        <v>862</v>
      </c>
      <c r="C325" s="1122">
        <f>C321</f>
        <v>3121618.3333333335</v>
      </c>
      <c r="D325" s="254">
        <v>0</v>
      </c>
      <c r="E325" s="1119"/>
      <c r="F325" s="1123"/>
      <c r="G325" s="1128">
        <f>G182</f>
        <v>0</v>
      </c>
      <c r="H325" s="972" t="s">
        <v>364</v>
      </c>
      <c r="I325" s="1123">
        <f t="shared" ref="I325:I327" si="77">ROUND(G325*$C325/100,0)</f>
        <v>0</v>
      </c>
      <c r="J325" s="1123"/>
      <c r="K325" s="1128" t="str">
        <f>K182</f>
        <v xml:space="preserve"> </v>
      </c>
      <c r="L325" s="972" t="s">
        <v>364</v>
      </c>
      <c r="M325" s="1123">
        <f t="shared" ref="M325:M327" si="78">ROUND(K325*$C325/100,0)</f>
        <v>0</v>
      </c>
      <c r="N325" s="1123"/>
      <c r="O325" s="1128" t="str">
        <f>O182</f>
        <v xml:space="preserve"> </v>
      </c>
      <c r="P325" s="972" t="s">
        <v>364</v>
      </c>
      <c r="Q325" s="1123">
        <f t="shared" ref="Q325:Q327" si="79">ROUND(O325*$C325/100,0)</f>
        <v>0</v>
      </c>
      <c r="R325" s="1123"/>
      <c r="S325" s="1128">
        <f>S182</f>
        <v>0</v>
      </c>
      <c r="T325" s="972" t="s">
        <v>364</v>
      </c>
      <c r="U325" s="1123">
        <f t="shared" ref="U325:U327" si="80">ROUND(S325*$C325/100,0)</f>
        <v>0</v>
      </c>
      <c r="W325" s="784"/>
      <c r="Z325" s="1125"/>
      <c r="AA325" s="1125"/>
      <c r="AF325" s="1119"/>
      <c r="AG325" s="1119"/>
      <c r="AH325" s="1119"/>
      <c r="AI325" s="1119"/>
      <c r="AJ325" s="1119"/>
      <c r="AK325" s="1119"/>
      <c r="AL325" s="1119"/>
      <c r="AM325" s="1119"/>
      <c r="AN325" s="1119"/>
      <c r="AO325" s="1119"/>
      <c r="AP325" s="1119"/>
      <c r="AR325" s="1124"/>
    </row>
    <row r="326" spans="1:44" s="1118" customFormat="1" hidden="1">
      <c r="A326" s="968" t="s">
        <v>863</v>
      </c>
      <c r="C326" s="1122">
        <f>C322</f>
        <v>9404351.6666666642</v>
      </c>
      <c r="D326" s="254">
        <v>0</v>
      </c>
      <c r="E326" s="1119"/>
      <c r="F326" s="1123"/>
      <c r="G326" s="1128">
        <f>G183</f>
        <v>0</v>
      </c>
      <c r="H326" s="972" t="s">
        <v>364</v>
      </c>
      <c r="I326" s="1123">
        <f t="shared" si="77"/>
        <v>0</v>
      </c>
      <c r="J326" s="1123"/>
      <c r="K326" s="1128" t="str">
        <f>K183</f>
        <v xml:space="preserve"> </v>
      </c>
      <c r="L326" s="972" t="s">
        <v>364</v>
      </c>
      <c r="M326" s="1123">
        <f t="shared" si="78"/>
        <v>0</v>
      </c>
      <c r="N326" s="1123"/>
      <c r="O326" s="1128" t="str">
        <f>O183</f>
        <v xml:space="preserve"> </v>
      </c>
      <c r="P326" s="972" t="s">
        <v>364</v>
      </c>
      <c r="Q326" s="1123">
        <f t="shared" si="79"/>
        <v>0</v>
      </c>
      <c r="R326" s="1123"/>
      <c r="S326" s="1128">
        <f>S183</f>
        <v>0</v>
      </c>
      <c r="T326" s="972" t="s">
        <v>364</v>
      </c>
      <c r="U326" s="1123">
        <f t="shared" si="80"/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864</v>
      </c>
      <c r="C327" s="1122">
        <f>C323</f>
        <v>4754181.0000000019</v>
      </c>
      <c r="D327" s="254"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77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78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79"/>
        <v>0</v>
      </c>
      <c r="R327" s="1123"/>
      <c r="S327" s="1128">
        <f>S184</f>
        <v>0</v>
      </c>
      <c r="T327" s="972" t="s">
        <v>364</v>
      </c>
      <c r="U327" s="1123">
        <f t="shared" si="80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>
      <c r="A328" s="316" t="s">
        <v>391</v>
      </c>
      <c r="B328" s="1"/>
      <c r="C328" s="304"/>
      <c r="D328" s="317">
        <v>-0.01</v>
      </c>
      <c r="E328" s="308"/>
      <c r="F328" s="2"/>
      <c r="G328" s="317">
        <v>-0.01</v>
      </c>
      <c r="H328" s="308"/>
      <c r="I328" s="2"/>
      <c r="J328" s="2"/>
      <c r="K328" s="317">
        <v>-0.01</v>
      </c>
      <c r="L328" s="308"/>
      <c r="M328" s="2"/>
      <c r="N328" s="2"/>
      <c r="O328" s="317">
        <v>-0.01</v>
      </c>
      <c r="P328" s="308"/>
      <c r="Q328" s="2"/>
      <c r="R328" s="2"/>
      <c r="S328" s="317">
        <v>-0.01</v>
      </c>
      <c r="T328" s="308"/>
      <c r="U328" s="2"/>
      <c r="V328" s="20"/>
      <c r="W328" s="74"/>
      <c r="X328" s="74"/>
      <c r="Y328" s="74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R328" s="84"/>
    </row>
    <row r="329" spans="1:44">
      <c r="A329" s="1" t="s">
        <v>380</v>
      </c>
      <c r="B329" s="1"/>
      <c r="C329" s="304">
        <v>0</v>
      </c>
      <c r="D329" s="319">
        <v>9.6</v>
      </c>
      <c r="E329" s="306"/>
      <c r="F329" s="2">
        <f>-ROUND(D329*$C329/100,0)</f>
        <v>0</v>
      </c>
      <c r="G329" s="319">
        <f ca="1">G316</f>
        <v>9.76</v>
      </c>
      <c r="H329" s="306"/>
      <c r="I329" s="2">
        <f ca="1">-ROUND(G329*$C329/100,0)</f>
        <v>0</v>
      </c>
      <c r="J329" s="2"/>
      <c r="K329" s="319">
        <f ca="1">K316</f>
        <v>9.76</v>
      </c>
      <c r="L329" s="306"/>
      <c r="M329" s="2">
        <f ca="1">-ROUND(K329*$C329/100,0)</f>
        <v>0</v>
      </c>
      <c r="N329" s="2"/>
      <c r="O329" s="319" t="str">
        <f>O316</f>
        <v xml:space="preserve"> </v>
      </c>
      <c r="P329" s="306"/>
      <c r="Q329" s="2">
        <f>-ROUND(O329*$C329/100,0)</f>
        <v>0</v>
      </c>
      <c r="R329" s="2"/>
      <c r="S329" s="319" t="str">
        <f>S316</f>
        <v xml:space="preserve"> </v>
      </c>
      <c r="T329" s="306"/>
      <c r="U329" s="2">
        <f>-ROUND(S329*$C329/100,0)</f>
        <v>0</v>
      </c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>
      <c r="A330" s="1" t="s">
        <v>381</v>
      </c>
      <c r="B330" s="1"/>
      <c r="C330" s="304">
        <v>7.8666666666666698</v>
      </c>
      <c r="D330" s="319">
        <v>14.3</v>
      </c>
      <c r="E330" s="306"/>
      <c r="F330" s="2">
        <f t="shared" ref="F330:F332" si="81">-ROUND(D330*$C330/100,0)</f>
        <v>-1</v>
      </c>
      <c r="G330" s="319">
        <f ca="1">G317</f>
        <v>14.54</v>
      </c>
      <c r="H330" s="306"/>
      <c r="I330" s="2">
        <f ca="1">-ROUND(G330*$C330/100,0)</f>
        <v>-1</v>
      </c>
      <c r="J330" s="2"/>
      <c r="K330" s="319">
        <f ca="1">K317</f>
        <v>14.54</v>
      </c>
      <c r="L330" s="306"/>
      <c r="M330" s="2">
        <f ca="1">-ROUND(K330*$C330/100,0)</f>
        <v>-1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>
      <c r="A331" s="1" t="s">
        <v>392</v>
      </c>
      <c r="B331" s="1"/>
      <c r="C331" s="304">
        <v>543</v>
      </c>
      <c r="D331" s="319">
        <v>1</v>
      </c>
      <c r="E331" s="306"/>
      <c r="F331" s="2">
        <f t="shared" si="81"/>
        <v>-5</v>
      </c>
      <c r="G331" s="319">
        <f ca="1">G318</f>
        <v>1.02</v>
      </c>
      <c r="H331" s="306"/>
      <c r="I331" s="2">
        <f ca="1">-ROUND(G331*$C331/100,0)</f>
        <v>-6</v>
      </c>
      <c r="J331" s="2"/>
      <c r="K331" s="319">
        <f ca="1">K318</f>
        <v>1.02</v>
      </c>
      <c r="L331" s="306"/>
      <c r="M331" s="2">
        <f ca="1">-ROUND(K331*$C331/100,0)</f>
        <v>-6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>
      <c r="A332" s="1" t="s">
        <v>393</v>
      </c>
      <c r="B332" s="1"/>
      <c r="C332" s="304">
        <v>722</v>
      </c>
      <c r="D332" s="319">
        <v>3.64</v>
      </c>
      <c r="E332" s="308"/>
      <c r="F332" s="2">
        <f t="shared" si="81"/>
        <v>-26</v>
      </c>
      <c r="G332" s="319">
        <f ca="1">G320</f>
        <v>3.7</v>
      </c>
      <c r="H332" s="308"/>
      <c r="I332" s="2">
        <f ca="1">-ROUND(G332*$C332/100,0)</f>
        <v>-27</v>
      </c>
      <c r="J332" s="2"/>
      <c r="K332" s="319" t="e">
        <f ca="1">K320</f>
        <v>#REF!</v>
      </c>
      <c r="L332" s="308"/>
      <c r="M332" s="2" t="e">
        <f ca="1">-ROUND(K332*$C332/100,0)</f>
        <v>#REF!</v>
      </c>
      <c r="N332" s="2"/>
      <c r="O332" s="319" t="e">
        <f ca="1">O320</f>
        <v>#DIV/0!</v>
      </c>
      <c r="P332" s="308"/>
      <c r="Q332" s="2" t="e">
        <f ca="1">-ROUND(O332*$C332/100,0)</f>
        <v>#DIV/0!</v>
      </c>
      <c r="R332" s="2"/>
      <c r="S332" s="319" t="e">
        <f ca="1">S320</f>
        <v>#DIV/0!</v>
      </c>
      <c r="T332" s="308"/>
      <c r="U332" s="2" t="e">
        <f ca="1">-ROUND(S332*$C332/100,0)</f>
        <v>#DIV/0!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>
      <c r="A333" s="1" t="s">
        <v>395</v>
      </c>
      <c r="B333" s="1"/>
      <c r="C333" s="304">
        <v>7866.6666666666697</v>
      </c>
      <c r="D333" s="320">
        <v>10.449</v>
      </c>
      <c r="E333" s="308" t="s">
        <v>364</v>
      </c>
      <c r="F333" s="2">
        <f>ROUND(D333*$C333/100*D328,0)</f>
        <v>-8</v>
      </c>
      <c r="G333" s="320">
        <f ca="1">G321</f>
        <v>10.628</v>
      </c>
      <c r="H333" s="308" t="s">
        <v>364</v>
      </c>
      <c r="I333" s="2">
        <f ca="1">ROUND(G333*$C333/100*G328,0)</f>
        <v>-8</v>
      </c>
      <c r="J333" s="2"/>
      <c r="K333" s="320" t="e">
        <f ca="1">K321</f>
        <v>#REF!</v>
      </c>
      <c r="L333" s="308" t="s">
        <v>364</v>
      </c>
      <c r="M333" s="2" t="e">
        <f ca="1">ROUND(K333*$C333/100*K328,0)</f>
        <v>#REF!</v>
      </c>
      <c r="N333" s="2"/>
      <c r="O333" s="320" t="e">
        <f ca="1">O321</f>
        <v>#DIV/0!</v>
      </c>
      <c r="P333" s="308" t="s">
        <v>364</v>
      </c>
      <c r="Q333" s="2" t="e">
        <f ca="1">ROUND(O333*$C333/100*O328,0)</f>
        <v>#DIV/0!</v>
      </c>
      <c r="R333" s="2"/>
      <c r="S333" s="320" t="e">
        <f ca="1">S321</f>
        <v>#DIV/0!</v>
      </c>
      <c r="T333" s="308" t="s">
        <v>364</v>
      </c>
      <c r="U333" s="2" t="e">
        <f ca="1">ROUND(S333*$C333/100*S328,0)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>
      <c r="A334" s="1" t="s">
        <v>388</v>
      </c>
      <c r="B334" s="1"/>
      <c r="C334" s="304">
        <v>62933.333333333299</v>
      </c>
      <c r="D334" s="320">
        <v>7.218</v>
      </c>
      <c r="E334" s="308" t="s">
        <v>364</v>
      </c>
      <c r="F334" s="2">
        <f>ROUND(D334*$C334/100*D328,0)</f>
        <v>-45</v>
      </c>
      <c r="G334" s="320">
        <f ca="1">G322</f>
        <v>7.3410000000000002</v>
      </c>
      <c r="H334" s="308" t="s">
        <v>364</v>
      </c>
      <c r="I334" s="2">
        <f ca="1">ROUND(G334*$C334/100*G328,0)</f>
        <v>-46</v>
      </c>
      <c r="J334" s="2"/>
      <c r="K334" s="320" t="e">
        <f ca="1">K322</f>
        <v>#REF!</v>
      </c>
      <c r="L334" s="308" t="s">
        <v>364</v>
      </c>
      <c r="M334" s="2" t="e">
        <f ca="1">ROUND(K334*$C334/100*K328,0)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ROUND(O334*$C334/100*O328,0)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ROUND(S334*$C334/100*S328,0)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>
      <c r="A335" s="1" t="s">
        <v>389</v>
      </c>
      <c r="B335" s="1"/>
      <c r="C335" s="304">
        <v>232200.00000000003</v>
      </c>
      <c r="D335" s="320">
        <v>6.218</v>
      </c>
      <c r="E335" s="308" t="s">
        <v>364</v>
      </c>
      <c r="F335" s="2">
        <f>ROUND(D335*$C335/100*D328,0)</f>
        <v>-144</v>
      </c>
      <c r="G335" s="320">
        <f ca="1">G323</f>
        <v>6.3240000000000007</v>
      </c>
      <c r="H335" s="308" t="s">
        <v>364</v>
      </c>
      <c r="I335" s="2">
        <f ca="1">ROUND(G335*$C335/100*G328,0)</f>
        <v>-147</v>
      </c>
      <c r="J335" s="2"/>
      <c r="K335" s="320" t="e">
        <f ca="1">K323</f>
        <v>#REF!</v>
      </c>
      <c r="L335" s="308" t="s">
        <v>364</v>
      </c>
      <c r="M335" s="2" t="e">
        <f ca="1">ROUND(K335*$C335/100*K328,0)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ROUND(O335*$C335/100*O328,0)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ROUND(S335*$C335/100*S328,0)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>
      <c r="A336" s="1" t="s">
        <v>390</v>
      </c>
      <c r="B336" s="1"/>
      <c r="C336" s="304">
        <v>475.4</v>
      </c>
      <c r="D336" s="321">
        <v>56</v>
      </c>
      <c r="E336" s="308" t="s">
        <v>364</v>
      </c>
      <c r="F336" s="2">
        <f>ROUND(D336*$C336/100*D328,0)</f>
        <v>-3</v>
      </c>
      <c r="G336" s="321">
        <f ca="1">G324</f>
        <v>57</v>
      </c>
      <c r="H336" s="308" t="s">
        <v>364</v>
      </c>
      <c r="I336" s="2">
        <f ca="1">ROUND(G336*$C336/100*G328,0)</f>
        <v>-3</v>
      </c>
      <c r="J336" s="2"/>
      <c r="K336" s="321" t="str">
        <f>K324</f>
        <v xml:space="preserve"> </v>
      </c>
      <c r="L336" s="308" t="s">
        <v>364</v>
      </c>
      <c r="M336" s="2">
        <f>ROUND(K336*$C336/100*K328,0)</f>
        <v>0</v>
      </c>
      <c r="N336" s="2"/>
      <c r="O336" s="321" t="e">
        <f>O324</f>
        <v>#DIV/0!</v>
      </c>
      <c r="P336" s="308" t="s">
        <v>364</v>
      </c>
      <c r="Q336" s="2" t="e">
        <f>ROUND(O336*$C336/100*O328,0)</f>
        <v>#DIV/0!</v>
      </c>
      <c r="R336" s="2"/>
      <c r="S336" s="321" t="e">
        <f>S324</f>
        <v>#DIV/0!</v>
      </c>
      <c r="T336" s="308" t="s">
        <v>364</v>
      </c>
      <c r="U336" s="2" t="e">
        <f>ROUND(S336*$C336/100*S328,0)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>
      <c r="A337" s="1" t="s">
        <v>397</v>
      </c>
      <c r="B337" s="1"/>
      <c r="C337" s="304">
        <v>7.8666666666666698</v>
      </c>
      <c r="D337" s="322">
        <v>60</v>
      </c>
      <c r="E337" s="308"/>
      <c r="F337" s="2">
        <f>ROUND(D337*C337,0)</f>
        <v>472</v>
      </c>
      <c r="G337" s="322">
        <f>$G$197</f>
        <v>60</v>
      </c>
      <c r="H337" s="308"/>
      <c r="I337" s="2">
        <f>ROUND(G337*$C337,0)</f>
        <v>472</v>
      </c>
      <c r="J337" s="2"/>
      <c r="K337" s="311" t="s">
        <v>31</v>
      </c>
      <c r="L337" s="308"/>
      <c r="M337" s="999">
        <f>K337*C337</f>
        <v>0</v>
      </c>
      <c r="N337" s="307"/>
      <c r="O337" s="286" t="e">
        <f>O197</f>
        <v>#DIV/0!</v>
      </c>
      <c r="P337" s="308"/>
      <c r="Q337" s="2" t="e">
        <f>I337*(W207/(W207+X207))</f>
        <v>#DIV/0!</v>
      </c>
      <c r="R337" s="307"/>
      <c r="S337" s="286" t="e">
        <f>S197</f>
        <v>#DIV/0!</v>
      </c>
      <c r="T337" s="308"/>
      <c r="U337" s="2" t="e">
        <f>I337*(X207/(W207+X207))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>
      <c r="A338" s="1" t="s">
        <v>398</v>
      </c>
      <c r="B338" s="1"/>
      <c r="C338" s="304">
        <v>543</v>
      </c>
      <c r="D338" s="324">
        <v>-30</v>
      </c>
      <c r="E338" s="308" t="s">
        <v>364</v>
      </c>
      <c r="F338" s="2">
        <f>ROUND(D338*C338/100,0)</f>
        <v>-163</v>
      </c>
      <c r="G338" s="324">
        <f>$G$198</f>
        <v>-30</v>
      </c>
      <c r="H338" s="308" t="s">
        <v>364</v>
      </c>
      <c r="I338" s="2">
        <f>ROUND(G338*$C338/100,0)</f>
        <v>-163</v>
      </c>
      <c r="J338" s="2"/>
      <c r="K338" s="324">
        <f>'Blocking - detail'!$I$173</f>
        <v>-30</v>
      </c>
      <c r="L338" s="308" t="s">
        <v>364</v>
      </c>
      <c r="M338" s="307">
        <f>I338</f>
        <v>-163</v>
      </c>
      <c r="N338" s="307"/>
      <c r="O338" s="1281" t="s">
        <v>31</v>
      </c>
      <c r="P338" s="308" t="s">
        <v>31</v>
      </c>
      <c r="Q338" s="307">
        <f>O338*C338*O328</f>
        <v>0</v>
      </c>
      <c r="R338" s="307"/>
      <c r="S338" s="1281" t="s">
        <v>31</v>
      </c>
      <c r="T338" s="308" t="s">
        <v>31</v>
      </c>
      <c r="U338" s="307">
        <f>S338*D338*S328</f>
        <v>0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s="1118" customFormat="1" hidden="1">
      <c r="A339" s="968" t="s">
        <v>862</v>
      </c>
      <c r="C339" s="1122">
        <f>C333</f>
        <v>7866.6666666666697</v>
      </c>
      <c r="D339" s="254">
        <v>0</v>
      </c>
      <c r="E339" s="1119"/>
      <c r="F339" s="1123"/>
      <c r="G339" s="1128">
        <f>G182</f>
        <v>0</v>
      </c>
      <c r="H339" s="972" t="s">
        <v>364</v>
      </c>
      <c r="I339" s="1123">
        <f>ROUND(G339*$C339/100*G328,0)</f>
        <v>0</v>
      </c>
      <c r="J339" s="1123"/>
      <c r="K339" s="1128" t="str">
        <f>K182</f>
        <v xml:space="preserve"> </v>
      </c>
      <c r="L339" s="972" t="s">
        <v>364</v>
      </c>
      <c r="M339" s="1123">
        <f>ROUND(K339*$C339/100*K328,0)</f>
        <v>0</v>
      </c>
      <c r="N339" s="1123"/>
      <c r="O339" s="1128" t="str">
        <f>O182</f>
        <v xml:space="preserve"> </v>
      </c>
      <c r="P339" s="972" t="s">
        <v>364</v>
      </c>
      <c r="Q339" s="1123">
        <f>ROUND(O339*$C339/100*O328,0)</f>
        <v>0</v>
      </c>
      <c r="R339" s="1123"/>
      <c r="S339" s="1128">
        <f>S182</f>
        <v>0</v>
      </c>
      <c r="T339" s="972" t="s">
        <v>364</v>
      </c>
      <c r="U339" s="1123">
        <f>ROUND(S339*$C339/100*S328,0)</f>
        <v>0</v>
      </c>
      <c r="W339" s="784"/>
      <c r="Z339" s="1125"/>
      <c r="AA339" s="1125"/>
      <c r="AF339" s="1119"/>
      <c r="AG339" s="1119"/>
      <c r="AH339" s="1119"/>
      <c r="AI339" s="1119"/>
      <c r="AJ339" s="1119"/>
      <c r="AK339" s="1119"/>
      <c r="AL339" s="1119"/>
      <c r="AM339" s="1119"/>
      <c r="AN339" s="1119"/>
      <c r="AO339" s="1119"/>
      <c r="AP339" s="1119"/>
      <c r="AR339" s="1124"/>
    </row>
    <row r="340" spans="1:44" s="1118" customFormat="1" hidden="1">
      <c r="A340" s="968" t="s">
        <v>863</v>
      </c>
      <c r="C340" s="1122">
        <f>C334</f>
        <v>62933.333333333299</v>
      </c>
      <c r="D340" s="254"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ROUND(G340*$C340/100*G328,0)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ROUND(K340*$C340/100*K328,0)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ROUND(O340*$C340/100*O328,0)</f>
        <v>0</v>
      </c>
      <c r="R340" s="1123"/>
      <c r="S340" s="1128">
        <f>S183</f>
        <v>0</v>
      </c>
      <c r="T340" s="972" t="s">
        <v>364</v>
      </c>
      <c r="U340" s="1123">
        <f>ROUND(S340*$C340/100*S328,0)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864</v>
      </c>
      <c r="C341" s="1122">
        <f>C335</f>
        <v>232200.00000000003</v>
      </c>
      <c r="D341" s="254"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ROUND(G341*$C341/100*G328,0)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ROUND(K341*$C341/100*K328,0)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ROUND(O341*$C341/100*O328,0)</f>
        <v>0</v>
      </c>
      <c r="R341" s="1123"/>
      <c r="S341" s="1128">
        <f>S184</f>
        <v>0</v>
      </c>
      <c r="T341" s="972" t="s">
        <v>364</v>
      </c>
      <c r="U341" s="1123">
        <f>ROUND(S341*$C341/100*S328,0)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>
      <c r="A342" s="1" t="s">
        <v>371</v>
      </c>
      <c r="B342" s="1"/>
      <c r="C342" s="304">
        <f>SUM(C321:C323)</f>
        <v>17280151</v>
      </c>
      <c r="D342" s="315"/>
      <c r="E342" s="308"/>
      <c r="F342" s="2">
        <f>SUM(F316:F338)</f>
        <v>1551109</v>
      </c>
      <c r="G342" s="315"/>
      <c r="H342" s="308"/>
      <c r="I342" s="2">
        <f ca="1">SUM(I316:I341)</f>
        <v>1577616</v>
      </c>
      <c r="J342" s="2"/>
      <c r="K342" s="315"/>
      <c r="L342" s="308"/>
      <c r="M342" s="2" t="e">
        <f ca="1">SUM(M316:M341)</f>
        <v>#REF!</v>
      </c>
      <c r="N342" s="2"/>
      <c r="O342" s="315"/>
      <c r="P342" s="308"/>
      <c r="Q342" s="2" t="e">
        <f ca="1">SUM(Q316:Q341)</f>
        <v>#DIV/0!</v>
      </c>
      <c r="R342" s="2"/>
      <c r="S342" s="315"/>
      <c r="T342" s="308"/>
      <c r="U342" s="2" t="e">
        <f ca="1">SUM(U316:U341)</f>
        <v>#DIV/0!</v>
      </c>
      <c r="V342" s="20"/>
      <c r="W342" s="74"/>
      <c r="X342" s="74"/>
      <c r="Y342" s="74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R342" s="84"/>
    </row>
    <row r="343" spans="1:44">
      <c r="A343" s="1" t="s">
        <v>353</v>
      </c>
      <c r="B343" s="1"/>
      <c r="C343" s="334">
        <f ca="1">'Table 2'!H71</f>
        <v>53727.522773253761</v>
      </c>
      <c r="D343" s="294"/>
      <c r="E343" s="294"/>
      <c r="F343" s="326">
        <f ca="1">'Table 3'!E71</f>
        <v>4976.1641860674354</v>
      </c>
      <c r="G343" s="294"/>
      <c r="H343" s="294"/>
      <c r="I343" s="326">
        <f ca="1">F343</f>
        <v>4976.1641860674354</v>
      </c>
      <c r="J343" s="307"/>
      <c r="K343" s="294"/>
      <c r="L343" s="294"/>
      <c r="M343" s="326" t="e">
        <f ca="1">$I$343*V207/($V$207+$W$207+$X$207)</f>
        <v>#DIV/0!</v>
      </c>
      <c r="N343" s="51"/>
      <c r="O343" s="294"/>
      <c r="P343" s="294"/>
      <c r="Q343" s="326" t="e">
        <f ca="1">$I$343*W207/($V$207+$W$207+$X$207)</f>
        <v>#DIV/0!</v>
      </c>
      <c r="R343" s="51"/>
      <c r="S343" s="294"/>
      <c r="T343" s="294"/>
      <c r="U343" s="326" t="e">
        <f ca="1">$I$343*X207/($V$207+$W$207+$X$207)</f>
        <v>#DIV/0!</v>
      </c>
      <c r="V343" s="429"/>
      <c r="W343" s="272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t="16.5" thickBot="1">
      <c r="A344" s="1" t="s">
        <v>372</v>
      </c>
      <c r="B344" s="1"/>
      <c r="C344" s="296">
        <f ca="1">SUM(C342:C343)</f>
        <v>17333878.522773255</v>
      </c>
      <c r="D344" s="327"/>
      <c r="E344" s="330"/>
      <c r="F344" s="329">
        <f ca="1">F342+F343</f>
        <v>1556085.1641860674</v>
      </c>
      <c r="G344" s="327"/>
      <c r="H344" s="330"/>
      <c r="I344" s="329">
        <f ca="1">I342+I343</f>
        <v>1582592.1641860674</v>
      </c>
      <c r="J344" s="307"/>
      <c r="K344" s="327"/>
      <c r="L344" s="330"/>
      <c r="M344" s="329" t="e">
        <f ca="1">M342+M343</f>
        <v>#REF!</v>
      </c>
      <c r="N344" s="329"/>
      <c r="O344" s="327"/>
      <c r="P344" s="330"/>
      <c r="Q344" s="329" t="e">
        <f ca="1">Q342+Q343</f>
        <v>#DIV/0!</v>
      </c>
      <c r="R344" s="329"/>
      <c r="S344" s="327"/>
      <c r="T344" s="330"/>
      <c r="U344" s="329" t="e">
        <f ca="1">U342+U343</f>
        <v>#DIV/0!</v>
      </c>
      <c r="V344" s="396"/>
      <c r="W344" s="455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thickTop="1">
      <c r="A345" s="1"/>
      <c r="B345" s="1"/>
      <c r="C345" s="335"/>
      <c r="D345" s="336"/>
      <c r="E345" s="23"/>
      <c r="F345" s="307"/>
      <c r="G345" s="336"/>
      <c r="H345" s="23"/>
      <c r="I345" s="307"/>
      <c r="J345" s="307"/>
      <c r="K345" s="336"/>
      <c r="L345" s="23"/>
      <c r="M345" s="307"/>
      <c r="N345" s="307"/>
      <c r="O345" s="336"/>
      <c r="P345" s="23"/>
      <c r="Q345" s="307"/>
      <c r="R345" s="307"/>
      <c r="S345" s="336"/>
      <c r="T345" s="23"/>
      <c r="U345" s="307"/>
      <c r="V345" s="20"/>
      <c r="W345" s="74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>
      <c r="A346" s="278" t="s">
        <v>405</v>
      </c>
      <c r="B346" s="1"/>
      <c r="C346" s="1"/>
      <c r="D346" s="2"/>
      <c r="E346" s="1"/>
      <c r="F346" s="1"/>
      <c r="G346" s="2"/>
      <c r="H346" s="1"/>
      <c r="I346" s="1"/>
      <c r="J346" s="1"/>
      <c r="K346" s="2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>
      <c r="A347" s="1" t="s">
        <v>400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>
      <c r="A348" s="1"/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>
      <c r="A349" s="1" t="s">
        <v>383</v>
      </c>
      <c r="B349" s="1"/>
      <c r="C349" s="304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>
      <c r="A350" s="1" t="s">
        <v>406</v>
      </c>
      <c r="B350" s="1"/>
      <c r="C350" s="304">
        <f>C385+C420</f>
        <v>4499.0963483023515</v>
      </c>
      <c r="D350" s="283">
        <v>9.6</v>
      </c>
      <c r="E350" s="308"/>
      <c r="F350" s="2">
        <f>ROUND(D350*$C350,0)</f>
        <v>43191</v>
      </c>
      <c r="G350" s="283">
        <f ca="1">$G$172</f>
        <v>9.76</v>
      </c>
      <c r="H350" s="308"/>
      <c r="I350" s="2">
        <f ca="1">I385+I420</f>
        <v>43912</v>
      </c>
      <c r="J350" s="2"/>
      <c r="K350" s="283">
        <f ca="1">$K$172</f>
        <v>9.76</v>
      </c>
      <c r="L350" s="308"/>
      <c r="M350" s="2">
        <f ca="1">M385+M420</f>
        <v>43912</v>
      </c>
      <c r="N350" s="2"/>
      <c r="O350" s="283" t="str">
        <f>$O$172</f>
        <v xml:space="preserve"> </v>
      </c>
      <c r="P350" s="308"/>
      <c r="Q350" s="2">
        <f>Q385+Q420</f>
        <v>0</v>
      </c>
      <c r="R350" s="2"/>
      <c r="S350" s="283" t="str">
        <f>$S$172</f>
        <v xml:space="preserve"> </v>
      </c>
      <c r="T350" s="308"/>
      <c r="U350" s="2">
        <f>U385+U420</f>
        <v>0</v>
      </c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>
      <c r="A351" s="1" t="s">
        <v>381</v>
      </c>
      <c r="B351" s="1"/>
      <c r="C351" s="304">
        <f>C386+C421</f>
        <v>0</v>
      </c>
      <c r="D351" s="283">
        <v>14.3</v>
      </c>
      <c r="E351" s="310"/>
      <c r="F351" s="2">
        <f t="shared" ref="F351:F352" si="82">ROUND(D351*$C351,0)</f>
        <v>0</v>
      </c>
      <c r="G351" s="283">
        <f ca="1">$G$173</f>
        <v>14.54</v>
      </c>
      <c r="H351" s="310"/>
      <c r="I351" s="2">
        <f ca="1">I386+I421</f>
        <v>0</v>
      </c>
      <c r="J351" s="2"/>
      <c r="K351" s="283">
        <f ca="1">$K$173</f>
        <v>14.54</v>
      </c>
      <c r="L351" s="310"/>
      <c r="M351" s="2">
        <f ca="1">M386+M421</f>
        <v>0</v>
      </c>
      <c r="N351" s="2"/>
      <c r="O351" s="283" t="str">
        <f>$O$173</f>
        <v xml:space="preserve"> </v>
      </c>
      <c r="P351" s="310"/>
      <c r="Q351" s="2">
        <f>Q386+Q421</f>
        <v>0</v>
      </c>
      <c r="R351" s="2"/>
      <c r="S351" s="283" t="str">
        <f>$S$173</f>
        <v xml:space="preserve"> </v>
      </c>
      <c r="T351" s="310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>
      <c r="A352" s="1" t="s">
        <v>382</v>
      </c>
      <c r="B352" s="1"/>
      <c r="C352" s="304">
        <f>C387+C422</f>
        <v>0</v>
      </c>
      <c r="D352" s="283">
        <v>1</v>
      </c>
      <c r="E352" s="310"/>
      <c r="F352" s="2">
        <f t="shared" si="82"/>
        <v>0</v>
      </c>
      <c r="G352" s="283">
        <f ca="1">$G$174</f>
        <v>1.02</v>
      </c>
      <c r="H352" s="310"/>
      <c r="I352" s="2">
        <f ca="1">I387+I422</f>
        <v>0</v>
      </c>
      <c r="J352" s="2"/>
      <c r="K352" s="283">
        <f ca="1">$K$174</f>
        <v>1.02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>
      <c r="A353" s="1" t="s">
        <v>384</v>
      </c>
      <c r="B353" s="1"/>
      <c r="C353" s="304">
        <f>SUM(C350:C351)</f>
        <v>4499.0963483023515</v>
      </c>
      <c r="D353" s="283"/>
      <c r="E353" s="308"/>
      <c r="F353" s="2"/>
      <c r="G353" s="283"/>
      <c r="H353" s="308"/>
      <c r="I353" s="2"/>
      <c r="J353" s="2"/>
      <c r="K353" s="283"/>
      <c r="L353" s="308"/>
      <c r="M353" s="2"/>
      <c r="N353" s="2"/>
      <c r="O353" s="283"/>
      <c r="P353" s="308"/>
      <c r="Q353" s="2"/>
      <c r="R353" s="2"/>
      <c r="S353" s="283"/>
      <c r="T353" s="308"/>
      <c r="U353" s="2"/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>
      <c r="A354" s="1" t="s">
        <v>352</v>
      </c>
      <c r="B354" s="1"/>
      <c r="C354" s="304">
        <f t="shared" ref="C354:C359" si="83">C389+C424</f>
        <v>1449.1000000000033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>
      <c r="A355" s="1" t="s">
        <v>385</v>
      </c>
      <c r="B355" s="1"/>
      <c r="C355" s="304">
        <f t="shared" si="83"/>
        <v>0</v>
      </c>
      <c r="D355" s="311">
        <v>3.64</v>
      </c>
      <c r="E355" s="308"/>
      <c r="F355" s="2">
        <f>ROUND(D355*C355,0)</f>
        <v>0</v>
      </c>
      <c r="G355" s="311">
        <f ca="1">$G$177</f>
        <v>3.7</v>
      </c>
      <c r="H355" s="308"/>
      <c r="I355" s="2">
        <f ca="1">I390+I425</f>
        <v>0</v>
      </c>
      <c r="J355" s="2"/>
      <c r="K355" s="311" t="e">
        <f ca="1">$K$177</f>
        <v>#REF!</v>
      </c>
      <c r="L355" s="308"/>
      <c r="M355" s="2" t="e">
        <f ca="1">M390+M425</f>
        <v>#REF!</v>
      </c>
      <c r="N355" s="2"/>
      <c r="O355" s="311" t="e">
        <f ca="1">$O$177</f>
        <v>#DIV/0!</v>
      </c>
      <c r="P355" s="308"/>
      <c r="Q355" s="2" t="e">
        <f ca="1">Q390+Q425</f>
        <v>#DIV/0!</v>
      </c>
      <c r="R355" s="2"/>
      <c r="S355" s="311" t="e">
        <f ca="1">$S$177</f>
        <v>#DIV/0!</v>
      </c>
      <c r="T355" s="308"/>
      <c r="U355" s="2" t="e">
        <f ca="1">U390+U425</f>
        <v>#DIV/0!</v>
      </c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>
      <c r="A356" s="1" t="s">
        <v>387</v>
      </c>
      <c r="B356" s="1"/>
      <c r="C356" s="304">
        <f t="shared" si="83"/>
        <v>1238906.7942953119</v>
      </c>
      <c r="D356" s="284">
        <v>10.449</v>
      </c>
      <c r="E356" s="308" t="s">
        <v>364</v>
      </c>
      <c r="F356" s="2">
        <f>ROUND(D356*C356/100,0)</f>
        <v>129453</v>
      </c>
      <c r="G356" s="284">
        <f ca="1">$G$178</f>
        <v>10.628</v>
      </c>
      <c r="H356" s="308" t="s">
        <v>364</v>
      </c>
      <c r="I356" s="2">
        <f ca="1">I391+I426</f>
        <v>131671</v>
      </c>
      <c r="J356" s="2"/>
      <c r="K356" s="284" t="e">
        <f ca="1">$K$178</f>
        <v>#REF!</v>
      </c>
      <c r="L356" s="308" t="s">
        <v>364</v>
      </c>
      <c r="M356" s="2" t="e">
        <f ca="1">M391+M426</f>
        <v>#REF!</v>
      </c>
      <c r="N356" s="2"/>
      <c r="O356" s="284" t="e">
        <f ca="1">$O$178</f>
        <v>#DIV/0!</v>
      </c>
      <c r="P356" s="308" t="s">
        <v>364</v>
      </c>
      <c r="Q356" s="2" t="e">
        <f ca="1">Q391+Q426</f>
        <v>#DIV/0!</v>
      </c>
      <c r="R356" s="2"/>
      <c r="S356" s="284" t="e">
        <f ca="1">$S$178</f>
        <v>#DIV/0!</v>
      </c>
      <c r="T356" s="308" t="s">
        <v>364</v>
      </c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>
      <c r="A357" s="1" t="s">
        <v>388</v>
      </c>
      <c r="B357" s="1"/>
      <c r="C357" s="304">
        <f t="shared" si="83"/>
        <v>64875</v>
      </c>
      <c r="D357" s="284">
        <v>7.218</v>
      </c>
      <c r="E357" s="308" t="s">
        <v>364</v>
      </c>
      <c r="F357" s="2">
        <f>ROUND(D357*C357/100,0)</f>
        <v>4683</v>
      </c>
      <c r="G357" s="284">
        <f ca="1">$G$179</f>
        <v>7.3410000000000002</v>
      </c>
      <c r="H357" s="308" t="s">
        <v>364</v>
      </c>
      <c r="I357" s="2">
        <f ca="1">I392+I427</f>
        <v>4762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>
      <c r="A358" s="1" t="s">
        <v>389</v>
      </c>
      <c r="B358" s="1"/>
      <c r="C358" s="304">
        <f t="shared" si="83"/>
        <v>0</v>
      </c>
      <c r="D358" s="284">
        <v>6.218</v>
      </c>
      <c r="E358" s="308" t="s">
        <v>364</v>
      </c>
      <c r="F358" s="2">
        <f>ROUND(D358*C358/100,0)</f>
        <v>0</v>
      </c>
      <c r="G358" s="284">
        <f ca="1">$G$180</f>
        <v>6.3240000000000007</v>
      </c>
      <c r="H358" s="308" t="s">
        <v>364</v>
      </c>
      <c r="I358" s="2">
        <f t="shared" ref="I358:I361" ca="1" si="84">I393+I428</f>
        <v>0</v>
      </c>
      <c r="J358" s="2"/>
      <c r="K358" s="284" t="e">
        <f ca="1">$K$180</f>
        <v>#REF!</v>
      </c>
      <c r="L358" s="308" t="s">
        <v>364</v>
      </c>
      <c r="M358" s="2" t="e">
        <f t="shared" ref="M358:M361" ca="1" si="85">M393+M428</f>
        <v>#REF!</v>
      </c>
      <c r="N358" s="2"/>
      <c r="O358" s="284" t="e">
        <f ca="1">$O$180</f>
        <v>#DIV/0!</v>
      </c>
      <c r="P358" s="308" t="s">
        <v>364</v>
      </c>
      <c r="Q358" s="2" t="e">
        <f t="shared" ref="Q358:Q361" ca="1" si="86">Q393+Q428</f>
        <v>#DIV/0!</v>
      </c>
      <c r="R358" s="2"/>
      <c r="S358" s="284" t="e">
        <f ca="1">$S$180</f>
        <v>#DIV/0!</v>
      </c>
      <c r="T358" s="308" t="s">
        <v>364</v>
      </c>
      <c r="U358" s="2" t="e">
        <f t="shared" ref="U358:U361" ca="1" si="87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>
      <c r="A359" s="1" t="s">
        <v>390</v>
      </c>
      <c r="B359" s="1"/>
      <c r="C359" s="304">
        <f t="shared" si="83"/>
        <v>0</v>
      </c>
      <c r="D359" s="315">
        <v>56</v>
      </c>
      <c r="E359" s="308" t="s">
        <v>364</v>
      </c>
      <c r="F359" s="2">
        <f>ROUND(D359*C359/100,0)</f>
        <v>0</v>
      </c>
      <c r="G359" s="315">
        <f ca="1">$G$181</f>
        <v>57</v>
      </c>
      <c r="H359" s="308" t="s">
        <v>364</v>
      </c>
      <c r="I359" s="2">
        <f t="shared" ca="1" si="84"/>
        <v>0</v>
      </c>
      <c r="J359" s="2"/>
      <c r="K359" s="315" t="str">
        <f>$K$181</f>
        <v xml:space="preserve"> </v>
      </c>
      <c r="L359" s="308" t="s">
        <v>364</v>
      </c>
      <c r="M359" s="2">
        <f t="shared" si="85"/>
        <v>0</v>
      </c>
      <c r="N359" s="2"/>
      <c r="O359" s="315" t="e">
        <f>$O$181</f>
        <v>#DIV/0!</v>
      </c>
      <c r="P359" s="308" t="s">
        <v>364</v>
      </c>
      <c r="Q359" s="2" t="e">
        <f t="shared" si="86"/>
        <v>#DIV/0!</v>
      </c>
      <c r="R359" s="2"/>
      <c r="S359" s="315" t="e">
        <f>$S$181</f>
        <v>#DIV/0!</v>
      </c>
      <c r="T359" s="308" t="s">
        <v>364</v>
      </c>
      <c r="U359" s="2" t="e">
        <f t="shared" si="87"/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s="1118" customFormat="1" hidden="1">
      <c r="A360" s="968" t="s">
        <v>862</v>
      </c>
      <c r="C360" s="987">
        <f>C401+C442</f>
        <v>0</v>
      </c>
      <c r="D360" s="254">
        <v>0</v>
      </c>
      <c r="E360" s="1119"/>
      <c r="F360" s="1123"/>
      <c r="G360" s="1128">
        <f>G182</f>
        <v>0</v>
      </c>
      <c r="H360" s="972" t="s">
        <v>364</v>
      </c>
      <c r="I360" s="2">
        <f t="shared" si="84"/>
        <v>0</v>
      </c>
      <c r="J360" s="2"/>
      <c r="K360" s="1128" t="str">
        <f>K182</f>
        <v xml:space="preserve"> </v>
      </c>
      <c r="L360" s="972" t="s">
        <v>364</v>
      </c>
      <c r="M360" s="2">
        <f t="shared" si="85"/>
        <v>0</v>
      </c>
      <c r="N360" s="2"/>
      <c r="O360" s="1128" t="str">
        <f>O182</f>
        <v xml:space="preserve"> </v>
      </c>
      <c r="P360" s="972" t="s">
        <v>364</v>
      </c>
      <c r="Q360" s="2">
        <f t="shared" si="86"/>
        <v>0</v>
      </c>
      <c r="R360" s="2"/>
      <c r="S360" s="1128">
        <f>S182</f>
        <v>0</v>
      </c>
      <c r="T360" s="972" t="s">
        <v>364</v>
      </c>
      <c r="U360" s="2">
        <f t="shared" si="87"/>
        <v>0</v>
      </c>
      <c r="W360" s="784"/>
      <c r="Z360" s="1125"/>
      <c r="AA360" s="1125"/>
      <c r="AF360" s="1119"/>
      <c r="AG360" s="1119"/>
      <c r="AH360" s="1119"/>
      <c r="AI360" s="1119"/>
      <c r="AJ360" s="1119"/>
      <c r="AK360" s="1119"/>
      <c r="AL360" s="1119"/>
      <c r="AM360" s="1119"/>
      <c r="AN360" s="1119"/>
      <c r="AO360" s="1119"/>
      <c r="AP360" s="1119"/>
      <c r="AR360" s="1124"/>
    </row>
    <row r="361" spans="1:44" s="1118" customFormat="1" hidden="1">
      <c r="A361" s="968" t="s">
        <v>863</v>
      </c>
      <c r="C361" s="987">
        <f>C402+C443</f>
        <v>0</v>
      </c>
      <c r="D361" s="254">
        <v>0</v>
      </c>
      <c r="E361" s="1119"/>
      <c r="F361" s="1123"/>
      <c r="G361" s="1128">
        <f>G183</f>
        <v>0</v>
      </c>
      <c r="H361" s="972" t="s">
        <v>364</v>
      </c>
      <c r="I361" s="2">
        <f t="shared" si="84"/>
        <v>0</v>
      </c>
      <c r="J361" s="2"/>
      <c r="K361" s="1128" t="str">
        <f>K183</f>
        <v xml:space="preserve"> </v>
      </c>
      <c r="L361" s="972" t="s">
        <v>364</v>
      </c>
      <c r="M361" s="2">
        <f t="shared" si="85"/>
        <v>0</v>
      </c>
      <c r="N361" s="2"/>
      <c r="O361" s="1128" t="str">
        <f>O183</f>
        <v xml:space="preserve"> </v>
      </c>
      <c r="P361" s="972" t="s">
        <v>364</v>
      </c>
      <c r="Q361" s="2">
        <f t="shared" si="86"/>
        <v>0</v>
      </c>
      <c r="R361" s="2"/>
      <c r="S361" s="1128">
        <f>S183</f>
        <v>0</v>
      </c>
      <c r="T361" s="972" t="s">
        <v>364</v>
      </c>
      <c r="U361" s="2">
        <f t="shared" si="87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864</v>
      </c>
      <c r="C362" s="987">
        <f>C403+C447</f>
        <v>33312</v>
      </c>
      <c r="D362" s="254">
        <v>0</v>
      </c>
      <c r="E362" s="1119"/>
      <c r="F362" s="1123"/>
      <c r="G362" s="1128">
        <f>G184</f>
        <v>0</v>
      </c>
      <c r="H362" s="972" t="s">
        <v>364</v>
      </c>
      <c r="I362" s="1123">
        <f ca="1">I403+I447</f>
        <v>8572</v>
      </c>
      <c r="J362" s="1123"/>
      <c r="K362" s="1128" t="str">
        <f>K184</f>
        <v xml:space="preserve"> </v>
      </c>
      <c r="L362" s="972" t="s">
        <v>364</v>
      </c>
      <c r="M362" s="1123" t="e">
        <f ca="1">M403+M447</f>
        <v>#REF!</v>
      </c>
      <c r="N362" s="1123"/>
      <c r="O362" s="1128" t="str">
        <f>O184</f>
        <v xml:space="preserve"> </v>
      </c>
      <c r="P362" s="972" t="s">
        <v>364</v>
      </c>
      <c r="Q362" s="1123" t="e">
        <f ca="1">Q403+Q447</f>
        <v>#DIV/0!</v>
      </c>
      <c r="R362" s="1123"/>
      <c r="S362" s="1128">
        <f>S184</f>
        <v>0</v>
      </c>
      <c r="T362" s="972" t="s">
        <v>364</v>
      </c>
      <c r="U362" s="1123" t="e">
        <f ca="1">U403+U447</f>
        <v>#DIV/0!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>
      <c r="A363" s="316" t="s">
        <v>391</v>
      </c>
      <c r="B363" s="1"/>
      <c r="C363" s="304"/>
      <c r="D363" s="317">
        <v>-0.01</v>
      </c>
      <c r="E363" s="308"/>
      <c r="F363" s="2"/>
      <c r="G363" s="317">
        <v>-0.01</v>
      </c>
      <c r="H363" s="308"/>
      <c r="I363" s="2"/>
      <c r="J363" s="2"/>
      <c r="K363" s="317">
        <v>-0.01</v>
      </c>
      <c r="L363" s="308"/>
      <c r="M363" s="2"/>
      <c r="N363" s="2"/>
      <c r="O363" s="317">
        <v>-0.01</v>
      </c>
      <c r="P363" s="308"/>
      <c r="Q363" s="2"/>
      <c r="R363" s="2"/>
      <c r="S363" s="317">
        <v>-0.01</v>
      </c>
      <c r="T363" s="308"/>
      <c r="U363" s="2"/>
      <c r="V363" s="20"/>
      <c r="W363" s="74"/>
      <c r="X363" s="74"/>
      <c r="Y363" s="74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R363" s="84"/>
    </row>
    <row r="364" spans="1:44">
      <c r="A364" s="1" t="s">
        <v>380</v>
      </c>
      <c r="B364" s="1"/>
      <c r="C364" s="304">
        <v>0</v>
      </c>
      <c r="D364" s="319">
        <v>9.6</v>
      </c>
      <c r="E364" s="306"/>
      <c r="F364" s="2">
        <f>-ROUND(D364*$C364/100,0)</f>
        <v>0</v>
      </c>
      <c r="G364" s="319">
        <f ca="1">G350</f>
        <v>9.76</v>
      </c>
      <c r="H364" s="306"/>
      <c r="I364" s="2">
        <f t="shared" ref="I364:I373" ca="1" si="88">I399+I434</f>
        <v>0</v>
      </c>
      <c r="J364" s="2"/>
      <c r="K364" s="319">
        <f ca="1">K350</f>
        <v>9.76</v>
      </c>
      <c r="L364" s="306"/>
      <c r="M364" s="2">
        <f t="shared" ref="M364:M377" ca="1" si="89">M399+M434</f>
        <v>0</v>
      </c>
      <c r="N364" s="2"/>
      <c r="O364" s="319" t="str">
        <f>O350</f>
        <v xml:space="preserve"> </v>
      </c>
      <c r="P364" s="306"/>
      <c r="Q364" s="2">
        <f t="shared" ref="Q364:Q377" si="90">Q399+Q434</f>
        <v>0</v>
      </c>
      <c r="R364" s="2"/>
      <c r="S364" s="319" t="str">
        <f>S350</f>
        <v xml:space="preserve"> </v>
      </c>
      <c r="T364" s="306"/>
      <c r="U364" s="2">
        <f t="shared" ref="U364:U377" si="91">U399+U434</f>
        <v>0</v>
      </c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>
      <c r="A365" s="1" t="s">
        <v>381</v>
      </c>
      <c r="B365" s="1"/>
      <c r="C365" s="304">
        <v>0</v>
      </c>
      <c r="D365" s="319">
        <v>14.3</v>
      </c>
      <c r="E365" s="306"/>
      <c r="F365" s="2">
        <f t="shared" ref="F365:F367" si="92">-ROUND(D365*$C365/100,0)</f>
        <v>0</v>
      </c>
      <c r="G365" s="319">
        <f ca="1">G351</f>
        <v>14.54</v>
      </c>
      <c r="H365" s="306"/>
      <c r="I365" s="2">
        <f t="shared" ca="1" si="88"/>
        <v>0</v>
      </c>
      <c r="J365" s="2"/>
      <c r="K365" s="319">
        <f ca="1">K351</f>
        <v>14.54</v>
      </c>
      <c r="L365" s="306"/>
      <c r="M365" s="2">
        <f t="shared" ca="1" si="89"/>
        <v>0</v>
      </c>
      <c r="N365" s="2"/>
      <c r="O365" s="319" t="str">
        <f>O351</f>
        <v xml:space="preserve"> </v>
      </c>
      <c r="P365" s="306"/>
      <c r="Q365" s="2">
        <f t="shared" si="90"/>
        <v>0</v>
      </c>
      <c r="R365" s="2"/>
      <c r="S365" s="319" t="str">
        <f>S351</f>
        <v xml:space="preserve"> </v>
      </c>
      <c r="T365" s="306"/>
      <c r="U365" s="2">
        <f t="shared" si="91"/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>
      <c r="A366" s="1" t="s">
        <v>392</v>
      </c>
      <c r="B366" s="1"/>
      <c r="C366" s="304">
        <v>0</v>
      </c>
      <c r="D366" s="319">
        <v>1</v>
      </c>
      <c r="E366" s="306"/>
      <c r="F366" s="2">
        <f t="shared" si="92"/>
        <v>0</v>
      </c>
      <c r="G366" s="319">
        <f ca="1">G352</f>
        <v>1.02</v>
      </c>
      <c r="H366" s="306"/>
      <c r="I366" s="2">
        <f t="shared" ca="1" si="88"/>
        <v>0</v>
      </c>
      <c r="J366" s="2"/>
      <c r="K366" s="319">
        <f ca="1">K352</f>
        <v>1.02</v>
      </c>
      <c r="L366" s="306"/>
      <c r="M366" s="2">
        <f t="shared" ca="1" si="89"/>
        <v>0</v>
      </c>
      <c r="N366" s="2"/>
      <c r="O366" s="319" t="str">
        <f>O352</f>
        <v xml:space="preserve"> </v>
      </c>
      <c r="P366" s="306"/>
      <c r="Q366" s="2">
        <f t="shared" si="90"/>
        <v>0</v>
      </c>
      <c r="R366" s="2"/>
      <c r="S366" s="319" t="str">
        <f>S352</f>
        <v xml:space="preserve"> </v>
      </c>
      <c r="T366" s="306"/>
      <c r="U366" s="2">
        <f t="shared" si="91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>
      <c r="A367" s="1" t="s">
        <v>393</v>
      </c>
      <c r="B367" s="1"/>
      <c r="C367" s="304">
        <v>0</v>
      </c>
      <c r="D367" s="319">
        <v>3.64</v>
      </c>
      <c r="E367" s="308"/>
      <c r="F367" s="2">
        <f t="shared" si="92"/>
        <v>0</v>
      </c>
      <c r="G367" s="319">
        <f ca="1">G355</f>
        <v>3.7</v>
      </c>
      <c r="H367" s="308"/>
      <c r="I367" s="2">
        <f t="shared" ca="1" si="88"/>
        <v>0</v>
      </c>
      <c r="J367" s="2"/>
      <c r="K367" s="319" t="e">
        <f ca="1">K355</f>
        <v>#REF!</v>
      </c>
      <c r="L367" s="308"/>
      <c r="M367" s="2" t="e">
        <f t="shared" ca="1" si="89"/>
        <v>#REF!</v>
      </c>
      <c r="N367" s="2"/>
      <c r="O367" s="319" t="e">
        <f ca="1">O355</f>
        <v>#DIV/0!</v>
      </c>
      <c r="P367" s="308"/>
      <c r="Q367" s="2" t="e">
        <f t="shared" ca="1" si="90"/>
        <v>#DIV/0!</v>
      </c>
      <c r="R367" s="2"/>
      <c r="S367" s="319" t="e">
        <f ca="1">S355</f>
        <v>#DIV/0!</v>
      </c>
      <c r="T367" s="308"/>
      <c r="U367" s="2" t="e">
        <f t="shared" ca="1" si="91"/>
        <v>#DIV/0!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>
      <c r="A368" s="1" t="s">
        <v>395</v>
      </c>
      <c r="B368" s="1"/>
      <c r="C368" s="304">
        <v>0</v>
      </c>
      <c r="D368" s="320">
        <v>10.449</v>
      </c>
      <c r="E368" s="308" t="s">
        <v>364</v>
      </c>
      <c r="F368" s="2">
        <f>ROUND(D368*$C368/100*D363,0)</f>
        <v>0</v>
      </c>
      <c r="G368" s="320">
        <f ca="1">G356</f>
        <v>10.628</v>
      </c>
      <c r="H368" s="308" t="s">
        <v>364</v>
      </c>
      <c r="I368" s="2">
        <f t="shared" ca="1" si="88"/>
        <v>0</v>
      </c>
      <c r="J368" s="2"/>
      <c r="K368" s="320" t="e">
        <f ca="1">K356</f>
        <v>#REF!</v>
      </c>
      <c r="L368" s="308" t="s">
        <v>364</v>
      </c>
      <c r="M368" s="2" t="e">
        <f t="shared" ca="1" si="89"/>
        <v>#REF!</v>
      </c>
      <c r="N368" s="2"/>
      <c r="O368" s="320" t="e">
        <f ca="1">O356</f>
        <v>#DIV/0!</v>
      </c>
      <c r="P368" s="308" t="s">
        <v>364</v>
      </c>
      <c r="Q368" s="2" t="e">
        <f t="shared" ca="1" si="90"/>
        <v>#DIV/0!</v>
      </c>
      <c r="R368" s="2"/>
      <c r="S368" s="320" t="e">
        <f ca="1">S356</f>
        <v>#DIV/0!</v>
      </c>
      <c r="T368" s="308" t="s">
        <v>364</v>
      </c>
      <c r="U368" s="2" t="e">
        <f t="shared" ca="1" si="91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>
      <c r="A369" s="1" t="s">
        <v>388</v>
      </c>
      <c r="B369" s="1"/>
      <c r="C369" s="304">
        <v>0</v>
      </c>
      <c r="D369" s="320">
        <v>7.218</v>
      </c>
      <c r="E369" s="308" t="s">
        <v>364</v>
      </c>
      <c r="F369" s="2">
        <f>ROUND(D369*$C369/100*D363,0)</f>
        <v>0</v>
      </c>
      <c r="G369" s="320">
        <f ca="1">G357</f>
        <v>7.3410000000000002</v>
      </c>
      <c r="H369" s="308" t="s">
        <v>364</v>
      </c>
      <c r="I369" s="2">
        <f t="shared" ca="1" si="88"/>
        <v>0</v>
      </c>
      <c r="J369" s="2"/>
      <c r="K369" s="320" t="e">
        <f ca="1">K357</f>
        <v>#REF!</v>
      </c>
      <c r="L369" s="308" t="s">
        <v>364</v>
      </c>
      <c r="M369" s="2" t="e">
        <f t="shared" ca="1" si="89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90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91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>
      <c r="A370" s="1" t="s">
        <v>389</v>
      </c>
      <c r="B370" s="1"/>
      <c r="C370" s="304">
        <v>0</v>
      </c>
      <c r="D370" s="320">
        <v>6.218</v>
      </c>
      <c r="E370" s="308" t="s">
        <v>364</v>
      </c>
      <c r="F370" s="2">
        <f>ROUND(D370*$C370/100*D363,0)</f>
        <v>0</v>
      </c>
      <c r="G370" s="320">
        <f ca="1">G358</f>
        <v>6.3240000000000007</v>
      </c>
      <c r="H370" s="308" t="s">
        <v>364</v>
      </c>
      <c r="I370" s="2">
        <f t="shared" ca="1" si="88"/>
        <v>0</v>
      </c>
      <c r="J370" s="2"/>
      <c r="K370" s="320" t="e">
        <f ca="1">K358</f>
        <v>#REF!</v>
      </c>
      <c r="L370" s="308" t="s">
        <v>364</v>
      </c>
      <c r="M370" s="2" t="e">
        <f t="shared" ca="1" si="89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90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91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>
      <c r="A371" s="1" t="s">
        <v>390</v>
      </c>
      <c r="B371" s="1"/>
      <c r="C371" s="304">
        <v>0</v>
      </c>
      <c r="D371" s="321">
        <v>56</v>
      </c>
      <c r="E371" s="308" t="s">
        <v>364</v>
      </c>
      <c r="F371" s="2">
        <f>ROUND(D371*$C371/100*D363,0)</f>
        <v>0</v>
      </c>
      <c r="G371" s="321">
        <f ca="1">G359</f>
        <v>57</v>
      </c>
      <c r="H371" s="308" t="s">
        <v>364</v>
      </c>
      <c r="I371" s="2">
        <f t="shared" ca="1" si="88"/>
        <v>0</v>
      </c>
      <c r="J371" s="2"/>
      <c r="K371" s="321" t="str">
        <f>K359</f>
        <v xml:space="preserve"> </v>
      </c>
      <c r="L371" s="308" t="s">
        <v>364</v>
      </c>
      <c r="M371" s="2">
        <f t="shared" si="89"/>
        <v>0</v>
      </c>
      <c r="N371" s="2"/>
      <c r="O371" s="321" t="e">
        <f>O359</f>
        <v>#DIV/0!</v>
      </c>
      <c r="P371" s="308" t="s">
        <v>364</v>
      </c>
      <c r="Q371" s="2" t="e">
        <f t="shared" si="90"/>
        <v>#DIV/0!</v>
      </c>
      <c r="R371" s="2"/>
      <c r="S371" s="321" t="e">
        <f>S359</f>
        <v>#DIV/0!</v>
      </c>
      <c r="T371" s="308" t="s">
        <v>364</v>
      </c>
      <c r="U371" s="2" t="e">
        <f t="shared" si="91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>
      <c r="A372" s="1" t="s">
        <v>397</v>
      </c>
      <c r="B372" s="1"/>
      <c r="C372" s="304">
        <v>0</v>
      </c>
      <c r="D372" s="322">
        <v>60</v>
      </c>
      <c r="E372" s="308"/>
      <c r="F372" s="2">
        <f>ROUND(D372*C372,0)</f>
        <v>0</v>
      </c>
      <c r="G372" s="322">
        <f>$G$197</f>
        <v>60</v>
      </c>
      <c r="H372" s="308"/>
      <c r="I372" s="2">
        <f t="shared" si="88"/>
        <v>0</v>
      </c>
      <c r="J372" s="2"/>
      <c r="K372" s="322">
        <f>$G$197</f>
        <v>60</v>
      </c>
      <c r="L372" s="308"/>
      <c r="M372" s="2">
        <f t="shared" si="89"/>
        <v>0</v>
      </c>
      <c r="N372" s="2"/>
      <c r="O372" s="322">
        <f>$G$197</f>
        <v>60</v>
      </c>
      <c r="P372" s="308"/>
      <c r="Q372" s="2" t="e">
        <f t="shared" si="90"/>
        <v>#DIV/0!</v>
      </c>
      <c r="R372" s="2"/>
      <c r="S372" s="322">
        <f>$G$197</f>
        <v>60</v>
      </c>
      <c r="T372" s="308"/>
      <c r="U372" s="2" t="e">
        <f t="shared" si="91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>
      <c r="A373" s="1" t="s">
        <v>398</v>
      </c>
      <c r="B373" s="1"/>
      <c r="C373" s="304">
        <v>0</v>
      </c>
      <c r="D373" s="324">
        <v>-30</v>
      </c>
      <c r="E373" s="308" t="s">
        <v>364</v>
      </c>
      <c r="F373" s="2">
        <f>ROUND(D373*C373/100,0)</f>
        <v>0</v>
      </c>
      <c r="G373" s="324">
        <f>$G$198</f>
        <v>-30</v>
      </c>
      <c r="H373" s="308" t="s">
        <v>364</v>
      </c>
      <c r="I373" s="2">
        <f t="shared" si="88"/>
        <v>0</v>
      </c>
      <c r="J373" s="2"/>
      <c r="K373" s="324">
        <f>$G$198</f>
        <v>-30</v>
      </c>
      <c r="L373" s="308" t="s">
        <v>364</v>
      </c>
      <c r="M373" s="2">
        <f t="shared" si="89"/>
        <v>0</v>
      </c>
      <c r="N373" s="2"/>
      <c r="O373" s="324">
        <f>$G$198</f>
        <v>-30</v>
      </c>
      <c r="P373" s="308" t="s">
        <v>364</v>
      </c>
      <c r="Q373" s="2">
        <f t="shared" si="90"/>
        <v>0</v>
      </c>
      <c r="R373" s="2"/>
      <c r="S373" s="324">
        <f>$G$198</f>
        <v>-30</v>
      </c>
      <c r="T373" s="308" t="s">
        <v>364</v>
      </c>
      <c r="U373" s="2">
        <f t="shared" si="91"/>
        <v>0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s="1118" customFormat="1" hidden="1">
      <c r="A374" s="968" t="s">
        <v>862</v>
      </c>
      <c r="C374" s="987">
        <v>0</v>
      </c>
      <c r="D374" s="254">
        <v>0</v>
      </c>
      <c r="E374" s="1119"/>
      <c r="F374" s="1123"/>
      <c r="G374" s="1128">
        <f>G182</f>
        <v>0</v>
      </c>
      <c r="H374" s="972" t="s">
        <v>364</v>
      </c>
      <c r="I374" s="2">
        <f t="shared" ref="I374:I376" si="93">I409+I444</f>
        <v>0</v>
      </c>
      <c r="J374" s="2"/>
      <c r="K374" s="1128" t="str">
        <f>K182</f>
        <v xml:space="preserve"> </v>
      </c>
      <c r="L374" s="972" t="s">
        <v>364</v>
      </c>
      <c r="M374" s="2">
        <f t="shared" si="89"/>
        <v>0</v>
      </c>
      <c r="N374" s="2"/>
      <c r="O374" s="1128" t="str">
        <f>O182</f>
        <v xml:space="preserve"> </v>
      </c>
      <c r="P374" s="972" t="s">
        <v>364</v>
      </c>
      <c r="Q374" s="2">
        <f t="shared" si="90"/>
        <v>0</v>
      </c>
      <c r="R374" s="2"/>
      <c r="S374" s="1128">
        <f>S182</f>
        <v>0</v>
      </c>
      <c r="T374" s="972" t="s">
        <v>364</v>
      </c>
      <c r="U374" s="2">
        <f t="shared" si="91"/>
        <v>0</v>
      </c>
      <c r="W374" s="784"/>
      <c r="Z374" s="1125"/>
      <c r="AA374" s="1125"/>
      <c r="AF374" s="1119"/>
      <c r="AG374" s="1119"/>
      <c r="AH374" s="1119"/>
      <c r="AI374" s="1119"/>
      <c r="AJ374" s="1119"/>
      <c r="AK374" s="1119"/>
      <c r="AL374" s="1119"/>
      <c r="AM374" s="1119"/>
      <c r="AN374" s="1119"/>
      <c r="AO374" s="1119"/>
      <c r="AP374" s="1119"/>
      <c r="AR374" s="1124"/>
    </row>
    <row r="375" spans="1:44" s="1118" customFormat="1" hidden="1">
      <c r="A375" s="968" t="s">
        <v>863</v>
      </c>
      <c r="C375" s="987">
        <v>0</v>
      </c>
      <c r="D375" s="254">
        <v>0</v>
      </c>
      <c r="E375" s="1119"/>
      <c r="F375" s="1123"/>
      <c r="G375" s="1128">
        <f>G183</f>
        <v>0</v>
      </c>
      <c r="H375" s="972" t="s">
        <v>364</v>
      </c>
      <c r="I375" s="2">
        <f t="shared" si="93"/>
        <v>0</v>
      </c>
      <c r="J375" s="2"/>
      <c r="K375" s="1128" t="str">
        <f>K183</f>
        <v xml:space="preserve"> </v>
      </c>
      <c r="L375" s="972" t="s">
        <v>364</v>
      </c>
      <c r="M375" s="2">
        <f t="shared" si="89"/>
        <v>0</v>
      </c>
      <c r="N375" s="2"/>
      <c r="O375" s="1128" t="str">
        <f>O183</f>
        <v xml:space="preserve"> </v>
      </c>
      <c r="P375" s="972" t="s">
        <v>364</v>
      </c>
      <c r="Q375" s="2">
        <f t="shared" si="90"/>
        <v>0</v>
      </c>
      <c r="R375" s="2"/>
      <c r="S375" s="1128">
        <f>S183</f>
        <v>0</v>
      </c>
      <c r="T375" s="972" t="s">
        <v>364</v>
      </c>
      <c r="U375" s="2">
        <f t="shared" si="91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864</v>
      </c>
      <c r="C376" s="987">
        <v>0</v>
      </c>
      <c r="D376" s="254">
        <v>0</v>
      </c>
      <c r="E376" s="1119"/>
      <c r="F376" s="1123"/>
      <c r="G376" s="1128">
        <f>G184</f>
        <v>0</v>
      </c>
      <c r="H376" s="972" t="s">
        <v>364</v>
      </c>
      <c r="I376" s="2">
        <f t="shared" si="93"/>
        <v>0</v>
      </c>
      <c r="J376" s="2"/>
      <c r="K376" s="1128" t="str">
        <f>K184</f>
        <v xml:space="preserve"> </v>
      </c>
      <c r="L376" s="972" t="s">
        <v>364</v>
      </c>
      <c r="M376" s="2">
        <f t="shared" si="89"/>
        <v>0</v>
      </c>
      <c r="N376" s="2"/>
      <c r="O376" s="1128" t="str">
        <f>O184</f>
        <v xml:space="preserve"> </v>
      </c>
      <c r="P376" s="972" t="s">
        <v>364</v>
      </c>
      <c r="Q376" s="2">
        <f t="shared" si="90"/>
        <v>0</v>
      </c>
      <c r="R376" s="2"/>
      <c r="S376" s="1128">
        <f>S184</f>
        <v>0</v>
      </c>
      <c r="T376" s="972" t="s">
        <v>364</v>
      </c>
      <c r="U376" s="2">
        <f t="shared" si="91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>
      <c r="A377" s="1" t="s">
        <v>371</v>
      </c>
      <c r="B377" s="1"/>
      <c r="C377" s="304">
        <f>C412+C447</f>
        <v>1303781.7942953119</v>
      </c>
      <c r="D377" s="315"/>
      <c r="E377" s="308"/>
      <c r="F377" s="2">
        <f>F412+F447</f>
        <v>177328</v>
      </c>
      <c r="G377" s="315"/>
      <c r="H377" s="308"/>
      <c r="I377" s="2">
        <f t="shared" ref="I377" ca="1" si="94">I412+I447</f>
        <v>180345</v>
      </c>
      <c r="J377" s="2"/>
      <c r="K377" s="315"/>
      <c r="L377" s="308"/>
      <c r="M377" s="2" t="e">
        <f t="shared" ca="1" si="89"/>
        <v>#REF!</v>
      </c>
      <c r="N377" s="2"/>
      <c r="O377" s="315"/>
      <c r="P377" s="308"/>
      <c r="Q377" s="2" t="e">
        <f t="shared" ca="1" si="90"/>
        <v>#DIV/0!</v>
      </c>
      <c r="R377" s="2"/>
      <c r="S377" s="315"/>
      <c r="T377" s="308"/>
      <c r="U377" s="2" t="e">
        <f t="shared" ca="1" si="91"/>
        <v>#DIV/0!</v>
      </c>
      <c r="V377" s="20"/>
      <c r="W377" s="74"/>
      <c r="X377" s="74"/>
      <c r="Y377" s="74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R377" s="84"/>
    </row>
    <row r="378" spans="1:44">
      <c r="A378" s="1" t="s">
        <v>353</v>
      </c>
      <c r="B378" s="1"/>
      <c r="C378" s="325">
        <f ca="1">C413+C448</f>
        <v>8866.1474847682257</v>
      </c>
      <c r="D378" s="294"/>
      <c r="E378" s="294"/>
      <c r="F378" s="326">
        <f ca="1">F413+F448</f>
        <v>1349.4416224178776</v>
      </c>
      <c r="G378" s="294"/>
      <c r="H378" s="294"/>
      <c r="I378" s="326">
        <f ca="1">F378</f>
        <v>1349.4416224178776</v>
      </c>
      <c r="J378" s="307"/>
      <c r="K378" s="294"/>
      <c r="L378" s="294"/>
      <c r="M378" s="326" t="e">
        <f ca="1">$I$378*V207/($V$207+$W$207+$X$207)</f>
        <v>#DIV/0!</v>
      </c>
      <c r="N378" s="51"/>
      <c r="O378" s="294"/>
      <c r="P378" s="294"/>
      <c r="Q378" s="326" t="e">
        <f ca="1">$I$378*W207/($V$207+$W$207+$X$207)</f>
        <v>#DIV/0!</v>
      </c>
      <c r="R378" s="51"/>
      <c r="S378" s="294"/>
      <c r="T378" s="294"/>
      <c r="U378" s="326" t="e">
        <f ca="1">$I$378*X207/($V$207+$W$207+$X$207)</f>
        <v>#DIV/0!</v>
      </c>
      <c r="V378" s="429"/>
      <c r="W378" s="272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t="16.5" thickBot="1">
      <c r="A379" s="1" t="s">
        <v>372</v>
      </c>
      <c r="B379" s="1"/>
      <c r="C379" s="296">
        <f ca="1">SUM(C377:C378)</f>
        <v>1312647.9417800801</v>
      </c>
      <c r="D379" s="327"/>
      <c r="E379" s="330"/>
      <c r="F379" s="329">
        <f ca="1">F377+F378</f>
        <v>178677.44162241789</v>
      </c>
      <c r="G379" s="327"/>
      <c r="H379" s="330"/>
      <c r="I379" s="329">
        <f ca="1">I377+I378</f>
        <v>181694.44162241789</v>
      </c>
      <c r="J379" s="307"/>
      <c r="K379" s="327"/>
      <c r="L379" s="330"/>
      <c r="M379" s="329" t="e">
        <f ca="1">M377+M378</f>
        <v>#REF!</v>
      </c>
      <c r="N379" s="329"/>
      <c r="O379" s="327"/>
      <c r="P379" s="330"/>
      <c r="Q379" s="329" t="e">
        <f ca="1">Q377+Q378</f>
        <v>#DIV/0!</v>
      </c>
      <c r="R379" s="329"/>
      <c r="S379" s="327"/>
      <c r="T379" s="330"/>
      <c r="U379" s="329" t="e">
        <f ca="1">U377+U378</f>
        <v>#DIV/0!</v>
      </c>
      <c r="V379" s="396"/>
      <c r="W379" s="455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thickTop="1">
      <c r="A380" s="1"/>
      <c r="B380" s="1"/>
      <c r="C380" s="21"/>
      <c r="D380" s="322"/>
      <c r="E380" s="1"/>
      <c r="F380" s="2"/>
      <c r="G380" s="322"/>
      <c r="H380" s="1"/>
      <c r="I380" s="2" t="s">
        <v>31</v>
      </c>
      <c r="J380" s="2"/>
      <c r="K380" s="322"/>
      <c r="L380" s="1"/>
      <c r="M380" s="2" t="s">
        <v>31</v>
      </c>
      <c r="N380" s="2"/>
      <c r="O380" s="322"/>
      <c r="P380" s="1"/>
      <c r="Q380" s="2" t="s">
        <v>31</v>
      </c>
      <c r="R380" s="2"/>
      <c r="S380" s="322"/>
      <c r="T380" s="1"/>
      <c r="U380" s="2" t="s">
        <v>31</v>
      </c>
      <c r="V380" s="20"/>
      <c r="W380" s="74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>
      <c r="A381" s="278" t="s">
        <v>405</v>
      </c>
      <c r="B381" s="1"/>
      <c r="C381" s="1"/>
      <c r="D381" s="2"/>
      <c r="E381" s="1"/>
      <c r="F381" s="1"/>
      <c r="G381" s="2"/>
      <c r="H381" s="1"/>
      <c r="I381" s="1"/>
      <c r="J381" s="1"/>
      <c r="K381" s="2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>
      <c r="A382" s="1" t="s">
        <v>401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>
      <c r="A383" s="1"/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>
      <c r="A384" s="1" t="s">
        <v>383</v>
      </c>
      <c r="B384" s="1"/>
      <c r="C384" s="304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>
      <c r="A385" s="1" t="s">
        <v>406</v>
      </c>
      <c r="B385" s="1"/>
      <c r="C385" s="304">
        <v>3983.5574873188079</v>
      </c>
      <c r="D385" s="283">
        <v>9.6</v>
      </c>
      <c r="E385" s="308"/>
      <c r="F385" s="2">
        <f>ROUND(D385*$C385,0)</f>
        <v>38242</v>
      </c>
      <c r="G385" s="283">
        <f ca="1">$G$172</f>
        <v>9.76</v>
      </c>
      <c r="H385" s="308"/>
      <c r="I385" s="2">
        <f ca="1">ROUND(G385*$C385,0)</f>
        <v>38880</v>
      </c>
      <c r="J385" s="2"/>
      <c r="K385" s="283">
        <f ca="1">$K$172</f>
        <v>9.76</v>
      </c>
      <c r="L385" s="308"/>
      <c r="M385" s="2">
        <f ca="1">ROUND(K385*$C385,0)</f>
        <v>38880</v>
      </c>
      <c r="N385" s="2"/>
      <c r="O385" s="283" t="str">
        <f>$O$172</f>
        <v xml:space="preserve"> </v>
      </c>
      <c r="P385" s="308"/>
      <c r="Q385" s="2">
        <f>ROUND(O385*$C385,0)</f>
        <v>0</v>
      </c>
      <c r="R385" s="2"/>
      <c r="S385" s="283" t="str">
        <f>$S$172</f>
        <v xml:space="preserve"> </v>
      </c>
      <c r="T385" s="308"/>
      <c r="U385" s="2">
        <f>ROUND(S385*$C385,0)</f>
        <v>0</v>
      </c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>
      <c r="A386" s="1" t="s">
        <v>381</v>
      </c>
      <c r="B386" s="1"/>
      <c r="C386" s="304">
        <v>0</v>
      </c>
      <c r="D386" s="283">
        <v>14.3</v>
      </c>
      <c r="E386" s="310"/>
      <c r="F386" s="2">
        <f t="shared" ref="F386:F387" si="95">ROUND(D386*$C386,0)</f>
        <v>0</v>
      </c>
      <c r="G386" s="283">
        <f ca="1">$G$173</f>
        <v>14.54</v>
      </c>
      <c r="H386" s="310"/>
      <c r="I386" s="2">
        <f ca="1">ROUND(G386*$C386,0)</f>
        <v>0</v>
      </c>
      <c r="J386" s="2"/>
      <c r="K386" s="283">
        <f ca="1">$K$173</f>
        <v>14.54</v>
      </c>
      <c r="L386" s="310"/>
      <c r="M386" s="2">
        <f ca="1">ROUND(K386*$C386,0)</f>
        <v>0</v>
      </c>
      <c r="N386" s="2"/>
      <c r="O386" s="283" t="str">
        <f>$O$173</f>
        <v xml:space="preserve"> </v>
      </c>
      <c r="P386" s="310"/>
      <c r="Q386" s="2">
        <f>ROUND(O386*$C386,0)</f>
        <v>0</v>
      </c>
      <c r="R386" s="2"/>
      <c r="S386" s="283" t="str">
        <f>$S$173</f>
        <v xml:space="preserve"> </v>
      </c>
      <c r="T386" s="310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>
      <c r="A387" s="1" t="s">
        <v>382</v>
      </c>
      <c r="B387" s="1"/>
      <c r="C387" s="304">
        <v>0</v>
      </c>
      <c r="D387" s="283">
        <v>1</v>
      </c>
      <c r="E387" s="310"/>
      <c r="F387" s="2">
        <f t="shared" si="95"/>
        <v>0</v>
      </c>
      <c r="G387" s="283">
        <f ca="1">$G$174</f>
        <v>1.02</v>
      </c>
      <c r="H387" s="310"/>
      <c r="I387" s="2">
        <f ca="1">ROUND(G387*$C387,0)</f>
        <v>0</v>
      </c>
      <c r="J387" s="2"/>
      <c r="K387" s="283">
        <f ca="1">$K$174</f>
        <v>1.02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>
      <c r="A388" s="1" t="s">
        <v>384</v>
      </c>
      <c r="B388" s="1"/>
      <c r="C388" s="304">
        <f>SUM(C385:C386)</f>
        <v>3983.5574873188079</v>
      </c>
      <c r="D388" s="283"/>
      <c r="E388" s="308"/>
      <c r="F388" s="2"/>
      <c r="G388" s="283"/>
      <c r="H388" s="308"/>
      <c r="I388" s="2"/>
      <c r="J388" s="2"/>
      <c r="K388" s="283"/>
      <c r="L388" s="308"/>
      <c r="M388" s="2"/>
      <c r="N388" s="2"/>
      <c r="O388" s="283"/>
      <c r="P388" s="308"/>
      <c r="Q388" s="2"/>
      <c r="R388" s="2"/>
      <c r="S388" s="283"/>
      <c r="T388" s="308"/>
      <c r="U388" s="2"/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>
      <c r="A389" s="1" t="s">
        <v>352</v>
      </c>
      <c r="B389" s="1"/>
      <c r="C389" s="304">
        <v>1401.1000000000033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>
      <c r="A390" s="1" t="s">
        <v>385</v>
      </c>
      <c r="B390" s="1"/>
      <c r="C390" s="304">
        <v>0</v>
      </c>
      <c r="D390" s="311">
        <v>3.64</v>
      </c>
      <c r="E390" s="308"/>
      <c r="F390" s="2">
        <f>ROUND(D390*C390,0)</f>
        <v>0</v>
      </c>
      <c r="G390" s="311">
        <f ca="1">$G$177</f>
        <v>3.7</v>
      </c>
      <c r="H390" s="308"/>
      <c r="I390" s="2">
        <f ca="1">ROUND(G390*$C390,0)</f>
        <v>0</v>
      </c>
      <c r="J390" s="2"/>
      <c r="K390" s="311" t="e">
        <f ca="1">$K$177</f>
        <v>#REF!</v>
      </c>
      <c r="L390" s="308"/>
      <c r="M390" s="2" t="e">
        <f ca="1">ROUND(K390*$C390,0)</f>
        <v>#REF!</v>
      </c>
      <c r="N390" s="2"/>
      <c r="O390" s="311" t="e">
        <f ca="1">$O$177</f>
        <v>#DIV/0!</v>
      </c>
      <c r="P390" s="308"/>
      <c r="Q390" s="2" t="e">
        <f ca="1">ROUND(O390*$C390,0)</f>
        <v>#DIV/0!</v>
      </c>
      <c r="R390" s="2"/>
      <c r="S390" s="311" t="e">
        <f ca="1">$S$177</f>
        <v>#DIV/0!</v>
      </c>
      <c r="T390" s="308"/>
      <c r="U390" s="2" t="e">
        <f ca="1">ROUND(S390*$C390,0)</f>
        <v>#DIV/0!</v>
      </c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>
      <c r="A391" s="1" t="s">
        <v>387</v>
      </c>
      <c r="B391" s="1"/>
      <c r="C391" s="304">
        <v>1205594.7942953119</v>
      </c>
      <c r="D391" s="284">
        <v>10.449</v>
      </c>
      <c r="E391" s="308" t="s">
        <v>364</v>
      </c>
      <c r="F391" s="2">
        <f>ROUND(D391*C391/100,0)</f>
        <v>125973</v>
      </c>
      <c r="G391" s="284">
        <f ca="1">$G$178</f>
        <v>10.628</v>
      </c>
      <c r="H391" s="308" t="s">
        <v>364</v>
      </c>
      <c r="I391" s="2">
        <f ca="1">ROUND(G391*$C391/100,0)</f>
        <v>128131</v>
      </c>
      <c r="J391" s="2"/>
      <c r="K391" s="284" t="e">
        <f ca="1">$K$178</f>
        <v>#REF!</v>
      </c>
      <c r="L391" s="308" t="s">
        <v>364</v>
      </c>
      <c r="M391" s="2" t="e">
        <f ca="1">ROUND(K391*$C391/100,0)</f>
        <v>#REF!</v>
      </c>
      <c r="N391" s="2"/>
      <c r="O391" s="284" t="e">
        <f ca="1">$O$178</f>
        <v>#DIV/0!</v>
      </c>
      <c r="P391" s="308" t="s">
        <v>364</v>
      </c>
      <c r="Q391" s="2" t="e">
        <f ca="1">ROUND(O391*$C391/100,0)</f>
        <v>#DIV/0!</v>
      </c>
      <c r="R391" s="2"/>
      <c r="S391" s="284" t="e">
        <f ca="1">$S$178</f>
        <v>#DIV/0!</v>
      </c>
      <c r="T391" s="308" t="s">
        <v>364</v>
      </c>
      <c r="U391" s="2" t="e">
        <f ca="1">ROUND(S391*$C391/100,0)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>
      <c r="A392" s="1" t="s">
        <v>388</v>
      </c>
      <c r="B392" s="21"/>
      <c r="C392" s="304">
        <v>64875</v>
      </c>
      <c r="D392" s="284">
        <v>7.218</v>
      </c>
      <c r="E392" s="308" t="s">
        <v>364</v>
      </c>
      <c r="F392" s="2">
        <f>ROUND(D392*C392/100,0)</f>
        <v>4683</v>
      </c>
      <c r="G392" s="284">
        <f ca="1">$G$179</f>
        <v>7.3410000000000002</v>
      </c>
      <c r="H392" s="308" t="s">
        <v>364</v>
      </c>
      <c r="I392" s="2">
        <f ca="1">ROUND(G392*$C392/100,0)</f>
        <v>4762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>
      <c r="A393" s="1" t="s">
        <v>389</v>
      </c>
      <c r="B393" s="1"/>
      <c r="C393" s="304">
        <f>0</f>
        <v>0</v>
      </c>
      <c r="D393" s="284">
        <v>6.218</v>
      </c>
      <c r="E393" s="308" t="s">
        <v>364</v>
      </c>
      <c r="F393" s="2">
        <f>ROUND(D393*C393/100,0)</f>
        <v>0</v>
      </c>
      <c r="G393" s="284">
        <f ca="1">$G$180</f>
        <v>6.3240000000000007</v>
      </c>
      <c r="H393" s="308" t="s">
        <v>364</v>
      </c>
      <c r="I393" s="2">
        <f ca="1">ROUND(G393*$C393/100,0)</f>
        <v>0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>
      <c r="A394" s="1" t="s">
        <v>390</v>
      </c>
      <c r="B394" s="1"/>
      <c r="C394" s="304">
        <v>0</v>
      </c>
      <c r="D394" s="315">
        <v>56</v>
      </c>
      <c r="E394" s="308" t="s">
        <v>364</v>
      </c>
      <c r="F394" s="2">
        <f>ROUND(D394*C394/100,0)</f>
        <v>0</v>
      </c>
      <c r="G394" s="315">
        <f ca="1">$G$181</f>
        <v>57</v>
      </c>
      <c r="H394" s="308" t="s">
        <v>364</v>
      </c>
      <c r="I394" s="2">
        <f ca="1">ROUND(G394*$C394/100,0)</f>
        <v>0</v>
      </c>
      <c r="J394" s="2"/>
      <c r="K394" s="315" t="str">
        <f>$K$181</f>
        <v xml:space="preserve"> </v>
      </c>
      <c r="L394" s="308" t="s">
        <v>364</v>
      </c>
      <c r="M394" s="2">
        <f>ROUND(K394*$C394/100,0)</f>
        <v>0</v>
      </c>
      <c r="N394" s="2"/>
      <c r="O394" s="315" t="e">
        <f>$O$181</f>
        <v>#DIV/0!</v>
      </c>
      <c r="P394" s="308" t="s">
        <v>364</v>
      </c>
      <c r="Q394" s="2" t="e">
        <f>ROUND(O394*$C394/100,0)</f>
        <v>#DIV/0!</v>
      </c>
      <c r="R394" s="2"/>
      <c r="S394" s="315" t="e">
        <f>$S$181</f>
        <v>#DIV/0!</v>
      </c>
      <c r="T394" s="308" t="s">
        <v>364</v>
      </c>
      <c r="U394" s="2" t="e">
        <f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s="1118" customFormat="1" hidden="1">
      <c r="A395" s="968" t="s">
        <v>862</v>
      </c>
      <c r="C395" s="1122">
        <f>C391</f>
        <v>1205594.7942953119</v>
      </c>
      <c r="D395" s="254">
        <v>0</v>
      </c>
      <c r="E395" s="1119"/>
      <c r="F395" s="1123"/>
      <c r="G395" s="1128">
        <f>G182</f>
        <v>0</v>
      </c>
      <c r="H395" s="972" t="s">
        <v>364</v>
      </c>
      <c r="I395" s="1123">
        <f t="shared" ref="I395:I397" si="96">ROUND(G395*$C395/100,0)</f>
        <v>0</v>
      </c>
      <c r="J395" s="1123"/>
      <c r="K395" s="1128" t="str">
        <f>K182</f>
        <v xml:space="preserve"> </v>
      </c>
      <c r="L395" s="972" t="s">
        <v>364</v>
      </c>
      <c r="M395" s="1123">
        <f t="shared" ref="M395:M397" si="97">ROUND(K395*$C395/100,0)</f>
        <v>0</v>
      </c>
      <c r="N395" s="1123"/>
      <c r="O395" s="1128" t="str">
        <f>O182</f>
        <v xml:space="preserve"> </v>
      </c>
      <c r="P395" s="972" t="s">
        <v>364</v>
      </c>
      <c r="Q395" s="1123">
        <f t="shared" ref="Q395:Q397" si="98">ROUND(O395*$C395/100,0)</f>
        <v>0</v>
      </c>
      <c r="R395" s="1123"/>
      <c r="S395" s="1128">
        <f>S182</f>
        <v>0</v>
      </c>
      <c r="T395" s="972" t="s">
        <v>364</v>
      </c>
      <c r="U395" s="1123">
        <f t="shared" ref="U395:U397" si="99">ROUND(S395*$C395/100,0)</f>
        <v>0</v>
      </c>
      <c r="W395" s="784"/>
      <c r="Z395" s="1125"/>
      <c r="AA395" s="1125"/>
      <c r="AF395" s="1119"/>
      <c r="AG395" s="1119"/>
      <c r="AH395" s="1119"/>
      <c r="AI395" s="1119"/>
      <c r="AJ395" s="1119"/>
      <c r="AK395" s="1119"/>
      <c r="AL395" s="1119"/>
      <c r="AM395" s="1119"/>
      <c r="AN395" s="1119"/>
      <c r="AO395" s="1119"/>
      <c r="AP395" s="1119"/>
      <c r="AR395" s="1124"/>
    </row>
    <row r="396" spans="1:44" s="1118" customFormat="1" hidden="1">
      <c r="A396" s="968" t="s">
        <v>863</v>
      </c>
      <c r="C396" s="1122">
        <f>C392</f>
        <v>64875</v>
      </c>
      <c r="D396" s="254">
        <v>0</v>
      </c>
      <c r="E396" s="1119"/>
      <c r="F396" s="1123"/>
      <c r="G396" s="1128">
        <f>G183</f>
        <v>0</v>
      </c>
      <c r="H396" s="972" t="s">
        <v>364</v>
      </c>
      <c r="I396" s="1123">
        <f t="shared" si="96"/>
        <v>0</v>
      </c>
      <c r="J396" s="1123"/>
      <c r="K396" s="1128" t="str">
        <f>K183</f>
        <v xml:space="preserve"> </v>
      </c>
      <c r="L396" s="972" t="s">
        <v>364</v>
      </c>
      <c r="M396" s="1123">
        <f t="shared" si="97"/>
        <v>0</v>
      </c>
      <c r="N396" s="1123"/>
      <c r="O396" s="1128" t="str">
        <f>O183</f>
        <v xml:space="preserve"> </v>
      </c>
      <c r="P396" s="972" t="s">
        <v>364</v>
      </c>
      <c r="Q396" s="1123">
        <f t="shared" si="98"/>
        <v>0</v>
      </c>
      <c r="R396" s="1123"/>
      <c r="S396" s="1128">
        <f>S183</f>
        <v>0</v>
      </c>
      <c r="T396" s="972" t="s">
        <v>364</v>
      </c>
      <c r="U396" s="1123">
        <f t="shared" si="99"/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864</v>
      </c>
      <c r="C397" s="1122">
        <f>C393</f>
        <v>0</v>
      </c>
      <c r="D397" s="254"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96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97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98"/>
        <v>0</v>
      </c>
      <c r="R397" s="1123"/>
      <c r="S397" s="1128">
        <f>S184</f>
        <v>0</v>
      </c>
      <c r="T397" s="972" t="s">
        <v>364</v>
      </c>
      <c r="U397" s="1123">
        <f t="shared" si="99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>
      <c r="A398" s="316" t="s">
        <v>391</v>
      </c>
      <c r="B398" s="1"/>
      <c r="C398" s="304"/>
      <c r="D398" s="317">
        <v>-0.01</v>
      </c>
      <c r="E398" s="308"/>
      <c r="F398" s="2"/>
      <c r="G398" s="317">
        <v>-0.01</v>
      </c>
      <c r="H398" s="308"/>
      <c r="I398" s="2"/>
      <c r="J398" s="2"/>
      <c r="K398" s="317">
        <v>-0.01</v>
      </c>
      <c r="L398" s="308"/>
      <c r="M398" s="2"/>
      <c r="N398" s="2"/>
      <c r="O398" s="317">
        <v>-0.01</v>
      </c>
      <c r="P398" s="308"/>
      <c r="Q398" s="2"/>
      <c r="R398" s="2"/>
      <c r="S398" s="317">
        <v>-0.01</v>
      </c>
      <c r="T398" s="308"/>
      <c r="U398" s="2"/>
      <c r="V398" s="20"/>
      <c r="W398" s="74"/>
      <c r="X398" s="74"/>
      <c r="Y398" s="74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R398" s="84"/>
    </row>
    <row r="399" spans="1:44">
      <c r="A399" s="1" t="s">
        <v>380</v>
      </c>
      <c r="B399" s="1"/>
      <c r="C399" s="304">
        <v>0</v>
      </c>
      <c r="D399" s="319">
        <v>9.6</v>
      </c>
      <c r="E399" s="306"/>
      <c r="F399" s="2">
        <f>-ROUND(D399*$C399/100,0)</f>
        <v>0</v>
      </c>
      <c r="G399" s="319">
        <f ca="1">G385</f>
        <v>9.76</v>
      </c>
      <c r="H399" s="306"/>
      <c r="I399" s="2">
        <f ca="1">-ROUND(G399*$C399/100,0)</f>
        <v>0</v>
      </c>
      <c r="J399" s="2"/>
      <c r="K399" s="319">
        <f ca="1">K385</f>
        <v>9.76</v>
      </c>
      <c r="L399" s="306"/>
      <c r="M399" s="2">
        <f ca="1">-ROUND(K399*$C399/100,0)</f>
        <v>0</v>
      </c>
      <c r="N399" s="2"/>
      <c r="O399" s="319" t="str">
        <f>O385</f>
        <v xml:space="preserve"> </v>
      </c>
      <c r="P399" s="306"/>
      <c r="Q399" s="2">
        <f>-ROUND(O399*$C399/100,0)</f>
        <v>0</v>
      </c>
      <c r="R399" s="2"/>
      <c r="S399" s="319" t="str">
        <f>S385</f>
        <v xml:space="preserve"> </v>
      </c>
      <c r="T399" s="306"/>
      <c r="U399" s="2">
        <f>-ROUND(S399*$C399/100,0)</f>
        <v>0</v>
      </c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>
      <c r="A400" s="1" t="s">
        <v>381</v>
      </c>
      <c r="B400" s="1"/>
      <c r="C400" s="304">
        <v>0</v>
      </c>
      <c r="D400" s="319">
        <v>14.3</v>
      </c>
      <c r="E400" s="306"/>
      <c r="F400" s="2">
        <f t="shared" ref="F400:F402" si="100">-ROUND(D400*$C400/100,0)</f>
        <v>0</v>
      </c>
      <c r="G400" s="319">
        <f ca="1">G386</f>
        <v>14.54</v>
      </c>
      <c r="H400" s="306"/>
      <c r="I400" s="2">
        <f ca="1">-ROUND(G400*$C400/100,0)</f>
        <v>0</v>
      </c>
      <c r="J400" s="2"/>
      <c r="K400" s="319">
        <f ca="1">K386</f>
        <v>14.54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>
      <c r="A401" s="1" t="s">
        <v>392</v>
      </c>
      <c r="B401" s="1"/>
      <c r="C401" s="304">
        <v>0</v>
      </c>
      <c r="D401" s="319">
        <v>1</v>
      </c>
      <c r="E401" s="306"/>
      <c r="F401" s="2">
        <f t="shared" si="100"/>
        <v>0</v>
      </c>
      <c r="G401" s="319">
        <f ca="1">G387</f>
        <v>1.02</v>
      </c>
      <c r="H401" s="306"/>
      <c r="I401" s="2">
        <f ca="1">-ROUND(G401*$C401/100,0)</f>
        <v>0</v>
      </c>
      <c r="J401" s="2"/>
      <c r="K401" s="319">
        <f ca="1">K387</f>
        <v>1.02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>
      <c r="A402" s="1" t="s">
        <v>393</v>
      </c>
      <c r="B402" s="1"/>
      <c r="C402" s="304">
        <v>0</v>
      </c>
      <c r="D402" s="319">
        <v>3.64</v>
      </c>
      <c r="E402" s="308"/>
      <c r="F402" s="2">
        <f t="shared" si="100"/>
        <v>0</v>
      </c>
      <c r="G402" s="319">
        <f ca="1">G390</f>
        <v>3.7</v>
      </c>
      <c r="H402" s="308"/>
      <c r="I402" s="2">
        <f ca="1">-ROUND(G402*$C402/100,0)</f>
        <v>0</v>
      </c>
      <c r="J402" s="2"/>
      <c r="K402" s="319" t="e">
        <f ca="1">K390</f>
        <v>#REF!</v>
      </c>
      <c r="L402" s="308"/>
      <c r="M402" s="2" t="e">
        <f ca="1">-ROUND(K402*$C402/100,0)</f>
        <v>#REF!</v>
      </c>
      <c r="N402" s="2"/>
      <c r="O402" s="319" t="e">
        <f ca="1">O390</f>
        <v>#DIV/0!</v>
      </c>
      <c r="P402" s="308"/>
      <c r="Q402" s="2" t="e">
        <f ca="1">-ROUND(O402*$C402/100,0)</f>
        <v>#DIV/0!</v>
      </c>
      <c r="R402" s="2"/>
      <c r="S402" s="319" t="e">
        <f ca="1">S390</f>
        <v>#DIV/0!</v>
      </c>
      <c r="T402" s="308"/>
      <c r="U402" s="2" t="e">
        <f ca="1">-ROUND(S402*$C402/100,0)</f>
        <v>#DIV/0!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>
      <c r="A403" s="1" t="s">
        <v>395</v>
      </c>
      <c r="B403" s="1"/>
      <c r="C403" s="304">
        <v>0</v>
      </c>
      <c r="D403" s="320">
        <v>10.449</v>
      </c>
      <c r="E403" s="308" t="s">
        <v>364</v>
      </c>
      <c r="F403" s="2">
        <f>ROUND(D403*$C403/100*D398,0)</f>
        <v>0</v>
      </c>
      <c r="G403" s="320">
        <f ca="1">G391</f>
        <v>10.628</v>
      </c>
      <c r="H403" s="308" t="s">
        <v>364</v>
      </c>
      <c r="I403" s="2">
        <f ca="1">ROUND(G403*$C403/100*G398,0)</f>
        <v>0</v>
      </c>
      <c r="J403" s="2"/>
      <c r="K403" s="320" t="e">
        <f ca="1">K391</f>
        <v>#REF!</v>
      </c>
      <c r="L403" s="308" t="s">
        <v>364</v>
      </c>
      <c r="M403" s="2" t="e">
        <f ca="1">ROUND(K403*$C403/100*K398,0)</f>
        <v>#REF!</v>
      </c>
      <c r="N403" s="2"/>
      <c r="O403" s="320" t="e">
        <f ca="1">O391</f>
        <v>#DIV/0!</v>
      </c>
      <c r="P403" s="308" t="s">
        <v>364</v>
      </c>
      <c r="Q403" s="2" t="e">
        <f ca="1">ROUND(O403*$C403/100*O398,0)</f>
        <v>#DIV/0!</v>
      </c>
      <c r="R403" s="2"/>
      <c r="S403" s="320" t="e">
        <f ca="1">S391</f>
        <v>#DIV/0!</v>
      </c>
      <c r="T403" s="308" t="s">
        <v>364</v>
      </c>
      <c r="U403" s="2" t="e">
        <f ca="1">ROUND(S403*$C403/100*S398,0)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>
      <c r="A404" s="1" t="s">
        <v>388</v>
      </c>
      <c r="B404" s="1"/>
      <c r="C404" s="304">
        <v>0</v>
      </c>
      <c r="D404" s="320">
        <v>7.218</v>
      </c>
      <c r="E404" s="308" t="s">
        <v>364</v>
      </c>
      <c r="F404" s="2">
        <f>ROUND(D404*$C404/100*D398,0)</f>
        <v>0</v>
      </c>
      <c r="G404" s="320">
        <f ca="1">G392</f>
        <v>7.3410000000000002</v>
      </c>
      <c r="H404" s="308" t="s">
        <v>364</v>
      </c>
      <c r="I404" s="2">
        <f ca="1">ROUND(G404*$C404/100*G398,0)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ROUND(K404*$C404/100*K398,0)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ROUND(O404*$C404/100*O398,0)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ROUND(S404*$C404/100*S398,0)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>
      <c r="A405" s="1" t="s">
        <v>389</v>
      </c>
      <c r="B405" s="1"/>
      <c r="C405" s="304">
        <v>0</v>
      </c>
      <c r="D405" s="320">
        <v>6.218</v>
      </c>
      <c r="E405" s="308" t="s">
        <v>364</v>
      </c>
      <c r="F405" s="2">
        <f>ROUND(D405*$C405/100*D398,0)</f>
        <v>0</v>
      </c>
      <c r="G405" s="320">
        <f ca="1">G393</f>
        <v>6.3240000000000007</v>
      </c>
      <c r="H405" s="308" t="s">
        <v>364</v>
      </c>
      <c r="I405" s="2">
        <f ca="1">ROUND(G405*$C405/100*G398,0)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ROUND(K405*$C405/100*K398,0)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ROUND(O405*$C405/100*O398,0)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ROUND(S405*$C405/100*S398,0)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>
      <c r="A406" s="1" t="s">
        <v>390</v>
      </c>
      <c r="B406" s="1"/>
      <c r="C406" s="304">
        <v>0</v>
      </c>
      <c r="D406" s="321">
        <v>56</v>
      </c>
      <c r="E406" s="308" t="s">
        <v>364</v>
      </c>
      <c r="F406" s="2">
        <f>ROUND(D406*$C406/100*D398,0)</f>
        <v>0</v>
      </c>
      <c r="G406" s="321">
        <f ca="1">G394</f>
        <v>57</v>
      </c>
      <c r="H406" s="308" t="s">
        <v>364</v>
      </c>
      <c r="I406" s="2">
        <f ca="1">ROUND(G406*$C406/100*G398,0)</f>
        <v>0</v>
      </c>
      <c r="J406" s="2"/>
      <c r="K406" s="321" t="str">
        <f>K394</f>
        <v xml:space="preserve"> </v>
      </c>
      <c r="L406" s="308" t="s">
        <v>364</v>
      </c>
      <c r="M406" s="2">
        <f>ROUND(K406*$C406/100*K398,0)</f>
        <v>0</v>
      </c>
      <c r="N406" s="2"/>
      <c r="O406" s="321" t="e">
        <f>O394</f>
        <v>#DIV/0!</v>
      </c>
      <c r="P406" s="308" t="s">
        <v>364</v>
      </c>
      <c r="Q406" s="2" t="e">
        <f>ROUND(O406*$C406/100*O398,0)</f>
        <v>#DIV/0!</v>
      </c>
      <c r="R406" s="2"/>
      <c r="S406" s="321" t="e">
        <f>S394</f>
        <v>#DIV/0!</v>
      </c>
      <c r="T406" s="308" t="s">
        <v>364</v>
      </c>
      <c r="U406" s="2" t="e">
        <f>ROUND(S406*$C406/100*S398,0)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>
      <c r="A407" s="1" t="s">
        <v>397</v>
      </c>
      <c r="B407" s="1"/>
      <c r="C407" s="304">
        <v>0</v>
      </c>
      <c r="D407" s="322">
        <v>60</v>
      </c>
      <c r="E407" s="308"/>
      <c r="F407" s="2">
        <f>ROUND(D407*C407,0)</f>
        <v>0</v>
      </c>
      <c r="G407" s="322">
        <f>$G$197</f>
        <v>60</v>
      </c>
      <c r="H407" s="308"/>
      <c r="I407" s="2">
        <f>ROUND(G407*$C407,0)</f>
        <v>0</v>
      </c>
      <c r="J407" s="2"/>
      <c r="K407" s="322">
        <v>0</v>
      </c>
      <c r="L407" s="308"/>
      <c r="M407" s="2">
        <f>ROUND(K407*$C407,0)</f>
        <v>0</v>
      </c>
      <c r="N407" s="2"/>
      <c r="O407" s="322" t="e">
        <f>O197</f>
        <v>#DIV/0!</v>
      </c>
      <c r="P407" s="308"/>
      <c r="Q407" s="2" t="e">
        <f>ROUND(O407*$C407,0)</f>
        <v>#DIV/0!</v>
      </c>
      <c r="R407" s="2"/>
      <c r="S407" s="322" t="e">
        <f>S197</f>
        <v>#DIV/0!</v>
      </c>
      <c r="T407" s="308"/>
      <c r="U407" s="2" t="e">
        <f>ROUND(S407*$C407,0)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>
      <c r="A408" s="1" t="s">
        <v>398</v>
      </c>
      <c r="B408" s="1"/>
      <c r="C408" s="304">
        <v>0</v>
      </c>
      <c r="D408" s="324">
        <v>-30</v>
      </c>
      <c r="E408" s="308" t="s">
        <v>364</v>
      </c>
      <c r="F408" s="2">
        <f>ROUND(D408*C408/100,0)</f>
        <v>0</v>
      </c>
      <c r="G408" s="324">
        <f>$G$198</f>
        <v>-30</v>
      </c>
      <c r="H408" s="308" t="s">
        <v>364</v>
      </c>
      <c r="I408" s="2">
        <f>ROUND(G408*$C408/100,0)</f>
        <v>0</v>
      </c>
      <c r="J408" s="2"/>
      <c r="K408" s="324">
        <f>$G$198</f>
        <v>-30</v>
      </c>
      <c r="L408" s="308" t="s">
        <v>364</v>
      </c>
      <c r="M408" s="2">
        <f>ROUND(K408*$C408/100,0)</f>
        <v>0</v>
      </c>
      <c r="N408" s="2"/>
      <c r="O408" s="324">
        <v>0</v>
      </c>
      <c r="P408" s="308" t="s">
        <v>364</v>
      </c>
      <c r="Q408" s="2">
        <f>ROUND(O408*$C408/100,0)</f>
        <v>0</v>
      </c>
      <c r="R408" s="2"/>
      <c r="S408" s="324">
        <v>0</v>
      </c>
      <c r="T408" s="308" t="s">
        <v>364</v>
      </c>
      <c r="U408" s="2">
        <f>ROUND(S408*$C408/100,0)</f>
        <v>0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s="1118" customFormat="1" hidden="1">
      <c r="A409" s="968" t="s">
        <v>862</v>
      </c>
      <c r="C409" s="1122">
        <f>C403</f>
        <v>0</v>
      </c>
      <c r="D409" s="254">
        <v>0</v>
      </c>
      <c r="E409" s="1119"/>
      <c r="F409" s="1123"/>
      <c r="G409" s="1128">
        <f>G182</f>
        <v>0</v>
      </c>
      <c r="H409" s="972" t="s">
        <v>364</v>
      </c>
      <c r="I409" s="2">
        <f>ROUND(G409*$C409/100*G398,0)</f>
        <v>0</v>
      </c>
      <c r="J409" s="2"/>
      <c r="K409" s="1128" t="str">
        <f>K182</f>
        <v xml:space="preserve"> </v>
      </c>
      <c r="L409" s="972" t="s">
        <v>364</v>
      </c>
      <c r="M409" s="2">
        <f>ROUND(K409*$C409/100*K398,0)</f>
        <v>0</v>
      </c>
      <c r="N409" s="2"/>
      <c r="O409" s="1128" t="str">
        <f>O182</f>
        <v xml:space="preserve"> </v>
      </c>
      <c r="P409" s="972" t="s">
        <v>364</v>
      </c>
      <c r="Q409" s="2">
        <f>ROUND(O409*$C409/100*O398,0)</f>
        <v>0</v>
      </c>
      <c r="R409" s="2"/>
      <c r="S409" s="1128">
        <f>S182</f>
        <v>0</v>
      </c>
      <c r="T409" s="972" t="s">
        <v>364</v>
      </c>
      <c r="U409" s="2">
        <f>ROUND(S409*$C409/100*S398,0)</f>
        <v>0</v>
      </c>
      <c r="W409" s="784"/>
      <c r="Z409" s="1125"/>
      <c r="AA409" s="1125"/>
      <c r="AF409" s="1119"/>
      <c r="AG409" s="1119"/>
      <c r="AH409" s="1119"/>
      <c r="AI409" s="1119"/>
      <c r="AJ409" s="1119"/>
      <c r="AK409" s="1119"/>
      <c r="AL409" s="1119"/>
      <c r="AM409" s="1119"/>
      <c r="AN409" s="1119"/>
      <c r="AO409" s="1119"/>
      <c r="AP409" s="1119"/>
      <c r="AR409" s="1124"/>
    </row>
    <row r="410" spans="1:44" s="1118" customFormat="1" hidden="1">
      <c r="A410" s="968" t="s">
        <v>863</v>
      </c>
      <c r="C410" s="1122">
        <f>C404</f>
        <v>0</v>
      </c>
      <c r="D410" s="254"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ROUND(G410*$C410/100*G398,0)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ROUND(K410*$C410/100*K398,0)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ROUND(O410*$C410/100*O398,0)</f>
        <v>0</v>
      </c>
      <c r="R410" s="2"/>
      <c r="S410" s="1128">
        <f>S183</f>
        <v>0</v>
      </c>
      <c r="T410" s="972" t="s">
        <v>364</v>
      </c>
      <c r="U410" s="2">
        <f>ROUND(S410*$C410/100*S398,0)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864</v>
      </c>
      <c r="C411" s="1122">
        <f>C405</f>
        <v>0</v>
      </c>
      <c r="D411" s="254"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ROUND(G411*$C411/100*G398,0)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ROUND(K411*$C411/100*K398,0)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ROUND(O411*$C411/100*O398,0)</f>
        <v>0</v>
      </c>
      <c r="R411" s="2"/>
      <c r="S411" s="1128">
        <f>S184</f>
        <v>0</v>
      </c>
      <c r="T411" s="972" t="s">
        <v>364</v>
      </c>
      <c r="U411" s="2">
        <f>ROUND(S411*$C411/100*S398,0)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>
      <c r="A412" s="1" t="s">
        <v>371</v>
      </c>
      <c r="B412" s="1"/>
      <c r="C412" s="304">
        <f>SUM(C391:C393)</f>
        <v>1270469.7942953119</v>
      </c>
      <c r="D412" s="315"/>
      <c r="E412" s="308"/>
      <c r="F412" s="2">
        <f>SUM(F385:F408)</f>
        <v>168898</v>
      </c>
      <c r="G412" s="315"/>
      <c r="H412" s="308"/>
      <c r="I412" s="2">
        <f ca="1">SUM(I385:I411)</f>
        <v>171773</v>
      </c>
      <c r="J412" s="2"/>
      <c r="K412" s="315"/>
      <c r="L412" s="308"/>
      <c r="M412" s="2" t="e">
        <f ca="1">SUM(M385:M411)</f>
        <v>#REF!</v>
      </c>
      <c r="N412" s="2"/>
      <c r="O412" s="315"/>
      <c r="P412" s="308"/>
      <c r="Q412" s="2" t="e">
        <f ca="1">SUM(Q385:Q411)</f>
        <v>#DIV/0!</v>
      </c>
      <c r="R412" s="2"/>
      <c r="S412" s="315"/>
      <c r="T412" s="308"/>
      <c r="U412" s="2" t="e">
        <f ca="1">SUM(U385:U411)</f>
        <v>#DIV/0!</v>
      </c>
      <c r="V412" s="20"/>
      <c r="W412" s="74"/>
      <c r="X412" s="74"/>
      <c r="Y412" s="74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R412" s="84"/>
    </row>
    <row r="413" spans="1:44">
      <c r="A413" s="1" t="s">
        <v>353</v>
      </c>
      <c r="B413" s="1"/>
      <c r="C413" s="334">
        <f>'Table 2'!H42</f>
        <v>8762.5736653830463</v>
      </c>
      <c r="D413" s="294"/>
      <c r="E413" s="294"/>
      <c r="F413" s="326">
        <f>'Table 3'!E42</f>
        <v>1323.3384329358348</v>
      </c>
      <c r="G413" s="294"/>
      <c r="H413" s="294"/>
      <c r="I413" s="326">
        <f>F413</f>
        <v>1323.3384329358348</v>
      </c>
      <c r="J413" s="307"/>
      <c r="K413" s="294"/>
      <c r="L413" s="294"/>
      <c r="M413" s="326" t="e">
        <f>$I$413*V207/($V$207+$W$207+$X$207)</f>
        <v>#DIV/0!</v>
      </c>
      <c r="N413" s="51"/>
      <c r="O413" s="294"/>
      <c r="P413" s="294"/>
      <c r="Q413" s="326" t="e">
        <f>$I$413*W207/($V$207+$W$207+$X$207)</f>
        <v>#DIV/0!</v>
      </c>
      <c r="R413" s="51"/>
      <c r="S413" s="294"/>
      <c r="T413" s="294"/>
      <c r="U413" s="326" t="e">
        <f>$I$413*X207/($V$207+$W$207+$X$207)</f>
        <v>#DIV/0!</v>
      </c>
      <c r="V413" s="429"/>
      <c r="W413" s="272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t="16.5" thickBot="1">
      <c r="A414" s="1" t="s">
        <v>372</v>
      </c>
      <c r="B414" s="1"/>
      <c r="C414" s="296">
        <f>SUM(C412:C413)</f>
        <v>1279232.3679606949</v>
      </c>
      <c r="D414" s="327"/>
      <c r="E414" s="330"/>
      <c r="F414" s="329">
        <f>F412+F413</f>
        <v>170221.33843293582</v>
      </c>
      <c r="G414" s="327"/>
      <c r="H414" s="330"/>
      <c r="I414" s="329">
        <f ca="1">I412+I413</f>
        <v>173096.33843293582</v>
      </c>
      <c r="J414" s="307"/>
      <c r="K414" s="327"/>
      <c r="L414" s="330"/>
      <c r="M414" s="329" t="e">
        <f ca="1">M412+M413</f>
        <v>#REF!</v>
      </c>
      <c r="N414" s="329"/>
      <c r="O414" s="327"/>
      <c r="P414" s="330"/>
      <c r="Q414" s="329" t="e">
        <f ca="1">Q412+Q413</f>
        <v>#DIV/0!</v>
      </c>
      <c r="R414" s="329"/>
      <c r="S414" s="327"/>
      <c r="T414" s="330"/>
      <c r="U414" s="329" t="e">
        <f ca="1">U412+U413</f>
        <v>#DIV/0!</v>
      </c>
      <c r="V414" s="396"/>
      <c r="W414" s="455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thickTop="1">
      <c r="A415" s="1"/>
      <c r="B415" s="1"/>
      <c r="C415" s="21"/>
      <c r="D415" s="322"/>
      <c r="E415" s="1"/>
      <c r="F415" s="2"/>
      <c r="G415" s="322"/>
      <c r="H415" s="1"/>
      <c r="I415" s="2" t="s">
        <v>31</v>
      </c>
      <c r="J415" s="2"/>
      <c r="K415" s="322"/>
      <c r="L415" s="1"/>
      <c r="M415" s="2" t="s">
        <v>31</v>
      </c>
      <c r="N415" s="2"/>
      <c r="O415" s="322"/>
      <c r="P415" s="1"/>
      <c r="Q415" s="2" t="s">
        <v>31</v>
      </c>
      <c r="R415" s="2"/>
      <c r="S415" s="322"/>
      <c r="T415" s="1"/>
      <c r="U415" s="2" t="s">
        <v>31</v>
      </c>
      <c r="V415" s="20"/>
      <c r="W415" s="74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>
      <c r="A416" s="278" t="s">
        <v>405</v>
      </c>
      <c r="B416" s="1"/>
      <c r="C416" s="1"/>
      <c r="D416" s="2"/>
      <c r="E416" s="1"/>
      <c r="F416" s="1"/>
      <c r="G416" s="2"/>
      <c r="H416" s="1"/>
      <c r="I416" s="1"/>
      <c r="J416" s="1"/>
      <c r="K416" s="2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>
      <c r="A417" s="1" t="s">
        <v>404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>
      <c r="A418" s="1"/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>
      <c r="A419" s="1" t="s">
        <v>383</v>
      </c>
      <c r="B419" s="1"/>
      <c r="C419" s="304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>
      <c r="A420" s="1" t="s">
        <v>406</v>
      </c>
      <c r="B420" s="1"/>
      <c r="C420" s="304">
        <v>515.53886098354405</v>
      </c>
      <c r="D420" s="283">
        <v>9.6</v>
      </c>
      <c r="E420" s="308"/>
      <c r="F420" s="2">
        <f>ROUND(D420*$C420,0)</f>
        <v>4949</v>
      </c>
      <c r="G420" s="283">
        <f ca="1">$G$172</f>
        <v>9.76</v>
      </c>
      <c r="H420" s="308"/>
      <c r="I420" s="2">
        <f ca="1">ROUND(G420*$C420,0)</f>
        <v>5032</v>
      </c>
      <c r="J420" s="2"/>
      <c r="K420" s="283">
        <f ca="1">$K$172</f>
        <v>9.76</v>
      </c>
      <c r="L420" s="308"/>
      <c r="M420" s="2">
        <f ca="1">ROUND(K420*$C420,0)</f>
        <v>5032</v>
      </c>
      <c r="N420" s="2"/>
      <c r="O420" s="283" t="str">
        <f>$O$172</f>
        <v xml:space="preserve"> </v>
      </c>
      <c r="P420" s="308"/>
      <c r="Q420" s="2">
        <f>ROUND(O420*$C420,0)</f>
        <v>0</v>
      </c>
      <c r="R420" s="2"/>
      <c r="S420" s="283" t="str">
        <f>$S$172</f>
        <v xml:space="preserve"> </v>
      </c>
      <c r="T420" s="308"/>
      <c r="U420" s="2">
        <f>ROUND(S420*$C420,0)</f>
        <v>0</v>
      </c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>
      <c r="A421" s="1" t="s">
        <v>381</v>
      </c>
      <c r="B421" s="1"/>
      <c r="C421" s="304">
        <v>0</v>
      </c>
      <c r="D421" s="283">
        <v>14.3</v>
      </c>
      <c r="E421" s="310"/>
      <c r="F421" s="2">
        <f t="shared" ref="F421:F422" si="101">ROUND(D421*$C421,0)</f>
        <v>0</v>
      </c>
      <c r="G421" s="283">
        <f ca="1">$G$173</f>
        <v>14.54</v>
      </c>
      <c r="H421" s="310"/>
      <c r="I421" s="2">
        <f ca="1">ROUND(G421*$C421,0)</f>
        <v>0</v>
      </c>
      <c r="J421" s="2"/>
      <c r="K421" s="283">
        <f ca="1">$K$173</f>
        <v>14.54</v>
      </c>
      <c r="L421" s="310"/>
      <c r="M421" s="2">
        <f ca="1">ROUND(K421*$C421,0)</f>
        <v>0</v>
      </c>
      <c r="N421" s="2"/>
      <c r="O421" s="283" t="str">
        <f>$O$173</f>
        <v xml:space="preserve"> </v>
      </c>
      <c r="P421" s="310"/>
      <c r="Q421" s="2">
        <f>ROUND(O421*$C421,0)</f>
        <v>0</v>
      </c>
      <c r="R421" s="2"/>
      <c r="S421" s="283" t="str">
        <f>$S$173</f>
        <v xml:space="preserve"> </v>
      </c>
      <c r="T421" s="310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>
      <c r="A422" s="1" t="s">
        <v>382</v>
      </c>
      <c r="B422" s="1"/>
      <c r="C422" s="304">
        <v>0</v>
      </c>
      <c r="D422" s="283">
        <v>1</v>
      </c>
      <c r="E422" s="310"/>
      <c r="F422" s="2">
        <f t="shared" si="101"/>
        <v>0</v>
      </c>
      <c r="G422" s="283">
        <f ca="1">$G$174</f>
        <v>1.02</v>
      </c>
      <c r="H422" s="310"/>
      <c r="I422" s="2">
        <f ca="1">ROUND(G422*$C422,0)</f>
        <v>0</v>
      </c>
      <c r="J422" s="2"/>
      <c r="K422" s="283">
        <f ca="1">$K$174</f>
        <v>1.02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>
      <c r="A423" s="1" t="s">
        <v>384</v>
      </c>
      <c r="B423" s="1"/>
      <c r="C423" s="304">
        <f>SUM(C420:C421)</f>
        <v>515.53886098354405</v>
      </c>
      <c r="D423" s="283"/>
      <c r="E423" s="308"/>
      <c r="F423" s="2"/>
      <c r="G423" s="283"/>
      <c r="H423" s="308"/>
      <c r="I423" s="2"/>
      <c r="J423" s="2"/>
      <c r="K423" s="283"/>
      <c r="L423" s="308"/>
      <c r="M423" s="2"/>
      <c r="N423" s="2"/>
      <c r="O423" s="283"/>
      <c r="P423" s="308"/>
      <c r="Q423" s="2"/>
      <c r="R423" s="2"/>
      <c r="S423" s="283"/>
      <c r="T423" s="308"/>
      <c r="U423" s="2"/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>
      <c r="A424" s="1" t="s">
        <v>352</v>
      </c>
      <c r="B424" s="1"/>
      <c r="C424" s="304">
        <v>48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>
      <c r="A425" s="1" t="s">
        <v>385</v>
      </c>
      <c r="B425" s="1"/>
      <c r="C425" s="304">
        <v>0</v>
      </c>
      <c r="D425" s="311">
        <v>3.64</v>
      </c>
      <c r="E425" s="308"/>
      <c r="F425" s="2">
        <f>ROUND(D425*C425,0)</f>
        <v>0</v>
      </c>
      <c r="G425" s="311">
        <f ca="1">$G$177</f>
        <v>3.7</v>
      </c>
      <c r="H425" s="308"/>
      <c r="I425" s="2">
        <f ca="1">ROUND(G425*$C425,0)</f>
        <v>0</v>
      </c>
      <c r="J425" s="2"/>
      <c r="K425" s="311" t="e">
        <f ca="1">$K$177</f>
        <v>#REF!</v>
      </c>
      <c r="L425" s="308"/>
      <c r="M425" s="2" t="e">
        <f ca="1">ROUND(K425*$C425,0)</f>
        <v>#REF!</v>
      </c>
      <c r="N425" s="2"/>
      <c r="O425" s="311" t="e">
        <f ca="1">$O$177</f>
        <v>#DIV/0!</v>
      </c>
      <c r="P425" s="308"/>
      <c r="Q425" s="2" t="e">
        <f ca="1">ROUND(O425*$C425,0)</f>
        <v>#DIV/0!</v>
      </c>
      <c r="R425" s="2"/>
      <c r="S425" s="311" t="e">
        <f ca="1">$S$177</f>
        <v>#DIV/0!</v>
      </c>
      <c r="T425" s="308"/>
      <c r="U425" s="2" t="e">
        <f ca="1">ROUND(S425*$C425,0)</f>
        <v>#DIV/0!</v>
      </c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>
      <c r="A426" s="1" t="s">
        <v>387</v>
      </c>
      <c r="B426" s="1"/>
      <c r="C426" s="304">
        <v>33312</v>
      </c>
      <c r="D426" s="284">
        <v>10.449</v>
      </c>
      <c r="E426" s="308" t="s">
        <v>364</v>
      </c>
      <c r="F426" s="2">
        <f>ROUND(D426*C426/100,0)</f>
        <v>3481</v>
      </c>
      <c r="G426" s="284">
        <f ca="1">$G$178</f>
        <v>10.628</v>
      </c>
      <c r="H426" s="308" t="s">
        <v>364</v>
      </c>
      <c r="I426" s="2">
        <f ca="1">ROUND(G426*$C426/100,0)</f>
        <v>3540</v>
      </c>
      <c r="J426" s="2"/>
      <c r="K426" s="284" t="e">
        <f ca="1">$K$178</f>
        <v>#REF!</v>
      </c>
      <c r="L426" s="308" t="s">
        <v>364</v>
      </c>
      <c r="M426" s="2" t="e">
        <f ca="1">ROUND(K426*$C426/100,0)</f>
        <v>#REF!</v>
      </c>
      <c r="N426" s="2"/>
      <c r="O426" s="284" t="e">
        <f ca="1">$O$178</f>
        <v>#DIV/0!</v>
      </c>
      <c r="P426" s="308" t="s">
        <v>364</v>
      </c>
      <c r="Q426" s="2" t="e">
        <f ca="1">ROUND(O426*$C426/100,0)</f>
        <v>#DIV/0!</v>
      </c>
      <c r="R426" s="2"/>
      <c r="S426" s="284" t="e">
        <f ca="1">$S$178</f>
        <v>#DIV/0!</v>
      </c>
      <c r="T426" s="308" t="s">
        <v>364</v>
      </c>
      <c r="U426" s="2" t="e">
        <f ca="1">ROUND(S426*$C426/100,0)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>
      <c r="A427" s="1" t="s">
        <v>388</v>
      </c>
      <c r="B427" s="1"/>
      <c r="C427" s="304">
        <v>0</v>
      </c>
      <c r="D427" s="284">
        <v>7.218</v>
      </c>
      <c r="E427" s="308" t="s">
        <v>364</v>
      </c>
      <c r="F427" s="2">
        <f>ROUND(D427*C427/100,0)</f>
        <v>0</v>
      </c>
      <c r="G427" s="284">
        <f ca="1">$G$179</f>
        <v>7.3410000000000002</v>
      </c>
      <c r="H427" s="308" t="s">
        <v>364</v>
      </c>
      <c r="I427" s="2">
        <f ca="1">ROUND(G427*$C427/100,0)</f>
        <v>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>
      <c r="A428" s="1" t="s">
        <v>389</v>
      </c>
      <c r="B428" s="1"/>
      <c r="C428" s="304">
        <v>0</v>
      </c>
      <c r="D428" s="284">
        <v>6.218</v>
      </c>
      <c r="E428" s="308" t="s">
        <v>364</v>
      </c>
      <c r="F428" s="2">
        <f>ROUND(D428*C428/100,0)</f>
        <v>0</v>
      </c>
      <c r="G428" s="284">
        <f ca="1">$G$180</f>
        <v>6.3240000000000007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>
      <c r="A429" s="1" t="s">
        <v>390</v>
      </c>
      <c r="B429" s="1"/>
      <c r="C429" s="304">
        <v>0</v>
      </c>
      <c r="D429" s="315">
        <v>56</v>
      </c>
      <c r="E429" s="308" t="s">
        <v>364</v>
      </c>
      <c r="F429" s="2">
        <f>ROUND(D429*C429/100,0)</f>
        <v>0</v>
      </c>
      <c r="G429" s="315">
        <f ca="1">$G$181</f>
        <v>57</v>
      </c>
      <c r="H429" s="308" t="s">
        <v>364</v>
      </c>
      <c r="I429" s="2">
        <f ca="1">ROUND(G429*$C429/100,0)</f>
        <v>0</v>
      </c>
      <c r="J429" s="2"/>
      <c r="K429" s="315" t="str">
        <f>$K$181</f>
        <v xml:space="preserve"> </v>
      </c>
      <c r="L429" s="308" t="s">
        <v>364</v>
      </c>
      <c r="M429" s="2">
        <f>ROUND(K429*$C429/100,0)</f>
        <v>0</v>
      </c>
      <c r="N429" s="2"/>
      <c r="O429" s="315" t="e">
        <f>$O$181</f>
        <v>#DIV/0!</v>
      </c>
      <c r="P429" s="308" t="s">
        <v>364</v>
      </c>
      <c r="Q429" s="2" t="e">
        <f>ROUND(O429*$C429/100,0)</f>
        <v>#DIV/0!</v>
      </c>
      <c r="R429" s="2"/>
      <c r="S429" s="315" t="e">
        <f>$S$181</f>
        <v>#DIV/0!</v>
      </c>
      <c r="T429" s="308" t="s">
        <v>364</v>
      </c>
      <c r="U429" s="2" t="e">
        <f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s="1118" customFormat="1" hidden="1">
      <c r="A430" s="968" t="s">
        <v>862</v>
      </c>
      <c r="C430" s="1122">
        <f>C426</f>
        <v>33312</v>
      </c>
      <c r="D430" s="254">
        <v>0</v>
      </c>
      <c r="E430" s="1119"/>
      <c r="F430" s="1123"/>
      <c r="G430" s="1128">
        <f>G182</f>
        <v>0</v>
      </c>
      <c r="H430" s="972" t="s">
        <v>364</v>
      </c>
      <c r="I430" s="1123">
        <f t="shared" ref="I430:I432" si="102">ROUND(G430*$C430/100,0)</f>
        <v>0</v>
      </c>
      <c r="J430" s="1123"/>
      <c r="K430" s="1128" t="str">
        <f>K182</f>
        <v xml:space="preserve"> </v>
      </c>
      <c r="L430" s="972" t="s">
        <v>364</v>
      </c>
      <c r="M430" s="1123">
        <f t="shared" ref="M430:M432" si="103">ROUND(K430*$C430/100,0)</f>
        <v>0</v>
      </c>
      <c r="N430" s="1123"/>
      <c r="O430" s="1128" t="str">
        <f>O182</f>
        <v xml:space="preserve"> </v>
      </c>
      <c r="P430" s="972" t="s">
        <v>364</v>
      </c>
      <c r="Q430" s="1123">
        <f t="shared" ref="Q430:Q432" si="104">ROUND(O430*$C430/100,0)</f>
        <v>0</v>
      </c>
      <c r="R430" s="1123"/>
      <c r="S430" s="1128">
        <f>S182</f>
        <v>0</v>
      </c>
      <c r="T430" s="972" t="s">
        <v>364</v>
      </c>
      <c r="U430" s="1123">
        <f t="shared" ref="U430:U432" si="105">ROUND(S430*$C430/100,0)</f>
        <v>0</v>
      </c>
      <c r="W430" s="784"/>
      <c r="Z430" s="1125"/>
      <c r="AA430" s="1125"/>
      <c r="AF430" s="1119"/>
      <c r="AG430" s="1119"/>
      <c r="AH430" s="1119"/>
      <c r="AI430" s="1119"/>
      <c r="AJ430" s="1119"/>
      <c r="AK430" s="1119"/>
      <c r="AL430" s="1119"/>
      <c r="AM430" s="1119"/>
      <c r="AN430" s="1119"/>
      <c r="AO430" s="1119"/>
      <c r="AP430" s="1119"/>
      <c r="AR430" s="1124"/>
    </row>
    <row r="431" spans="1:44" s="1118" customFormat="1" hidden="1">
      <c r="A431" s="968" t="s">
        <v>863</v>
      </c>
      <c r="C431" s="1122">
        <f>C427</f>
        <v>0</v>
      </c>
      <c r="D431" s="254">
        <v>0</v>
      </c>
      <c r="E431" s="1119"/>
      <c r="F431" s="1123"/>
      <c r="G431" s="1128">
        <f>G183</f>
        <v>0</v>
      </c>
      <c r="H431" s="972" t="s">
        <v>364</v>
      </c>
      <c r="I431" s="1123">
        <f t="shared" si="102"/>
        <v>0</v>
      </c>
      <c r="J431" s="1123"/>
      <c r="K431" s="1128" t="str">
        <f>K183</f>
        <v xml:space="preserve"> </v>
      </c>
      <c r="L431" s="972" t="s">
        <v>364</v>
      </c>
      <c r="M431" s="1123">
        <f t="shared" si="103"/>
        <v>0</v>
      </c>
      <c r="N431" s="1123"/>
      <c r="O431" s="1128" t="str">
        <f>O183</f>
        <v xml:space="preserve"> </v>
      </c>
      <c r="P431" s="972" t="s">
        <v>364</v>
      </c>
      <c r="Q431" s="1123">
        <f t="shared" si="104"/>
        <v>0</v>
      </c>
      <c r="R431" s="1123"/>
      <c r="S431" s="1128">
        <f>S183</f>
        <v>0</v>
      </c>
      <c r="T431" s="972" t="s">
        <v>364</v>
      </c>
      <c r="U431" s="1123">
        <f t="shared" si="105"/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864</v>
      </c>
      <c r="C432" s="1122">
        <f>C428</f>
        <v>0</v>
      </c>
      <c r="D432" s="254"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102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103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104"/>
        <v>0</v>
      </c>
      <c r="R432" s="1123"/>
      <c r="S432" s="1128">
        <f>S184</f>
        <v>0</v>
      </c>
      <c r="T432" s="972" t="s">
        <v>364</v>
      </c>
      <c r="U432" s="1123">
        <f t="shared" si="105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>
      <c r="A433" s="316" t="s">
        <v>391</v>
      </c>
      <c r="B433" s="1"/>
      <c r="C433" s="304"/>
      <c r="D433" s="317">
        <v>-0.01</v>
      </c>
      <c r="E433" s="308"/>
      <c r="F433" s="2"/>
      <c r="G433" s="317">
        <v>-0.01</v>
      </c>
      <c r="H433" s="308"/>
      <c r="I433" s="2"/>
      <c r="J433" s="2"/>
      <c r="K433" s="317">
        <v>-0.01</v>
      </c>
      <c r="L433" s="308"/>
      <c r="M433" s="2"/>
      <c r="N433" s="2"/>
      <c r="O433" s="317">
        <v>-0.01</v>
      </c>
      <c r="P433" s="308"/>
      <c r="Q433" s="2"/>
      <c r="R433" s="2"/>
      <c r="S433" s="317">
        <v>-0.01</v>
      </c>
      <c r="T433" s="308"/>
      <c r="U433" s="2"/>
      <c r="V433" s="20"/>
      <c r="W433" s="74"/>
      <c r="X433" s="74"/>
      <c r="Y433" s="74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R433" s="84"/>
    </row>
    <row r="434" spans="1:44">
      <c r="A434" s="1" t="s">
        <v>380</v>
      </c>
      <c r="B434" s="1"/>
      <c r="C434" s="304">
        <v>0</v>
      </c>
      <c r="D434" s="319">
        <v>9.6</v>
      </c>
      <c r="E434" s="306"/>
      <c r="F434" s="2">
        <f>-ROUND(D434*$C434/100,0)</f>
        <v>0</v>
      </c>
      <c r="G434" s="319">
        <f ca="1">G420</f>
        <v>9.76</v>
      </c>
      <c r="H434" s="306"/>
      <c r="I434" s="2">
        <f ca="1">-ROUND(G434*$C434/100,0)</f>
        <v>0</v>
      </c>
      <c r="J434" s="2"/>
      <c r="K434" s="319">
        <f ca="1">K420</f>
        <v>9.76</v>
      </c>
      <c r="L434" s="306"/>
      <c r="M434" s="2">
        <f ca="1">-ROUND(K434*$C434/100,0)</f>
        <v>0</v>
      </c>
      <c r="N434" s="2"/>
      <c r="O434" s="319" t="str">
        <f>O420</f>
        <v xml:space="preserve"> </v>
      </c>
      <c r="P434" s="306"/>
      <c r="Q434" s="2">
        <f>-ROUND(O434*$C434/100,0)</f>
        <v>0</v>
      </c>
      <c r="R434" s="2"/>
      <c r="S434" s="319" t="str">
        <f>S420</f>
        <v xml:space="preserve"> </v>
      </c>
      <c r="T434" s="306"/>
      <c r="U434" s="2">
        <f>-ROUND(S434*$C434/100,0)</f>
        <v>0</v>
      </c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>
      <c r="A435" s="1" t="s">
        <v>381</v>
      </c>
      <c r="B435" s="1"/>
      <c r="C435" s="304">
        <v>0</v>
      </c>
      <c r="D435" s="319">
        <v>14.3</v>
      </c>
      <c r="E435" s="306"/>
      <c r="F435" s="2">
        <f t="shared" ref="F435:F437" si="106">-ROUND(D435*$C435/100,0)</f>
        <v>0</v>
      </c>
      <c r="G435" s="319">
        <f ca="1">G421</f>
        <v>14.54</v>
      </c>
      <c r="H435" s="306"/>
      <c r="I435" s="2">
        <f ca="1">-ROUND(G435*$C435/100,0)</f>
        <v>0</v>
      </c>
      <c r="J435" s="2"/>
      <c r="K435" s="319">
        <f ca="1">K421</f>
        <v>14.54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>
      <c r="A436" s="1" t="s">
        <v>392</v>
      </c>
      <c r="B436" s="1"/>
      <c r="C436" s="304">
        <v>0</v>
      </c>
      <c r="D436" s="319">
        <v>1</v>
      </c>
      <c r="E436" s="306"/>
      <c r="F436" s="2">
        <f t="shared" si="106"/>
        <v>0</v>
      </c>
      <c r="G436" s="319">
        <f ca="1">G422</f>
        <v>1.02</v>
      </c>
      <c r="H436" s="306"/>
      <c r="I436" s="2">
        <f ca="1">-ROUND(G436*$C436/100,0)</f>
        <v>0</v>
      </c>
      <c r="J436" s="2"/>
      <c r="K436" s="319">
        <f ca="1">K422</f>
        <v>1.02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>
      <c r="A437" s="1" t="s">
        <v>393</v>
      </c>
      <c r="B437" s="1"/>
      <c r="C437" s="304">
        <v>0</v>
      </c>
      <c r="D437" s="319">
        <v>3.64</v>
      </c>
      <c r="E437" s="308"/>
      <c r="F437" s="2">
        <f t="shared" si="106"/>
        <v>0</v>
      </c>
      <c r="G437" s="319">
        <f ca="1">G425</f>
        <v>3.7</v>
      </c>
      <c r="H437" s="308"/>
      <c r="I437" s="2">
        <f ca="1">-ROUND(G437*$C437/100,0)</f>
        <v>0</v>
      </c>
      <c r="J437" s="2"/>
      <c r="K437" s="319" t="e">
        <f ca="1">K425</f>
        <v>#REF!</v>
      </c>
      <c r="L437" s="308"/>
      <c r="M437" s="2" t="e">
        <f ca="1">-ROUND(K437*$C437/100,0)</f>
        <v>#REF!</v>
      </c>
      <c r="N437" s="2"/>
      <c r="O437" s="319" t="e">
        <f ca="1">O425</f>
        <v>#DIV/0!</v>
      </c>
      <c r="P437" s="308"/>
      <c r="Q437" s="2" t="e">
        <f ca="1">-ROUND(O437*$C437/100,0)</f>
        <v>#DIV/0!</v>
      </c>
      <c r="R437" s="2"/>
      <c r="S437" s="319" t="e">
        <f ca="1">S425</f>
        <v>#DIV/0!</v>
      </c>
      <c r="T437" s="308"/>
      <c r="U437" s="2" t="e">
        <f ca="1">-ROUND(S437*$C437/100,0)</f>
        <v>#DIV/0!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>
      <c r="A438" s="1" t="s">
        <v>395</v>
      </c>
      <c r="B438" s="1"/>
      <c r="C438" s="304">
        <v>0</v>
      </c>
      <c r="D438" s="320">
        <v>10.449</v>
      </c>
      <c r="E438" s="308" t="s">
        <v>364</v>
      </c>
      <c r="F438" s="2">
        <f>ROUND(D438*$C438/100*D433,0)</f>
        <v>0</v>
      </c>
      <c r="G438" s="320">
        <f ca="1">G426</f>
        <v>10.628</v>
      </c>
      <c r="H438" s="308" t="s">
        <v>364</v>
      </c>
      <c r="I438" s="2">
        <f ca="1">ROUND(G438*$C438/100*G433,0)</f>
        <v>0</v>
      </c>
      <c r="J438" s="2"/>
      <c r="K438" s="320" t="e">
        <f ca="1">K426</f>
        <v>#REF!</v>
      </c>
      <c r="L438" s="308" t="s">
        <v>364</v>
      </c>
      <c r="M438" s="2" t="e">
        <f ca="1">ROUND(K438*$C438/100*K433,0)</f>
        <v>#REF!</v>
      </c>
      <c r="N438" s="2"/>
      <c r="O438" s="320" t="e">
        <f ca="1">O426</f>
        <v>#DIV/0!</v>
      </c>
      <c r="P438" s="308" t="s">
        <v>364</v>
      </c>
      <c r="Q438" s="2" t="e">
        <f ca="1">ROUND(O438*$C438/100*O433,0)</f>
        <v>#DIV/0!</v>
      </c>
      <c r="R438" s="2"/>
      <c r="S438" s="320" t="e">
        <f ca="1">S426</f>
        <v>#DIV/0!</v>
      </c>
      <c r="T438" s="308" t="s">
        <v>364</v>
      </c>
      <c r="U438" s="2" t="e">
        <f ca="1">ROUND(S438*$C438/100*S433,0)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>
      <c r="A439" s="1" t="s">
        <v>388</v>
      </c>
      <c r="B439" s="1"/>
      <c r="C439" s="304">
        <v>0</v>
      </c>
      <c r="D439" s="320">
        <v>7.218</v>
      </c>
      <c r="E439" s="308" t="s">
        <v>364</v>
      </c>
      <c r="F439" s="2">
        <f>ROUND(D439*$C439/100*D433,0)</f>
        <v>0</v>
      </c>
      <c r="G439" s="320">
        <f ca="1">G427</f>
        <v>7.3410000000000002</v>
      </c>
      <c r="H439" s="308" t="s">
        <v>364</v>
      </c>
      <c r="I439" s="2">
        <f ca="1">ROUND(G439*$C439/100*G433,0)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ROUND(K439*$C439/100*K433,0)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ROUND(O439*$C439/100*O433,0)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ROUND(S439*$C439/100*S433,0)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>
      <c r="A440" s="1" t="s">
        <v>389</v>
      </c>
      <c r="B440" s="1"/>
      <c r="C440" s="304">
        <v>0</v>
      </c>
      <c r="D440" s="320">
        <v>6.218</v>
      </c>
      <c r="E440" s="308" t="s">
        <v>364</v>
      </c>
      <c r="F440" s="2">
        <f>ROUND(D440*$C440/100*D433,0)</f>
        <v>0</v>
      </c>
      <c r="G440" s="320">
        <f ca="1">G428</f>
        <v>6.3240000000000007</v>
      </c>
      <c r="H440" s="308" t="s">
        <v>364</v>
      </c>
      <c r="I440" s="2">
        <f ca="1">ROUND(G440*$C440/100*G433,0)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ROUND(K440*$C440/100*K433,0)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ROUND(O440*$C440/100*O433,0)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ROUND(S440*$C440/100*S433,0)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>
      <c r="A441" s="1" t="s">
        <v>390</v>
      </c>
      <c r="B441" s="1"/>
      <c r="C441" s="304">
        <v>0</v>
      </c>
      <c r="D441" s="321">
        <v>56</v>
      </c>
      <c r="E441" s="308" t="s">
        <v>364</v>
      </c>
      <c r="F441" s="2">
        <f>ROUND(D441*$C441/100*D433,0)</f>
        <v>0</v>
      </c>
      <c r="G441" s="321">
        <f ca="1">G429</f>
        <v>57</v>
      </c>
      <c r="H441" s="308" t="s">
        <v>364</v>
      </c>
      <c r="I441" s="2">
        <f ca="1">ROUND(G441*$C441/100*G433,0)</f>
        <v>0</v>
      </c>
      <c r="J441" s="2"/>
      <c r="K441" s="321" t="str">
        <f>K429</f>
        <v xml:space="preserve"> </v>
      </c>
      <c r="L441" s="308" t="s">
        <v>364</v>
      </c>
      <c r="M441" s="2">
        <f>ROUND(K441*$C441/100*K433,0)</f>
        <v>0</v>
      </c>
      <c r="N441" s="2"/>
      <c r="O441" s="321" t="e">
        <f>O429</f>
        <v>#DIV/0!</v>
      </c>
      <c r="P441" s="308" t="s">
        <v>364</v>
      </c>
      <c r="Q441" s="2" t="e">
        <f>ROUND(O441*$C441/100*O433,0)</f>
        <v>#DIV/0!</v>
      </c>
      <c r="R441" s="2"/>
      <c r="S441" s="321" t="e">
        <f>S429</f>
        <v>#DIV/0!</v>
      </c>
      <c r="T441" s="308" t="s">
        <v>364</v>
      </c>
      <c r="U441" s="2" t="e">
        <f>ROUND(S441*$C441/100*S433,0)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>
      <c r="A442" s="1" t="s">
        <v>397</v>
      </c>
      <c r="B442" s="1"/>
      <c r="C442" s="304">
        <v>0</v>
      </c>
      <c r="D442" s="322">
        <v>60</v>
      </c>
      <c r="E442" s="308"/>
      <c r="F442" s="2">
        <f>ROUND(D442*C442,0)</f>
        <v>0</v>
      </c>
      <c r="G442" s="322">
        <f>$G$197</f>
        <v>60</v>
      </c>
      <c r="H442" s="308"/>
      <c r="I442" s="2">
        <f>ROUND(G442*$C442,0)</f>
        <v>0</v>
      </c>
      <c r="J442" s="2"/>
      <c r="K442" s="322">
        <v>0</v>
      </c>
      <c r="L442" s="308"/>
      <c r="M442" s="2">
        <f>ROUND(K442*$C442,0)</f>
        <v>0</v>
      </c>
      <c r="N442" s="2"/>
      <c r="O442" s="322" t="e">
        <f>O197</f>
        <v>#DIV/0!</v>
      </c>
      <c r="P442" s="308"/>
      <c r="Q442" s="2" t="e">
        <f>ROUND(O442*$C442,0)</f>
        <v>#DIV/0!</v>
      </c>
      <c r="R442" s="2"/>
      <c r="S442" s="322" t="e">
        <f>S197</f>
        <v>#DIV/0!</v>
      </c>
      <c r="T442" s="308"/>
      <c r="U442" s="2" t="e">
        <f>ROUND(S442*$C442,0)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>
      <c r="A443" s="1" t="s">
        <v>398</v>
      </c>
      <c r="B443" s="1"/>
      <c r="C443" s="304">
        <v>0</v>
      </c>
      <c r="D443" s="324">
        <v>-30</v>
      </c>
      <c r="E443" s="308" t="s">
        <v>364</v>
      </c>
      <c r="F443" s="2">
        <f>ROUND(D443*C443/100,0)</f>
        <v>0</v>
      </c>
      <c r="G443" s="324">
        <f>$G$198</f>
        <v>-30</v>
      </c>
      <c r="H443" s="308" t="s">
        <v>364</v>
      </c>
      <c r="I443" s="2">
        <f>ROUND(G443*$C443/100,0)</f>
        <v>0</v>
      </c>
      <c r="J443" s="2"/>
      <c r="K443" s="324">
        <f>$G$198</f>
        <v>-30</v>
      </c>
      <c r="L443" s="308" t="s">
        <v>364</v>
      </c>
      <c r="M443" s="2">
        <f>ROUND(K443*$C443/100,0)</f>
        <v>0</v>
      </c>
      <c r="N443" s="2"/>
      <c r="O443" s="324">
        <v>0</v>
      </c>
      <c r="P443" s="308" t="s">
        <v>364</v>
      </c>
      <c r="Q443" s="2">
        <f>ROUND(O443*$C443/100,0)</f>
        <v>0</v>
      </c>
      <c r="R443" s="2"/>
      <c r="S443" s="324">
        <v>0</v>
      </c>
      <c r="T443" s="308" t="s">
        <v>364</v>
      </c>
      <c r="U443" s="2">
        <f>ROUND(S443*$C443/100,0)</f>
        <v>0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s="1118" customFormat="1" hidden="1">
      <c r="A444" s="968" t="s">
        <v>862</v>
      </c>
      <c r="C444" s="1122">
        <f>C438</f>
        <v>0</v>
      </c>
      <c r="D444" s="254">
        <v>0</v>
      </c>
      <c r="E444" s="1119"/>
      <c r="F444" s="1123"/>
      <c r="G444" s="1128">
        <f>G182</f>
        <v>0</v>
      </c>
      <c r="H444" s="972" t="s">
        <v>364</v>
      </c>
      <c r="I444" s="2">
        <f>ROUND(G444*$C444/100*G433,0)</f>
        <v>0</v>
      </c>
      <c r="J444" s="2"/>
      <c r="K444" s="1128" t="str">
        <f>K182</f>
        <v xml:space="preserve"> </v>
      </c>
      <c r="L444" s="972" t="s">
        <v>364</v>
      </c>
      <c r="M444" s="2">
        <f>ROUND(K444*$C444/100*K433,0)</f>
        <v>0</v>
      </c>
      <c r="N444" s="2"/>
      <c r="O444" s="1128" t="str">
        <f>O182</f>
        <v xml:space="preserve"> </v>
      </c>
      <c r="P444" s="972" t="s">
        <v>364</v>
      </c>
      <c r="Q444" s="2">
        <f>ROUND(O444*$C444/100*O433,0)</f>
        <v>0</v>
      </c>
      <c r="R444" s="2"/>
      <c r="S444" s="1128">
        <f>S182</f>
        <v>0</v>
      </c>
      <c r="T444" s="972" t="s">
        <v>364</v>
      </c>
      <c r="U444" s="2">
        <f>ROUND(S444*$C444/100*S433,0)</f>
        <v>0</v>
      </c>
      <c r="W444" s="784"/>
      <c r="Z444" s="1125"/>
      <c r="AA444" s="1125"/>
      <c r="AF444" s="1119"/>
      <c r="AG444" s="1119"/>
      <c r="AH444" s="1119"/>
      <c r="AI444" s="1119"/>
      <c r="AJ444" s="1119"/>
      <c r="AK444" s="1119"/>
      <c r="AL444" s="1119"/>
      <c r="AM444" s="1119"/>
      <c r="AN444" s="1119"/>
      <c r="AO444" s="1119"/>
      <c r="AP444" s="1119"/>
      <c r="AR444" s="1124"/>
    </row>
    <row r="445" spans="1:44" s="1118" customFormat="1" hidden="1">
      <c r="A445" s="968" t="s">
        <v>863</v>
      </c>
      <c r="C445" s="1122">
        <f>C439</f>
        <v>0</v>
      </c>
      <c r="D445" s="254"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ROUND(G445*$C445/100*G433,0)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ROUND(K445*$C445/100*K433,0)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ROUND(O445*$C445/100*O433,0)</f>
        <v>0</v>
      </c>
      <c r="R445" s="2"/>
      <c r="S445" s="1128">
        <f>S183</f>
        <v>0</v>
      </c>
      <c r="T445" s="972" t="s">
        <v>364</v>
      </c>
      <c r="U445" s="2">
        <f>ROUND(S445*$C445/100*S433,0)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864</v>
      </c>
      <c r="C446" s="1122">
        <f>C440</f>
        <v>0</v>
      </c>
      <c r="D446" s="254"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ROUND(G446*$C446/100*G433,0)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ROUND(K446*$C446/100*K433,0)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ROUND(O446*$C446/100*O433,0)</f>
        <v>0</v>
      </c>
      <c r="R446" s="2"/>
      <c r="S446" s="1128">
        <f>S184</f>
        <v>0</v>
      </c>
      <c r="T446" s="972" t="s">
        <v>364</v>
      </c>
      <c r="U446" s="2">
        <f>ROUND(S446*$C446/100*S433,0)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>
      <c r="A447" s="1" t="s">
        <v>371</v>
      </c>
      <c r="B447" s="1"/>
      <c r="C447" s="304">
        <f>SUM(C426:C428)</f>
        <v>33312</v>
      </c>
      <c r="D447" s="315"/>
      <c r="E447" s="308"/>
      <c r="F447" s="2">
        <f>SUM(F420:F443)</f>
        <v>8430</v>
      </c>
      <c r="G447" s="315"/>
      <c r="H447" s="308"/>
      <c r="I447" s="2">
        <f ca="1">SUM(I420:I446)</f>
        <v>8572</v>
      </c>
      <c r="J447" s="2"/>
      <c r="K447" s="315"/>
      <c r="L447" s="308"/>
      <c r="M447" s="2" t="e">
        <f ca="1">SUM(M420:M446)</f>
        <v>#REF!</v>
      </c>
      <c r="N447" s="2"/>
      <c r="O447" s="315"/>
      <c r="P447" s="308"/>
      <c r="Q447" s="2" t="e">
        <f ca="1">SUM(Q420:Q446)</f>
        <v>#DIV/0!</v>
      </c>
      <c r="R447" s="2"/>
      <c r="S447" s="315"/>
      <c r="T447" s="308"/>
      <c r="U447" s="2" t="e">
        <f ca="1">SUM(U420:U446)</f>
        <v>#DIV/0!</v>
      </c>
      <c r="V447" s="20"/>
      <c r="W447" s="74"/>
      <c r="X447" s="74"/>
      <c r="Y447" s="74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R447" s="84"/>
    </row>
    <row r="448" spans="1:44">
      <c r="A448" s="1" t="s">
        <v>353</v>
      </c>
      <c r="B448" s="1"/>
      <c r="C448" s="334">
        <f ca="1">'Table 2'!H72</f>
        <v>103.57381938517956</v>
      </c>
      <c r="D448" s="294"/>
      <c r="E448" s="294"/>
      <c r="F448" s="326">
        <f ca="1">'Table 3'!E72</f>
        <v>26.103189482042787</v>
      </c>
      <c r="G448" s="294"/>
      <c r="H448" s="294"/>
      <c r="I448" s="326">
        <f ca="1">F448</f>
        <v>26.103189482042787</v>
      </c>
      <c r="J448" s="307"/>
      <c r="K448" s="294"/>
      <c r="L448" s="294"/>
      <c r="M448" s="326" t="e">
        <f ca="1">$I$448*V207/($V$207+$W$207+$X$207)</f>
        <v>#DIV/0!</v>
      </c>
      <c r="N448" s="51"/>
      <c r="O448" s="294"/>
      <c r="P448" s="294"/>
      <c r="Q448" s="326" t="e">
        <f ca="1">$I$448*W207/($V$207+$W$207+$X$207)</f>
        <v>#DIV/0!</v>
      </c>
      <c r="R448" s="51"/>
      <c r="S448" s="294"/>
      <c r="T448" s="294"/>
      <c r="U448" s="326" t="e">
        <f ca="1">$I$448*X207/($V$207+$W$207+$X$207)</f>
        <v>#DIV/0!</v>
      </c>
      <c r="V448" s="429"/>
      <c r="W448" s="272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t="16.5" thickBot="1">
      <c r="A449" s="1" t="s">
        <v>372</v>
      </c>
      <c r="B449" s="1"/>
      <c r="C449" s="296">
        <f ca="1">SUM(C447:C448)</f>
        <v>33415.573819385179</v>
      </c>
      <c r="D449" s="327"/>
      <c r="E449" s="330"/>
      <c r="F449" s="329">
        <f ca="1">F447+F448</f>
        <v>8456.1031894820426</v>
      </c>
      <c r="G449" s="327"/>
      <c r="H449" s="330"/>
      <c r="I449" s="329">
        <f ca="1">I447+I448</f>
        <v>8598.1031894820426</v>
      </c>
      <c r="J449" s="307"/>
      <c r="K449" s="327"/>
      <c r="L449" s="330"/>
      <c r="M449" s="329" t="e">
        <f ca="1">M447+M448</f>
        <v>#REF!</v>
      </c>
      <c r="N449" s="329"/>
      <c r="O449" s="327"/>
      <c r="P449" s="330"/>
      <c r="Q449" s="329" t="e">
        <f ca="1">Q447+Q448</f>
        <v>#DIV/0!</v>
      </c>
      <c r="R449" s="329"/>
      <c r="S449" s="327"/>
      <c r="T449" s="330"/>
      <c r="U449" s="329" t="e">
        <f ca="1">U447+U448</f>
        <v>#DIV/0!</v>
      </c>
      <c r="V449" s="396"/>
      <c r="W449" s="455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thickTop="1">
      <c r="A450" s="1"/>
      <c r="B450" s="1"/>
      <c r="C450" s="21"/>
      <c r="D450" s="322" t="s">
        <v>31</v>
      </c>
      <c r="E450" s="1"/>
      <c r="F450" s="2"/>
      <c r="G450" s="338" t="s">
        <v>31</v>
      </c>
      <c r="H450" s="1"/>
      <c r="I450" s="2" t="s">
        <v>31</v>
      </c>
      <c r="J450" s="2"/>
      <c r="K450" s="338" t="s">
        <v>31</v>
      </c>
      <c r="L450" s="1"/>
      <c r="M450" s="2" t="s">
        <v>31</v>
      </c>
      <c r="N450" s="2"/>
      <c r="O450" s="338" t="s">
        <v>31</v>
      </c>
      <c r="P450" s="1"/>
      <c r="Q450" s="2" t="s">
        <v>31</v>
      </c>
      <c r="R450" s="2"/>
      <c r="S450" s="338" t="s">
        <v>31</v>
      </c>
      <c r="T450" s="1"/>
      <c r="U450" s="2" t="s">
        <v>31</v>
      </c>
      <c r="V450" s="20"/>
      <c r="W450" s="74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>
      <c r="A452" s="278" t="s">
        <v>407</v>
      </c>
      <c r="B452" s="1"/>
      <c r="C452" s="1"/>
      <c r="D452" s="2"/>
      <c r="E452" s="1"/>
      <c r="F452" s="1"/>
      <c r="G452" s="2"/>
      <c r="H452" s="1"/>
      <c r="I452" s="1"/>
      <c r="J452" s="1"/>
      <c r="K452" s="2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>
      <c r="A453" s="1" t="s">
        <v>400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</row>
    <row r="454" spans="1:44">
      <c r="A454" s="1" t="s">
        <v>408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>
      <c r="A455" s="1" t="s">
        <v>383</v>
      </c>
      <c r="B455" s="1"/>
      <c r="C455" s="304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>
      <c r="A456" s="1" t="s">
        <v>380</v>
      </c>
      <c r="B456" s="1"/>
      <c r="C456" s="304">
        <f t="shared" ref="C456:C465" si="107">C491+C526</f>
        <v>2</v>
      </c>
      <c r="D456" s="283">
        <v>115.19999999999999</v>
      </c>
      <c r="E456" s="308"/>
      <c r="F456" s="2">
        <f>F491+F526</f>
        <v>230</v>
      </c>
      <c r="G456" s="283">
        <f ca="1">$G$168</f>
        <v>117.12</v>
      </c>
      <c r="H456" s="308"/>
      <c r="I456" s="2">
        <f ca="1">I491+I526</f>
        <v>234</v>
      </c>
      <c r="J456" s="2"/>
      <c r="K456" s="283">
        <f ca="1">$K$168</f>
        <v>117.12</v>
      </c>
      <c r="L456" s="308"/>
      <c r="M456" s="2">
        <f ca="1">M491+M526</f>
        <v>234</v>
      </c>
      <c r="N456" s="2"/>
      <c r="O456" s="283" t="str">
        <f>$O$168</f>
        <v xml:space="preserve"> </v>
      </c>
      <c r="P456" s="308"/>
      <c r="Q456" s="2">
        <f>Q491+Q526</f>
        <v>0</v>
      </c>
      <c r="R456" s="2"/>
      <c r="S456" s="283" t="str">
        <f>$S$168</f>
        <v xml:space="preserve"> </v>
      </c>
      <c r="T456" s="308"/>
      <c r="U456" s="2">
        <f>U491+U526</f>
        <v>0</v>
      </c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>
      <c r="A457" s="1" t="s">
        <v>381</v>
      </c>
      <c r="B457" s="1"/>
      <c r="C457" s="304">
        <f t="shared" si="107"/>
        <v>82.084931506849301</v>
      </c>
      <c r="D457" s="283">
        <v>171.60000000000002</v>
      </c>
      <c r="E457" s="310"/>
      <c r="F457" s="2">
        <f>F492+F527</f>
        <v>14086</v>
      </c>
      <c r="G457" s="283">
        <f ca="1">$G$169</f>
        <v>174.48</v>
      </c>
      <c r="H457" s="310"/>
      <c r="I457" s="2">
        <f ca="1">I492+I527</f>
        <v>14322</v>
      </c>
      <c r="J457" s="2"/>
      <c r="K457" s="283">
        <f ca="1">$K$169</f>
        <v>174.48</v>
      </c>
      <c r="L457" s="310"/>
      <c r="M457" s="2">
        <f ca="1">M492+M527</f>
        <v>14322</v>
      </c>
      <c r="N457" s="2"/>
      <c r="O457" s="283" t="str">
        <f>$O$169</f>
        <v xml:space="preserve"> </v>
      </c>
      <c r="P457" s="310"/>
      <c r="Q457" s="2">
        <f>Q492+Q527</f>
        <v>0</v>
      </c>
      <c r="R457" s="2"/>
      <c r="S457" s="283" t="str">
        <f>$S$169</f>
        <v xml:space="preserve"> </v>
      </c>
      <c r="T457" s="310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>
      <c r="A458" s="1" t="s">
        <v>382</v>
      </c>
      <c r="B458" s="1"/>
      <c r="C458" s="304">
        <f t="shared" si="107"/>
        <v>2770.9452054794501</v>
      </c>
      <c r="D458" s="283">
        <v>12</v>
      </c>
      <c r="E458" s="310"/>
      <c r="F458" s="2">
        <f>F493+F528</f>
        <v>33251</v>
      </c>
      <c r="G458" s="283">
        <f ca="1">$G$170</f>
        <v>12.24</v>
      </c>
      <c r="H458" s="310"/>
      <c r="I458" s="2">
        <f ca="1">I493+I528</f>
        <v>33916</v>
      </c>
      <c r="J458" s="2"/>
      <c r="K458" s="283">
        <f ca="1">$K$170</f>
        <v>12.24</v>
      </c>
      <c r="L458" s="310"/>
      <c r="M458" s="2">
        <f ca="1">M493+M528</f>
        <v>33916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>
      <c r="A459" s="1" t="s">
        <v>384</v>
      </c>
      <c r="B459" s="1"/>
      <c r="C459" s="304">
        <f t="shared" si="107"/>
        <v>84.084931506849301</v>
      </c>
      <c r="D459" s="283"/>
      <c r="E459" s="308"/>
      <c r="F459" s="2"/>
      <c r="G459" s="283"/>
      <c r="H459" s="308"/>
      <c r="I459" s="2"/>
      <c r="J459" s="2"/>
      <c r="K459" s="283"/>
      <c r="L459" s="308"/>
      <c r="M459" s="2"/>
      <c r="N459" s="2"/>
      <c r="O459" s="283"/>
      <c r="P459" s="308"/>
      <c r="Q459" s="2"/>
      <c r="R459" s="2"/>
      <c r="S459" s="283"/>
      <c r="T459" s="308"/>
      <c r="U459" s="2"/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>
      <c r="A460" s="1" t="s">
        <v>409</v>
      </c>
      <c r="B460" s="1"/>
      <c r="C460" s="304">
        <f t="shared" si="107"/>
        <v>979.36817460317491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>
      <c r="A461" s="1" t="s">
        <v>385</v>
      </c>
      <c r="B461" s="1"/>
      <c r="C461" s="304">
        <f t="shared" si="107"/>
        <v>8076.5367188213504</v>
      </c>
      <c r="D461" s="311">
        <v>3.64</v>
      </c>
      <c r="E461" s="308"/>
      <c r="F461" s="2">
        <f>F496+F531</f>
        <v>29399</v>
      </c>
      <c r="G461" s="311">
        <f ca="1">$G$177</f>
        <v>3.7</v>
      </c>
      <c r="H461" s="308"/>
      <c r="I461" s="2">
        <f ca="1">I496+I531</f>
        <v>29883</v>
      </c>
      <c r="J461" s="2"/>
      <c r="K461" s="311" t="e">
        <f ca="1">$K$177</f>
        <v>#REF!</v>
      </c>
      <c r="L461" s="308"/>
      <c r="M461" s="2" t="e">
        <f ca="1">M496+M531</f>
        <v>#REF!</v>
      </c>
      <c r="N461" s="2"/>
      <c r="O461" s="311" t="e">
        <f ca="1">$O$177</f>
        <v>#DIV/0!</v>
      </c>
      <c r="P461" s="308"/>
      <c r="Q461" s="2" t="e">
        <f ca="1">Q496+Q531</f>
        <v>#DIV/0!</v>
      </c>
      <c r="R461" s="2"/>
      <c r="S461" s="311" t="e">
        <f ca="1">$S$177</f>
        <v>#DIV/0!</v>
      </c>
      <c r="T461" s="308"/>
      <c r="U461" s="2" t="e">
        <f ca="1">U496+U531</f>
        <v>#DIV/0!</v>
      </c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>
      <c r="A462" s="1" t="s">
        <v>387</v>
      </c>
      <c r="B462" s="1"/>
      <c r="C462" s="304">
        <f t="shared" si="107"/>
        <v>158922</v>
      </c>
      <c r="D462" s="284">
        <v>10.449</v>
      </c>
      <c r="E462" s="308" t="s">
        <v>364</v>
      </c>
      <c r="F462" s="2">
        <f>F497+F532</f>
        <v>16606</v>
      </c>
      <c r="G462" s="284">
        <f ca="1">$G$178</f>
        <v>10.628</v>
      </c>
      <c r="H462" s="308" t="s">
        <v>364</v>
      </c>
      <c r="I462" s="2">
        <f ca="1">I497+I532</f>
        <v>16890</v>
      </c>
      <c r="J462" s="2"/>
      <c r="K462" s="284" t="e">
        <f ca="1">$K$178</f>
        <v>#REF!</v>
      </c>
      <c r="L462" s="308" t="s">
        <v>364</v>
      </c>
      <c r="M462" s="2" t="e">
        <f ca="1">M497+M532</f>
        <v>#REF!</v>
      </c>
      <c r="N462" s="2"/>
      <c r="O462" s="284" t="e">
        <f ca="1">$O$178</f>
        <v>#DIV/0!</v>
      </c>
      <c r="P462" s="308" t="s">
        <v>364</v>
      </c>
      <c r="Q462" s="2" t="e">
        <f ca="1">Q497+Q532</f>
        <v>#DIV/0!</v>
      </c>
      <c r="R462" s="2"/>
      <c r="S462" s="284" t="e">
        <f ca="1">$S$178</f>
        <v>#DIV/0!</v>
      </c>
      <c r="T462" s="308" t="s">
        <v>364</v>
      </c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>
      <c r="A463" s="1" t="s">
        <v>388</v>
      </c>
      <c r="B463" s="1"/>
      <c r="C463" s="304">
        <f t="shared" si="107"/>
        <v>131844</v>
      </c>
      <c r="D463" s="284">
        <v>7.218</v>
      </c>
      <c r="E463" s="308" t="s">
        <v>364</v>
      </c>
      <c r="F463" s="2">
        <f>F498+F533</f>
        <v>9516</v>
      </c>
      <c r="G463" s="284">
        <f ca="1">$G$179</f>
        <v>7.3410000000000002</v>
      </c>
      <c r="H463" s="308" t="s">
        <v>364</v>
      </c>
      <c r="I463" s="2">
        <f ca="1">I498+I533</f>
        <v>9678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>
      <c r="A464" s="1" t="s">
        <v>389</v>
      </c>
      <c r="B464" s="1"/>
      <c r="C464" s="304">
        <f t="shared" si="107"/>
        <v>0</v>
      </c>
      <c r="D464" s="284">
        <v>6.218</v>
      </c>
      <c r="E464" s="308" t="s">
        <v>364</v>
      </c>
      <c r="F464" s="2">
        <f>F499+F534</f>
        <v>0</v>
      </c>
      <c r="G464" s="284">
        <f ca="1">$G$180</f>
        <v>6.3240000000000007</v>
      </c>
      <c r="H464" s="308" t="s">
        <v>364</v>
      </c>
      <c r="I464" s="2">
        <f ca="1">I499+I534</f>
        <v>0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>
      <c r="A465" s="1" t="s">
        <v>390</v>
      </c>
      <c r="B465" s="1"/>
      <c r="C465" s="304">
        <f t="shared" si="107"/>
        <v>1569.0261904761901</v>
      </c>
      <c r="D465" s="315">
        <v>56</v>
      </c>
      <c r="E465" s="308" t="s">
        <v>364</v>
      </c>
      <c r="F465" s="2">
        <f>F500+F535</f>
        <v>879</v>
      </c>
      <c r="G465" s="315">
        <f ca="1">$G$181</f>
        <v>57</v>
      </c>
      <c r="H465" s="308" t="s">
        <v>364</v>
      </c>
      <c r="I465" s="2">
        <f ca="1">I500+I535</f>
        <v>894</v>
      </c>
      <c r="J465" s="2"/>
      <c r="K465" s="315" t="str">
        <f>$K$181</f>
        <v xml:space="preserve"> </v>
      </c>
      <c r="L465" s="308" t="s">
        <v>364</v>
      </c>
      <c r="M465" s="2">
        <f>M500+M535</f>
        <v>0</v>
      </c>
      <c r="N465" s="2"/>
      <c r="O465" s="315" t="e">
        <f>$O$181</f>
        <v>#DIV/0!</v>
      </c>
      <c r="P465" s="308" t="s">
        <v>364</v>
      </c>
      <c r="Q465" s="2" t="e">
        <f>Q500+Q535</f>
        <v>#DIV/0!</v>
      </c>
      <c r="R465" s="2"/>
      <c r="S465" s="315" t="e">
        <f>$S$181</f>
        <v>#DIV/0!</v>
      </c>
      <c r="T465" s="308" t="s">
        <v>364</v>
      </c>
      <c r="U465" s="2" t="e">
        <f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s="1118" customFormat="1" hidden="1">
      <c r="A466" s="968" t="s">
        <v>862</v>
      </c>
      <c r="C466" s="987">
        <f>C462</f>
        <v>158922</v>
      </c>
      <c r="D466" s="254">
        <v>0</v>
      </c>
      <c r="E466" s="1119"/>
      <c r="F466" s="1123"/>
      <c r="G466" s="1128">
        <f>G182</f>
        <v>0</v>
      </c>
      <c r="H466" s="972" t="s">
        <v>364</v>
      </c>
      <c r="I466" s="2">
        <f t="shared" ref="I466:I468" si="108">I501+I536</f>
        <v>0</v>
      </c>
      <c r="J466" s="2"/>
      <c r="K466" s="1128" t="str">
        <f>K182</f>
        <v xml:space="preserve"> </v>
      </c>
      <c r="L466" s="972" t="s">
        <v>364</v>
      </c>
      <c r="M466" s="2">
        <f t="shared" ref="M466:M468" si="109">M501+M536</f>
        <v>0</v>
      </c>
      <c r="N466" s="2"/>
      <c r="O466" s="1128" t="str">
        <f>O182</f>
        <v xml:space="preserve"> </v>
      </c>
      <c r="P466" s="972" t="s">
        <v>364</v>
      </c>
      <c r="Q466" s="2">
        <f t="shared" ref="Q466:Q468" si="110">Q501+Q536</f>
        <v>0</v>
      </c>
      <c r="R466" s="2"/>
      <c r="S466" s="1128">
        <f>S182</f>
        <v>0</v>
      </c>
      <c r="T466" s="972" t="s">
        <v>364</v>
      </c>
      <c r="U466" s="2">
        <f t="shared" ref="U466:U468" si="111">U501+U536</f>
        <v>0</v>
      </c>
      <c r="W466" s="784"/>
      <c r="Z466" s="1125"/>
      <c r="AA466" s="1125"/>
      <c r="AF466" s="1119"/>
      <c r="AG466" s="1119"/>
      <c r="AH466" s="1119"/>
      <c r="AI466" s="1119"/>
      <c r="AJ466" s="1119"/>
      <c r="AK466" s="1119"/>
      <c r="AL466" s="1119"/>
      <c r="AM466" s="1119"/>
      <c r="AN466" s="1119"/>
      <c r="AO466" s="1119"/>
      <c r="AP466" s="1119"/>
      <c r="AR466" s="1124"/>
    </row>
    <row r="467" spans="1:44" s="1118" customFormat="1" hidden="1">
      <c r="A467" s="968" t="s">
        <v>863</v>
      </c>
      <c r="C467" s="987">
        <f t="shared" ref="C467:C468" si="112">C463</f>
        <v>131844</v>
      </c>
      <c r="D467" s="254">
        <v>0</v>
      </c>
      <c r="E467" s="1119"/>
      <c r="F467" s="1123"/>
      <c r="G467" s="1128">
        <f>G183</f>
        <v>0</v>
      </c>
      <c r="H467" s="972" t="s">
        <v>364</v>
      </c>
      <c r="I467" s="2">
        <f t="shared" si="108"/>
        <v>0</v>
      </c>
      <c r="J467" s="2"/>
      <c r="K467" s="1128" t="str">
        <f>K183</f>
        <v xml:space="preserve"> </v>
      </c>
      <c r="L467" s="972" t="s">
        <v>364</v>
      </c>
      <c r="M467" s="2">
        <f t="shared" si="109"/>
        <v>0</v>
      </c>
      <c r="N467" s="2"/>
      <c r="O467" s="1128" t="str">
        <f>O183</f>
        <v xml:space="preserve"> </v>
      </c>
      <c r="P467" s="972" t="s">
        <v>364</v>
      </c>
      <c r="Q467" s="2">
        <f t="shared" si="110"/>
        <v>0</v>
      </c>
      <c r="R467" s="2"/>
      <c r="S467" s="1128">
        <f>S183</f>
        <v>0</v>
      </c>
      <c r="T467" s="972" t="s">
        <v>364</v>
      </c>
      <c r="U467" s="2">
        <f t="shared" si="111"/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864</v>
      </c>
      <c r="C468" s="987">
        <f t="shared" si="112"/>
        <v>0</v>
      </c>
      <c r="D468" s="254">
        <v>0</v>
      </c>
      <c r="E468" s="1119"/>
      <c r="F468" s="1123"/>
      <c r="G468" s="1128">
        <f>G184</f>
        <v>0</v>
      </c>
      <c r="H468" s="972" t="s">
        <v>364</v>
      </c>
      <c r="I468" s="2">
        <f t="shared" si="108"/>
        <v>0</v>
      </c>
      <c r="J468" s="2"/>
      <c r="K468" s="1128" t="str">
        <f>K184</f>
        <v xml:space="preserve"> </v>
      </c>
      <c r="L468" s="972" t="s">
        <v>364</v>
      </c>
      <c r="M468" s="2">
        <f t="shared" si="109"/>
        <v>0</v>
      </c>
      <c r="N468" s="2"/>
      <c r="O468" s="1128" t="str">
        <f>O184</f>
        <v xml:space="preserve"> </v>
      </c>
      <c r="P468" s="972" t="s">
        <v>364</v>
      </c>
      <c r="Q468" s="2">
        <f t="shared" si="110"/>
        <v>0</v>
      </c>
      <c r="R468" s="2"/>
      <c r="S468" s="1128">
        <f>S184</f>
        <v>0</v>
      </c>
      <c r="T468" s="972" t="s">
        <v>364</v>
      </c>
      <c r="U468" s="2">
        <f t="shared" si="111"/>
        <v>0</v>
      </c>
      <c r="V468" s="968" t="s">
        <v>31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>
      <c r="A469" s="316" t="s">
        <v>391</v>
      </c>
      <c r="B469" s="1"/>
      <c r="C469" s="304"/>
      <c r="D469" s="317">
        <v>-0.01</v>
      </c>
      <c r="E469" s="308"/>
      <c r="F469" s="2"/>
      <c r="G469" s="317">
        <v>-0.01</v>
      </c>
      <c r="H469" s="308"/>
      <c r="I469" s="2"/>
      <c r="J469" s="2"/>
      <c r="K469" s="317">
        <v>-0.01</v>
      </c>
      <c r="L469" s="308"/>
      <c r="M469" s="2"/>
      <c r="N469" s="2"/>
      <c r="O469" s="317">
        <v>-0.01</v>
      </c>
      <c r="P469" s="308"/>
      <c r="Q469" s="2"/>
      <c r="R469" s="2"/>
      <c r="S469" s="317">
        <v>-0.01</v>
      </c>
      <c r="T469" s="308"/>
      <c r="U469" s="2"/>
      <c r="V469" s="20"/>
      <c r="W469" s="74"/>
      <c r="X469" s="74"/>
      <c r="Y469" s="74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</row>
    <row r="470" spans="1:44">
      <c r="A470" s="1" t="s">
        <v>380</v>
      </c>
      <c r="B470" s="1"/>
      <c r="C470" s="304">
        <v>0</v>
      </c>
      <c r="D470" s="319">
        <v>115.19999999999999</v>
      </c>
      <c r="E470" s="306"/>
      <c r="F470" s="2">
        <f t="shared" ref="F470:F479" si="113">F505+F540</f>
        <v>0</v>
      </c>
      <c r="G470" s="319">
        <f ca="1">G456</f>
        <v>117.12</v>
      </c>
      <c r="H470" s="306"/>
      <c r="I470" s="2">
        <f t="shared" ref="I470:I479" ca="1" si="114">I505+I540</f>
        <v>0</v>
      </c>
      <c r="J470" s="2"/>
      <c r="K470" s="319">
        <f ca="1">K456</f>
        <v>117.12</v>
      </c>
      <c r="L470" s="306"/>
      <c r="M470" s="2">
        <f t="shared" ref="M470:M479" ca="1" si="115">M505+M540</f>
        <v>0</v>
      </c>
      <c r="N470" s="2"/>
      <c r="O470" s="319" t="str">
        <f>O456</f>
        <v xml:space="preserve"> </v>
      </c>
      <c r="P470" s="306"/>
      <c r="Q470" s="2">
        <f t="shared" ref="Q470:Q479" si="116">Q505+Q540</f>
        <v>0</v>
      </c>
      <c r="R470" s="2"/>
      <c r="S470" s="319" t="str">
        <f>S456</f>
        <v xml:space="preserve"> </v>
      </c>
      <c r="T470" s="306"/>
      <c r="U470" s="2">
        <f t="shared" ref="U470:U479" si="117">U505+U540</f>
        <v>0</v>
      </c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>
      <c r="A471" s="1" t="s">
        <v>381</v>
      </c>
      <c r="B471" s="1"/>
      <c r="C471" s="304">
        <v>0</v>
      </c>
      <c r="D471" s="319">
        <v>171.60000000000002</v>
      </c>
      <c r="E471" s="306"/>
      <c r="F471" s="2">
        <f t="shared" si="113"/>
        <v>0</v>
      </c>
      <c r="G471" s="319">
        <f ca="1">G457</f>
        <v>174.48</v>
      </c>
      <c r="H471" s="306"/>
      <c r="I471" s="2">
        <f t="shared" ca="1" si="114"/>
        <v>0</v>
      </c>
      <c r="J471" s="2"/>
      <c r="K471" s="319">
        <f ca="1">K457</f>
        <v>174.48</v>
      </c>
      <c r="L471" s="306"/>
      <c r="M471" s="2">
        <f t="shared" ca="1" si="115"/>
        <v>0</v>
      </c>
      <c r="N471" s="2"/>
      <c r="O471" s="319" t="str">
        <f>O457</f>
        <v xml:space="preserve"> </v>
      </c>
      <c r="P471" s="306"/>
      <c r="Q471" s="2">
        <f t="shared" si="116"/>
        <v>0</v>
      </c>
      <c r="R471" s="2"/>
      <c r="S471" s="319" t="str">
        <f>S457</f>
        <v xml:space="preserve"> </v>
      </c>
      <c r="T471" s="306"/>
      <c r="U471" s="2">
        <f t="shared" si="117"/>
        <v>0</v>
      </c>
      <c r="V471" s="20"/>
      <c r="W471" s="74"/>
      <c r="X471" s="32" t="s">
        <v>31</v>
      </c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>
      <c r="A472" s="1" t="s">
        <v>392</v>
      </c>
      <c r="B472" s="1"/>
      <c r="C472" s="304">
        <v>0</v>
      </c>
      <c r="D472" s="319">
        <v>12</v>
      </c>
      <c r="E472" s="306"/>
      <c r="F472" s="2">
        <f t="shared" si="113"/>
        <v>0</v>
      </c>
      <c r="G472" s="319">
        <f ca="1">G458</f>
        <v>12.24</v>
      </c>
      <c r="H472" s="306"/>
      <c r="I472" s="2">
        <f t="shared" ca="1" si="114"/>
        <v>0</v>
      </c>
      <c r="J472" s="2"/>
      <c r="K472" s="319">
        <f ca="1">K458</f>
        <v>12.24</v>
      </c>
      <c r="L472" s="306"/>
      <c r="M472" s="2">
        <f t="shared" ca="1" si="115"/>
        <v>0</v>
      </c>
      <c r="N472" s="2"/>
      <c r="O472" s="319" t="str">
        <f>O458</f>
        <v xml:space="preserve"> </v>
      </c>
      <c r="P472" s="306"/>
      <c r="Q472" s="2">
        <f t="shared" si="116"/>
        <v>0</v>
      </c>
      <c r="R472" s="2"/>
      <c r="S472" s="319" t="str">
        <f>S458</f>
        <v xml:space="preserve"> </v>
      </c>
      <c r="T472" s="306"/>
      <c r="U472" s="2">
        <f t="shared" si="117"/>
        <v>0</v>
      </c>
      <c r="V472" s="20"/>
      <c r="W472" s="74"/>
      <c r="X472" s="74"/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>
      <c r="A473" s="1" t="s">
        <v>393</v>
      </c>
      <c r="B473" s="1"/>
      <c r="C473" s="304">
        <v>0</v>
      </c>
      <c r="D473" s="319">
        <v>3.64</v>
      </c>
      <c r="E473" s="308"/>
      <c r="F473" s="2">
        <f t="shared" si="113"/>
        <v>0</v>
      </c>
      <c r="G473" s="319">
        <f ca="1">G461</f>
        <v>3.7</v>
      </c>
      <c r="H473" s="308"/>
      <c r="I473" s="2">
        <f t="shared" ca="1" si="114"/>
        <v>0</v>
      </c>
      <c r="J473" s="2"/>
      <c r="K473" s="319" t="e">
        <f ca="1">K461</f>
        <v>#REF!</v>
      </c>
      <c r="L473" s="308"/>
      <c r="M473" s="2" t="e">
        <f t="shared" ca="1" si="115"/>
        <v>#REF!</v>
      </c>
      <c r="N473" s="2"/>
      <c r="O473" s="319" t="e">
        <f ca="1">O461</f>
        <v>#DIV/0!</v>
      </c>
      <c r="P473" s="308"/>
      <c r="Q473" s="2" t="e">
        <f t="shared" ca="1" si="116"/>
        <v>#DIV/0!</v>
      </c>
      <c r="R473" s="2"/>
      <c r="S473" s="319" t="e">
        <f ca="1">S461</f>
        <v>#DIV/0!</v>
      </c>
      <c r="T473" s="308"/>
      <c r="U473" s="2" t="e">
        <f t="shared" ca="1" si="117"/>
        <v>#DIV/0!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>
      <c r="A474" s="1" t="s">
        <v>395</v>
      </c>
      <c r="B474" s="1"/>
      <c r="C474" s="304">
        <v>0</v>
      </c>
      <c r="D474" s="320">
        <v>10.449</v>
      </c>
      <c r="E474" s="308" t="s">
        <v>364</v>
      </c>
      <c r="F474" s="2">
        <f t="shared" si="113"/>
        <v>0</v>
      </c>
      <c r="G474" s="320">
        <f ca="1">G462</f>
        <v>10.628</v>
      </c>
      <c r="H474" s="308" t="s">
        <v>364</v>
      </c>
      <c r="I474" s="2">
        <f t="shared" ca="1" si="114"/>
        <v>0</v>
      </c>
      <c r="J474" s="2"/>
      <c r="K474" s="320" t="e">
        <f ca="1">K462</f>
        <v>#REF!</v>
      </c>
      <c r="L474" s="308" t="s">
        <v>364</v>
      </c>
      <c r="M474" s="2" t="e">
        <f t="shared" ca="1" si="115"/>
        <v>#REF!</v>
      </c>
      <c r="N474" s="2"/>
      <c r="O474" s="320" t="e">
        <f ca="1">O462</f>
        <v>#DIV/0!</v>
      </c>
      <c r="P474" s="308" t="s">
        <v>364</v>
      </c>
      <c r="Q474" s="2" t="e">
        <f t="shared" ca="1" si="116"/>
        <v>#DIV/0!</v>
      </c>
      <c r="R474" s="2"/>
      <c r="S474" s="320" t="e">
        <f ca="1">S462</f>
        <v>#DIV/0!</v>
      </c>
      <c r="T474" s="308" t="s">
        <v>364</v>
      </c>
      <c r="U474" s="2" t="e">
        <f t="shared" ca="1" si="117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>
      <c r="A475" s="1" t="s">
        <v>388</v>
      </c>
      <c r="B475" s="1"/>
      <c r="C475" s="304">
        <v>0</v>
      </c>
      <c r="D475" s="320">
        <v>7.218</v>
      </c>
      <c r="E475" s="308" t="s">
        <v>364</v>
      </c>
      <c r="F475" s="2">
        <f t="shared" si="113"/>
        <v>0</v>
      </c>
      <c r="G475" s="320">
        <f ca="1">G463</f>
        <v>7.3410000000000002</v>
      </c>
      <c r="H475" s="308" t="s">
        <v>364</v>
      </c>
      <c r="I475" s="2">
        <f t="shared" ca="1" si="114"/>
        <v>0</v>
      </c>
      <c r="J475" s="2"/>
      <c r="K475" s="320" t="e">
        <f ca="1">K463</f>
        <v>#REF!</v>
      </c>
      <c r="L475" s="308" t="s">
        <v>364</v>
      </c>
      <c r="M475" s="2" t="e">
        <f t="shared" ca="1" si="115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16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17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>
      <c r="A476" s="1" t="s">
        <v>389</v>
      </c>
      <c r="B476" s="1"/>
      <c r="C476" s="304">
        <v>0</v>
      </c>
      <c r="D476" s="320">
        <v>6.218</v>
      </c>
      <c r="E476" s="308" t="s">
        <v>364</v>
      </c>
      <c r="F476" s="2">
        <f t="shared" si="113"/>
        <v>0</v>
      </c>
      <c r="G476" s="320">
        <f ca="1">G464</f>
        <v>6.3240000000000007</v>
      </c>
      <c r="H476" s="308" t="s">
        <v>364</v>
      </c>
      <c r="I476" s="2">
        <f t="shared" ca="1" si="114"/>
        <v>0</v>
      </c>
      <c r="J476" s="2"/>
      <c r="K476" s="320" t="e">
        <f ca="1">K464</f>
        <v>#REF!</v>
      </c>
      <c r="L476" s="308" t="s">
        <v>364</v>
      </c>
      <c r="M476" s="2" t="e">
        <f t="shared" ca="1" si="115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16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17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>
      <c r="A477" s="1" t="s">
        <v>390</v>
      </c>
      <c r="B477" s="1"/>
      <c r="C477" s="304">
        <v>0</v>
      </c>
      <c r="D477" s="321">
        <v>56</v>
      </c>
      <c r="E477" s="308" t="s">
        <v>364</v>
      </c>
      <c r="F477" s="2">
        <f t="shared" si="113"/>
        <v>0</v>
      </c>
      <c r="G477" s="321">
        <f ca="1">G465</f>
        <v>57</v>
      </c>
      <c r="H477" s="308" t="s">
        <v>364</v>
      </c>
      <c r="I477" s="2">
        <f t="shared" ca="1" si="114"/>
        <v>0</v>
      </c>
      <c r="J477" s="2"/>
      <c r="K477" s="321" t="str">
        <f>K465</f>
        <v xml:space="preserve"> </v>
      </c>
      <c r="L477" s="308" t="s">
        <v>364</v>
      </c>
      <c r="M477" s="2">
        <f t="shared" si="115"/>
        <v>0</v>
      </c>
      <c r="N477" s="2"/>
      <c r="O477" s="321" t="e">
        <f>O465</f>
        <v>#DIV/0!</v>
      </c>
      <c r="P477" s="308" t="s">
        <v>364</v>
      </c>
      <c r="Q477" s="2" t="e">
        <f t="shared" si="116"/>
        <v>#DIV/0!</v>
      </c>
      <c r="R477" s="2"/>
      <c r="S477" s="321" t="e">
        <f>S465</f>
        <v>#DIV/0!</v>
      </c>
      <c r="T477" s="308" t="s">
        <v>364</v>
      </c>
      <c r="U477" s="2" t="e">
        <f t="shared" si="117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>
      <c r="A478" s="1" t="s">
        <v>397</v>
      </c>
      <c r="B478" s="1"/>
      <c r="C478" s="304">
        <v>0</v>
      </c>
      <c r="D478" s="322">
        <v>60</v>
      </c>
      <c r="E478" s="308"/>
      <c r="F478" s="2">
        <f t="shared" si="113"/>
        <v>0</v>
      </c>
      <c r="G478" s="322">
        <f>$G$197</f>
        <v>60</v>
      </c>
      <c r="H478" s="308"/>
      <c r="I478" s="2">
        <f t="shared" si="114"/>
        <v>0</v>
      </c>
      <c r="J478" s="2"/>
      <c r="K478" s="311">
        <v>0</v>
      </c>
      <c r="L478" s="308"/>
      <c r="M478" s="2">
        <f t="shared" si="115"/>
        <v>0</v>
      </c>
      <c r="N478" s="2"/>
      <c r="O478" s="322" t="e">
        <f>O197</f>
        <v>#DIV/0!</v>
      </c>
      <c r="P478" s="308"/>
      <c r="Q478" s="2" t="e">
        <f t="shared" si="116"/>
        <v>#DIV/0!</v>
      </c>
      <c r="R478" s="2"/>
      <c r="S478" s="322" t="e">
        <f>S197</f>
        <v>#DIV/0!</v>
      </c>
      <c r="T478" s="308"/>
      <c r="U478" s="2" t="e">
        <f t="shared" si="117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>
      <c r="A479" s="1" t="s">
        <v>398</v>
      </c>
      <c r="B479" s="1"/>
      <c r="C479" s="304">
        <v>0</v>
      </c>
      <c r="D479" s="324">
        <v>-30</v>
      </c>
      <c r="E479" s="308" t="s">
        <v>364</v>
      </c>
      <c r="F479" s="2">
        <f t="shared" si="113"/>
        <v>0</v>
      </c>
      <c r="G479" s="324">
        <f>$G$198</f>
        <v>-30</v>
      </c>
      <c r="H479" s="308" t="s">
        <v>364</v>
      </c>
      <c r="I479" s="2">
        <f t="shared" si="114"/>
        <v>0</v>
      </c>
      <c r="J479" s="2"/>
      <c r="K479" s="324">
        <f>$G$198</f>
        <v>-30</v>
      </c>
      <c r="L479" s="308" t="s">
        <v>364</v>
      </c>
      <c r="M479" s="2">
        <f t="shared" si="115"/>
        <v>0</v>
      </c>
      <c r="N479" s="2"/>
      <c r="O479" s="324">
        <v>0</v>
      </c>
      <c r="P479" s="308" t="s">
        <v>364</v>
      </c>
      <c r="Q479" s="2">
        <f t="shared" si="116"/>
        <v>0</v>
      </c>
      <c r="R479" s="2"/>
      <c r="S479" s="324">
        <v>0</v>
      </c>
      <c r="T479" s="308" t="s">
        <v>364</v>
      </c>
      <c r="U479" s="2">
        <f t="shared" si="117"/>
        <v>0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s="1118" customFormat="1" hidden="1">
      <c r="A480" s="968" t="s">
        <v>862</v>
      </c>
      <c r="C480" s="1122">
        <f>C474</f>
        <v>0</v>
      </c>
      <c r="D480" s="254">
        <v>0</v>
      </c>
      <c r="E480" s="1119"/>
      <c r="F480" s="1123"/>
      <c r="G480" s="1128">
        <f>G182</f>
        <v>0</v>
      </c>
      <c r="H480" s="972" t="s">
        <v>364</v>
      </c>
      <c r="I480" s="1123">
        <f ca="1">I521+I561</f>
        <v>0</v>
      </c>
      <c r="J480" s="1123"/>
      <c r="K480" s="1128" t="str">
        <f>K182</f>
        <v xml:space="preserve"> </v>
      </c>
      <c r="L480" s="972" t="s">
        <v>364</v>
      </c>
      <c r="M480" s="1123">
        <f ca="1">M521+M561</f>
        <v>0</v>
      </c>
      <c r="N480" s="1123"/>
      <c r="O480" s="1128" t="str">
        <f>O182</f>
        <v xml:space="preserve"> </v>
      </c>
      <c r="P480" s="972" t="s">
        <v>364</v>
      </c>
      <c r="Q480" s="1123">
        <f>Q521+Q561</f>
        <v>0</v>
      </c>
      <c r="R480" s="1123"/>
      <c r="S480" s="1128">
        <f>S182</f>
        <v>0</v>
      </c>
      <c r="T480" s="972" t="s">
        <v>364</v>
      </c>
      <c r="U480" s="1123">
        <f>U521+U561</f>
        <v>0</v>
      </c>
      <c r="W480" s="784"/>
      <c r="Z480" s="1125"/>
      <c r="AA480" s="1125"/>
      <c r="AF480" s="1119"/>
      <c r="AG480" s="1119"/>
      <c r="AH480" s="1119"/>
      <c r="AI480" s="1119"/>
      <c r="AJ480" s="1119"/>
      <c r="AK480" s="1119"/>
      <c r="AL480" s="1119"/>
      <c r="AM480" s="1119"/>
      <c r="AN480" s="1119"/>
      <c r="AO480" s="1119"/>
      <c r="AP480" s="1119"/>
      <c r="AR480" s="1124"/>
    </row>
    <row r="481" spans="1:44" s="1118" customFormat="1" hidden="1">
      <c r="A481" s="968" t="s">
        <v>863</v>
      </c>
      <c r="C481" s="1122">
        <f>C475</f>
        <v>0</v>
      </c>
      <c r="D481" s="254"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864</v>
      </c>
      <c r="C482" s="1122">
        <f>C476</f>
        <v>0</v>
      </c>
      <c r="D482" s="254"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>
      <c r="A483" s="1" t="s">
        <v>371</v>
      </c>
      <c r="B483" s="1"/>
      <c r="C483" s="304">
        <f>C518+C553</f>
        <v>290766</v>
      </c>
      <c r="D483" s="309"/>
      <c r="E483" s="308"/>
      <c r="F483" s="2">
        <f>F518+F553</f>
        <v>103967</v>
      </c>
      <c r="G483" s="2"/>
      <c r="H483" s="308"/>
      <c r="I483" s="2">
        <f t="shared" ref="I483" ca="1" si="118">I518+I553</f>
        <v>105817</v>
      </c>
      <c r="J483" s="2"/>
      <c r="K483" s="2"/>
      <c r="L483" s="308"/>
      <c r="M483" s="2" t="e">
        <f t="shared" ref="M483" ca="1" si="119">M518+M553</f>
        <v>#REF!</v>
      </c>
      <c r="N483" s="2"/>
      <c r="O483" s="2"/>
      <c r="P483" s="308"/>
      <c r="Q483" s="2" t="e">
        <f t="shared" ref="Q483" ca="1" si="120">Q518+Q553</f>
        <v>#DIV/0!</v>
      </c>
      <c r="R483" s="2"/>
      <c r="S483" s="2"/>
      <c r="T483" s="308"/>
      <c r="U483" s="2" t="e">
        <f t="shared" ref="U483" ca="1" si="121">U518+U553</f>
        <v>#DIV/0!</v>
      </c>
      <c r="V483" s="20"/>
      <c r="W483" s="74"/>
      <c r="X483" s="74"/>
      <c r="Y483" s="74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</row>
    <row r="484" spans="1:44">
      <c r="A484" s="1" t="s">
        <v>353</v>
      </c>
      <c r="B484" s="1"/>
      <c r="C484" s="325">
        <f ca="1">C519+C554</f>
        <v>1983.5291043492841</v>
      </c>
      <c r="D484" s="294"/>
      <c r="E484" s="294"/>
      <c r="F484" s="326">
        <f ca="1">F519+F554</f>
        <v>790.20164473136481</v>
      </c>
      <c r="G484" s="294"/>
      <c r="H484" s="294"/>
      <c r="I484" s="326">
        <f ca="1">F484</f>
        <v>790.20164473136481</v>
      </c>
      <c r="J484" s="307"/>
      <c r="K484" s="294"/>
      <c r="L484" s="294"/>
      <c r="M484" s="326" t="e">
        <f ca="1">$I$484*V207/($V$207+$W$207+$X$207)</f>
        <v>#DIV/0!</v>
      </c>
      <c r="N484" s="51"/>
      <c r="O484" s="294"/>
      <c r="P484" s="294"/>
      <c r="Q484" s="326" t="e">
        <f ca="1">$I$484*W207/($V$207+$W$207+$X$207)</f>
        <v>#DIV/0!</v>
      </c>
      <c r="R484" s="51"/>
      <c r="S484" s="294"/>
      <c r="T484" s="294"/>
      <c r="U484" s="326" t="e">
        <f ca="1">$I$484*X207/($V$207+$W$207+$X$207)</f>
        <v>#DIV/0!</v>
      </c>
      <c r="V484" s="429"/>
      <c r="W484" s="272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t="16.5" thickBot="1">
      <c r="A485" s="1" t="s">
        <v>372</v>
      </c>
      <c r="B485" s="1"/>
      <c r="C485" s="296">
        <f ca="1">SUM(C483:C484)</f>
        <v>292749.52910434926</v>
      </c>
      <c r="D485" s="327"/>
      <c r="E485" s="330"/>
      <c r="F485" s="329">
        <f ca="1">F483+F484</f>
        <v>104757.20164473137</v>
      </c>
      <c r="G485" s="327"/>
      <c r="H485" s="330"/>
      <c r="I485" s="329">
        <f ca="1">I483+I484</f>
        <v>106607.20164473137</v>
      </c>
      <c r="J485" s="307"/>
      <c r="K485" s="327"/>
      <c r="L485" s="330"/>
      <c r="M485" s="329" t="e">
        <f ca="1">M483+M484</f>
        <v>#REF!</v>
      </c>
      <c r="N485" s="329"/>
      <c r="O485" s="327"/>
      <c r="P485" s="330"/>
      <c r="Q485" s="329" t="e">
        <f ca="1">Q483+Q484</f>
        <v>#DIV/0!</v>
      </c>
      <c r="R485" s="329"/>
      <c r="S485" s="327"/>
      <c r="T485" s="330"/>
      <c r="U485" s="329" t="e">
        <f ca="1">U483+U484</f>
        <v>#DIV/0!</v>
      </c>
      <c r="V485" s="396"/>
      <c r="W485" s="455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thickTop="1">
      <c r="A486" s="1"/>
      <c r="B486" s="1"/>
      <c r="C486" s="21"/>
      <c r="D486" s="322" t="s">
        <v>31</v>
      </c>
      <c r="E486" s="1"/>
      <c r="F486" s="2"/>
      <c r="G486" s="338" t="s">
        <v>31</v>
      </c>
      <c r="H486" s="1"/>
      <c r="I486" s="2" t="s">
        <v>31</v>
      </c>
      <c r="J486" s="2"/>
      <c r="K486" s="338" t="s">
        <v>31</v>
      </c>
      <c r="L486" s="1"/>
      <c r="M486" s="2" t="s">
        <v>31</v>
      </c>
      <c r="N486" s="2"/>
      <c r="O486" s="338" t="s">
        <v>31</v>
      </c>
      <c r="P486" s="1"/>
      <c r="Q486" s="2" t="s">
        <v>31</v>
      </c>
      <c r="R486" s="2"/>
      <c r="S486" s="338" t="s">
        <v>31</v>
      </c>
      <c r="T486" s="1"/>
      <c r="U486" s="2" t="s">
        <v>31</v>
      </c>
      <c r="V486" s="20"/>
      <c r="W486" s="74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>
      <c r="A487" s="278" t="s">
        <v>407</v>
      </c>
      <c r="B487" s="1"/>
      <c r="C487" s="1"/>
      <c r="D487" s="2"/>
      <c r="E487" s="1"/>
      <c r="F487" s="1"/>
      <c r="G487" s="2"/>
      <c r="H487" s="1"/>
      <c r="I487" s="1"/>
      <c r="J487" s="1"/>
      <c r="K487" s="2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>
      <c r="A488" s="1" t="s">
        <v>401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>
      <c r="A489" s="1" t="s">
        <v>408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>
      <c r="A490" s="1" t="s">
        <v>383</v>
      </c>
      <c r="B490" s="1"/>
      <c r="C490" s="304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>
      <c r="A491" s="1" t="s">
        <v>380</v>
      </c>
      <c r="B491" s="1"/>
      <c r="C491" s="304">
        <v>2</v>
      </c>
      <c r="D491" s="283">
        <v>115.19999999999999</v>
      </c>
      <c r="E491" s="308"/>
      <c r="F491" s="2">
        <f>ROUND(D491*$C491,0)</f>
        <v>230</v>
      </c>
      <c r="G491" s="283">
        <f ca="1">$G$168</f>
        <v>117.12</v>
      </c>
      <c r="H491" s="308"/>
      <c r="I491" s="2">
        <f ca="1">ROUND(G491*$C491,0)</f>
        <v>234</v>
      </c>
      <c r="J491" s="2"/>
      <c r="K491" s="283">
        <f ca="1">$K$168</f>
        <v>117.12</v>
      </c>
      <c r="L491" s="308"/>
      <c r="M491" s="2">
        <f ca="1">ROUND(K491*$C491,0)</f>
        <v>234</v>
      </c>
      <c r="N491" s="2"/>
      <c r="O491" s="283" t="str">
        <f>$O$168</f>
        <v xml:space="preserve"> </v>
      </c>
      <c r="P491" s="308"/>
      <c r="Q491" s="2">
        <f>ROUND(O491*$C491,0)</f>
        <v>0</v>
      </c>
      <c r="R491" s="2"/>
      <c r="S491" s="283" t="str">
        <f>$S$168</f>
        <v xml:space="preserve"> </v>
      </c>
      <c r="T491" s="308"/>
      <c r="U491" s="2">
        <f>ROUND(S491*$C491,0)</f>
        <v>0</v>
      </c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>
      <c r="A492" s="1" t="s">
        <v>381</v>
      </c>
      <c r="B492" s="1"/>
      <c r="C492" s="304">
        <v>81.084931506849301</v>
      </c>
      <c r="D492" s="283">
        <v>171.60000000000002</v>
      </c>
      <c r="E492" s="310"/>
      <c r="F492" s="2">
        <f t="shared" ref="F492:F493" si="122">ROUND(D492*$C492,0)</f>
        <v>13914</v>
      </c>
      <c r="G492" s="283">
        <f ca="1">$G$169</f>
        <v>174.48</v>
      </c>
      <c r="H492" s="310"/>
      <c r="I492" s="2">
        <f ca="1">ROUND(G492*$C492,0)</f>
        <v>14148</v>
      </c>
      <c r="J492" s="2"/>
      <c r="K492" s="283">
        <f ca="1">$K$169</f>
        <v>174.48</v>
      </c>
      <c r="L492" s="310"/>
      <c r="M492" s="2">
        <f ca="1">ROUND(K492*$C492,0)</f>
        <v>14148</v>
      </c>
      <c r="N492" s="2"/>
      <c r="O492" s="283" t="str">
        <f>$O$169</f>
        <v xml:space="preserve"> </v>
      </c>
      <c r="P492" s="310"/>
      <c r="Q492" s="2">
        <f>ROUND(O492*$C492,0)</f>
        <v>0</v>
      </c>
      <c r="R492" s="2"/>
      <c r="S492" s="283" t="str">
        <f>$S$169</f>
        <v xml:space="preserve"> </v>
      </c>
      <c r="T492" s="310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>
      <c r="A493" s="1" t="s">
        <v>382</v>
      </c>
      <c r="B493" s="1"/>
      <c r="C493" s="304">
        <v>2711.9452054794501</v>
      </c>
      <c r="D493" s="283">
        <v>12</v>
      </c>
      <c r="E493" s="310"/>
      <c r="F493" s="2">
        <f t="shared" si="122"/>
        <v>32543</v>
      </c>
      <c r="G493" s="283">
        <f ca="1">$G$170</f>
        <v>12.24</v>
      </c>
      <c r="H493" s="310"/>
      <c r="I493" s="2">
        <f ca="1">ROUND(G493*$C493,0)</f>
        <v>33194</v>
      </c>
      <c r="J493" s="2"/>
      <c r="K493" s="283">
        <f ca="1">$K$170</f>
        <v>12.24</v>
      </c>
      <c r="L493" s="310"/>
      <c r="M493" s="2">
        <f ca="1">ROUND(K493*$C493,0)</f>
        <v>33194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>
      <c r="A494" s="1" t="s">
        <v>384</v>
      </c>
      <c r="B494" s="1"/>
      <c r="C494" s="304">
        <f>SUM(C491:C492)</f>
        <v>83.084931506849301</v>
      </c>
      <c r="D494" s="283"/>
      <c r="E494" s="308"/>
      <c r="F494" s="2"/>
      <c r="G494" s="283"/>
      <c r="H494" s="308"/>
      <c r="I494" s="2"/>
      <c r="J494" s="2"/>
      <c r="K494" s="283"/>
      <c r="L494" s="308"/>
      <c r="M494" s="2"/>
      <c r="N494" s="2"/>
      <c r="O494" s="283"/>
      <c r="P494" s="308"/>
      <c r="Q494" s="2"/>
      <c r="R494" s="2"/>
      <c r="S494" s="283"/>
      <c r="T494" s="308"/>
      <c r="U494" s="2"/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>
      <c r="A495" s="1" t="s">
        <v>409</v>
      </c>
      <c r="B495" s="1"/>
      <c r="C495" s="304">
        <v>967.71261904761934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>
      <c r="A496" s="1" t="s">
        <v>385</v>
      </c>
      <c r="B496" s="1"/>
      <c r="C496" s="304">
        <v>7906.5367188213504</v>
      </c>
      <c r="D496" s="311">
        <v>3.64</v>
      </c>
      <c r="E496" s="308"/>
      <c r="F496" s="2">
        <f>ROUND(D496*C496,0)</f>
        <v>28780</v>
      </c>
      <c r="G496" s="311">
        <f ca="1">$G$177</f>
        <v>3.7</v>
      </c>
      <c r="H496" s="308"/>
      <c r="I496" s="2">
        <f ca="1">ROUND(G496*$C496,0)</f>
        <v>29254</v>
      </c>
      <c r="J496" s="2"/>
      <c r="K496" s="311" t="e">
        <f ca="1">$K$177</f>
        <v>#REF!</v>
      </c>
      <c r="L496" s="308"/>
      <c r="M496" s="2" t="e">
        <f ca="1">ROUND(K496*$C496,0)</f>
        <v>#REF!</v>
      </c>
      <c r="N496" s="2"/>
      <c r="O496" s="311" t="e">
        <f ca="1">$O$177</f>
        <v>#DIV/0!</v>
      </c>
      <c r="P496" s="308"/>
      <c r="Q496" s="2" t="e">
        <f ca="1">ROUND(O496*$C496,0)</f>
        <v>#DIV/0!</v>
      </c>
      <c r="R496" s="2"/>
      <c r="S496" s="311" t="e">
        <f ca="1">$S$177</f>
        <v>#DIV/0!</v>
      </c>
      <c r="T496" s="308"/>
      <c r="U496" s="2" t="e">
        <f ca="1">ROUND(S496*$C496,0)</f>
        <v>#DIV/0!</v>
      </c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>
      <c r="A497" s="1" t="s">
        <v>387</v>
      </c>
      <c r="B497" s="1"/>
      <c r="C497" s="304">
        <v>154025</v>
      </c>
      <c r="D497" s="284">
        <v>10.449</v>
      </c>
      <c r="E497" s="308" t="s">
        <v>364</v>
      </c>
      <c r="F497" s="2">
        <f>ROUND(D497*C497/100,0)</f>
        <v>16094</v>
      </c>
      <c r="G497" s="284">
        <f ca="1">$G$178</f>
        <v>10.628</v>
      </c>
      <c r="H497" s="308" t="s">
        <v>364</v>
      </c>
      <c r="I497" s="2">
        <f ca="1">ROUND(G497*$C497/100,0)</f>
        <v>16370</v>
      </c>
      <c r="J497" s="2"/>
      <c r="K497" s="284" t="e">
        <f ca="1">$K$178</f>
        <v>#REF!</v>
      </c>
      <c r="L497" s="308" t="s">
        <v>364</v>
      </c>
      <c r="M497" s="2" t="e">
        <f ca="1">ROUND(K497*$C497/100,0)</f>
        <v>#REF!</v>
      </c>
      <c r="N497" s="2"/>
      <c r="O497" s="284" t="e">
        <f ca="1">$O$178</f>
        <v>#DIV/0!</v>
      </c>
      <c r="P497" s="308" t="s">
        <v>364</v>
      </c>
      <c r="Q497" s="2" t="e">
        <f ca="1">ROUND(O497*$C497/100,0)</f>
        <v>#DIV/0!</v>
      </c>
      <c r="R497" s="2"/>
      <c r="S497" s="284" t="e">
        <f ca="1">$S$178</f>
        <v>#DIV/0!</v>
      </c>
      <c r="T497" s="308" t="s">
        <v>364</v>
      </c>
      <c r="U497" s="2" t="e">
        <f ca="1">ROUND(S497*$C497/100,0)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>
      <c r="A498" s="1" t="s">
        <v>388</v>
      </c>
      <c r="B498" s="1"/>
      <c r="C498" s="304">
        <v>130955</v>
      </c>
      <c r="D498" s="284">
        <v>7.218</v>
      </c>
      <c r="E498" s="308" t="s">
        <v>364</v>
      </c>
      <c r="F498" s="2">
        <f>ROUND(D498*C498/100,0)</f>
        <v>9452</v>
      </c>
      <c r="G498" s="284">
        <f ca="1">$G$179</f>
        <v>7.3410000000000002</v>
      </c>
      <c r="H498" s="308" t="s">
        <v>364</v>
      </c>
      <c r="I498" s="2">
        <f ca="1">ROUND(G498*$C498/100,0)</f>
        <v>9613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>
      <c r="A499" s="1" t="s">
        <v>389</v>
      </c>
      <c r="B499" s="1"/>
      <c r="C499" s="304">
        <v>0</v>
      </c>
      <c r="D499" s="284">
        <v>6.218</v>
      </c>
      <c r="E499" s="308" t="s">
        <v>364</v>
      </c>
      <c r="F499" s="2">
        <f>ROUND(D499*C499/100,0)</f>
        <v>0</v>
      </c>
      <c r="G499" s="284">
        <f ca="1">$G$180</f>
        <v>6.3240000000000007</v>
      </c>
      <c r="H499" s="308" t="s">
        <v>364</v>
      </c>
      <c r="I499" s="2">
        <f ca="1">ROUND(G499*$C499/100,0)</f>
        <v>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>
      <c r="A500" s="1" t="s">
        <v>390</v>
      </c>
      <c r="B500" s="1"/>
      <c r="C500" s="304">
        <v>1569.0261904761901</v>
      </c>
      <c r="D500" s="315">
        <v>56</v>
      </c>
      <c r="E500" s="308" t="s">
        <v>364</v>
      </c>
      <c r="F500" s="2">
        <f>ROUND(D500*C500/100,0)</f>
        <v>879</v>
      </c>
      <c r="G500" s="315">
        <f ca="1">$G$181</f>
        <v>57</v>
      </c>
      <c r="H500" s="308" t="s">
        <v>364</v>
      </c>
      <c r="I500" s="2">
        <f ca="1">ROUND(G500*$C500/100,0)</f>
        <v>894</v>
      </c>
      <c r="J500" s="2"/>
      <c r="K500" s="315" t="str">
        <f>$K$181</f>
        <v xml:space="preserve"> </v>
      </c>
      <c r="L500" s="308" t="s">
        <v>364</v>
      </c>
      <c r="M500" s="2">
        <f>ROUND(K500*$C500/100,0)</f>
        <v>0</v>
      </c>
      <c r="N500" s="2"/>
      <c r="O500" s="315" t="e">
        <f>$O$181</f>
        <v>#DIV/0!</v>
      </c>
      <c r="P500" s="308" t="s">
        <v>364</v>
      </c>
      <c r="Q500" s="2" t="e">
        <f>ROUND(O500*$C500/100,0)</f>
        <v>#DIV/0!</v>
      </c>
      <c r="R500" s="2"/>
      <c r="S500" s="315" t="e">
        <f>$S$181</f>
        <v>#DIV/0!</v>
      </c>
      <c r="T500" s="308" t="s">
        <v>364</v>
      </c>
      <c r="U500" s="2" t="e">
        <f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s="1118" customFormat="1" hidden="1">
      <c r="A501" s="968" t="s">
        <v>862</v>
      </c>
      <c r="C501" s="1122">
        <f>C497</f>
        <v>154025</v>
      </c>
      <c r="D501" s="254">
        <v>0</v>
      </c>
      <c r="E501" s="1119"/>
      <c r="F501" s="1123"/>
      <c r="G501" s="1128">
        <f>G182</f>
        <v>0</v>
      </c>
      <c r="H501" s="972" t="s">
        <v>364</v>
      </c>
      <c r="I501" s="1123">
        <f t="shared" ref="I501:I503" si="123">ROUND(G501*$C501/100,0)</f>
        <v>0</v>
      </c>
      <c r="J501" s="1123"/>
      <c r="K501" s="1128" t="str">
        <f>K182</f>
        <v xml:space="preserve"> </v>
      </c>
      <c r="L501" s="972" t="s">
        <v>364</v>
      </c>
      <c r="M501" s="1123">
        <f t="shared" ref="M501:M503" si="124">ROUND(K501*$C501/100,0)</f>
        <v>0</v>
      </c>
      <c r="N501" s="1123"/>
      <c r="O501" s="1128" t="str">
        <f>O182</f>
        <v xml:space="preserve"> </v>
      </c>
      <c r="P501" s="972" t="s">
        <v>364</v>
      </c>
      <c r="Q501" s="1123">
        <f t="shared" ref="Q501:Q503" si="125">ROUND(O501*$C501/100,0)</f>
        <v>0</v>
      </c>
      <c r="R501" s="1123"/>
      <c r="S501" s="1128">
        <f>S182</f>
        <v>0</v>
      </c>
      <c r="T501" s="972" t="s">
        <v>364</v>
      </c>
      <c r="U501" s="1123">
        <f t="shared" ref="U501:U503" si="126">ROUND(S501*$C501/100,0)</f>
        <v>0</v>
      </c>
      <c r="W501" s="784"/>
      <c r="Z501" s="1125"/>
      <c r="AA501" s="1125"/>
      <c r="AF501" s="1119"/>
      <c r="AG501" s="1119"/>
      <c r="AH501" s="1119"/>
      <c r="AI501" s="1119"/>
      <c r="AJ501" s="1119"/>
      <c r="AK501" s="1119"/>
      <c r="AL501" s="1119"/>
      <c r="AM501" s="1119"/>
      <c r="AN501" s="1119"/>
      <c r="AO501" s="1119"/>
      <c r="AP501" s="1119"/>
      <c r="AR501" s="1124"/>
    </row>
    <row r="502" spans="1:44" s="1118" customFormat="1" hidden="1">
      <c r="A502" s="968" t="s">
        <v>863</v>
      </c>
      <c r="C502" s="1122">
        <f t="shared" ref="C502:C503" si="127">C498</f>
        <v>130955</v>
      </c>
      <c r="D502" s="254">
        <v>0</v>
      </c>
      <c r="E502" s="1119"/>
      <c r="F502" s="1123"/>
      <c r="G502" s="1128">
        <f>G183</f>
        <v>0</v>
      </c>
      <c r="H502" s="972" t="s">
        <v>364</v>
      </c>
      <c r="I502" s="1123">
        <f t="shared" si="123"/>
        <v>0</v>
      </c>
      <c r="J502" s="1123"/>
      <c r="K502" s="1128" t="str">
        <f>K183</f>
        <v xml:space="preserve"> </v>
      </c>
      <c r="L502" s="972" t="s">
        <v>364</v>
      </c>
      <c r="M502" s="1123">
        <f t="shared" si="124"/>
        <v>0</v>
      </c>
      <c r="N502" s="1123"/>
      <c r="O502" s="1128" t="str">
        <f>O183</f>
        <v xml:space="preserve"> </v>
      </c>
      <c r="P502" s="972" t="s">
        <v>364</v>
      </c>
      <c r="Q502" s="1123">
        <f t="shared" si="125"/>
        <v>0</v>
      </c>
      <c r="R502" s="1123"/>
      <c r="S502" s="1128">
        <f>S183</f>
        <v>0</v>
      </c>
      <c r="T502" s="972" t="s">
        <v>364</v>
      </c>
      <c r="U502" s="1123">
        <f t="shared" si="126"/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864</v>
      </c>
      <c r="C503" s="1122">
        <f t="shared" si="127"/>
        <v>0</v>
      </c>
      <c r="D503" s="254"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23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24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25"/>
        <v>0</v>
      </c>
      <c r="R503" s="1123"/>
      <c r="S503" s="1128">
        <f>S184</f>
        <v>0</v>
      </c>
      <c r="T503" s="972" t="s">
        <v>364</v>
      </c>
      <c r="U503" s="1123">
        <f t="shared" si="126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>
      <c r="A504" s="316" t="s">
        <v>391</v>
      </c>
      <c r="B504" s="1"/>
      <c r="C504" s="304"/>
      <c r="D504" s="317">
        <v>-0.01</v>
      </c>
      <c r="E504" s="308"/>
      <c r="F504" s="2"/>
      <c r="G504" s="317">
        <v>-0.01</v>
      </c>
      <c r="H504" s="308"/>
      <c r="I504" s="2"/>
      <c r="J504" s="2"/>
      <c r="K504" s="317">
        <v>-0.01</v>
      </c>
      <c r="L504" s="308"/>
      <c r="M504" s="2"/>
      <c r="N504" s="2"/>
      <c r="O504" s="317">
        <v>-0.01</v>
      </c>
      <c r="P504" s="308"/>
      <c r="Q504" s="2"/>
      <c r="R504" s="2"/>
      <c r="S504" s="317">
        <v>-0.01</v>
      </c>
      <c r="T504" s="308"/>
      <c r="U504" s="2"/>
      <c r="V504" s="20"/>
      <c r="W504" s="74"/>
      <c r="X504" s="74"/>
      <c r="Y504" s="74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</row>
    <row r="505" spans="1:44">
      <c r="A505" s="1" t="s">
        <v>380</v>
      </c>
      <c r="B505" s="1"/>
      <c r="C505" s="304">
        <v>0</v>
      </c>
      <c r="D505" s="319">
        <v>115.19999999999999</v>
      </c>
      <c r="E505" s="306"/>
      <c r="F505" s="2">
        <f>-ROUND(D505*$C505/100,0)</f>
        <v>0</v>
      </c>
      <c r="G505" s="319">
        <f ca="1">G491</f>
        <v>117.12</v>
      </c>
      <c r="H505" s="306"/>
      <c r="I505" s="2">
        <f ca="1">-ROUND(G505*$C505/100,0)</f>
        <v>0</v>
      </c>
      <c r="J505" s="2"/>
      <c r="K505" s="319">
        <f ca="1">K491</f>
        <v>117.12</v>
      </c>
      <c r="L505" s="306"/>
      <c r="M505" s="2">
        <f ca="1">-ROUND(K505*$C505/100,0)</f>
        <v>0</v>
      </c>
      <c r="N505" s="2"/>
      <c r="O505" s="319" t="str">
        <f>O491</f>
        <v xml:space="preserve"> </v>
      </c>
      <c r="P505" s="306"/>
      <c r="Q505" s="2">
        <f>-ROUND(O505*$C505/100,0)</f>
        <v>0</v>
      </c>
      <c r="R505" s="2"/>
      <c r="S505" s="319" t="str">
        <f>S491</f>
        <v xml:space="preserve"> </v>
      </c>
      <c r="T505" s="306"/>
      <c r="U505" s="2">
        <f>-ROUND(S505*$C505/100,0)</f>
        <v>0</v>
      </c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>
      <c r="A506" s="1" t="s">
        <v>381</v>
      </c>
      <c r="B506" s="1"/>
      <c r="C506" s="304">
        <v>0</v>
      </c>
      <c r="D506" s="319">
        <v>171.60000000000002</v>
      </c>
      <c r="E506" s="306"/>
      <c r="F506" s="2">
        <f t="shared" ref="F506:F508" si="128">-ROUND(D506*$C506/100,0)</f>
        <v>0</v>
      </c>
      <c r="G506" s="319">
        <f ca="1">G492</f>
        <v>174.48</v>
      </c>
      <c r="H506" s="306"/>
      <c r="I506" s="2">
        <f ca="1">-ROUND(G506*$C506/100,0)</f>
        <v>0</v>
      </c>
      <c r="J506" s="2"/>
      <c r="K506" s="319">
        <f ca="1">K492</f>
        <v>174.48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>
      <c r="A507" s="1" t="s">
        <v>392</v>
      </c>
      <c r="B507" s="1"/>
      <c r="C507" s="304">
        <v>0</v>
      </c>
      <c r="D507" s="319">
        <v>12</v>
      </c>
      <c r="E507" s="306"/>
      <c r="F507" s="2">
        <f t="shared" si="128"/>
        <v>0</v>
      </c>
      <c r="G507" s="319">
        <f ca="1">G493</f>
        <v>12.24</v>
      </c>
      <c r="H507" s="306"/>
      <c r="I507" s="2">
        <f ca="1">-ROUND(G507*$C507/100,0)</f>
        <v>0</v>
      </c>
      <c r="J507" s="2"/>
      <c r="K507" s="319">
        <f ca="1">K493</f>
        <v>12.24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>
      <c r="A508" s="1" t="s">
        <v>393</v>
      </c>
      <c r="B508" s="1"/>
      <c r="C508" s="304">
        <v>0</v>
      </c>
      <c r="D508" s="319">
        <v>3.64</v>
      </c>
      <c r="E508" s="308"/>
      <c r="F508" s="2">
        <f t="shared" si="128"/>
        <v>0</v>
      </c>
      <c r="G508" s="319">
        <f ca="1">G496</f>
        <v>3.7</v>
      </c>
      <c r="H508" s="308"/>
      <c r="I508" s="2">
        <f ca="1">-ROUND(G508*$C508/100,0)</f>
        <v>0</v>
      </c>
      <c r="J508" s="2"/>
      <c r="K508" s="319" t="e">
        <f ca="1">K496</f>
        <v>#REF!</v>
      </c>
      <c r="L508" s="308"/>
      <c r="M508" s="2" t="e">
        <f ca="1">-ROUND(K508*$C508/100,0)</f>
        <v>#REF!</v>
      </c>
      <c r="N508" s="2"/>
      <c r="O508" s="319" t="e">
        <f ca="1">O496</f>
        <v>#DIV/0!</v>
      </c>
      <c r="P508" s="308"/>
      <c r="Q508" s="2" t="e">
        <f ca="1">-ROUND(O508*$C508/100,0)</f>
        <v>#DIV/0!</v>
      </c>
      <c r="R508" s="2"/>
      <c r="S508" s="319" t="e">
        <f ca="1">S496</f>
        <v>#DIV/0!</v>
      </c>
      <c r="T508" s="308"/>
      <c r="U508" s="2" t="e">
        <f ca="1">-ROUND(S508*$C508/100,0)</f>
        <v>#DIV/0!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>
      <c r="A509" s="1" t="s">
        <v>395</v>
      </c>
      <c r="B509" s="1"/>
      <c r="C509" s="304">
        <v>0</v>
      </c>
      <c r="D509" s="320">
        <v>10.449</v>
      </c>
      <c r="E509" s="308" t="s">
        <v>364</v>
      </c>
      <c r="F509" s="2">
        <f>ROUND(D509*$C509/100*D504,0)</f>
        <v>0</v>
      </c>
      <c r="G509" s="320">
        <f ca="1">G497</f>
        <v>10.628</v>
      </c>
      <c r="H509" s="308" t="s">
        <v>364</v>
      </c>
      <c r="I509" s="2">
        <f ca="1">ROUND(G509*$C509/100*G504,0)</f>
        <v>0</v>
      </c>
      <c r="J509" s="2"/>
      <c r="K509" s="320" t="e">
        <f ca="1">K497</f>
        <v>#REF!</v>
      </c>
      <c r="L509" s="308" t="s">
        <v>364</v>
      </c>
      <c r="M509" s="2" t="e">
        <f ca="1">ROUND(K509*$C509/100*K504,0)</f>
        <v>#REF!</v>
      </c>
      <c r="N509" s="2"/>
      <c r="O509" s="320" t="e">
        <f ca="1">O497</f>
        <v>#DIV/0!</v>
      </c>
      <c r="P509" s="308" t="s">
        <v>364</v>
      </c>
      <c r="Q509" s="2" t="e">
        <f ca="1">ROUND(O509*$C509/100*O504,0)</f>
        <v>#DIV/0!</v>
      </c>
      <c r="R509" s="2"/>
      <c r="S509" s="320" t="e">
        <f ca="1">S497</f>
        <v>#DIV/0!</v>
      </c>
      <c r="T509" s="308" t="s">
        <v>364</v>
      </c>
      <c r="U509" s="2" t="e">
        <f ca="1">ROUND(S509*$C509/100*S504,0)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>
      <c r="A510" s="1" t="s">
        <v>388</v>
      </c>
      <c r="B510" s="1"/>
      <c r="C510" s="304">
        <v>0</v>
      </c>
      <c r="D510" s="320">
        <v>7.218</v>
      </c>
      <c r="E510" s="308" t="s">
        <v>364</v>
      </c>
      <c r="F510" s="2">
        <f>ROUND(D510*$C510/100*D504,0)</f>
        <v>0</v>
      </c>
      <c r="G510" s="320">
        <f ca="1">G498</f>
        <v>7.3410000000000002</v>
      </c>
      <c r="H510" s="308" t="s">
        <v>364</v>
      </c>
      <c r="I510" s="2">
        <f ca="1">ROUND(G510*$C510/100*G504,0)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ROUND(K510*$C510/100*K504,0)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ROUND(O510*$C510/100*O504,0)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ROUND(S510*$C510/100*S504,0)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>
      <c r="A511" s="1" t="s">
        <v>389</v>
      </c>
      <c r="B511" s="1"/>
      <c r="C511" s="304">
        <v>0</v>
      </c>
      <c r="D511" s="320">
        <v>6.218</v>
      </c>
      <c r="E511" s="308" t="s">
        <v>364</v>
      </c>
      <c r="F511" s="2">
        <f>ROUND(D511*$C511/100*D504,0)</f>
        <v>0</v>
      </c>
      <c r="G511" s="320">
        <f ca="1">G499</f>
        <v>6.3240000000000007</v>
      </c>
      <c r="H511" s="308" t="s">
        <v>364</v>
      </c>
      <c r="I511" s="2">
        <f ca="1">ROUND(G511*$C511/100*G504,0)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ROUND(K511*$C511/100*K504,0)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ROUND(O511*$C511/100*O504,0)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ROUND(S511*$C511/100*S504,0)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>
      <c r="A512" s="1" t="s">
        <v>390</v>
      </c>
      <c r="B512" s="1"/>
      <c r="C512" s="304">
        <v>0</v>
      </c>
      <c r="D512" s="321">
        <v>56</v>
      </c>
      <c r="E512" s="308" t="s">
        <v>364</v>
      </c>
      <c r="F512" s="2">
        <f>ROUND(D512*$C512/100*D504,0)</f>
        <v>0</v>
      </c>
      <c r="G512" s="321">
        <f ca="1">G500</f>
        <v>57</v>
      </c>
      <c r="H512" s="308" t="s">
        <v>364</v>
      </c>
      <c r="I512" s="2">
        <f ca="1">ROUND(G512*$C512/100*G504,0)</f>
        <v>0</v>
      </c>
      <c r="J512" s="2"/>
      <c r="K512" s="321" t="str">
        <f>K500</f>
        <v xml:space="preserve"> </v>
      </c>
      <c r="L512" s="308" t="s">
        <v>364</v>
      </c>
      <c r="M512" s="2">
        <f>ROUND(K512*$C512/100*K504,0)</f>
        <v>0</v>
      </c>
      <c r="N512" s="2"/>
      <c r="O512" s="321" t="e">
        <f>O500</f>
        <v>#DIV/0!</v>
      </c>
      <c r="P512" s="308" t="s">
        <v>364</v>
      </c>
      <c r="Q512" s="2" t="e">
        <f>ROUND(O512*$C512/100*O504,0)</f>
        <v>#DIV/0!</v>
      </c>
      <c r="R512" s="2"/>
      <c r="S512" s="321" t="e">
        <f>S500</f>
        <v>#DIV/0!</v>
      </c>
      <c r="T512" s="308" t="s">
        <v>364</v>
      </c>
      <c r="U512" s="2" t="e">
        <f>ROUND(S512*$C512/100*S504,0)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>
      <c r="A513" s="1" t="s">
        <v>397</v>
      </c>
      <c r="B513" s="1"/>
      <c r="C513" s="304">
        <v>0</v>
      </c>
      <c r="D513" s="322">
        <v>60</v>
      </c>
      <c r="E513" s="308"/>
      <c r="F513" s="2">
        <f>ROUND(D513*C513,0)</f>
        <v>0</v>
      </c>
      <c r="G513" s="322">
        <f>$G$197</f>
        <v>60</v>
      </c>
      <c r="H513" s="308"/>
      <c r="I513" s="2">
        <f>ROUND(G513*$C513,0)</f>
        <v>0</v>
      </c>
      <c r="J513" s="2"/>
      <c r="K513" s="311" t="s">
        <v>31</v>
      </c>
      <c r="L513" s="308"/>
      <c r="M513" s="2">
        <f>ROUND(K513*$C513,0)</f>
        <v>0</v>
      </c>
      <c r="N513" s="2"/>
      <c r="O513" s="322" t="e">
        <f>O197</f>
        <v>#DIV/0!</v>
      </c>
      <c r="P513" s="308"/>
      <c r="Q513" s="2" t="e">
        <f>ROUND(O513*$C513,0)</f>
        <v>#DIV/0!</v>
      </c>
      <c r="R513" s="2"/>
      <c r="S513" s="322" t="e">
        <f>S197</f>
        <v>#DIV/0!</v>
      </c>
      <c r="T513" s="308"/>
      <c r="U513" s="2" t="e">
        <f>ROUND(S513*$C513,0)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>
      <c r="A514" s="1" t="s">
        <v>398</v>
      </c>
      <c r="B514" s="1"/>
      <c r="C514" s="304">
        <v>0</v>
      </c>
      <c r="D514" s="324">
        <v>-30</v>
      </c>
      <c r="E514" s="308" t="s">
        <v>364</v>
      </c>
      <c r="F514" s="2">
        <f>ROUND(D514*C514/100,0)</f>
        <v>0</v>
      </c>
      <c r="G514" s="324">
        <f>$G$198</f>
        <v>-30</v>
      </c>
      <c r="H514" s="308" t="s">
        <v>364</v>
      </c>
      <c r="I514" s="2">
        <f>ROUND(G514*$C514/100,0)</f>
        <v>0</v>
      </c>
      <c r="J514" s="2"/>
      <c r="K514" s="324">
        <f>$G$198</f>
        <v>-30</v>
      </c>
      <c r="L514" s="308" t="s">
        <v>364</v>
      </c>
      <c r="M514" s="2">
        <f>ROUND(K514*$C514/100,0)</f>
        <v>0</v>
      </c>
      <c r="N514" s="2"/>
      <c r="O514" s="324">
        <v>0</v>
      </c>
      <c r="P514" s="308" t="s">
        <v>364</v>
      </c>
      <c r="Q514" s="2">
        <f>ROUND(O514*$C514/100,0)</f>
        <v>0</v>
      </c>
      <c r="R514" s="2"/>
      <c r="S514" s="324">
        <v>0</v>
      </c>
      <c r="T514" s="308" t="s">
        <v>364</v>
      </c>
      <c r="U514" s="2">
        <f>ROUND(S514*$C514/100,0)</f>
        <v>0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s="1118" customFormat="1" hidden="1">
      <c r="A515" s="968" t="s">
        <v>862</v>
      </c>
      <c r="C515" s="1122">
        <f>C509</f>
        <v>0</v>
      </c>
      <c r="D515" s="254">
        <v>0</v>
      </c>
      <c r="E515" s="1119"/>
      <c r="F515" s="1123"/>
      <c r="G515" s="1128">
        <f>G182</f>
        <v>0</v>
      </c>
      <c r="H515" s="972" t="s">
        <v>364</v>
      </c>
      <c r="I515" s="2">
        <f>ROUND(G515*$C515/100*G504,0)</f>
        <v>0</v>
      </c>
      <c r="J515" s="2"/>
      <c r="K515" s="1128" t="str">
        <f>K182</f>
        <v xml:space="preserve"> </v>
      </c>
      <c r="L515" s="972" t="s">
        <v>364</v>
      </c>
      <c r="M515" s="2">
        <f>ROUND(K515*$C515/100*K504,0)</f>
        <v>0</v>
      </c>
      <c r="N515" s="2"/>
      <c r="O515" s="1128" t="str">
        <f>O182</f>
        <v xml:space="preserve"> </v>
      </c>
      <c r="P515" s="972" t="s">
        <v>364</v>
      </c>
      <c r="Q515" s="2">
        <f>ROUND(O515*$C515/100*O504,0)</f>
        <v>0</v>
      </c>
      <c r="R515" s="2"/>
      <c r="S515" s="1128">
        <f>S182</f>
        <v>0</v>
      </c>
      <c r="T515" s="972" t="s">
        <v>364</v>
      </c>
      <c r="U515" s="2">
        <f>ROUND(S515*$C515/100*S504,0)</f>
        <v>0</v>
      </c>
      <c r="W515" s="784"/>
      <c r="Z515" s="1125"/>
      <c r="AA515" s="1125"/>
      <c r="AF515" s="1119"/>
      <c r="AG515" s="1119"/>
      <c r="AH515" s="1119"/>
      <c r="AI515" s="1119"/>
      <c r="AJ515" s="1119"/>
      <c r="AK515" s="1119"/>
      <c r="AL515" s="1119"/>
      <c r="AM515" s="1119"/>
      <c r="AN515" s="1119"/>
      <c r="AO515" s="1119"/>
      <c r="AP515" s="1119"/>
      <c r="AR515" s="1124"/>
    </row>
    <row r="516" spans="1:44" s="1118" customFormat="1" hidden="1">
      <c r="A516" s="968" t="s">
        <v>863</v>
      </c>
      <c r="C516" s="1122">
        <f t="shared" ref="C516:C517" si="129">C510</f>
        <v>0</v>
      </c>
      <c r="D516" s="254"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ROUND(G516*$C516/100*G504,0)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ROUND(K516*$C516/100*K504,0)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ROUND(O516*$C516/100*O504,0)</f>
        <v>0</v>
      </c>
      <c r="R516" s="2"/>
      <c r="S516" s="1128">
        <f>S183</f>
        <v>0</v>
      </c>
      <c r="T516" s="972" t="s">
        <v>364</v>
      </c>
      <c r="U516" s="2">
        <f>ROUND(S516*$C516/100*S504,0)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864</v>
      </c>
      <c r="C517" s="1122">
        <f t="shared" si="129"/>
        <v>0</v>
      </c>
      <c r="D517" s="254"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ROUND(G517*$C517/100*G504,0)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ROUND(K517*$C517/100*K504,0)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ROUND(O517*$C517/100*O504,0)</f>
        <v>0</v>
      </c>
      <c r="R517" s="2"/>
      <c r="S517" s="1128">
        <f>S184</f>
        <v>0</v>
      </c>
      <c r="T517" s="972" t="s">
        <v>364</v>
      </c>
      <c r="U517" s="2">
        <f>ROUND(S517*$C517/100*S504,0)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>
      <c r="A518" s="1" t="s">
        <v>371</v>
      </c>
      <c r="B518" s="1"/>
      <c r="C518" s="304">
        <f>SUM(C497:C499)</f>
        <v>284980</v>
      </c>
      <c r="D518" s="315"/>
      <c r="E518" s="308"/>
      <c r="F518" s="2">
        <f>SUM(F491:F514)</f>
        <v>101892</v>
      </c>
      <c r="G518" s="315"/>
      <c r="H518" s="308"/>
      <c r="I518" s="2">
        <f ca="1">SUM(I491:I517)</f>
        <v>103707</v>
      </c>
      <c r="J518" s="2"/>
      <c r="K518" s="315"/>
      <c r="L518" s="308"/>
      <c r="M518" s="2" t="e">
        <f ca="1">SUM(M491:M517)</f>
        <v>#REF!</v>
      </c>
      <c r="N518" s="2"/>
      <c r="O518" s="315"/>
      <c r="P518" s="308"/>
      <c r="Q518" s="2" t="e">
        <f ca="1">SUM(Q491:Q517)</f>
        <v>#DIV/0!</v>
      </c>
      <c r="R518" s="2"/>
      <c r="S518" s="315"/>
      <c r="T518" s="308"/>
      <c r="U518" s="2" t="e">
        <f ca="1">SUM(U491:U517)</f>
        <v>#DIV/0!</v>
      </c>
      <c r="V518" s="20"/>
      <c r="W518" s="74"/>
      <c r="X518" s="74"/>
      <c r="Y518" s="74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</row>
    <row r="519" spans="1:44">
      <c r="A519" s="1" t="s">
        <v>353</v>
      </c>
      <c r="B519" s="1"/>
      <c r="C519" s="334">
        <f>'Table 2'!H43</f>
        <v>1965.5392472718752</v>
      </c>
      <c r="D519" s="294"/>
      <c r="E519" s="294"/>
      <c r="F519" s="326">
        <f>'Table 3'!E43</f>
        <v>783.73149966378082</v>
      </c>
      <c r="G519" s="294"/>
      <c r="H519" s="294"/>
      <c r="I519" s="326">
        <f>F519</f>
        <v>783.73149966378082</v>
      </c>
      <c r="J519" s="307"/>
      <c r="K519" s="294"/>
      <c r="L519" s="294"/>
      <c r="M519" s="326" t="e">
        <f>$I$519*V207/($V$207+$W$207+$X$207)</f>
        <v>#DIV/0!</v>
      </c>
      <c r="N519" s="51"/>
      <c r="O519" s="294"/>
      <c r="P519" s="294"/>
      <c r="Q519" s="326" t="e">
        <f>$I$519*W207/($V$207+$W$207+$X$207)</f>
        <v>#DIV/0!</v>
      </c>
      <c r="R519" s="51"/>
      <c r="S519" s="294"/>
      <c r="T519" s="294"/>
      <c r="U519" s="326" t="e">
        <f>$I$519*X207/($V$207+$W$207+$X$207)</f>
        <v>#DIV/0!</v>
      </c>
      <c r="V519" s="429"/>
      <c r="W519" s="272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t="16.5" thickBot="1">
      <c r="A520" s="1" t="s">
        <v>372</v>
      </c>
      <c r="B520" s="1"/>
      <c r="C520" s="296">
        <f>SUM(C518:C519)</f>
        <v>286945.5392472719</v>
      </c>
      <c r="D520" s="327"/>
      <c r="E520" s="330"/>
      <c r="F520" s="329">
        <f>F518+F519</f>
        <v>102675.73149966379</v>
      </c>
      <c r="G520" s="327"/>
      <c r="H520" s="330"/>
      <c r="I520" s="329">
        <f ca="1">I518+I519</f>
        <v>104490.73149966379</v>
      </c>
      <c r="J520" s="307"/>
      <c r="K520" s="327"/>
      <c r="L520" s="330"/>
      <c r="M520" s="329" t="e">
        <f ca="1">M518+M519</f>
        <v>#REF!</v>
      </c>
      <c r="N520" s="329"/>
      <c r="O520" s="327"/>
      <c r="P520" s="330"/>
      <c r="Q520" s="329" t="e">
        <f ca="1">Q518+Q519</f>
        <v>#DIV/0!</v>
      </c>
      <c r="R520" s="329"/>
      <c r="S520" s="327"/>
      <c r="T520" s="330"/>
      <c r="U520" s="329" t="e">
        <f ca="1">U518+U519</f>
        <v>#DIV/0!</v>
      </c>
      <c r="V520" s="396"/>
      <c r="W520" s="455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thickTop="1">
      <c r="A521" s="1"/>
      <c r="B521" s="1"/>
      <c r="C521" s="21"/>
      <c r="D521" s="322" t="s">
        <v>31</v>
      </c>
      <c r="E521" s="1"/>
      <c r="F521" s="2"/>
      <c r="G521" s="338" t="s">
        <v>31</v>
      </c>
      <c r="H521" s="1"/>
      <c r="I521" s="2" t="s">
        <v>31</v>
      </c>
      <c r="J521" s="2"/>
      <c r="K521" s="338" t="s">
        <v>31</v>
      </c>
      <c r="L521" s="1"/>
      <c r="M521" s="2" t="s">
        <v>31</v>
      </c>
      <c r="N521" s="2"/>
      <c r="O521" s="338" t="s">
        <v>31</v>
      </c>
      <c r="P521" s="1"/>
      <c r="Q521" s="2" t="s">
        <v>31</v>
      </c>
      <c r="R521" s="2"/>
      <c r="S521" s="338" t="s">
        <v>31</v>
      </c>
      <c r="T521" s="1"/>
      <c r="U521" s="2" t="s">
        <v>31</v>
      </c>
      <c r="V521" s="20"/>
      <c r="W521" s="74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>
      <c r="A522" s="278" t="s">
        <v>407</v>
      </c>
      <c r="B522" s="1"/>
      <c r="C522" s="1"/>
      <c r="D522" s="2"/>
      <c r="E522" s="1"/>
      <c r="F522" s="1"/>
      <c r="G522" s="2"/>
      <c r="H522" s="1"/>
      <c r="I522" s="1"/>
      <c r="J522" s="1"/>
      <c r="K522" s="2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>
      <c r="A523" s="1" t="s">
        <v>404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>
      <c r="A524" s="1" t="s">
        <v>408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>
      <c r="A525" s="1" t="s">
        <v>383</v>
      </c>
      <c r="B525" s="1"/>
      <c r="C525" s="304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>
      <c r="A526" s="1" t="s">
        <v>380</v>
      </c>
      <c r="B526" s="1"/>
      <c r="C526" s="304">
        <v>0</v>
      </c>
      <c r="D526" s="283">
        <v>115.19999999999999</v>
      </c>
      <c r="E526" s="308"/>
      <c r="F526" s="2">
        <f>ROUND(D526*$C526,0)</f>
        <v>0</v>
      </c>
      <c r="G526" s="283">
        <f ca="1">$G$168</f>
        <v>117.12</v>
      </c>
      <c r="H526" s="308"/>
      <c r="I526" s="2">
        <f ca="1">ROUND(G526*$C526,0)</f>
        <v>0</v>
      </c>
      <c r="J526" s="2"/>
      <c r="K526" s="283">
        <f ca="1">$K$168</f>
        <v>117.12</v>
      </c>
      <c r="L526" s="308"/>
      <c r="M526" s="2">
        <f ca="1">ROUND(K526*$C526,0)</f>
        <v>0</v>
      </c>
      <c r="N526" s="2"/>
      <c r="O526" s="283" t="str">
        <f>$O$168</f>
        <v xml:space="preserve"> </v>
      </c>
      <c r="P526" s="308"/>
      <c r="Q526" s="2">
        <f>ROUND(O526*$C526,0)</f>
        <v>0</v>
      </c>
      <c r="R526" s="2"/>
      <c r="S526" s="283" t="str">
        <f>$S$168</f>
        <v xml:space="preserve"> </v>
      </c>
      <c r="T526" s="308"/>
      <c r="U526" s="2">
        <f>ROUND(S526*$C526,0)</f>
        <v>0</v>
      </c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>
      <c r="A527" s="1" t="s">
        <v>381</v>
      </c>
      <c r="B527" s="1"/>
      <c r="C527" s="304">
        <v>1</v>
      </c>
      <c r="D527" s="283">
        <v>171.60000000000002</v>
      </c>
      <c r="E527" s="310"/>
      <c r="F527" s="2">
        <f t="shared" ref="F527:F528" si="130">ROUND(D527*$C527,0)</f>
        <v>172</v>
      </c>
      <c r="G527" s="283">
        <f ca="1">$G$169</f>
        <v>174.48</v>
      </c>
      <c r="H527" s="310"/>
      <c r="I527" s="2">
        <f ca="1">ROUND(G527*$C527,0)</f>
        <v>174</v>
      </c>
      <c r="J527" s="2"/>
      <c r="K527" s="283">
        <f ca="1">$K$169</f>
        <v>174.48</v>
      </c>
      <c r="L527" s="310"/>
      <c r="M527" s="2">
        <f ca="1">ROUND(K527*$C527,0)</f>
        <v>174</v>
      </c>
      <c r="N527" s="2"/>
      <c r="O527" s="283" t="str">
        <f>$O$169</f>
        <v xml:space="preserve"> </v>
      </c>
      <c r="P527" s="310"/>
      <c r="Q527" s="2">
        <f>ROUND(O527*$C527,0)</f>
        <v>0</v>
      </c>
      <c r="R527" s="2"/>
      <c r="S527" s="283" t="str">
        <f>$S$169</f>
        <v xml:space="preserve"> </v>
      </c>
      <c r="T527" s="310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>
      <c r="A528" s="1" t="s">
        <v>382</v>
      </c>
      <c r="B528" s="1"/>
      <c r="C528" s="304">
        <v>59</v>
      </c>
      <c r="D528" s="283">
        <v>12</v>
      </c>
      <c r="E528" s="310"/>
      <c r="F528" s="2">
        <f t="shared" si="130"/>
        <v>708</v>
      </c>
      <c r="G528" s="283">
        <f ca="1">$G$170</f>
        <v>12.24</v>
      </c>
      <c r="H528" s="310"/>
      <c r="I528" s="2">
        <f ca="1">ROUND(G528*$C528,0)</f>
        <v>722</v>
      </c>
      <c r="J528" s="2"/>
      <c r="K528" s="283">
        <f ca="1">$K$170</f>
        <v>12.24</v>
      </c>
      <c r="L528" s="310"/>
      <c r="M528" s="2">
        <f ca="1">ROUND(K528*$C528,0)</f>
        <v>722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>
      <c r="A529" s="1" t="s">
        <v>384</v>
      </c>
      <c r="B529" s="1"/>
      <c r="C529" s="304">
        <f>SUM(C526:C527)</f>
        <v>1</v>
      </c>
      <c r="D529" s="283"/>
      <c r="E529" s="308"/>
      <c r="F529" s="2"/>
      <c r="G529" s="283"/>
      <c r="H529" s="308"/>
      <c r="I529" s="2"/>
      <c r="J529" s="2"/>
      <c r="K529" s="283"/>
      <c r="L529" s="308"/>
      <c r="M529" s="2"/>
      <c r="N529" s="2"/>
      <c r="O529" s="283"/>
      <c r="P529" s="308"/>
      <c r="Q529" s="2"/>
      <c r="R529" s="2"/>
      <c r="S529" s="283"/>
      <c r="T529" s="308"/>
      <c r="U529" s="2"/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>
      <c r="A530" s="1" t="s">
        <v>409</v>
      </c>
      <c r="B530" s="1"/>
      <c r="C530" s="304">
        <v>11.655555555555599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>
      <c r="A531" s="1" t="s">
        <v>385</v>
      </c>
      <c r="B531" s="1"/>
      <c r="C531" s="304">
        <v>170</v>
      </c>
      <c r="D531" s="311">
        <v>3.64</v>
      </c>
      <c r="E531" s="308"/>
      <c r="F531" s="2">
        <f>ROUND(D531*C531,0)</f>
        <v>619</v>
      </c>
      <c r="G531" s="311">
        <f ca="1">$G$177</f>
        <v>3.7</v>
      </c>
      <c r="H531" s="308"/>
      <c r="I531" s="2">
        <f ca="1">ROUND(G531*$C531,0)</f>
        <v>629</v>
      </c>
      <c r="J531" s="2"/>
      <c r="K531" s="311" t="e">
        <f ca="1">$K$177</f>
        <v>#REF!</v>
      </c>
      <c r="L531" s="308"/>
      <c r="M531" s="2" t="e">
        <f ca="1">ROUND(K531*$C531,0)</f>
        <v>#REF!</v>
      </c>
      <c r="N531" s="2"/>
      <c r="O531" s="311" t="e">
        <f ca="1">$O$177</f>
        <v>#DIV/0!</v>
      </c>
      <c r="P531" s="308"/>
      <c r="Q531" s="2" t="e">
        <f ca="1">ROUND(O531*$C531,0)</f>
        <v>#DIV/0!</v>
      </c>
      <c r="R531" s="2"/>
      <c r="S531" s="311" t="e">
        <f ca="1">$S$177</f>
        <v>#DIV/0!</v>
      </c>
      <c r="T531" s="308"/>
      <c r="U531" s="2" t="e">
        <f ca="1">ROUND(S531*$C531,0)</f>
        <v>#DIV/0!</v>
      </c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>
      <c r="A532" s="1" t="s">
        <v>387</v>
      </c>
      <c r="B532" s="1"/>
      <c r="C532" s="304">
        <v>4897</v>
      </c>
      <c r="D532" s="284">
        <v>10.449</v>
      </c>
      <c r="E532" s="308" t="s">
        <v>364</v>
      </c>
      <c r="F532" s="2">
        <f>ROUND(D532*C532/100,0)</f>
        <v>512</v>
      </c>
      <c r="G532" s="284">
        <f ca="1">$G$178</f>
        <v>10.628</v>
      </c>
      <c r="H532" s="308" t="s">
        <v>364</v>
      </c>
      <c r="I532" s="2">
        <f ca="1">ROUND(G532*$C532/100,0)</f>
        <v>520</v>
      </c>
      <c r="J532" s="2"/>
      <c r="K532" s="284" t="e">
        <f ca="1">$K$178</f>
        <v>#REF!</v>
      </c>
      <c r="L532" s="308" t="s">
        <v>364</v>
      </c>
      <c r="M532" s="2" t="e">
        <f ca="1">ROUND(K532*$C532/100,0)</f>
        <v>#REF!</v>
      </c>
      <c r="N532" s="2"/>
      <c r="O532" s="284" t="e">
        <f ca="1">$O$178</f>
        <v>#DIV/0!</v>
      </c>
      <c r="P532" s="308" t="s">
        <v>364</v>
      </c>
      <c r="Q532" s="2" t="e">
        <f ca="1">ROUND(O532*$C532/100,0)</f>
        <v>#DIV/0!</v>
      </c>
      <c r="R532" s="2"/>
      <c r="S532" s="284" t="e">
        <f ca="1">$S$178</f>
        <v>#DIV/0!</v>
      </c>
      <c r="T532" s="308" t="s">
        <v>364</v>
      </c>
      <c r="U532" s="2" t="e">
        <f ca="1">ROUND(S532*$C532/100,0)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>
      <c r="A533" s="1" t="s">
        <v>388</v>
      </c>
      <c r="B533" s="1"/>
      <c r="C533" s="304">
        <v>889</v>
      </c>
      <c r="D533" s="284">
        <v>7.218</v>
      </c>
      <c r="E533" s="308" t="s">
        <v>364</v>
      </c>
      <c r="F533" s="2">
        <f>ROUND(D533*C533/100,0)</f>
        <v>64</v>
      </c>
      <c r="G533" s="284">
        <f ca="1">$G$179</f>
        <v>7.3410000000000002</v>
      </c>
      <c r="H533" s="308" t="s">
        <v>364</v>
      </c>
      <c r="I533" s="2">
        <f ca="1">ROUND(G533*$C533/100,0)</f>
        <v>65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>
      <c r="A534" s="1" t="s">
        <v>389</v>
      </c>
      <c r="B534" s="1"/>
      <c r="C534" s="304">
        <v>0</v>
      </c>
      <c r="D534" s="284">
        <v>6.218</v>
      </c>
      <c r="E534" s="308" t="s">
        <v>364</v>
      </c>
      <c r="F534" s="2">
        <f>ROUND(D534*C534/100,0)</f>
        <v>0</v>
      </c>
      <c r="G534" s="284">
        <f ca="1">$G$180</f>
        <v>6.3240000000000007</v>
      </c>
      <c r="H534" s="308" t="s">
        <v>364</v>
      </c>
      <c r="I534" s="2">
        <f ca="1">ROUND(G534*$C534/100,0)</f>
        <v>0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>
      <c r="A535" s="1" t="s">
        <v>390</v>
      </c>
      <c r="B535" s="1"/>
      <c r="C535" s="304">
        <v>0</v>
      </c>
      <c r="D535" s="315">
        <v>56</v>
      </c>
      <c r="E535" s="308" t="s">
        <v>364</v>
      </c>
      <c r="F535" s="2">
        <f>ROUND(D535*C535/100,0)</f>
        <v>0</v>
      </c>
      <c r="G535" s="315">
        <f ca="1">$G$181</f>
        <v>57</v>
      </c>
      <c r="H535" s="308" t="s">
        <v>364</v>
      </c>
      <c r="I535" s="2">
        <f ca="1">ROUND(G535*$C535/100,0)</f>
        <v>0</v>
      </c>
      <c r="J535" s="2"/>
      <c r="K535" s="315" t="str">
        <f>$K$181</f>
        <v xml:space="preserve"> </v>
      </c>
      <c r="L535" s="308" t="s">
        <v>364</v>
      </c>
      <c r="M535" s="2">
        <f>ROUND(K535*$C535/100,0)</f>
        <v>0</v>
      </c>
      <c r="N535" s="2"/>
      <c r="O535" s="315" t="e">
        <f>$O$181</f>
        <v>#DIV/0!</v>
      </c>
      <c r="P535" s="308" t="s">
        <v>364</v>
      </c>
      <c r="Q535" s="2" t="e">
        <f>ROUND(O535*$C535/100,0)</f>
        <v>#DIV/0!</v>
      </c>
      <c r="R535" s="2"/>
      <c r="S535" s="315" t="e">
        <f>$S$181</f>
        <v>#DIV/0!</v>
      </c>
      <c r="T535" s="308" t="s">
        <v>364</v>
      </c>
      <c r="U535" s="2" t="e">
        <f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s="1118" customFormat="1" hidden="1">
      <c r="A536" s="968" t="s">
        <v>862</v>
      </c>
      <c r="C536" s="1122">
        <f>C532</f>
        <v>4897</v>
      </c>
      <c r="D536" s="254">
        <v>0</v>
      </c>
      <c r="E536" s="1119"/>
      <c r="F536" s="1123"/>
      <c r="G536" s="1128">
        <f>G182</f>
        <v>0</v>
      </c>
      <c r="H536" s="972" t="s">
        <v>364</v>
      </c>
      <c r="I536" s="1123">
        <f t="shared" ref="I536:I538" si="131">ROUND(G536*$C536/100,0)</f>
        <v>0</v>
      </c>
      <c r="J536" s="1123"/>
      <c r="K536" s="1128" t="str">
        <f>K182</f>
        <v xml:space="preserve"> </v>
      </c>
      <c r="L536" s="972" t="s">
        <v>364</v>
      </c>
      <c r="M536" s="1123">
        <f t="shared" ref="M536:M538" si="132">ROUND(K536*$C536/100,0)</f>
        <v>0</v>
      </c>
      <c r="N536" s="1123"/>
      <c r="O536" s="1128" t="str">
        <f>O182</f>
        <v xml:space="preserve"> </v>
      </c>
      <c r="P536" s="972" t="s">
        <v>364</v>
      </c>
      <c r="Q536" s="1123">
        <f t="shared" ref="Q536:Q538" si="133">ROUND(O536*$C536/100,0)</f>
        <v>0</v>
      </c>
      <c r="R536" s="1123"/>
      <c r="S536" s="1128">
        <f>S182</f>
        <v>0</v>
      </c>
      <c r="T536" s="972" t="s">
        <v>364</v>
      </c>
      <c r="U536" s="1123">
        <f t="shared" ref="U536:U538" si="134">ROUND(S536*$C536/100,0)</f>
        <v>0</v>
      </c>
      <c r="W536" s="784"/>
      <c r="Z536" s="1125"/>
      <c r="AA536" s="1125"/>
      <c r="AF536" s="1119"/>
      <c r="AG536" s="1119"/>
      <c r="AH536" s="1119"/>
      <c r="AI536" s="1119"/>
      <c r="AJ536" s="1119"/>
      <c r="AK536" s="1119"/>
      <c r="AL536" s="1119"/>
      <c r="AM536" s="1119"/>
      <c r="AN536" s="1119"/>
      <c r="AO536" s="1119"/>
      <c r="AP536" s="1119"/>
      <c r="AR536" s="1124"/>
    </row>
    <row r="537" spans="1:44" s="1118" customFormat="1" hidden="1">
      <c r="A537" s="968" t="s">
        <v>863</v>
      </c>
      <c r="C537" s="1122">
        <f>C533</f>
        <v>889</v>
      </c>
      <c r="D537" s="254">
        <v>0</v>
      </c>
      <c r="E537" s="1119"/>
      <c r="F537" s="1123"/>
      <c r="G537" s="1128">
        <f>G183</f>
        <v>0</v>
      </c>
      <c r="H537" s="972" t="s">
        <v>364</v>
      </c>
      <c r="I537" s="1123">
        <f t="shared" si="131"/>
        <v>0</v>
      </c>
      <c r="J537" s="1123"/>
      <c r="K537" s="1128" t="str">
        <f>K183</f>
        <v xml:space="preserve"> </v>
      </c>
      <c r="L537" s="972" t="s">
        <v>364</v>
      </c>
      <c r="M537" s="1123">
        <f t="shared" si="132"/>
        <v>0</v>
      </c>
      <c r="N537" s="1123"/>
      <c r="O537" s="1128" t="str">
        <f>O183</f>
        <v xml:space="preserve"> </v>
      </c>
      <c r="P537" s="972" t="s">
        <v>364</v>
      </c>
      <c r="Q537" s="1123">
        <f t="shared" si="133"/>
        <v>0</v>
      </c>
      <c r="R537" s="1123"/>
      <c r="S537" s="1128">
        <f>S183</f>
        <v>0</v>
      </c>
      <c r="T537" s="972" t="s">
        <v>364</v>
      </c>
      <c r="U537" s="1123">
        <f t="shared" si="134"/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864</v>
      </c>
      <c r="C538" s="1122">
        <f>C534</f>
        <v>0</v>
      </c>
      <c r="D538" s="254"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31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32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33"/>
        <v>0</v>
      </c>
      <c r="R538" s="1123"/>
      <c r="S538" s="1128">
        <f>S184</f>
        <v>0</v>
      </c>
      <c r="T538" s="972" t="s">
        <v>364</v>
      </c>
      <c r="U538" s="1123">
        <f t="shared" si="134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>
      <c r="A539" s="316" t="s">
        <v>391</v>
      </c>
      <c r="B539" s="1"/>
      <c r="C539" s="304"/>
      <c r="D539" s="317">
        <v>-0.01</v>
      </c>
      <c r="E539" s="308"/>
      <c r="F539" s="2"/>
      <c r="G539" s="317">
        <v>-0.01</v>
      </c>
      <c r="H539" s="308"/>
      <c r="I539" s="2"/>
      <c r="J539" s="2"/>
      <c r="K539" s="317">
        <v>-0.01</v>
      </c>
      <c r="L539" s="308"/>
      <c r="M539" s="2"/>
      <c r="N539" s="2"/>
      <c r="O539" s="317">
        <v>-0.01</v>
      </c>
      <c r="P539" s="308"/>
      <c r="Q539" s="2"/>
      <c r="R539" s="2"/>
      <c r="S539" s="317">
        <v>-0.01</v>
      </c>
      <c r="T539" s="308"/>
      <c r="U539" s="2"/>
      <c r="V539" s="20"/>
      <c r="W539" s="74"/>
      <c r="X539" s="74"/>
      <c r="Y539" s="74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</row>
    <row r="540" spans="1:44">
      <c r="A540" s="1" t="s">
        <v>380</v>
      </c>
      <c r="B540" s="1"/>
      <c r="C540" s="304">
        <v>0</v>
      </c>
      <c r="D540" s="319">
        <v>115.19999999999999</v>
      </c>
      <c r="E540" s="306"/>
      <c r="F540" s="2">
        <f>-ROUND(D540*$C540/100,0)</f>
        <v>0</v>
      </c>
      <c r="G540" s="319">
        <f ca="1">G526</f>
        <v>117.12</v>
      </c>
      <c r="H540" s="306"/>
      <c r="I540" s="2">
        <f ca="1">-ROUND(G540*$C540/100,0)</f>
        <v>0</v>
      </c>
      <c r="J540" s="2"/>
      <c r="K540" s="319">
        <f ca="1">K526</f>
        <v>117.12</v>
      </c>
      <c r="L540" s="306"/>
      <c r="M540" s="2">
        <f ca="1">-ROUND(K540*$C540/100,0)</f>
        <v>0</v>
      </c>
      <c r="N540" s="2"/>
      <c r="O540" s="319" t="str">
        <f>O526</f>
        <v xml:space="preserve"> </v>
      </c>
      <c r="P540" s="306"/>
      <c r="Q540" s="2">
        <f>-ROUND(O540*$C540/100,0)</f>
        <v>0</v>
      </c>
      <c r="R540" s="2"/>
      <c r="S540" s="319" t="str">
        <f>S526</f>
        <v xml:space="preserve"> </v>
      </c>
      <c r="T540" s="306"/>
      <c r="U540" s="2">
        <f>-ROUND(S540*$C540/100,0)</f>
        <v>0</v>
      </c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>
      <c r="A541" s="1" t="s">
        <v>381</v>
      </c>
      <c r="B541" s="1"/>
      <c r="C541" s="304">
        <v>0</v>
      </c>
      <c r="D541" s="319">
        <v>171.60000000000002</v>
      </c>
      <c r="E541" s="306"/>
      <c r="F541" s="2">
        <f t="shared" ref="F541:F543" si="135">-ROUND(D541*$C541/100,0)</f>
        <v>0</v>
      </c>
      <c r="G541" s="319">
        <f ca="1">G527</f>
        <v>174.48</v>
      </c>
      <c r="H541" s="306"/>
      <c r="I541" s="2">
        <f ca="1">-ROUND(G541*$C541/100,0)</f>
        <v>0</v>
      </c>
      <c r="J541" s="2"/>
      <c r="K541" s="319">
        <f ca="1">K527</f>
        <v>174.48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>
      <c r="A542" s="1" t="s">
        <v>392</v>
      </c>
      <c r="B542" s="1"/>
      <c r="C542" s="304">
        <v>0</v>
      </c>
      <c r="D542" s="319">
        <v>12</v>
      </c>
      <c r="E542" s="306"/>
      <c r="F542" s="2">
        <f t="shared" si="135"/>
        <v>0</v>
      </c>
      <c r="G542" s="319">
        <f ca="1">G528</f>
        <v>12.24</v>
      </c>
      <c r="H542" s="306"/>
      <c r="I542" s="2">
        <f ca="1">-ROUND(G542*$C542/100,0)</f>
        <v>0</v>
      </c>
      <c r="J542" s="2"/>
      <c r="K542" s="319">
        <f ca="1">K528</f>
        <v>12.24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>
      <c r="A543" s="1" t="s">
        <v>393</v>
      </c>
      <c r="B543" s="1"/>
      <c r="C543" s="304">
        <v>0</v>
      </c>
      <c r="D543" s="319">
        <v>3.64</v>
      </c>
      <c r="E543" s="308"/>
      <c r="F543" s="2">
        <f t="shared" si="135"/>
        <v>0</v>
      </c>
      <c r="G543" s="319">
        <f ca="1">G531</f>
        <v>3.7</v>
      </c>
      <c r="H543" s="308"/>
      <c r="I543" s="2">
        <f ca="1">-ROUND(G543*$C543/100,0)</f>
        <v>0</v>
      </c>
      <c r="J543" s="2"/>
      <c r="K543" s="319" t="e">
        <f ca="1">K531</f>
        <v>#REF!</v>
      </c>
      <c r="L543" s="308"/>
      <c r="M543" s="2" t="e">
        <f ca="1">-ROUND(K543*$C543/100,0)</f>
        <v>#REF!</v>
      </c>
      <c r="N543" s="2"/>
      <c r="O543" s="319" t="e">
        <f ca="1">O531</f>
        <v>#DIV/0!</v>
      </c>
      <c r="P543" s="308"/>
      <c r="Q543" s="2" t="e">
        <f ca="1">-ROUND(O543*$C543/100,0)</f>
        <v>#DIV/0!</v>
      </c>
      <c r="R543" s="2"/>
      <c r="S543" s="319" t="e">
        <f ca="1">S531</f>
        <v>#DIV/0!</v>
      </c>
      <c r="T543" s="308"/>
      <c r="U543" s="2" t="e">
        <f ca="1">-ROUND(S543*$C543/100,0)</f>
        <v>#DIV/0!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>
      <c r="A544" s="1" t="s">
        <v>395</v>
      </c>
      <c r="B544" s="1"/>
      <c r="C544" s="304">
        <v>0</v>
      </c>
      <c r="D544" s="320">
        <v>10.449</v>
      </c>
      <c r="E544" s="308" t="s">
        <v>364</v>
      </c>
      <c r="F544" s="2">
        <f>ROUND(D544*$C544/100*D539,0)</f>
        <v>0</v>
      </c>
      <c r="G544" s="320">
        <f ca="1">G532</f>
        <v>10.628</v>
      </c>
      <c r="H544" s="308" t="s">
        <v>364</v>
      </c>
      <c r="I544" s="2">
        <f ca="1">ROUND(G544*$C544/100*G539,0)</f>
        <v>0</v>
      </c>
      <c r="J544" s="2"/>
      <c r="K544" s="320" t="e">
        <f ca="1">K532</f>
        <v>#REF!</v>
      </c>
      <c r="L544" s="308" t="s">
        <v>364</v>
      </c>
      <c r="M544" s="2" t="e">
        <f ca="1">ROUND(K544*$C544/100*K539,0)</f>
        <v>#REF!</v>
      </c>
      <c r="N544" s="2"/>
      <c r="O544" s="320" t="e">
        <f ca="1">O532</f>
        <v>#DIV/0!</v>
      </c>
      <c r="P544" s="308" t="s">
        <v>364</v>
      </c>
      <c r="Q544" s="2" t="e">
        <f ca="1">ROUND(O544*$C544/100*O539,0)</f>
        <v>#DIV/0!</v>
      </c>
      <c r="R544" s="2"/>
      <c r="S544" s="320" t="e">
        <f ca="1">S532</f>
        <v>#DIV/0!</v>
      </c>
      <c r="T544" s="308" t="s">
        <v>364</v>
      </c>
      <c r="U544" s="2" t="e">
        <f ca="1">ROUND(S544*$C544/100*S539,0)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>
      <c r="A545" s="1" t="s">
        <v>388</v>
      </c>
      <c r="B545" s="1"/>
      <c r="C545" s="304">
        <v>0</v>
      </c>
      <c r="D545" s="320">
        <v>7.218</v>
      </c>
      <c r="E545" s="308" t="s">
        <v>364</v>
      </c>
      <c r="F545" s="2">
        <f>ROUND(D545*$C545/100*D539,0)</f>
        <v>0</v>
      </c>
      <c r="G545" s="320">
        <f ca="1">G533</f>
        <v>7.3410000000000002</v>
      </c>
      <c r="H545" s="308" t="s">
        <v>364</v>
      </c>
      <c r="I545" s="2">
        <f ca="1">ROUND(G545*$C545/100*G539,0)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ROUND(K545*$C545/100*K539,0)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ROUND(O545*$C545/100*O539,0)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ROUND(S545*$C545/100*S539,0)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>
      <c r="A546" s="1" t="s">
        <v>389</v>
      </c>
      <c r="B546" s="1"/>
      <c r="C546" s="304">
        <v>0</v>
      </c>
      <c r="D546" s="320">
        <v>6.218</v>
      </c>
      <c r="E546" s="308" t="s">
        <v>364</v>
      </c>
      <c r="F546" s="2">
        <f>ROUND(D546*$C546/100*D539,0)</f>
        <v>0</v>
      </c>
      <c r="G546" s="320">
        <f ca="1">G534</f>
        <v>6.3240000000000007</v>
      </c>
      <c r="H546" s="308" t="s">
        <v>364</v>
      </c>
      <c r="I546" s="2">
        <f ca="1">ROUND(G546*$C546/100*G539,0)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ROUND(K546*$C546/100*K539,0)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ROUND(O546*$C546/100*O539,0)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ROUND(S546*$C546/100*S539,0)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>
      <c r="A547" s="1" t="s">
        <v>390</v>
      </c>
      <c r="B547" s="1"/>
      <c r="C547" s="304">
        <v>0</v>
      </c>
      <c r="D547" s="321">
        <v>56</v>
      </c>
      <c r="E547" s="308" t="s">
        <v>364</v>
      </c>
      <c r="F547" s="2">
        <f>ROUND(D547*$C547/100*D539,0)</f>
        <v>0</v>
      </c>
      <c r="G547" s="321">
        <f ca="1">G535</f>
        <v>57</v>
      </c>
      <c r="H547" s="308" t="s">
        <v>364</v>
      </c>
      <c r="I547" s="2">
        <f ca="1">ROUND(G547*$C547/100*G539,0)</f>
        <v>0</v>
      </c>
      <c r="J547" s="2"/>
      <c r="K547" s="321" t="str">
        <f>K535</f>
        <v xml:space="preserve"> </v>
      </c>
      <c r="L547" s="308" t="s">
        <v>364</v>
      </c>
      <c r="M547" s="2">
        <f>ROUND(K547*$C547/100*K539,0)</f>
        <v>0</v>
      </c>
      <c r="N547" s="2"/>
      <c r="O547" s="321" t="e">
        <f>O535</f>
        <v>#DIV/0!</v>
      </c>
      <c r="P547" s="308" t="s">
        <v>364</v>
      </c>
      <c r="Q547" s="2" t="e">
        <f>ROUND(O547*$C547/100*O539,0)</f>
        <v>#DIV/0!</v>
      </c>
      <c r="R547" s="2"/>
      <c r="S547" s="321" t="e">
        <f>S535</f>
        <v>#DIV/0!</v>
      </c>
      <c r="T547" s="308" t="s">
        <v>364</v>
      </c>
      <c r="U547" s="2" t="e">
        <f>ROUND(S547*$C547/100*S539,0)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>
      <c r="A548" s="1" t="s">
        <v>397</v>
      </c>
      <c r="B548" s="1"/>
      <c r="C548" s="304">
        <v>0</v>
      </c>
      <c r="D548" s="322">
        <v>60</v>
      </c>
      <c r="E548" s="308"/>
      <c r="F548" s="2">
        <f>ROUND(D548*C548,0)</f>
        <v>0</v>
      </c>
      <c r="G548" s="322">
        <f>$G$197</f>
        <v>60</v>
      </c>
      <c r="H548" s="308"/>
      <c r="I548" s="2">
        <f>ROUND(G548*$C548,0)</f>
        <v>0</v>
      </c>
      <c r="J548" s="2"/>
      <c r="K548" s="322">
        <v>0</v>
      </c>
      <c r="L548" s="308"/>
      <c r="M548" s="2">
        <f>ROUND(K548*$C548,0)</f>
        <v>0</v>
      </c>
      <c r="N548" s="2"/>
      <c r="O548" s="322" t="e">
        <f>O197</f>
        <v>#DIV/0!</v>
      </c>
      <c r="P548" s="308"/>
      <c r="Q548" s="2" t="e">
        <f>ROUND(O548*$C548,0)</f>
        <v>#DIV/0!</v>
      </c>
      <c r="R548" s="2"/>
      <c r="S548" s="322" t="e">
        <f>S197</f>
        <v>#DIV/0!</v>
      </c>
      <c r="T548" s="308"/>
      <c r="U548" s="2" t="e">
        <f>ROUND(S548*$C548,0)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>
      <c r="A549" s="1" t="s">
        <v>398</v>
      </c>
      <c r="B549" s="1"/>
      <c r="C549" s="304">
        <v>0</v>
      </c>
      <c r="D549" s="324">
        <v>-30</v>
      </c>
      <c r="E549" s="308" t="s">
        <v>364</v>
      </c>
      <c r="F549" s="2">
        <f>ROUND(D549*C549/100,0)</f>
        <v>0</v>
      </c>
      <c r="G549" s="324">
        <f>$G$198</f>
        <v>-30</v>
      </c>
      <c r="H549" s="308" t="s">
        <v>364</v>
      </c>
      <c r="I549" s="2">
        <f>ROUND(G549*$C549/100,0)</f>
        <v>0</v>
      </c>
      <c r="J549" s="2"/>
      <c r="K549" s="324">
        <f>$G$198</f>
        <v>-30</v>
      </c>
      <c r="L549" s="308" t="s">
        <v>364</v>
      </c>
      <c r="M549" s="2">
        <f>ROUND(K549*$C549/100,0)</f>
        <v>0</v>
      </c>
      <c r="N549" s="2"/>
      <c r="O549" s="324">
        <v>0</v>
      </c>
      <c r="P549" s="308" t="s">
        <v>364</v>
      </c>
      <c r="Q549" s="2">
        <f>ROUND(O549*$C549/100,0)</f>
        <v>0</v>
      </c>
      <c r="R549" s="2"/>
      <c r="S549" s="324">
        <v>0</v>
      </c>
      <c r="T549" s="308" t="s">
        <v>364</v>
      </c>
      <c r="U549" s="2">
        <f>ROUND(S549*$C549/100,0)</f>
        <v>0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s="1118" customFormat="1" hidden="1">
      <c r="A550" s="968" t="s">
        <v>862</v>
      </c>
      <c r="C550" s="1122">
        <f>C544</f>
        <v>0</v>
      </c>
      <c r="D550" s="254">
        <v>0</v>
      </c>
      <c r="E550" s="1119"/>
      <c r="F550" s="1123"/>
      <c r="G550" s="1128">
        <f>G182</f>
        <v>0</v>
      </c>
      <c r="H550" s="972" t="s">
        <v>364</v>
      </c>
      <c r="I550" s="2">
        <f>ROUND(G550*$C550/100*G539,0)</f>
        <v>0</v>
      </c>
      <c r="J550" s="2"/>
      <c r="K550" s="1128" t="str">
        <f>K182</f>
        <v xml:space="preserve"> </v>
      </c>
      <c r="L550" s="972" t="s">
        <v>364</v>
      </c>
      <c r="M550" s="2">
        <f>ROUND(K550*$C550/100*K539,0)</f>
        <v>0</v>
      </c>
      <c r="N550" s="2"/>
      <c r="O550" s="1128" t="str">
        <f>O182</f>
        <v xml:space="preserve"> </v>
      </c>
      <c r="P550" s="972" t="s">
        <v>364</v>
      </c>
      <c r="Q550" s="2">
        <f>ROUND(O550*$C550/100*O539,0)</f>
        <v>0</v>
      </c>
      <c r="R550" s="2"/>
      <c r="S550" s="1128">
        <f>S182</f>
        <v>0</v>
      </c>
      <c r="T550" s="972" t="s">
        <v>364</v>
      </c>
      <c r="U550" s="2">
        <f>ROUND(S550*$C550/100*S539,0)</f>
        <v>0</v>
      </c>
      <c r="W550" s="784"/>
      <c r="Z550" s="1125"/>
      <c r="AA550" s="1125"/>
      <c r="AF550" s="1119"/>
      <c r="AG550" s="1119"/>
      <c r="AH550" s="1119"/>
      <c r="AI550" s="1119"/>
      <c r="AJ550" s="1119"/>
      <c r="AK550" s="1119"/>
      <c r="AL550" s="1119"/>
      <c r="AM550" s="1119"/>
      <c r="AN550" s="1119"/>
      <c r="AO550" s="1119"/>
      <c r="AP550" s="1119"/>
      <c r="AR550" s="1124"/>
    </row>
    <row r="551" spans="1:44" s="1118" customFormat="1" hidden="1">
      <c r="A551" s="968" t="s">
        <v>863</v>
      </c>
      <c r="C551" s="1122">
        <f>C545</f>
        <v>0</v>
      </c>
      <c r="D551" s="254"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ROUND(G551*$C551/100*G539,0)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ROUND(K551*$C551/100*K539,0)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ROUND(O551*$C551/100*O539,0)</f>
        <v>0</v>
      </c>
      <c r="R551" s="2"/>
      <c r="S551" s="1128">
        <f>S183</f>
        <v>0</v>
      </c>
      <c r="T551" s="972" t="s">
        <v>364</v>
      </c>
      <c r="U551" s="2">
        <f>ROUND(S551*$C551/100*S539,0)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864</v>
      </c>
      <c r="C552" s="1122">
        <f>C546</f>
        <v>0</v>
      </c>
      <c r="D552" s="254"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ROUND(G552*$C552/100*G539,0)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ROUND(K552*$C552/100*K539,0)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ROUND(O552*$C552/100*O539,0)</f>
        <v>0</v>
      </c>
      <c r="R552" s="2"/>
      <c r="S552" s="1128">
        <f>S184</f>
        <v>0</v>
      </c>
      <c r="T552" s="972" t="s">
        <v>364</v>
      </c>
      <c r="U552" s="2">
        <f>ROUND(S552*$C552/100*S539,0)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>
      <c r="A553" s="1" t="s">
        <v>371</v>
      </c>
      <c r="B553" s="1"/>
      <c r="C553" s="304">
        <f>SUM(C532:C534)</f>
        <v>5786</v>
      </c>
      <c r="D553" s="315"/>
      <c r="E553" s="308"/>
      <c r="F553" s="2">
        <f>SUM(F526:F549)</f>
        <v>2075</v>
      </c>
      <c r="G553" s="315"/>
      <c r="H553" s="308"/>
      <c r="I553" s="2">
        <f ca="1">SUM(I526:I552)</f>
        <v>2110</v>
      </c>
      <c r="J553" s="2"/>
      <c r="K553" s="315"/>
      <c r="L553" s="308"/>
      <c r="M553" s="2" t="e">
        <f ca="1">SUM(M526:M552)</f>
        <v>#REF!</v>
      </c>
      <c r="N553" s="2"/>
      <c r="O553" s="315"/>
      <c r="P553" s="308"/>
      <c r="Q553" s="2" t="e">
        <f ca="1">SUM(Q526:Q552)</f>
        <v>#DIV/0!</v>
      </c>
      <c r="R553" s="2"/>
      <c r="S553" s="315"/>
      <c r="T553" s="308"/>
      <c r="U553" s="2" t="e">
        <f ca="1">SUM(U526:U552)</f>
        <v>#DIV/0!</v>
      </c>
      <c r="V553" s="20"/>
      <c r="W553" s="74"/>
      <c r="X553" s="74"/>
      <c r="Y553" s="74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</row>
    <row r="554" spans="1:44">
      <c r="A554" s="1" t="s">
        <v>353</v>
      </c>
      <c r="B554" s="1"/>
      <c r="C554" s="334">
        <f ca="1">'Table 2'!H73</f>
        <v>17.989857077409003</v>
      </c>
      <c r="D554" s="294"/>
      <c r="E554" s="294"/>
      <c r="F554" s="326">
        <f ca="1">'Table 3'!E73</f>
        <v>6.4701450675839931</v>
      </c>
      <c r="G554" s="294"/>
      <c r="H554" s="294"/>
      <c r="I554" s="326">
        <f ca="1">F554</f>
        <v>6.4701450675839931</v>
      </c>
      <c r="J554" s="307"/>
      <c r="K554" s="294"/>
      <c r="L554" s="294"/>
      <c r="M554" s="326" t="e">
        <f ca="1">$I$554*V207/($V$207+$W$207+$X$207)</f>
        <v>#DIV/0!</v>
      </c>
      <c r="N554" s="51"/>
      <c r="O554" s="294"/>
      <c r="P554" s="294"/>
      <c r="Q554" s="326" t="e">
        <f ca="1">$I$554*W207/($V$207+$W$207+$X$207)</f>
        <v>#DIV/0!</v>
      </c>
      <c r="R554" s="51"/>
      <c r="S554" s="294"/>
      <c r="T554" s="294"/>
      <c r="U554" s="326" t="e">
        <f ca="1">$I$554*X207/($V$207+$W$207+$X$207)</f>
        <v>#DIV/0!</v>
      </c>
      <c r="V554" s="429"/>
      <c r="W554" s="272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t="16.5" thickBot="1">
      <c r="A555" s="1" t="s">
        <v>372</v>
      </c>
      <c r="B555" s="1"/>
      <c r="C555" s="296">
        <f ca="1">SUM(C553:C554)</f>
        <v>5803.9898570774094</v>
      </c>
      <c r="D555" s="327"/>
      <c r="E555" s="330"/>
      <c r="F555" s="329">
        <f ca="1">F553+F554</f>
        <v>2081.4701450675839</v>
      </c>
      <c r="G555" s="327"/>
      <c r="H555" s="330"/>
      <c r="I555" s="329">
        <f ca="1">I553+I554</f>
        <v>2116.4701450675839</v>
      </c>
      <c r="J555" s="307"/>
      <c r="K555" s="327"/>
      <c r="L555" s="330"/>
      <c r="M555" s="329" t="e">
        <f ca="1">M553+M554</f>
        <v>#REF!</v>
      </c>
      <c r="N555" s="329"/>
      <c r="O555" s="327"/>
      <c r="P555" s="330"/>
      <c r="Q555" s="329" t="e">
        <f ca="1">Q553+Q554</f>
        <v>#DIV/0!</v>
      </c>
      <c r="R555" s="329"/>
      <c r="S555" s="327"/>
      <c r="T555" s="330"/>
      <c r="U555" s="329" t="e">
        <f ca="1">U553+U554</f>
        <v>#DIV/0!</v>
      </c>
      <c r="V555" s="396"/>
      <c r="W555" s="455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thickTop="1">
      <c r="A556" s="1"/>
      <c r="B556" s="1"/>
      <c r="C556" s="21"/>
      <c r="D556" s="322" t="s">
        <v>31</v>
      </c>
      <c r="E556" s="1"/>
      <c r="F556" s="2"/>
      <c r="G556" s="338" t="s">
        <v>31</v>
      </c>
      <c r="H556" s="1"/>
      <c r="I556" s="2" t="s">
        <v>31</v>
      </c>
      <c r="J556" s="2"/>
      <c r="K556" s="338" t="s">
        <v>31</v>
      </c>
      <c r="L556" s="1"/>
      <c r="M556" s="2" t="s">
        <v>31</v>
      </c>
      <c r="N556" s="2"/>
      <c r="O556" s="338" t="s">
        <v>31</v>
      </c>
      <c r="P556" s="1"/>
      <c r="Q556" s="2" t="s">
        <v>31</v>
      </c>
      <c r="R556" s="2"/>
      <c r="S556" s="338" t="s">
        <v>31</v>
      </c>
      <c r="T556" s="1"/>
      <c r="U556" s="2" t="s">
        <v>31</v>
      </c>
      <c r="V556" s="20"/>
      <c r="W556" s="74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>
      <c r="A557" s="278" t="s">
        <v>410</v>
      </c>
      <c r="B557" s="1"/>
      <c r="C557" s="339"/>
      <c r="D557" s="2"/>
      <c r="E557" s="1"/>
      <c r="F557" s="1"/>
      <c r="G557" s="2"/>
      <c r="H557" s="1"/>
      <c r="I557" s="2" t="s">
        <v>31</v>
      </c>
      <c r="J557" s="2"/>
      <c r="K557" s="2"/>
      <c r="L557" s="1"/>
      <c r="M557" s="2" t="s">
        <v>31</v>
      </c>
      <c r="N557" s="2"/>
      <c r="O557" s="2"/>
      <c r="P557" s="1"/>
      <c r="Q557" s="2" t="s">
        <v>31</v>
      </c>
      <c r="R557" s="2"/>
      <c r="S557" s="2"/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308" t="s">
        <v>325</v>
      </c>
      <c r="B558" s="1"/>
      <c r="C558" s="1" t="s">
        <v>31</v>
      </c>
      <c r="D558" s="2"/>
      <c r="E558" s="1"/>
      <c r="F558" s="1"/>
      <c r="G558" s="2"/>
      <c r="H558" s="1"/>
      <c r="I558" s="1"/>
      <c r="J558" s="1"/>
      <c r="K558" s="2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/>
      <c r="B559" s="1"/>
      <c r="C559" s="1"/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 t="s">
        <v>383</v>
      </c>
      <c r="B560" s="1"/>
      <c r="C560" s="304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411</v>
      </c>
      <c r="B561" s="1"/>
      <c r="C561" s="304">
        <v>0</v>
      </c>
      <c r="D561" s="340">
        <v>259</v>
      </c>
      <c r="E561" s="308"/>
      <c r="F561" s="306">
        <f>ROUND(D561*$C561,0)</f>
        <v>0</v>
      </c>
      <c r="G561" s="340">
        <f ca="1">G602</f>
        <v>264</v>
      </c>
      <c r="H561" s="308"/>
      <c r="I561" s="306">
        <f ca="1">ROUND(G561*$C561,0)</f>
        <v>0</v>
      </c>
      <c r="J561" s="306"/>
      <c r="K561" s="340">
        <f ca="1">K602</f>
        <v>264</v>
      </c>
      <c r="L561" s="308"/>
      <c r="M561" s="306">
        <f ca="1">ROUND(K561*$C561,0)</f>
        <v>0</v>
      </c>
      <c r="N561" s="306"/>
      <c r="O561" s="340" t="str">
        <f>O602</f>
        <v xml:space="preserve"> </v>
      </c>
      <c r="P561" s="308"/>
      <c r="Q561" s="306">
        <f>ROUND(O561*$C561,0)</f>
        <v>0</v>
      </c>
      <c r="R561" s="306"/>
      <c r="S561" s="340" t="str">
        <f>S602</f>
        <v xml:space="preserve"> </v>
      </c>
      <c r="T561" s="308"/>
      <c r="U561" s="306">
        <f>ROUND(S561*$C561,0)</f>
        <v>0</v>
      </c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412</v>
      </c>
      <c r="B562" s="1"/>
      <c r="C562" s="304">
        <v>0</v>
      </c>
      <c r="D562" s="340">
        <v>96</v>
      </c>
      <c r="E562" s="308"/>
      <c r="F562" s="306">
        <f t="shared" ref="F562:F568" si="136">ROUND(D562*$C562,0)</f>
        <v>0</v>
      </c>
      <c r="G562" s="340">
        <f t="shared" ref="G562:G566" ca="1" si="137">G603</f>
        <v>98</v>
      </c>
      <c r="H562" s="308"/>
      <c r="I562" s="306">
        <f ca="1">ROUND(G562*$C562,0)</f>
        <v>0</v>
      </c>
      <c r="J562" s="306"/>
      <c r="K562" s="340">
        <f t="shared" ref="K562:K568" ca="1" si="138">K603</f>
        <v>98</v>
      </c>
      <c r="L562" s="308"/>
      <c r="M562" s="306">
        <f ca="1">ROUND(K562*$C562,0)</f>
        <v>0</v>
      </c>
      <c r="N562" s="306"/>
      <c r="O562" s="340" t="str">
        <f t="shared" ref="O562:O568" si="139">O603</f>
        <v xml:space="preserve"> </v>
      </c>
      <c r="P562" s="308"/>
      <c r="Q562" s="306">
        <f>ROUND(O562*$C562,0)</f>
        <v>0</v>
      </c>
      <c r="R562" s="306"/>
      <c r="S562" s="340" t="str">
        <f t="shared" ref="S562:S568" si="140">S603</f>
        <v xml:space="preserve"> </v>
      </c>
      <c r="T562" s="308"/>
      <c r="U562" s="306">
        <f>ROUND(S562*$C562,0)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413</v>
      </c>
      <c r="B563" s="1"/>
      <c r="C563" s="304">
        <v>0</v>
      </c>
      <c r="D563" s="340">
        <v>192</v>
      </c>
      <c r="E563" s="310"/>
      <c r="F563" s="306">
        <f t="shared" si="136"/>
        <v>0</v>
      </c>
      <c r="G563" s="340">
        <f t="shared" ca="1" si="137"/>
        <v>195</v>
      </c>
      <c r="H563" s="310"/>
      <c r="I563" s="306">
        <f ca="1">ROUND(G563*$C563,0)</f>
        <v>0</v>
      </c>
      <c r="J563" s="306"/>
      <c r="K563" s="340">
        <f t="shared" ca="1" si="138"/>
        <v>195</v>
      </c>
      <c r="L563" s="310"/>
      <c r="M563" s="306">
        <f ca="1">ROUND(K563*$C563,0)</f>
        <v>0</v>
      </c>
      <c r="N563" s="306"/>
      <c r="O563" s="340" t="str">
        <f t="shared" si="139"/>
        <v xml:space="preserve"> </v>
      </c>
      <c r="P563" s="310"/>
      <c r="Q563" s="306">
        <f>ROUND(O563*$C563,0)</f>
        <v>0</v>
      </c>
      <c r="R563" s="306"/>
      <c r="S563" s="340" t="str">
        <f t="shared" si="140"/>
        <v xml:space="preserve"> </v>
      </c>
      <c r="T563" s="310"/>
      <c r="U563" s="306">
        <f>ROUND(S563*$C563,0)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384</v>
      </c>
      <c r="B564" s="1"/>
      <c r="C564" s="304">
        <f>SUM(C561:C563)</f>
        <v>0</v>
      </c>
      <c r="D564" s="340"/>
      <c r="E564" s="308"/>
      <c r="F564" s="306"/>
      <c r="G564" s="340"/>
      <c r="H564" s="308"/>
      <c r="I564" s="306"/>
      <c r="J564" s="306"/>
      <c r="K564" s="340"/>
      <c r="L564" s="308"/>
      <c r="M564" s="306"/>
      <c r="N564" s="306"/>
      <c r="O564" s="340"/>
      <c r="P564" s="308"/>
      <c r="Q564" s="306"/>
      <c r="R564" s="306"/>
      <c r="S564" s="340"/>
      <c r="T564" s="308"/>
      <c r="U564" s="306"/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412</v>
      </c>
      <c r="B565" s="1"/>
      <c r="C565" s="304">
        <v>0</v>
      </c>
      <c r="D565" s="340">
        <v>1.76</v>
      </c>
      <c r="E565" s="308" t="s">
        <v>31</v>
      </c>
      <c r="F565" s="306">
        <f t="shared" si="136"/>
        <v>0</v>
      </c>
      <c r="G565" s="340">
        <f t="shared" ca="1" si="137"/>
        <v>1.79</v>
      </c>
      <c r="H565" s="308" t="s">
        <v>31</v>
      </c>
      <c r="I565" s="306">
        <f ca="1">ROUND(G565*$C565,0)</f>
        <v>0</v>
      </c>
      <c r="J565" s="306"/>
      <c r="K565" s="340">
        <f t="shared" ca="1" si="138"/>
        <v>1.79</v>
      </c>
      <c r="L565" s="308" t="s">
        <v>31</v>
      </c>
      <c r="M565" s="306">
        <f ca="1">ROUND(K565*$C565,0)</f>
        <v>0</v>
      </c>
      <c r="N565" s="306"/>
      <c r="O565" s="340" t="str">
        <f t="shared" si="139"/>
        <v xml:space="preserve"> </v>
      </c>
      <c r="P565" s="308" t="s">
        <v>31</v>
      </c>
      <c r="Q565" s="306">
        <f>ROUND(O565*$C565,0)</f>
        <v>0</v>
      </c>
      <c r="R565" s="306"/>
      <c r="S565" s="340" t="str">
        <f t="shared" si="140"/>
        <v xml:space="preserve"> </v>
      </c>
      <c r="T565" s="308" t="s">
        <v>31</v>
      </c>
      <c r="U565" s="306">
        <f>ROUND(S565*$C565,0)</f>
        <v>0</v>
      </c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413</v>
      </c>
      <c r="B566" s="1"/>
      <c r="C566" s="304">
        <v>0</v>
      </c>
      <c r="D566" s="340">
        <v>1.44</v>
      </c>
      <c r="E566" s="308" t="s">
        <v>31</v>
      </c>
      <c r="F566" s="306">
        <f t="shared" si="136"/>
        <v>0</v>
      </c>
      <c r="G566" s="340">
        <f t="shared" ca="1" si="137"/>
        <v>1.46</v>
      </c>
      <c r="H566" s="308" t="s">
        <v>31</v>
      </c>
      <c r="I566" s="306">
        <f ca="1">ROUND(G566*$C566,0)</f>
        <v>0</v>
      </c>
      <c r="J566" s="306"/>
      <c r="K566" s="340">
        <f t="shared" ca="1" si="138"/>
        <v>1.46</v>
      </c>
      <c r="L566" s="308" t="s">
        <v>31</v>
      </c>
      <c r="M566" s="306">
        <f ca="1">ROUND(K566*$C566,0)</f>
        <v>0</v>
      </c>
      <c r="N566" s="306"/>
      <c r="O566" s="340" t="str">
        <f t="shared" si="139"/>
        <v xml:space="preserve"> </v>
      </c>
      <c r="P566" s="308" t="s">
        <v>31</v>
      </c>
      <c r="Q566" s="306">
        <f>ROUND(O566*$C566,0)</f>
        <v>0</v>
      </c>
      <c r="R566" s="306"/>
      <c r="S566" s="340" t="str">
        <f t="shared" si="140"/>
        <v xml:space="preserve"> </v>
      </c>
      <c r="T566" s="308" t="s">
        <v>31</v>
      </c>
      <c r="U566" s="306">
        <f>ROUND(S566*$C566,0)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294" t="s">
        <v>414</v>
      </c>
      <c r="B567" s="1"/>
      <c r="C567" s="304"/>
      <c r="D567" s="340"/>
      <c r="E567" s="308"/>
      <c r="F567" s="306"/>
      <c r="G567" s="340"/>
      <c r="H567" s="308"/>
      <c r="I567" s="306"/>
      <c r="J567" s="306"/>
      <c r="K567" s="340"/>
      <c r="L567" s="308"/>
      <c r="M567" s="306"/>
      <c r="N567" s="306"/>
      <c r="O567" s="340"/>
      <c r="P567" s="308"/>
      <c r="Q567" s="306"/>
      <c r="R567" s="306"/>
      <c r="S567" s="340"/>
      <c r="T567" s="308"/>
      <c r="U567" s="306"/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415</v>
      </c>
      <c r="B568" s="1"/>
      <c r="C568" s="304">
        <v>0</v>
      </c>
      <c r="D568" s="340">
        <v>5.37</v>
      </c>
      <c r="E568" s="308"/>
      <c r="F568" s="306">
        <f t="shared" si="136"/>
        <v>0</v>
      </c>
      <c r="G568" s="340">
        <f ca="1">G609</f>
        <v>5.47</v>
      </c>
      <c r="H568" s="308"/>
      <c r="I568" s="306">
        <f ca="1">ROUND(G568*$C568,0)</f>
        <v>0</v>
      </c>
      <c r="J568" s="306"/>
      <c r="K568" s="340" t="e">
        <f t="shared" ca="1" si="138"/>
        <v>#REF!</v>
      </c>
      <c r="L568" s="308"/>
      <c r="M568" s="306" t="e">
        <f ca="1">ROUND(K568*$C568,0)</f>
        <v>#REF!</v>
      </c>
      <c r="N568" s="306"/>
      <c r="O568" s="340">
        <f t="shared" si="139"/>
        <v>0</v>
      </c>
      <c r="P568" s="308"/>
      <c r="Q568" s="306">
        <f>ROUND(O568*$C568,0)</f>
        <v>0</v>
      </c>
      <c r="R568" s="306"/>
      <c r="S568" s="340">
        <f t="shared" si="140"/>
        <v>0</v>
      </c>
      <c r="T568" s="308"/>
      <c r="U568" s="306">
        <f>ROUND(S568*$C568,0)</f>
        <v>0</v>
      </c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308" t="s">
        <v>416</v>
      </c>
      <c r="B569" s="1"/>
      <c r="C569" s="304"/>
      <c r="D569" s="341"/>
      <c r="E569" s="306"/>
      <c r="F569" s="306"/>
      <c r="G569" s="341"/>
      <c r="H569" s="306"/>
      <c r="I569" s="306"/>
      <c r="J569" s="306"/>
      <c r="K569" s="341"/>
      <c r="L569" s="306"/>
      <c r="M569" s="306"/>
      <c r="N569" s="306"/>
      <c r="O569" s="341"/>
      <c r="P569" s="306"/>
      <c r="Q569" s="306"/>
      <c r="R569" s="306"/>
      <c r="S569" s="341"/>
      <c r="T569" s="306"/>
      <c r="U569" s="306"/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417</v>
      </c>
      <c r="B570" s="1"/>
      <c r="C570" s="304">
        <v>0</v>
      </c>
      <c r="D570" s="320">
        <v>5.6790000000000003</v>
      </c>
      <c r="E570" s="306" t="s">
        <v>364</v>
      </c>
      <c r="F570" s="306">
        <f>ROUND($C570*D570/100,0)</f>
        <v>0</v>
      </c>
      <c r="G570" s="320">
        <f ca="1">G612</f>
        <v>5.7730000000000006</v>
      </c>
      <c r="H570" s="306" t="s">
        <v>364</v>
      </c>
      <c r="I570" s="306">
        <f ca="1">ROUND($C570*G570/100,0)</f>
        <v>0</v>
      </c>
      <c r="J570" s="306"/>
      <c r="K570" s="320" t="str">
        <f>K612</f>
        <v xml:space="preserve"> </v>
      </c>
      <c r="L570" s="306" t="s">
        <v>364</v>
      </c>
      <c r="M570" s="306">
        <f>ROUND($C570*K570/100,0)</f>
        <v>0</v>
      </c>
      <c r="N570" s="306"/>
      <c r="O570" s="320" t="e">
        <f ca="1">O612</f>
        <v>#REF!</v>
      </c>
      <c r="P570" s="306" t="s">
        <v>364</v>
      </c>
      <c r="Q570" s="306" t="e">
        <f ca="1">ROUND($C570*O570/100,0)</f>
        <v>#REF!</v>
      </c>
      <c r="R570" s="306"/>
      <c r="S570" s="320" t="e">
        <f ca="1">S612</f>
        <v>#REF!</v>
      </c>
      <c r="T570" s="306" t="s">
        <v>364</v>
      </c>
      <c r="U570" s="306" t="e">
        <f ca="1">ROUND($C570*S570/100,0)</f>
        <v>#REF!</v>
      </c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389</v>
      </c>
      <c r="B571" s="1"/>
      <c r="C571" s="304">
        <v>0</v>
      </c>
      <c r="D571" s="320">
        <v>5.2</v>
      </c>
      <c r="E571" s="306" t="s">
        <v>364</v>
      </c>
      <c r="F571" s="306">
        <f>ROUND($C571*D571/100,0)</f>
        <v>0</v>
      </c>
      <c r="G571" s="320">
        <f ca="1">G613</f>
        <v>5.2879999999999994</v>
      </c>
      <c r="H571" s="306" t="s">
        <v>364</v>
      </c>
      <c r="I571" s="306">
        <f ca="1">ROUND($C571*G571/100,0)</f>
        <v>0</v>
      </c>
      <c r="J571" s="306"/>
      <c r="K571" s="320" t="str">
        <f>K613</f>
        <v xml:space="preserve"> </v>
      </c>
      <c r="L571" s="306" t="s">
        <v>364</v>
      </c>
      <c r="M571" s="306">
        <f>ROUND($C571*K571/100,0)</f>
        <v>0</v>
      </c>
      <c r="N571" s="306"/>
      <c r="O571" s="320" t="e">
        <f ca="1">O613</f>
        <v>#REF!</v>
      </c>
      <c r="P571" s="306" t="s">
        <v>364</v>
      </c>
      <c r="Q571" s="306" t="e">
        <f ca="1">ROUND($C571*O571/100,0)</f>
        <v>#REF!</v>
      </c>
      <c r="R571" s="306"/>
      <c r="S571" s="320" t="e">
        <f ca="1">S613</f>
        <v>#REF!</v>
      </c>
      <c r="T571" s="306" t="s">
        <v>364</v>
      </c>
      <c r="U571" s="306" t="e">
        <f ca="1">ROUND($C571*S571/100,0)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390</v>
      </c>
      <c r="B572" s="1"/>
      <c r="C572" s="304">
        <v>0</v>
      </c>
      <c r="D572" s="347">
        <v>56</v>
      </c>
      <c r="E572" s="306" t="s">
        <v>364</v>
      </c>
      <c r="F572" s="306">
        <f>ROUND(D572*$C572/100,0)</f>
        <v>0</v>
      </c>
      <c r="G572" s="347">
        <f ca="1">G614</f>
        <v>57</v>
      </c>
      <c r="H572" s="306" t="s">
        <v>364</v>
      </c>
      <c r="I572" s="306">
        <f ca="1">ROUND(G572*$C572,0)</f>
        <v>0</v>
      </c>
      <c r="J572" s="306"/>
      <c r="K572" s="347" t="str">
        <f>K614</f>
        <v xml:space="preserve"> </v>
      </c>
      <c r="L572" s="306" t="s">
        <v>364</v>
      </c>
      <c r="M572" s="306">
        <f>ROUND(K572*$C572,0)</f>
        <v>0</v>
      </c>
      <c r="N572" s="306"/>
      <c r="O572" s="347" t="e">
        <f ca="1">O614</f>
        <v>#DIV/0!</v>
      </c>
      <c r="P572" s="306" t="s">
        <v>364</v>
      </c>
      <c r="Q572" s="306" t="e">
        <f ca="1">ROUND(O572*$C572,0)</f>
        <v>#DIV/0!</v>
      </c>
      <c r="R572" s="306"/>
      <c r="S572" s="347" t="e">
        <f ca="1">S614</f>
        <v>#DIV/0!</v>
      </c>
      <c r="T572" s="306" t="s">
        <v>364</v>
      </c>
      <c r="U572" s="306" t="e">
        <f ca="1">ROUND(S572*$C572,0)</f>
        <v>#DIV/0!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418</v>
      </c>
      <c r="B573" s="1"/>
      <c r="C573" s="304">
        <v>0</v>
      </c>
      <c r="D573" s="589">
        <v>0.06</v>
      </c>
      <c r="E573" s="306" t="s">
        <v>364</v>
      </c>
      <c r="F573" s="306">
        <f>ROUND($C573*D573/100,0)</f>
        <v>0</v>
      </c>
      <c r="G573" s="589">
        <v>0.06</v>
      </c>
      <c r="H573" s="306" t="s">
        <v>364</v>
      </c>
      <c r="I573" s="306">
        <f>ROUND($C573*G573/100,0)</f>
        <v>0</v>
      </c>
      <c r="J573" s="306"/>
      <c r="K573" s="589" t="str">
        <f>K614</f>
        <v xml:space="preserve"> </v>
      </c>
      <c r="L573" s="306" t="s">
        <v>364</v>
      </c>
      <c r="M573" s="306">
        <f>ROUND($C573*K573/100,0)</f>
        <v>0</v>
      </c>
      <c r="N573" s="306"/>
      <c r="O573" s="589" t="e">
        <f ca="1">O572/G572*G573</f>
        <v>#DIV/0!</v>
      </c>
      <c r="P573" s="306" t="s">
        <v>364</v>
      </c>
      <c r="Q573" s="306" t="e">
        <f ca="1">ROUND($C573*O573/100,0)</f>
        <v>#DIV/0!</v>
      </c>
      <c r="R573" s="306"/>
      <c r="S573" s="589" t="e">
        <f ca="1">S572/G572*G573</f>
        <v>#DIV/0!</v>
      </c>
      <c r="T573" s="306" t="s">
        <v>364</v>
      </c>
      <c r="U573" s="306" t="e">
        <f ca="1">ROUND($C573*S573/100,0)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 s="1118" customFormat="1" hidden="1">
      <c r="A574" s="968" t="s">
        <v>882</v>
      </c>
      <c r="C574" s="1122">
        <f>C570+C571</f>
        <v>0</v>
      </c>
      <c r="D574" s="254">
        <v>0</v>
      </c>
      <c r="E574" s="1119"/>
      <c r="F574" s="1123"/>
      <c r="G574" s="1128">
        <f>G615</f>
        <v>0</v>
      </c>
      <c r="H574" s="1000" t="s">
        <v>364</v>
      </c>
      <c r="I574" s="1000">
        <f t="shared" ref="I574:I575" si="141">ROUND($C574*G574/100,0)</f>
        <v>0</v>
      </c>
      <c r="J574" s="1000"/>
      <c r="K574" s="1128" t="str">
        <f>K615</f>
        <v xml:space="preserve"> </v>
      </c>
      <c r="L574" s="1000" t="s">
        <v>364</v>
      </c>
      <c r="M574" s="1000">
        <f t="shared" ref="M574:M575" si="142">ROUND($C574*K574/100,0)</f>
        <v>0</v>
      </c>
      <c r="N574" s="1000"/>
      <c r="O574" s="1128" t="s">
        <v>31</v>
      </c>
      <c r="P574" s="1000" t="s">
        <v>364</v>
      </c>
      <c r="Q574" s="1000">
        <f t="shared" ref="Q574:Q575" si="143">ROUND($C574*O574/100,0)</f>
        <v>0</v>
      </c>
      <c r="R574" s="1000"/>
      <c r="S574" s="1128">
        <f>S615</f>
        <v>0</v>
      </c>
      <c r="T574" s="1000" t="s">
        <v>364</v>
      </c>
      <c r="U574" s="1000">
        <f t="shared" ref="U574:U575" si="144">ROUND($C574*S574/100,0)</f>
        <v>0</v>
      </c>
      <c r="W574" s="784"/>
      <c r="Z574" s="1125"/>
      <c r="AA574" s="1125"/>
      <c r="AF574" s="1119"/>
      <c r="AG574" s="1119"/>
      <c r="AH574" s="1119"/>
      <c r="AI574" s="1119"/>
      <c r="AJ574" s="1119"/>
      <c r="AK574" s="1119"/>
      <c r="AL574" s="1119"/>
      <c r="AM574" s="1119"/>
      <c r="AN574" s="1119"/>
      <c r="AO574" s="1119"/>
      <c r="AP574" s="1119"/>
      <c r="AR574" s="1124"/>
    </row>
    <row r="575" spans="1:44" s="1118" customFormat="1" hidden="1">
      <c r="A575" s="968" t="s">
        <v>883</v>
      </c>
      <c r="C575" s="1122">
        <f>C571+C572</f>
        <v>0</v>
      </c>
      <c r="D575" s="254">
        <v>0</v>
      </c>
      <c r="E575" s="1119"/>
      <c r="F575" s="1123"/>
      <c r="G575" s="1128">
        <f>G616</f>
        <v>0</v>
      </c>
      <c r="H575" s="1119"/>
      <c r="I575" s="1000">
        <f t="shared" si="141"/>
        <v>0</v>
      </c>
      <c r="J575" s="1000"/>
      <c r="K575" s="1128" t="s">
        <v>31</v>
      </c>
      <c r="L575" s="1119"/>
      <c r="M575" s="1000">
        <f t="shared" si="142"/>
        <v>0</v>
      </c>
      <c r="N575" s="1000"/>
      <c r="O575" s="1128" t="s">
        <v>31</v>
      </c>
      <c r="P575" s="1119"/>
      <c r="Q575" s="1000">
        <f t="shared" si="143"/>
        <v>0</v>
      </c>
      <c r="R575" s="1000"/>
      <c r="S575" s="1128">
        <f>S616</f>
        <v>0</v>
      </c>
      <c r="T575" s="1119"/>
      <c r="U575" s="1000">
        <f t="shared" si="144"/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>
      <c r="A576" s="345" t="s">
        <v>391</v>
      </c>
      <c r="B576" s="1" t="s">
        <v>31</v>
      </c>
      <c r="C576" s="304"/>
      <c r="D576" s="317">
        <v>-0.01</v>
      </c>
      <c r="E576" s="346"/>
      <c r="F576" s="346"/>
      <c r="G576" s="317">
        <v>-0.01</v>
      </c>
      <c r="H576" s="346"/>
      <c r="I576" s="2"/>
      <c r="J576" s="2"/>
      <c r="K576" s="317">
        <v>-0.01</v>
      </c>
      <c r="L576" s="346"/>
      <c r="M576" s="2"/>
      <c r="N576" s="2"/>
      <c r="O576" s="317">
        <v>-0.01</v>
      </c>
      <c r="P576" s="346"/>
      <c r="Q576" s="2"/>
      <c r="R576" s="2"/>
      <c r="S576" s="317">
        <v>-0.01</v>
      </c>
      <c r="T576" s="346"/>
      <c r="U576" s="2"/>
      <c r="V576" s="20"/>
      <c r="W576" s="74"/>
      <c r="X576" s="74"/>
      <c r="Y576" s="74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</row>
    <row r="577" spans="1:44">
      <c r="A577" s="308" t="s">
        <v>411</v>
      </c>
      <c r="B577" s="1"/>
      <c r="C577" s="304">
        <v>0</v>
      </c>
      <c r="D577" s="340">
        <v>259</v>
      </c>
      <c r="E577" s="308"/>
      <c r="F577" s="306">
        <f t="shared" ref="F577:F582" si="145">ROUND(D577*$C577*$D$576,0)</f>
        <v>0</v>
      </c>
      <c r="G577" s="289">
        <f ca="1">G561</f>
        <v>264</v>
      </c>
      <c r="H577" s="308"/>
      <c r="I577" s="306">
        <f t="shared" ref="I577:I582" ca="1" si="146">ROUND(G577*$C577*$G$576,0)</f>
        <v>0</v>
      </c>
      <c r="J577" s="306"/>
      <c r="K577" s="289">
        <f ca="1">K561</f>
        <v>264</v>
      </c>
      <c r="L577" s="308"/>
      <c r="M577" s="306" t="e">
        <f ca="1">ROUND(K577*$C577*#REF!,0)</f>
        <v>#REF!</v>
      </c>
      <c r="N577" s="306"/>
      <c r="O577" s="289" t="str">
        <f>O561</f>
        <v xml:space="preserve"> </v>
      </c>
      <c r="P577" s="308"/>
      <c r="Q577" s="306" t="e">
        <f>ROUND(O577*$C577*#REF!,0)</f>
        <v>#REF!</v>
      </c>
      <c r="R577" s="306"/>
      <c r="S577" s="289" t="str">
        <f>S561</f>
        <v xml:space="preserve"> </v>
      </c>
      <c r="T577" s="308"/>
      <c r="U577" s="306" t="e">
        <f>ROUND(S577*$C577*#REF!,0)</f>
        <v>#REF!</v>
      </c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4">
      <c r="A578" s="308" t="s">
        <v>412</v>
      </c>
      <c r="B578" s="1"/>
      <c r="C578" s="304">
        <v>0</v>
      </c>
      <c r="D578" s="340">
        <v>96</v>
      </c>
      <c r="E578" s="308"/>
      <c r="F578" s="306">
        <f t="shared" si="145"/>
        <v>0</v>
      </c>
      <c r="G578" s="289">
        <f ca="1">G562</f>
        <v>98</v>
      </c>
      <c r="H578" s="308"/>
      <c r="I578" s="306">
        <f t="shared" ca="1" si="146"/>
        <v>0</v>
      </c>
      <c r="J578" s="306"/>
      <c r="K578" s="289">
        <f ca="1">K562</f>
        <v>98</v>
      </c>
      <c r="L578" s="308"/>
      <c r="M578" s="306" t="e">
        <f ca="1">ROUND(K578*$C578*#REF!,0)</f>
        <v>#REF!</v>
      </c>
      <c r="N578" s="306"/>
      <c r="O578" s="289" t="str">
        <f>O562</f>
        <v xml:space="preserve"> </v>
      </c>
      <c r="P578" s="308"/>
      <c r="Q578" s="306" t="e">
        <f>ROUND(O578*$C578*#REF!,0)</f>
        <v>#REF!</v>
      </c>
      <c r="R578" s="306"/>
      <c r="S578" s="289" t="str">
        <f>S562</f>
        <v xml:space="preserve"> </v>
      </c>
      <c r="T578" s="308"/>
      <c r="U578" s="306" t="e">
        <f>ROUND(S578*$C578*#REF!,0)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4">
      <c r="A579" s="308" t="s">
        <v>413</v>
      </c>
      <c r="B579" s="1"/>
      <c r="C579" s="304">
        <v>0</v>
      </c>
      <c r="D579" s="340">
        <v>192</v>
      </c>
      <c r="E579" s="310"/>
      <c r="F579" s="306">
        <f t="shared" si="145"/>
        <v>0</v>
      </c>
      <c r="G579" s="289">
        <f ca="1">G563</f>
        <v>195</v>
      </c>
      <c r="H579" s="310"/>
      <c r="I579" s="306">
        <f t="shared" ca="1" si="146"/>
        <v>0</v>
      </c>
      <c r="J579" s="306"/>
      <c r="K579" s="289">
        <f ca="1">K563</f>
        <v>195</v>
      </c>
      <c r="L579" s="310"/>
      <c r="M579" s="306" t="e">
        <f ca="1">ROUND(K579*$C579*#REF!,0)</f>
        <v>#REF!</v>
      </c>
      <c r="N579" s="306"/>
      <c r="O579" s="289" t="str">
        <f>O563</f>
        <v xml:space="preserve"> </v>
      </c>
      <c r="P579" s="310"/>
      <c r="Q579" s="306" t="e">
        <f>ROUND(O579*$C579*#REF!,0)</f>
        <v>#REF!</v>
      </c>
      <c r="R579" s="306"/>
      <c r="S579" s="289" t="str">
        <f>S563</f>
        <v xml:space="preserve"> </v>
      </c>
      <c r="T579" s="310"/>
      <c r="U579" s="306" t="e">
        <f>ROUND(S579*$C579*#REF!,0)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4">
      <c r="A580" s="308" t="s">
        <v>412</v>
      </c>
      <c r="B580" s="1"/>
      <c r="C580" s="304">
        <v>0</v>
      </c>
      <c r="D580" s="340">
        <v>1.76</v>
      </c>
      <c r="E580" s="308" t="s">
        <v>31</v>
      </c>
      <c r="F580" s="306">
        <f t="shared" si="145"/>
        <v>0</v>
      </c>
      <c r="G580" s="289">
        <f ca="1">G565</f>
        <v>1.79</v>
      </c>
      <c r="H580" s="308" t="s">
        <v>31</v>
      </c>
      <c r="I580" s="306">
        <f t="shared" ca="1" si="146"/>
        <v>0</v>
      </c>
      <c r="J580" s="306"/>
      <c r="K580" s="289">
        <f ca="1">K565</f>
        <v>1.79</v>
      </c>
      <c r="L580" s="308" t="s">
        <v>31</v>
      </c>
      <c r="M580" s="306" t="e">
        <f ca="1">ROUND(K580*$C580*#REF!,0)</f>
        <v>#REF!</v>
      </c>
      <c r="N580" s="306"/>
      <c r="O580" s="289" t="str">
        <f>O565</f>
        <v xml:space="preserve"> </v>
      </c>
      <c r="P580" s="308" t="s">
        <v>31</v>
      </c>
      <c r="Q580" s="306" t="e">
        <f>ROUND(O580*$C580*#REF!,0)</f>
        <v>#REF!</v>
      </c>
      <c r="R580" s="306"/>
      <c r="S580" s="289" t="str">
        <f>S565</f>
        <v xml:space="preserve"> </v>
      </c>
      <c r="T580" s="308" t="s">
        <v>31</v>
      </c>
      <c r="U580" s="306" t="e">
        <f>ROUND(S580*$C580*#REF!,0)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4">
      <c r="A581" s="308" t="s">
        <v>413</v>
      </c>
      <c r="B581" s="1"/>
      <c r="C581" s="304">
        <v>0</v>
      </c>
      <c r="D581" s="340">
        <v>1.44</v>
      </c>
      <c r="E581" s="308" t="s">
        <v>31</v>
      </c>
      <c r="F581" s="306">
        <f t="shared" si="145"/>
        <v>0</v>
      </c>
      <c r="G581" s="289">
        <f ca="1">G566</f>
        <v>1.46</v>
      </c>
      <c r="H581" s="308" t="s">
        <v>31</v>
      </c>
      <c r="I581" s="306">
        <f t="shared" ca="1" si="146"/>
        <v>0</v>
      </c>
      <c r="J581" s="306"/>
      <c r="K581" s="289">
        <f ca="1">K566</f>
        <v>1.46</v>
      </c>
      <c r="L581" s="308" t="s">
        <v>31</v>
      </c>
      <c r="M581" s="306" t="e">
        <f ca="1">ROUND(K581*$C581*#REF!,0)</f>
        <v>#REF!</v>
      </c>
      <c r="N581" s="306"/>
      <c r="O581" s="289" t="str">
        <f>O566</f>
        <v xml:space="preserve"> </v>
      </c>
      <c r="P581" s="308" t="s">
        <v>31</v>
      </c>
      <c r="Q581" s="306" t="e">
        <f>ROUND(O581*$C581*#REF!,0)</f>
        <v>#REF!</v>
      </c>
      <c r="R581" s="306"/>
      <c r="S581" s="289" t="str">
        <f>S566</f>
        <v xml:space="preserve"> </v>
      </c>
      <c r="T581" s="308" t="s">
        <v>31</v>
      </c>
      <c r="U581" s="306" t="e">
        <f>ROUND(S581*$C581*#REF!,0)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4">
      <c r="A582" s="294" t="s">
        <v>415</v>
      </c>
      <c r="B582" s="1"/>
      <c r="C582" s="304">
        <v>0</v>
      </c>
      <c r="D582" s="340">
        <v>5.37</v>
      </c>
      <c r="E582" s="308"/>
      <c r="F582" s="306">
        <f t="shared" si="145"/>
        <v>0</v>
      </c>
      <c r="G582" s="289">
        <f ca="1">G568</f>
        <v>5.47</v>
      </c>
      <c r="H582" s="308"/>
      <c r="I582" s="306">
        <f t="shared" ca="1" si="146"/>
        <v>0</v>
      </c>
      <c r="J582" s="306"/>
      <c r="K582" s="289" t="e">
        <f ca="1">K568</f>
        <v>#REF!</v>
      </c>
      <c r="L582" s="308"/>
      <c r="M582" s="306" t="e">
        <f ca="1">ROUND(K582*$C582*#REF!,0)</f>
        <v>#REF!</v>
      </c>
      <c r="N582" s="306"/>
      <c r="O582" s="289">
        <f>O568</f>
        <v>0</v>
      </c>
      <c r="P582" s="308"/>
      <c r="Q582" s="306" t="e">
        <f>ROUND(O582*$C582*#REF!,0)</f>
        <v>#REF!</v>
      </c>
      <c r="R582" s="306"/>
      <c r="S582" s="289">
        <f>S568</f>
        <v>0</v>
      </c>
      <c r="T582" s="308"/>
      <c r="U582" s="306" t="e">
        <f>ROUND(S582*$C582*#REF!,0)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4">
      <c r="A583" s="308" t="s">
        <v>417</v>
      </c>
      <c r="B583" s="1"/>
      <c r="C583" s="304">
        <v>0</v>
      </c>
      <c r="D583" s="319">
        <v>0</v>
      </c>
      <c r="E583" s="306" t="s">
        <v>364</v>
      </c>
      <c r="F583" s="306">
        <f>ROUND(D583/100*$C583*D576,0)</f>
        <v>0</v>
      </c>
      <c r="G583" s="289">
        <f>G569</f>
        <v>0</v>
      </c>
      <c r="H583" s="306" t="s">
        <v>364</v>
      </c>
      <c r="I583" s="306">
        <f>ROUND(G583/100*$C583*G576,0)</f>
        <v>0</v>
      </c>
      <c r="J583" s="306"/>
      <c r="K583" s="289">
        <f>K569</f>
        <v>0</v>
      </c>
      <c r="L583" s="306" t="s">
        <v>364</v>
      </c>
      <c r="M583" s="306">
        <f>ROUND(K583/100*$C583*D576,0)</f>
        <v>0</v>
      </c>
      <c r="N583" s="306"/>
      <c r="O583" s="289">
        <f>O569</f>
        <v>0</v>
      </c>
      <c r="P583" s="306" t="s">
        <v>364</v>
      </c>
      <c r="Q583" s="306">
        <f>ROUND(O583/100*$C583*H576,0)</f>
        <v>0</v>
      </c>
      <c r="R583" s="306"/>
      <c r="S583" s="289">
        <f>S569</f>
        <v>0</v>
      </c>
      <c r="T583" s="306" t="s">
        <v>364</v>
      </c>
      <c r="U583" s="306">
        <f>ROUND(S583/100*$C583*L576,0)</f>
        <v>0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4">
      <c r="A584" s="308" t="s">
        <v>389</v>
      </c>
      <c r="B584" s="1"/>
      <c r="C584" s="304">
        <v>0</v>
      </c>
      <c r="D584" s="955">
        <v>5.2</v>
      </c>
      <c r="E584" s="306" t="s">
        <v>364</v>
      </c>
      <c r="F584" s="306">
        <f>ROUND(D584/100*$C584*D576,0)</f>
        <v>0</v>
      </c>
      <c r="G584" s="359">
        <f ca="1">G571</f>
        <v>5.2879999999999994</v>
      </c>
      <c r="H584" s="306" t="s">
        <v>364</v>
      </c>
      <c r="I584" s="306">
        <f ca="1">ROUND(G584/100*$C584*G576,0)</f>
        <v>0</v>
      </c>
      <c r="J584" s="306"/>
      <c r="K584" s="359" t="str">
        <f>K571</f>
        <v xml:space="preserve"> </v>
      </c>
      <c r="L584" s="306" t="s">
        <v>364</v>
      </c>
      <c r="M584" s="306">
        <f>ROUND(K584/100*$C584*D576,0)</f>
        <v>0</v>
      </c>
      <c r="N584" s="306"/>
      <c r="O584" s="359" t="e">
        <f ca="1">O571</f>
        <v>#REF!</v>
      </c>
      <c r="P584" s="306" t="s">
        <v>364</v>
      </c>
      <c r="Q584" s="306" t="e">
        <f ca="1">ROUND(O584/100*$C584*H576,0)</f>
        <v>#REF!</v>
      </c>
      <c r="R584" s="306"/>
      <c r="S584" s="359" t="e">
        <f ca="1">S571</f>
        <v>#REF!</v>
      </c>
      <c r="T584" s="306" t="s">
        <v>364</v>
      </c>
      <c r="U584" s="306" t="e">
        <f ca="1">ROUND(S584/100*$C584*L576,0)</f>
        <v>#REF!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4">
      <c r="A585" s="294" t="s">
        <v>419</v>
      </c>
      <c r="B585" s="1"/>
      <c r="C585" s="304">
        <v>0</v>
      </c>
      <c r="D585" s="1113">
        <v>56</v>
      </c>
      <c r="E585" s="306" t="s">
        <v>364</v>
      </c>
      <c r="F585" s="306">
        <f>ROUND(D585*$C585*$D$576,0)</f>
        <v>0</v>
      </c>
      <c r="G585" s="360">
        <f ca="1">G572</f>
        <v>57</v>
      </c>
      <c r="H585" s="306" t="s">
        <v>364</v>
      </c>
      <c r="I585" s="306">
        <f ca="1">ROUND(G585*$C585*$G$576,0)</f>
        <v>0</v>
      </c>
      <c r="J585" s="306"/>
      <c r="K585" s="360" t="str">
        <f>K572</f>
        <v xml:space="preserve"> </v>
      </c>
      <c r="L585" s="306" t="s">
        <v>364</v>
      </c>
      <c r="M585" s="306" t="e">
        <f>ROUND(K585*$C585*#REF!,0)</f>
        <v>#REF!</v>
      </c>
      <c r="N585" s="306"/>
      <c r="O585" s="360" t="e">
        <f ca="1">O572</f>
        <v>#DIV/0!</v>
      </c>
      <c r="P585" s="306" t="s">
        <v>364</v>
      </c>
      <c r="Q585" s="306" t="e">
        <f ca="1">ROUND(O585*$C585*#REF!,0)</f>
        <v>#DIV/0!</v>
      </c>
      <c r="R585" s="306"/>
      <c r="S585" s="360" t="e">
        <f ca="1">S572</f>
        <v>#DIV/0!</v>
      </c>
      <c r="T585" s="306" t="s">
        <v>364</v>
      </c>
      <c r="U585" s="306" t="e">
        <f ca="1">ROUND(S585*$C585*#REF!,0)</f>
        <v>#DIV/0!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4">
      <c r="A586" s="294" t="s">
        <v>420</v>
      </c>
      <c r="B586" s="1"/>
      <c r="C586" s="304">
        <v>0</v>
      </c>
      <c r="D586" s="1114">
        <v>0.06</v>
      </c>
      <c r="E586" s="306" t="s">
        <v>364</v>
      </c>
      <c r="F586" s="306">
        <f>ROUND(D586/100*$C586*D576,0)</f>
        <v>0</v>
      </c>
      <c r="G586" s="589">
        <f>G573</f>
        <v>0.06</v>
      </c>
      <c r="H586" s="306" t="s">
        <v>364</v>
      </c>
      <c r="I586" s="306">
        <f>ROUND(G586/100*$C586*G576,0)</f>
        <v>0</v>
      </c>
      <c r="J586" s="306"/>
      <c r="K586" s="589" t="str">
        <f>K573</f>
        <v xml:space="preserve"> </v>
      </c>
      <c r="L586" s="306" t="s">
        <v>364</v>
      </c>
      <c r="M586" s="306">
        <f>ROUND(K586/100*$C586*K576,0)</f>
        <v>0</v>
      </c>
      <c r="N586" s="306"/>
      <c r="O586" s="589" t="e">
        <f ca="1">O573</f>
        <v>#DIV/0!</v>
      </c>
      <c r="P586" s="306" t="s">
        <v>364</v>
      </c>
      <c r="Q586" s="306" t="e">
        <f ca="1">ROUND(O586/100*$C586*O576,0)</f>
        <v>#DIV/0!</v>
      </c>
      <c r="R586" s="306"/>
      <c r="S586" s="589" t="e">
        <f ca="1">S573</f>
        <v>#DIV/0!</v>
      </c>
      <c r="T586" s="306" t="s">
        <v>364</v>
      </c>
      <c r="U586" s="306" t="e">
        <f ca="1">ROUND(S586/100*$C586*S576,0)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4">
      <c r="A587" s="308" t="s">
        <v>421</v>
      </c>
      <c r="B587" s="1"/>
      <c r="C587" s="304">
        <v>0</v>
      </c>
      <c r="D587" s="348">
        <v>60</v>
      </c>
      <c r="E587" s="349" t="s">
        <v>31</v>
      </c>
      <c r="F587" s="306">
        <f>ROUND(D587*$C587,0)</f>
        <v>0</v>
      </c>
      <c r="G587" s="348">
        <v>60</v>
      </c>
      <c r="H587" s="349" t="s">
        <v>31</v>
      </c>
      <c r="I587" s="306">
        <f>ROUND(G587*$C587,0)</f>
        <v>0</v>
      </c>
      <c r="J587" s="306"/>
      <c r="K587" s="348">
        <v>60</v>
      </c>
      <c r="L587" s="349" t="s">
        <v>31</v>
      </c>
      <c r="M587" s="306">
        <f>ROUND(K587*$C587,0)</f>
        <v>0</v>
      </c>
      <c r="N587" s="306"/>
      <c r="O587" s="348">
        <v>60</v>
      </c>
      <c r="P587" s="349" t="s">
        <v>31</v>
      </c>
      <c r="Q587" s="306">
        <f>ROUND(O587*$C587,0)</f>
        <v>0</v>
      </c>
      <c r="R587" s="306"/>
      <c r="S587" s="348">
        <v>60</v>
      </c>
      <c r="T587" s="349" t="s">
        <v>31</v>
      </c>
      <c r="U587" s="306">
        <f>ROUND(S587*$C587,0)</f>
        <v>0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4">
      <c r="A588" s="308" t="s">
        <v>422</v>
      </c>
      <c r="B588" s="1"/>
      <c r="C588" s="304">
        <v>0</v>
      </c>
      <c r="D588" s="321">
        <v>-30</v>
      </c>
      <c r="E588" s="306" t="s">
        <v>364</v>
      </c>
      <c r="F588" s="306">
        <f>ROUND(D588*$C588*$D$576,0)</f>
        <v>0</v>
      </c>
      <c r="G588" s="321">
        <v>-30</v>
      </c>
      <c r="H588" s="306" t="s">
        <v>364</v>
      </c>
      <c r="I588" s="306">
        <f>ROUND(G588*$C588*$G$576,0)</f>
        <v>0</v>
      </c>
      <c r="J588" s="306"/>
      <c r="K588" s="321">
        <v>-30</v>
      </c>
      <c r="L588" s="306" t="s">
        <v>364</v>
      </c>
      <c r="M588" s="306" t="e">
        <f>ROUND(K588*$C588*#REF!,0)</f>
        <v>#REF!</v>
      </c>
      <c r="N588" s="306"/>
      <c r="O588" s="321">
        <v>-30</v>
      </c>
      <c r="P588" s="306" t="s">
        <v>364</v>
      </c>
      <c r="Q588" s="306" t="e">
        <f>ROUND(O588*$C588*#REF!,0)</f>
        <v>#REF!</v>
      </c>
      <c r="R588" s="306"/>
      <c r="S588" s="321">
        <v>-30</v>
      </c>
      <c r="T588" s="306" t="s">
        <v>364</v>
      </c>
      <c r="U588" s="306" t="e">
        <f>ROUND(S588*$C588*#REF!,0)</f>
        <v>#REF!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4">
      <c r="A589" s="294" t="s">
        <v>423</v>
      </c>
      <c r="B589" s="1"/>
      <c r="C589" s="304">
        <v>0</v>
      </c>
      <c r="D589" s="319">
        <v>2.6850000000000001</v>
      </c>
      <c r="E589" s="306"/>
      <c r="F589" s="306"/>
      <c r="G589" s="340">
        <f ca="1">G582/2</f>
        <v>2.7349999999999999</v>
      </c>
      <c r="H589" s="306"/>
      <c r="I589" s="306">
        <f ca="1">ROUND($C589*G589,0)</f>
        <v>0</v>
      </c>
      <c r="J589" s="306"/>
      <c r="K589" s="340" t="e">
        <f ca="1">K582/2</f>
        <v>#REF!</v>
      </c>
      <c r="L589" s="306"/>
      <c r="M589" s="306" t="e">
        <f ca="1">ROUND($C589*K589,0)</f>
        <v>#REF!</v>
      </c>
      <c r="N589" s="306"/>
      <c r="O589" s="340">
        <f>O582/2</f>
        <v>0</v>
      </c>
      <c r="P589" s="306"/>
      <c r="Q589" s="306">
        <f>ROUND($C589*O589,0)</f>
        <v>0</v>
      </c>
      <c r="R589" s="306"/>
      <c r="S589" s="340">
        <f>S582/2</f>
        <v>0</v>
      </c>
      <c r="T589" s="306"/>
      <c r="U589" s="306">
        <f>ROUND($C589*S589,0)</f>
        <v>0</v>
      </c>
      <c r="V589" s="20"/>
      <c r="W589" s="74"/>
      <c r="X589" s="74"/>
      <c r="Y589" s="74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4">
      <c r="A590" s="294" t="s">
        <v>424</v>
      </c>
      <c r="B590" s="1"/>
      <c r="C590" s="304">
        <v>0</v>
      </c>
      <c r="D590" s="319">
        <v>21.48</v>
      </c>
      <c r="E590" s="306"/>
      <c r="F590" s="306"/>
      <c r="G590" s="340">
        <f ca="1">G582*4</f>
        <v>21.88</v>
      </c>
      <c r="H590" s="306"/>
      <c r="I590" s="306">
        <f ca="1">ROUND($C590*G590,0)</f>
        <v>0</v>
      </c>
      <c r="J590" s="306"/>
      <c r="K590" s="340" t="e">
        <f ca="1">K582*4</f>
        <v>#REF!</v>
      </c>
      <c r="L590" s="306"/>
      <c r="M590" s="306" t="e">
        <f ca="1">ROUND($C590*K590,0)</f>
        <v>#REF!</v>
      </c>
      <c r="N590" s="306"/>
      <c r="O590" s="340">
        <f>O582*4</f>
        <v>0</v>
      </c>
      <c r="P590" s="306"/>
      <c r="Q590" s="306">
        <f>ROUND($C590*O590,0)</f>
        <v>0</v>
      </c>
      <c r="R590" s="306"/>
      <c r="S590" s="340">
        <f>S582*4</f>
        <v>0</v>
      </c>
      <c r="T590" s="306"/>
      <c r="U590" s="306">
        <f>ROUND($C590*S590,0)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4">
      <c r="A591" s="3" t="s">
        <v>425</v>
      </c>
      <c r="B591" s="288"/>
      <c r="C591" s="304">
        <v>0</v>
      </c>
      <c r="D591" s="320">
        <v>20.8</v>
      </c>
      <c r="E591" s="306" t="s">
        <v>364</v>
      </c>
      <c r="F591" s="306">
        <f>ROUND($C591*D591/100,0)</f>
        <v>0</v>
      </c>
      <c r="G591" s="320">
        <f ca="1">(G571)*4</f>
        <v>21.151999999999997</v>
      </c>
      <c r="H591" s="306" t="s">
        <v>364</v>
      </c>
      <c r="I591" s="306">
        <f ca="1">ROUND($C591*G591/100,0)</f>
        <v>0</v>
      </c>
      <c r="J591" s="306"/>
      <c r="K591" s="320">
        <f>(K571)*4</f>
        <v>0</v>
      </c>
      <c r="L591" s="306" t="s">
        <v>364</v>
      </c>
      <c r="M591" s="306">
        <f>ROUND($C591*K591/100,0)</f>
        <v>0</v>
      </c>
      <c r="N591" s="306"/>
      <c r="O591" s="320" t="e">
        <f ca="1">(O571)*4</f>
        <v>#REF!</v>
      </c>
      <c r="P591" s="306" t="s">
        <v>364</v>
      </c>
      <c r="Q591" s="306" t="e">
        <f ca="1">ROUND($C591*O591/100,0)</f>
        <v>#REF!</v>
      </c>
      <c r="R591" s="306"/>
      <c r="S591" s="320" t="e">
        <f ca="1">(S571)*4</f>
        <v>#REF!</v>
      </c>
      <c r="T591" s="306" t="s">
        <v>364</v>
      </c>
      <c r="U591" s="306" t="e">
        <f ca="1">ROUND($C591*S591/100,0)</f>
        <v>#REF!</v>
      </c>
      <c r="V591" s="7" t="s">
        <v>74</v>
      </c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4" s="1118" customFormat="1" hidden="1">
      <c r="A592" s="968" t="s">
        <v>882</v>
      </c>
      <c r="C592" s="1122">
        <f>C583+C584</f>
        <v>0</v>
      </c>
      <c r="D592" s="254">
        <v>0</v>
      </c>
      <c r="E592" s="1119"/>
      <c r="F592" s="1123"/>
      <c r="G592" s="1128">
        <f>G615</f>
        <v>0</v>
      </c>
      <c r="H592" s="972" t="s">
        <v>364</v>
      </c>
      <c r="I592" s="1000">
        <f t="shared" ref="I592:I593" si="147">ROUND($C592*G592/100,0)</f>
        <v>0</v>
      </c>
      <c r="J592" s="1000"/>
      <c r="K592" s="1128" t="str">
        <f>K615</f>
        <v xml:space="preserve"> </v>
      </c>
      <c r="L592" s="972" t="s">
        <v>364</v>
      </c>
      <c r="M592" s="1000">
        <f t="shared" ref="M592:M593" si="148">ROUND($C592*K592/100,0)</f>
        <v>0</v>
      </c>
      <c r="N592" s="1000"/>
      <c r="O592" s="1128" t="str">
        <f>O615</f>
        <v xml:space="preserve"> </v>
      </c>
      <c r="P592" s="972" t="s">
        <v>364</v>
      </c>
      <c r="Q592" s="1000">
        <f t="shared" ref="Q592:Q593" si="149">ROUND($C592*O592/100,0)</f>
        <v>0</v>
      </c>
      <c r="R592" s="1000"/>
      <c r="S592" s="1128">
        <f>S615</f>
        <v>0</v>
      </c>
      <c r="T592" s="972" t="s">
        <v>364</v>
      </c>
      <c r="U592" s="1000">
        <f t="shared" ref="U592:U593" si="150">ROUND($C592*S592/100,0)</f>
        <v>0</v>
      </c>
      <c r="W592" s="784"/>
      <c r="Z592" s="1125"/>
      <c r="AA592" s="1125"/>
      <c r="AF592" s="1119"/>
      <c r="AG592" s="1119"/>
      <c r="AH592" s="1119"/>
      <c r="AI592" s="1119"/>
      <c r="AJ592" s="1119"/>
      <c r="AK592" s="1119"/>
      <c r="AL592" s="1119"/>
      <c r="AM592" s="1119"/>
      <c r="AN592" s="1119"/>
      <c r="AO592" s="1119"/>
      <c r="AP592" s="1119"/>
      <c r="AR592" s="1124"/>
    </row>
    <row r="593" spans="1:44" s="1118" customFormat="1" hidden="1">
      <c r="A593" s="968" t="s">
        <v>883</v>
      </c>
      <c r="C593" s="1122">
        <f>C584+C585</f>
        <v>0</v>
      </c>
      <c r="D593" s="254">
        <v>0</v>
      </c>
      <c r="E593" s="1119"/>
      <c r="F593" s="1123"/>
      <c r="G593" s="1128">
        <f>G616</f>
        <v>0</v>
      </c>
      <c r="H593" s="972" t="s">
        <v>364</v>
      </c>
      <c r="I593" s="1000">
        <f t="shared" si="147"/>
        <v>0</v>
      </c>
      <c r="J593" s="1000"/>
      <c r="K593" s="1128" t="str">
        <f>K616</f>
        <v xml:space="preserve"> </v>
      </c>
      <c r="L593" s="972" t="s">
        <v>364</v>
      </c>
      <c r="M593" s="1000">
        <f t="shared" si="148"/>
        <v>0</v>
      </c>
      <c r="N593" s="1000"/>
      <c r="O593" s="1128" t="str">
        <f>O616</f>
        <v xml:space="preserve"> </v>
      </c>
      <c r="P593" s="972" t="s">
        <v>364</v>
      </c>
      <c r="Q593" s="1000">
        <f t="shared" si="149"/>
        <v>0</v>
      </c>
      <c r="R593" s="1000"/>
      <c r="S593" s="1128">
        <f>S616</f>
        <v>0</v>
      </c>
      <c r="T593" s="972" t="s">
        <v>364</v>
      </c>
      <c r="U593" s="1000">
        <f t="shared" si="150"/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>
      <c r="A594" s="1" t="s">
        <v>371</v>
      </c>
      <c r="B594" s="1"/>
      <c r="C594" s="304">
        <f>SUM(C570:C571)</f>
        <v>0</v>
      </c>
      <c r="D594" s="315"/>
      <c r="E594" s="308"/>
      <c r="F594" s="2">
        <f>SUM(F561:F591)</f>
        <v>0</v>
      </c>
      <c r="G594" s="315"/>
      <c r="H594" s="308"/>
      <c r="I594" s="2">
        <f ca="1">SUM(I561:I593)</f>
        <v>0</v>
      </c>
      <c r="J594" s="2"/>
      <c r="K594" s="315"/>
      <c r="L594" s="308"/>
      <c r="M594" s="2" t="e">
        <f ca="1">SUM(M561:M593)</f>
        <v>#REF!</v>
      </c>
      <c r="N594" s="2"/>
      <c r="O594" s="315"/>
      <c r="P594" s="308"/>
      <c r="Q594" s="2" t="e">
        <f ca="1">SUM(Q561:Q593)</f>
        <v>#REF!</v>
      </c>
      <c r="R594" s="2"/>
      <c r="S594" s="315"/>
      <c r="T594" s="308"/>
      <c r="U594" s="2" t="e">
        <f ca="1">SUM(U561:U593)</f>
        <v>#REF!</v>
      </c>
      <c r="V594" s="20"/>
      <c r="W594" s="74"/>
      <c r="X594" s="74"/>
      <c r="Y594" s="74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</row>
    <row r="595" spans="1:44">
      <c r="A595" s="1" t="s">
        <v>353</v>
      </c>
      <c r="B595" s="1"/>
      <c r="C595" s="334">
        <v>0</v>
      </c>
      <c r="D595" s="294"/>
      <c r="E595" s="294"/>
      <c r="F595" s="295">
        <v>0</v>
      </c>
      <c r="G595" s="294"/>
      <c r="H595" s="294"/>
      <c r="I595" s="295">
        <v>0</v>
      </c>
      <c r="J595" s="51"/>
      <c r="K595" s="294"/>
      <c r="L595" s="294"/>
      <c r="M595" s="295">
        <v>0</v>
      </c>
      <c r="N595" s="51"/>
      <c r="O595" s="294"/>
      <c r="P595" s="294"/>
      <c r="Q595" s="295">
        <v>0</v>
      </c>
      <c r="R595" s="51"/>
      <c r="S595" s="294"/>
      <c r="T595" s="294"/>
      <c r="U595" s="295">
        <v>0</v>
      </c>
      <c r="V595" s="429"/>
      <c r="W595" s="272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 ht="16.5" thickBot="1">
      <c r="A596" s="1" t="s">
        <v>372</v>
      </c>
      <c r="B596" s="1"/>
      <c r="C596" s="351">
        <f>SUM(C594:C595)</f>
        <v>0</v>
      </c>
      <c r="D596" s="327"/>
      <c r="E596" s="330"/>
      <c r="F596" s="329">
        <f>SUM(F594:F595)</f>
        <v>0</v>
      </c>
      <c r="G596" s="327"/>
      <c r="H596" s="330"/>
      <c r="I596" s="329">
        <f ca="1">SUM(I594:I595)</f>
        <v>0</v>
      </c>
      <c r="J596" s="307"/>
      <c r="K596" s="327"/>
      <c r="L596" s="330"/>
      <c r="M596" s="329" t="e">
        <f ca="1">SUM(M594:M595)</f>
        <v>#REF!</v>
      </c>
      <c r="N596" s="329"/>
      <c r="O596" s="327"/>
      <c r="P596" s="330"/>
      <c r="Q596" s="329" t="e">
        <f ca="1">SUM(Q594:Q595)</f>
        <v>#REF!</v>
      </c>
      <c r="R596" s="329"/>
      <c r="S596" s="327"/>
      <c r="T596" s="330"/>
      <c r="U596" s="329" t="e">
        <f ca="1">SUM(U594:U595)</f>
        <v>#REF!</v>
      </c>
      <c r="V596" s="396"/>
      <c r="W596" s="455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Top="1">
      <c r="A597" s="1"/>
      <c r="B597" s="352"/>
      <c r="C597" s="21"/>
      <c r="D597" s="322"/>
      <c r="E597" s="1"/>
      <c r="F597" s="2"/>
      <c r="G597" s="322"/>
      <c r="H597" s="1"/>
      <c r="I597" s="2"/>
      <c r="J597" s="2"/>
      <c r="K597" s="322"/>
      <c r="L597" s="1"/>
      <c r="M597" s="2"/>
      <c r="N597" s="2"/>
      <c r="O597" s="322"/>
      <c r="P597" s="1"/>
      <c r="Q597" s="2"/>
      <c r="R597" s="2"/>
      <c r="S597" s="322"/>
      <c r="T597" s="1"/>
      <c r="U597" s="2"/>
      <c r="V597" s="20"/>
      <c r="W597" s="74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>
      <c r="A598" s="278" t="s">
        <v>426</v>
      </c>
      <c r="B598" s="1"/>
      <c r="C598" s="1"/>
      <c r="D598" s="2"/>
      <c r="E598" s="1"/>
      <c r="F598" s="1"/>
      <c r="G598" s="2"/>
      <c r="H598" s="1"/>
      <c r="I598" s="1"/>
      <c r="J598" s="1"/>
      <c r="K598" s="2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94" t="s">
        <v>427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308"/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 t="s">
        <v>383</v>
      </c>
      <c r="B601" s="1"/>
      <c r="C601" s="304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W601" s="74"/>
      <c r="X601" s="40" t="s">
        <v>246</v>
      </c>
      <c r="Y601" s="40"/>
      <c r="Z601" s="20"/>
      <c r="AA601" s="20"/>
      <c r="AB601" s="20"/>
      <c r="AC601" s="20"/>
      <c r="AD601" s="20"/>
      <c r="AE601" s="20"/>
      <c r="AF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411</v>
      </c>
      <c r="B602" s="1"/>
      <c r="C602" s="304">
        <f>C644+C682</f>
        <v>413.66666666666674</v>
      </c>
      <c r="D602" s="283">
        <v>259</v>
      </c>
      <c r="E602" s="308"/>
      <c r="F602" s="306">
        <f>F644+F682</f>
        <v>107139</v>
      </c>
      <c r="G602" s="286">
        <f ca="1">ROUND(D602*(1+$X$636),0)+1</f>
        <v>264</v>
      </c>
      <c r="H602" s="308"/>
      <c r="I602" s="306">
        <f ca="1">I644+I682</f>
        <v>109208</v>
      </c>
      <c r="J602" s="306"/>
      <c r="K602" s="286">
        <f ca="1">G602</f>
        <v>264</v>
      </c>
      <c r="L602" s="308"/>
      <c r="M602" s="306">
        <f ca="1">I602</f>
        <v>109208</v>
      </c>
      <c r="N602" s="306"/>
      <c r="O602" s="286" t="s">
        <v>31</v>
      </c>
      <c r="P602" s="308"/>
      <c r="Q602" s="2">
        <f>O602*C602</f>
        <v>0</v>
      </c>
      <c r="R602" s="2"/>
      <c r="S602" s="286" t="s">
        <v>31</v>
      </c>
      <c r="T602" s="1"/>
      <c r="U602" s="2">
        <f>S602*C602</f>
        <v>0</v>
      </c>
      <c r="X602" s="55">
        <f ca="1">(G602-D602)/D602</f>
        <v>1.9305019305019305E-2</v>
      </c>
      <c r="Y602" s="55"/>
      <c r="AG602" s="53"/>
      <c r="AH602" s="53"/>
      <c r="AK602" s="20"/>
      <c r="AL602" s="20"/>
      <c r="AM602" s="20"/>
      <c r="AN602" s="20"/>
      <c r="AO602" s="20"/>
      <c r="AP602" s="20"/>
    </row>
    <row r="603" spans="1:44">
      <c r="A603" s="308" t="s">
        <v>412</v>
      </c>
      <c r="B603" s="1"/>
      <c r="C603" s="304">
        <f>C645+C683</f>
        <v>8716.2666666666191</v>
      </c>
      <c r="D603" s="283">
        <v>96</v>
      </c>
      <c r="E603" s="308"/>
      <c r="F603" s="306">
        <f>F645+F683</f>
        <v>836762</v>
      </c>
      <c r="G603" s="286">
        <f ca="1">ROUND(D603*(1+$X$636),0)</f>
        <v>98</v>
      </c>
      <c r="H603" s="308"/>
      <c r="I603" s="306">
        <f ca="1">I645+I683</f>
        <v>854194</v>
      </c>
      <c r="J603" s="306"/>
      <c r="K603" s="286">
        <f ca="1">G603</f>
        <v>98</v>
      </c>
      <c r="L603" s="308"/>
      <c r="M603" s="306">
        <f t="shared" ref="M603:M604" ca="1" si="151">I603</f>
        <v>854194</v>
      </c>
      <c r="N603" s="306"/>
      <c r="O603" s="286" t="s">
        <v>31</v>
      </c>
      <c r="P603" s="308"/>
      <c r="Q603" s="2">
        <f>O603*C603</f>
        <v>0</v>
      </c>
      <c r="R603" s="2"/>
      <c r="S603" s="286" t="s">
        <v>31</v>
      </c>
      <c r="T603" s="1"/>
      <c r="U603" s="2">
        <f>S603*C603</f>
        <v>0</v>
      </c>
      <c r="X603" s="55">
        <f ca="1">(G603-D603)/D603</f>
        <v>2.0833333333333332E-2</v>
      </c>
      <c r="Y603" s="55"/>
      <c r="AA603" s="84"/>
      <c r="AB603" s="711"/>
      <c r="AC603" s="84"/>
      <c r="AD603" s="711"/>
      <c r="AE603" s="84"/>
      <c r="AF603" s="84"/>
      <c r="AG603" s="711"/>
      <c r="AH603" s="711"/>
      <c r="AJ603" s="222"/>
      <c r="AK603" s="20"/>
      <c r="AL603" s="20"/>
      <c r="AM603" s="20"/>
      <c r="AN603" s="20"/>
      <c r="AO603" s="20"/>
      <c r="AP603" s="20"/>
    </row>
    <row r="604" spans="1:44">
      <c r="A604" s="308" t="s">
        <v>413</v>
      </c>
      <c r="B604" s="1"/>
      <c r="C604" s="304">
        <f>C646+C684</f>
        <v>3900.3000000000029</v>
      </c>
      <c r="D604" s="283">
        <v>192</v>
      </c>
      <c r="E604" s="310"/>
      <c r="F604" s="306">
        <f>F646+F684</f>
        <v>748857</v>
      </c>
      <c r="G604" s="286">
        <f ca="1">ROUND(D604*(1+$X$636),0)</f>
        <v>195</v>
      </c>
      <c r="H604" s="310"/>
      <c r="I604" s="306">
        <f ca="1">I646+I684</f>
        <v>760559</v>
      </c>
      <c r="J604" s="306"/>
      <c r="K604" s="286">
        <f ca="1">G604</f>
        <v>195</v>
      </c>
      <c r="L604" s="310"/>
      <c r="M604" s="306">
        <f t="shared" ca="1" si="151"/>
        <v>760559</v>
      </c>
      <c r="N604" s="306"/>
      <c r="O604" s="286" t="s">
        <v>31</v>
      </c>
      <c r="P604" s="310"/>
      <c r="Q604" s="2">
        <f>O604*C604</f>
        <v>0</v>
      </c>
      <c r="R604" s="2"/>
      <c r="S604" s="286" t="s">
        <v>31</v>
      </c>
      <c r="T604" s="1"/>
      <c r="U604" s="2">
        <f>S604*C604</f>
        <v>0</v>
      </c>
      <c r="X604" s="55">
        <f ca="1">(G604-D604)/D604</f>
        <v>1.5625E-2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384</v>
      </c>
      <c r="B605" s="1"/>
      <c r="C605" s="304">
        <f>SUM(C602:C604)</f>
        <v>13030.233333333288</v>
      </c>
      <c r="D605" s="283"/>
      <c r="E605" s="308"/>
      <c r="F605" s="306"/>
      <c r="G605" s="286"/>
      <c r="H605" s="308"/>
      <c r="I605" s="306"/>
      <c r="J605" s="306"/>
      <c r="K605" s="286"/>
      <c r="L605" s="308"/>
      <c r="M605" s="306"/>
      <c r="N605" s="306"/>
      <c r="O605" s="286"/>
      <c r="P605" s="308"/>
      <c r="Q605" s="306"/>
      <c r="R605" s="306"/>
      <c r="S605" s="286"/>
      <c r="T605" s="308"/>
      <c r="U605" s="306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412</v>
      </c>
      <c r="B606" s="1"/>
      <c r="C606" s="304">
        <f>C648+C686</f>
        <v>1499067</v>
      </c>
      <c r="D606" s="283">
        <v>1.76</v>
      </c>
      <c r="E606" s="308" t="s">
        <v>31</v>
      </c>
      <c r="F606" s="306">
        <f>F648+F686</f>
        <v>2638358</v>
      </c>
      <c r="G606" s="286">
        <f ca="1">ROUND(D606*(1+$X$636),2)</f>
        <v>1.79</v>
      </c>
      <c r="H606" s="308" t="s">
        <v>31</v>
      </c>
      <c r="I606" s="306">
        <f ca="1">I648+I686</f>
        <v>2683330</v>
      </c>
      <c r="J606" s="306"/>
      <c r="K606" s="286">
        <f ca="1">G606</f>
        <v>1.79</v>
      </c>
      <c r="L606" s="308" t="s">
        <v>31</v>
      </c>
      <c r="M606" s="306">
        <f ca="1">I606</f>
        <v>2683330</v>
      </c>
      <c r="N606" s="306"/>
      <c r="O606" s="286" t="s">
        <v>31</v>
      </c>
      <c r="P606" s="308" t="s">
        <v>31</v>
      </c>
      <c r="Q606" s="2">
        <f>O606*C606</f>
        <v>0</v>
      </c>
      <c r="R606" s="2"/>
      <c r="S606" s="286" t="s">
        <v>31</v>
      </c>
      <c r="T606" s="1"/>
      <c r="U606" s="2">
        <f>S606*C606</f>
        <v>0</v>
      </c>
      <c r="W606" s="88" t="s">
        <v>31</v>
      </c>
      <c r="X606" s="55">
        <f ca="1">(G606-D606)/D606</f>
        <v>1.7045454545454562E-2</v>
      </c>
      <c r="Y606" s="55"/>
      <c r="AA606" s="84"/>
      <c r="AB606" s="712"/>
      <c r="AC606" s="84"/>
      <c r="AD606" s="712"/>
      <c r="AE606" s="84"/>
      <c r="AF606" s="84"/>
      <c r="AG606" s="712"/>
      <c r="AH606" s="712"/>
      <c r="AJ606" s="20"/>
      <c r="AK606" s="20"/>
      <c r="AL606" s="20"/>
      <c r="AM606" s="20"/>
      <c r="AN606" s="20"/>
      <c r="AO606" s="20"/>
      <c r="AP606" s="20"/>
    </row>
    <row r="607" spans="1:44">
      <c r="A607" s="308" t="s">
        <v>413</v>
      </c>
      <c r="B607" s="1"/>
      <c r="C607" s="304">
        <f>C649+C687</f>
        <v>1976046</v>
      </c>
      <c r="D607" s="283">
        <v>1.44</v>
      </c>
      <c r="E607" s="308" t="s">
        <v>31</v>
      </c>
      <c r="F607" s="306">
        <f>F649+F687</f>
        <v>2845506</v>
      </c>
      <c r="G607" s="286">
        <f ca="1">ROUND(D607*(1+$X$636),2)</f>
        <v>1.46</v>
      </c>
      <c r="H607" s="308" t="s">
        <v>31</v>
      </c>
      <c r="I607" s="306">
        <f ca="1">I649+I687</f>
        <v>2885027</v>
      </c>
      <c r="J607" s="306"/>
      <c r="K607" s="286">
        <f ca="1">G607</f>
        <v>1.46</v>
      </c>
      <c r="L607" s="308" t="s">
        <v>31</v>
      </c>
      <c r="M607" s="306">
        <f ca="1">I607</f>
        <v>2885027</v>
      </c>
      <c r="N607" s="306"/>
      <c r="O607" s="286" t="s">
        <v>31</v>
      </c>
      <c r="P607" s="308" t="s">
        <v>31</v>
      </c>
      <c r="Q607" s="2">
        <f>O607*C607</f>
        <v>0</v>
      </c>
      <c r="R607" s="2"/>
      <c r="S607" s="286" t="s">
        <v>31</v>
      </c>
      <c r="T607" s="1"/>
      <c r="U607" s="2">
        <f>S607*C607</f>
        <v>0</v>
      </c>
      <c r="X607" s="55">
        <f ca="1">(G607-D607)/D607</f>
        <v>1.3888888888888902E-2</v>
      </c>
      <c r="Y607" s="55"/>
      <c r="AA607" s="84"/>
      <c r="AB607" s="84"/>
      <c r="AJ607" s="20"/>
      <c r="AK607" s="20"/>
      <c r="AL607" s="20"/>
      <c r="AM607" s="20"/>
      <c r="AN607" s="20"/>
      <c r="AO607" s="20"/>
      <c r="AP607" s="20"/>
    </row>
    <row r="608" spans="1:44">
      <c r="A608" s="294" t="s">
        <v>414</v>
      </c>
      <c r="B608" s="1"/>
      <c r="C608" s="304"/>
      <c r="D608" s="340"/>
      <c r="E608" s="308"/>
      <c r="F608" s="306"/>
      <c r="G608" s="289"/>
      <c r="H608" s="308"/>
      <c r="I608" s="306"/>
      <c r="J608" s="306"/>
      <c r="K608" s="289"/>
      <c r="L608" s="308"/>
      <c r="M608" s="306"/>
      <c r="N608" s="306"/>
      <c r="O608" s="289"/>
      <c r="P608" s="308"/>
      <c r="Q608" s="306"/>
      <c r="R608" s="306"/>
      <c r="S608" s="289"/>
      <c r="T608" s="308"/>
      <c r="U608" s="306"/>
      <c r="Z608" s="69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415</v>
      </c>
      <c r="B609" s="1"/>
      <c r="C609" s="304">
        <f>C651+C689</f>
        <v>2642724.5</v>
      </c>
      <c r="D609" s="283">
        <v>5.37</v>
      </c>
      <c r="E609" s="308"/>
      <c r="F609" s="306">
        <f>F651+F689</f>
        <v>14191431</v>
      </c>
      <c r="G609" s="286">
        <f ca="1">ROUND(D609*(1+$X$636),2)+0.01</f>
        <v>5.47</v>
      </c>
      <c r="H609" s="308"/>
      <c r="I609" s="306">
        <f ca="1">I651+I689</f>
        <v>14455703</v>
      </c>
      <c r="J609" s="306"/>
      <c r="K609" s="286" t="e">
        <f ca="1">ROUND(M609/C609,2)</f>
        <v>#REF!</v>
      </c>
      <c r="L609" s="308"/>
      <c r="M609" s="306" t="e">
        <f ca="1">($V$639-$M$602-$M$603-$M$604-$M$606-$M$607-$M$610-$M$612-$M$613-$M$614-$M$615-$M$616-$M$620-$M$621-$M$622-$M$623-$M$624-$M$625-$M$626-$M$627-$M$628-$M$629-$M$630-$M$631-$M$632-$M$633-$M$635)</f>
        <v>#REF!</v>
      </c>
      <c r="N609" s="306"/>
      <c r="O609" s="286">
        <f>AC616</f>
        <v>0</v>
      </c>
      <c r="P609" s="308"/>
      <c r="Q609" s="306" t="e">
        <f ca="1">(I609-M609)*V609/(V609+W609)</f>
        <v>#REF!</v>
      </c>
      <c r="R609" s="306"/>
      <c r="S609" s="286">
        <f>AC615</f>
        <v>0</v>
      </c>
      <c r="T609" s="308"/>
      <c r="U609" s="306" t="e">
        <f ca="1">(I609-M609)*W609/(V609+W609)</f>
        <v>#REF!</v>
      </c>
      <c r="V609" s="314"/>
      <c r="X609" s="55">
        <f ca="1">(G609-D609)/D609</f>
        <v>1.8621973929236431E-2</v>
      </c>
      <c r="Y609" s="55"/>
      <c r="Z609" s="703"/>
      <c r="AA609" s="703"/>
      <c r="AB609" s="306"/>
      <c r="AC609" s="314"/>
      <c r="AD609" s="4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431</v>
      </c>
      <c r="B610" s="1"/>
      <c r="C610" s="304">
        <f>C652+C690</f>
        <v>3580.1666666666692</v>
      </c>
      <c r="D610" s="354">
        <v>5.37</v>
      </c>
      <c r="E610" s="308"/>
      <c r="F610" s="306">
        <f>F652+F690</f>
        <v>19226</v>
      </c>
      <c r="G610" s="774">
        <f ca="1">G609</f>
        <v>5.47</v>
      </c>
      <c r="H610" s="308"/>
      <c r="I610" s="306">
        <f ca="1">I652+I690</f>
        <v>19584</v>
      </c>
      <c r="J610" s="306"/>
      <c r="K610" s="774" t="e">
        <f ca="1">K609</f>
        <v>#REF!</v>
      </c>
      <c r="L610" s="308"/>
      <c r="M610" s="306" t="e">
        <f ca="1">K610*C610</f>
        <v>#REF!</v>
      </c>
      <c r="N610" s="306"/>
      <c r="O610" s="774">
        <f>O609</f>
        <v>0</v>
      </c>
      <c r="P610" s="308"/>
      <c r="Q610" s="306">
        <f>O610*C610</f>
        <v>0</v>
      </c>
      <c r="R610" s="306"/>
      <c r="S610" s="774">
        <f>S609</f>
        <v>0</v>
      </c>
      <c r="T610" s="308"/>
      <c r="U610" s="306">
        <f>S610*C610</f>
        <v>0</v>
      </c>
      <c r="V610" s="314"/>
      <c r="X610" s="55">
        <f ca="1">(G610-D610)/D610</f>
        <v>1.8621973929236431E-2</v>
      </c>
      <c r="Y610" s="55"/>
      <c r="Z610" s="69"/>
      <c r="AC610" s="314"/>
      <c r="AD610" s="4"/>
      <c r="AJ610" s="20"/>
      <c r="AK610" s="20"/>
      <c r="AL610" s="20"/>
      <c r="AM610" s="20"/>
      <c r="AN610" s="20"/>
      <c r="AO610" s="20"/>
      <c r="AP610" s="20"/>
    </row>
    <row r="611" spans="1:44">
      <c r="A611" s="308" t="s">
        <v>416</v>
      </c>
      <c r="B611" s="1"/>
      <c r="C611" s="304"/>
      <c r="D611" s="283"/>
      <c r="E611" s="308"/>
      <c r="F611" s="306"/>
      <c r="G611" s="286"/>
      <c r="H611" s="308"/>
      <c r="I611" s="306"/>
      <c r="J611" s="306"/>
      <c r="K611" s="286"/>
      <c r="L611" s="308"/>
      <c r="M611" s="306"/>
      <c r="N611" s="306"/>
      <c r="O611" s="286"/>
      <c r="P611" s="308"/>
      <c r="Q611" s="306"/>
      <c r="R611" s="306"/>
      <c r="S611" s="286"/>
      <c r="T611" s="308"/>
      <c r="U611" s="306"/>
      <c r="Z611" s="88"/>
      <c r="AD611" s="1326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417</v>
      </c>
      <c r="B612" s="304"/>
      <c r="C612" s="304">
        <f>C654+C692</f>
        <v>406603312.8503738</v>
      </c>
      <c r="D612" s="312">
        <v>5.6790000000000003</v>
      </c>
      <c r="E612" s="308" t="s">
        <v>364</v>
      </c>
      <c r="F612" s="306">
        <f>F654+F692</f>
        <v>23091003</v>
      </c>
      <c r="G612" s="775">
        <f ca="1">ROUND(D612*(1+X636),3)-0.002</f>
        <v>5.7730000000000006</v>
      </c>
      <c r="H612" s="308" t="s">
        <v>364</v>
      </c>
      <c r="I612" s="306">
        <f ca="1">I654+I692</f>
        <v>23473210</v>
      </c>
      <c r="J612" s="306"/>
      <c r="K612" s="775" t="s">
        <v>31</v>
      </c>
      <c r="L612" s="308" t="s">
        <v>31</v>
      </c>
      <c r="M612" s="306">
        <f>K612*C612</f>
        <v>0</v>
      </c>
      <c r="N612" s="306"/>
      <c r="O612" s="775" t="e">
        <f ca="1">ROUND(Q612/$C$612*100,3)</f>
        <v>#REF!</v>
      </c>
      <c r="P612" s="308" t="s">
        <v>364</v>
      </c>
      <c r="Q612" s="306" t="e">
        <f ca="1">($W$639-$Q$602-$Q$603-$Q$604-$Q$606-$Q$607-$Q$609-$Q$610-$Q$614-$Q$615-$Q$616-$Q$620-$Q$621-$Q$622-$Q$623-$Q$624-$Q$625-$Q$626-$Q$627-$Q$628-$Q$629-$Q$630-$Q$631-$Q$632-$Q$633-$Q$635)*($I$612/($I$612+$I$613))</f>
        <v>#REF!</v>
      </c>
      <c r="R612" s="306"/>
      <c r="S612" s="775" t="e">
        <f ca="1">ROUND(U612/$C$612*100,3)</f>
        <v>#REF!</v>
      </c>
      <c r="T612" s="308" t="s">
        <v>364</v>
      </c>
      <c r="U612" s="306" t="e">
        <f ca="1">($X$639-$U$602-$U$603-$U$604-$U$606-$U$607-$U$609-$U$610-$U$614-$U$615-$U$616-$U$620-$U$621-$U$622-$U$623-$U$624-$U$625-$U$626-$U$627-$U$628-$U$629-$U$630-$U$631-$U$632-$U$633-$U$635)*($I$612/($I$612+$I$613))</f>
        <v>#REF!</v>
      </c>
      <c r="X612" s="55">
        <f ca="1">((G612+G615)-D612)/D612</f>
        <v>1.6552209896108522E-2</v>
      </c>
      <c r="Y612" s="55"/>
      <c r="Z612" s="69"/>
      <c r="AD612" s="1326"/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389</v>
      </c>
      <c r="B613" s="304"/>
      <c r="C613" s="304">
        <f>C655+C693</f>
        <v>515912822.9645322</v>
      </c>
      <c r="D613" s="312">
        <v>5.2</v>
      </c>
      <c r="E613" s="308" t="s">
        <v>364</v>
      </c>
      <c r="F613" s="306">
        <f>F655+F693</f>
        <v>26827467</v>
      </c>
      <c r="G613" s="775">
        <f ca="1">ROUND(G612/D612*D613,3)+0.002</f>
        <v>5.2879999999999994</v>
      </c>
      <c r="H613" s="308" t="s">
        <v>364</v>
      </c>
      <c r="I613" s="306">
        <f ca="1">I655+I693</f>
        <v>27281470</v>
      </c>
      <c r="J613" s="306"/>
      <c r="K613" s="775" t="s">
        <v>31</v>
      </c>
      <c r="L613" s="308" t="s">
        <v>31</v>
      </c>
      <c r="M613" s="306">
        <f>K613*C613</f>
        <v>0</v>
      </c>
      <c r="N613" s="306"/>
      <c r="O613" s="775" t="e">
        <f ca="1">ROUND(Q613/$C$613*100,3)</f>
        <v>#REF!</v>
      </c>
      <c r="P613" s="308" t="s">
        <v>364</v>
      </c>
      <c r="Q613" s="306" t="e">
        <f ca="1">($W$639-$Q$602-$Q$603-$Q$604-$Q$606-$Q$607-$Q$609-$Q$610-$Q$614-$Q$615-$Q$616-$Q$620-$Q$621-$Q$622-$Q$623-$Q$624-$Q$625-$Q$626-$Q$627-$Q$628-$Q$629-$Q$630-$Q$631-$Q$632-$Q$633-$Q$635)*($I$613/($I$612+$I$613))</f>
        <v>#REF!</v>
      </c>
      <c r="R613" s="306"/>
      <c r="S613" s="775" t="e">
        <f ca="1">ROUND(U613/$C$613*100,3)</f>
        <v>#REF!</v>
      </c>
      <c r="T613" s="308" t="s">
        <v>364</v>
      </c>
      <c r="U613" s="306" t="e">
        <f ca="1">($X$639-$U$602-$U$603-$U$604-$U$606-$U$607-$U$609-$U$610-$U$614-$U$615-$U$616-$U$620-$U$621-$U$622-$U$623-$U$624-$U$625-$U$626-$U$627-$U$628-$U$629-$U$630-$U$631-$U$632-$U$633-$U$635)*($I$613/($I$612+$I$613))</f>
        <v>#REF!</v>
      </c>
      <c r="X613" s="55">
        <f ca="1">((G613+G616)-D613)/D613</f>
        <v>1.6923076923076767E-2</v>
      </c>
      <c r="Y613" s="55"/>
      <c r="Z613" s="69"/>
      <c r="AC613" s="314"/>
      <c r="AD613" s="4"/>
      <c r="AK613" s="20"/>
      <c r="AL613" s="20"/>
      <c r="AM613" s="20"/>
      <c r="AN613" s="20"/>
      <c r="AO613" s="20"/>
      <c r="AP613" s="20"/>
    </row>
    <row r="614" spans="1:44">
      <c r="A614" s="308" t="s">
        <v>390</v>
      </c>
      <c r="B614" s="1"/>
      <c r="C614" s="304">
        <f>C656+C694</f>
        <v>494491.933333333</v>
      </c>
      <c r="D614" s="589">
        <v>56</v>
      </c>
      <c r="E614" s="308" t="s">
        <v>364</v>
      </c>
      <c r="F614" s="306">
        <f>F656+F694</f>
        <v>276915</v>
      </c>
      <c r="G614" s="286">
        <f ca="1">ROUND(D614*(1+$X$636),0)</f>
        <v>57</v>
      </c>
      <c r="H614" s="308" t="s">
        <v>364</v>
      </c>
      <c r="I614" s="306">
        <f ca="1">I656+I694</f>
        <v>281861</v>
      </c>
      <c r="J614" s="306"/>
      <c r="K614" s="1131" t="s">
        <v>31</v>
      </c>
      <c r="L614" s="308" t="s">
        <v>31</v>
      </c>
      <c r="M614" s="306">
        <f>K614*C614</f>
        <v>0</v>
      </c>
      <c r="N614" s="306"/>
      <c r="O614" s="589" t="e">
        <f ca="1">ROUND(Q614/C614*100,0)</f>
        <v>#DIV/0!</v>
      </c>
      <c r="P614" s="308" t="s">
        <v>364</v>
      </c>
      <c r="Q614" s="306" t="e">
        <f ca="1">$I$614*W639/($W$639+$X$639)</f>
        <v>#DIV/0!</v>
      </c>
      <c r="R614" s="306"/>
      <c r="S614" s="589" t="e">
        <f ca="1">ROUND(U614/C614*100,0)</f>
        <v>#DIV/0!</v>
      </c>
      <c r="T614" s="308" t="s">
        <v>364</v>
      </c>
      <c r="U614" s="306" t="e">
        <f ca="1">$I$614*X639/($W$639+$X$639)</f>
        <v>#DIV/0!</v>
      </c>
      <c r="X614" s="55">
        <f ca="1">(G614-D614)/D614</f>
        <v>1.7857142857142856E-2</v>
      </c>
      <c r="Y614" s="55"/>
      <c r="Z614" s="69"/>
      <c r="AC614" s="314"/>
      <c r="AD614" s="4"/>
      <c r="AK614" s="20"/>
      <c r="AL614" s="20"/>
      <c r="AM614" s="20"/>
      <c r="AN614" s="20"/>
      <c r="AO614" s="20"/>
      <c r="AP614" s="20"/>
    </row>
    <row r="615" spans="1:44" s="1118" customFormat="1" hidden="1">
      <c r="A615" s="968" t="s">
        <v>882</v>
      </c>
      <c r="C615" s="987">
        <f>C612</f>
        <v>406603312.8503738</v>
      </c>
      <c r="D615" s="254">
        <v>0</v>
      </c>
      <c r="E615" s="1119"/>
      <c r="F615" s="1123"/>
      <c r="G615" s="1128">
        <v>0</v>
      </c>
      <c r="H615" s="1000" t="s">
        <v>364</v>
      </c>
      <c r="I615" s="1000">
        <f>I657+I695</f>
        <v>0</v>
      </c>
      <c r="J615" s="1000"/>
      <c r="K615" s="1128" t="s">
        <v>31</v>
      </c>
      <c r="L615" s="1000" t="s">
        <v>31</v>
      </c>
      <c r="M615" s="999">
        <f>K615*C615</f>
        <v>0</v>
      </c>
      <c r="N615" s="1000"/>
      <c r="O615" s="1128" t="s">
        <v>31</v>
      </c>
      <c r="P615" s="1000" t="s">
        <v>31</v>
      </c>
      <c r="Q615" s="999">
        <f>O615*C615</f>
        <v>0</v>
      </c>
      <c r="R615" s="1000"/>
      <c r="S615" s="1128">
        <f>G615</f>
        <v>0</v>
      </c>
      <c r="T615" s="1000" t="s">
        <v>364</v>
      </c>
      <c r="U615" s="1000">
        <f>U657+U695</f>
        <v>0</v>
      </c>
      <c r="V615" s="1124"/>
      <c r="W615" s="784"/>
      <c r="Z615" s="1125"/>
      <c r="AA615" s="1125"/>
      <c r="AD615" s="1326"/>
      <c r="AE615" s="3"/>
      <c r="AF615" s="1119"/>
      <c r="AG615" s="1119"/>
      <c r="AH615" s="1119"/>
      <c r="AI615" s="1119"/>
      <c r="AJ615" s="1119"/>
      <c r="AK615" s="1119"/>
      <c r="AL615" s="1119"/>
      <c r="AM615" s="1119"/>
      <c r="AN615" s="1119"/>
      <c r="AO615" s="1119"/>
      <c r="AP615" s="1119"/>
      <c r="AR615" s="1124"/>
    </row>
    <row r="616" spans="1:44" s="1118" customFormat="1" hidden="1">
      <c r="A616" s="968" t="s">
        <v>883</v>
      </c>
      <c r="C616" s="987">
        <f>C613</f>
        <v>515912822.9645322</v>
      </c>
      <c r="D616" s="254">
        <v>0</v>
      </c>
      <c r="E616" s="1119"/>
      <c r="F616" s="1123"/>
      <c r="G616" s="1128">
        <v>0</v>
      </c>
      <c r="H616" s="1000" t="s">
        <v>364</v>
      </c>
      <c r="I616" s="1000">
        <f>I658+I696</f>
        <v>0</v>
      </c>
      <c r="J616" s="1000"/>
      <c r="K616" s="1128" t="s">
        <v>31</v>
      </c>
      <c r="L616" s="1000" t="s">
        <v>31</v>
      </c>
      <c r="M616" s="999">
        <f>K616*C616</f>
        <v>0</v>
      </c>
      <c r="N616" s="1000"/>
      <c r="O616" s="1128" t="s">
        <v>31</v>
      </c>
      <c r="P616" s="1000" t="s">
        <v>31</v>
      </c>
      <c r="Q616" s="999">
        <f>O616*C616</f>
        <v>0</v>
      </c>
      <c r="R616" s="1000"/>
      <c r="S616" s="1128">
        <f>G616</f>
        <v>0</v>
      </c>
      <c r="T616" s="1000" t="s">
        <v>364</v>
      </c>
      <c r="U616" s="1000">
        <f>U658+U696</f>
        <v>0</v>
      </c>
      <c r="V616" s="968" t="s">
        <v>31</v>
      </c>
      <c r="W616" s="784"/>
      <c r="Z616" s="1125"/>
      <c r="AA616" s="1125"/>
      <c r="AD616" s="1326"/>
      <c r="AE616" s="3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1255" t="s">
        <v>870</v>
      </c>
      <c r="B617" s="1256"/>
      <c r="C617" s="1262"/>
      <c r="D617" s="1265">
        <v>5.6790000000000003</v>
      </c>
      <c r="E617" s="1263" t="s">
        <v>364</v>
      </c>
      <c r="F617" s="1259"/>
      <c r="G617" s="1265">
        <f ca="1">G612+G615</f>
        <v>5.7730000000000006</v>
      </c>
      <c r="H617" s="1263" t="s">
        <v>364</v>
      </c>
      <c r="I617" s="1266"/>
      <c r="J617" s="1266"/>
      <c r="K617" s="1265">
        <f>K612+K615</f>
        <v>0</v>
      </c>
      <c r="L617" s="1263" t="s">
        <v>31</v>
      </c>
      <c r="M617" s="1266"/>
      <c r="N617" s="1266"/>
      <c r="O617" s="1265" t="e">
        <f ca="1">O612+O615</f>
        <v>#REF!</v>
      </c>
      <c r="P617" s="1263" t="s">
        <v>364</v>
      </c>
      <c r="Q617" s="1266"/>
      <c r="R617" s="1266"/>
      <c r="S617" s="1265" t="e">
        <f ca="1">S612+S615</f>
        <v>#REF!</v>
      </c>
      <c r="T617" s="1263" t="s">
        <v>364</v>
      </c>
      <c r="U617" s="1266"/>
      <c r="V617" s="968"/>
      <c r="W617" s="784"/>
      <c r="X617" s="55">
        <f ca="1">(G617-D617)/D617</f>
        <v>1.6552209896108522E-2</v>
      </c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871</v>
      </c>
      <c r="B618" s="1256"/>
      <c r="C618" s="1262"/>
      <c r="D618" s="1265">
        <v>5.2</v>
      </c>
      <c r="E618" s="1263" t="s">
        <v>364</v>
      </c>
      <c r="F618" s="1259"/>
      <c r="G618" s="1265">
        <f ca="1">G613+G616</f>
        <v>5.2879999999999994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1328"/>
      <c r="W618" s="1329"/>
      <c r="X618" s="55">
        <f ca="1">(G618-D618)/D618</f>
        <v>1.6923076923076767E-2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>
      <c r="A619" s="345" t="s">
        <v>391</v>
      </c>
      <c r="B619" s="1"/>
      <c r="C619" s="304"/>
      <c r="D619" s="317">
        <v>-0.01</v>
      </c>
      <c r="E619" s="1"/>
      <c r="F619" s="306"/>
      <c r="G619" s="776">
        <v>-0.01</v>
      </c>
      <c r="H619" s="1"/>
      <c r="I619" s="306"/>
      <c r="J619" s="306"/>
      <c r="K619" s="776">
        <v>-0.01</v>
      </c>
      <c r="L619" s="1"/>
      <c r="M619" s="306"/>
      <c r="N619" s="306"/>
      <c r="O619" s="776">
        <v>-0.01</v>
      </c>
      <c r="P619" s="1"/>
      <c r="Q619" s="306"/>
      <c r="R619" s="306"/>
      <c r="S619" s="776">
        <v>-0.01</v>
      </c>
      <c r="T619" s="1"/>
      <c r="U619" s="306"/>
      <c r="AK619" s="20"/>
      <c r="AL619" s="20"/>
      <c r="AM619" s="20"/>
      <c r="AN619" s="20"/>
      <c r="AO619" s="20"/>
      <c r="AP619" s="20"/>
    </row>
    <row r="620" spans="1:44">
      <c r="A620" s="308" t="s">
        <v>411</v>
      </c>
      <c r="B620" s="1"/>
      <c r="C620" s="304">
        <f t="shared" ref="C620:C631" si="152">C660+C698</f>
        <v>7</v>
      </c>
      <c r="D620" s="289">
        <v>259</v>
      </c>
      <c r="E620" s="278"/>
      <c r="F620" s="306">
        <f t="shared" ref="F620:F631" si="153">F660+F698</f>
        <v>-18</v>
      </c>
      <c r="G620" s="289">
        <f ca="1">G602</f>
        <v>264</v>
      </c>
      <c r="H620" s="278"/>
      <c r="I620" s="306">
        <f t="shared" ref="I620:I631" ca="1" si="154">I660+I698</f>
        <v>-18</v>
      </c>
      <c r="J620" s="306"/>
      <c r="K620" s="289">
        <f ca="1">K602</f>
        <v>264</v>
      </c>
      <c r="L620" s="278"/>
      <c r="M620" s="306">
        <f ca="1">I620</f>
        <v>-18</v>
      </c>
      <c r="N620" s="306"/>
      <c r="O620" s="289" t="str">
        <f>O602</f>
        <v xml:space="preserve"> </v>
      </c>
      <c r="P620" s="278"/>
      <c r="Q620" s="307">
        <f t="shared" ref="Q620:Q626" si="155">O620*C620*$O$619</f>
        <v>0</v>
      </c>
      <c r="R620" s="306"/>
      <c r="S620" s="289" t="str">
        <f>S602</f>
        <v xml:space="preserve"> </v>
      </c>
      <c r="T620" s="278"/>
      <c r="U620" s="307">
        <f t="shared" ref="U620:U626" si="156">S620*C620*$S$619</f>
        <v>0</v>
      </c>
      <c r="W620" s="88" t="s">
        <v>31</v>
      </c>
      <c r="AK620" s="20"/>
      <c r="AL620" s="20"/>
      <c r="AM620" s="20"/>
      <c r="AN620" s="20"/>
      <c r="AO620" s="20"/>
      <c r="AP620" s="20"/>
    </row>
    <row r="621" spans="1:44">
      <c r="A621" s="308" t="s">
        <v>412</v>
      </c>
      <c r="B621" s="1"/>
      <c r="C621" s="304">
        <f t="shared" si="152"/>
        <v>57.099999999999966</v>
      </c>
      <c r="D621" s="289">
        <v>96</v>
      </c>
      <c r="E621" s="278"/>
      <c r="F621" s="306">
        <f t="shared" si="153"/>
        <v>-55</v>
      </c>
      <c r="G621" s="289">
        <f ca="1">G603</f>
        <v>98</v>
      </c>
      <c r="H621" s="278"/>
      <c r="I621" s="306">
        <f t="shared" ca="1" si="154"/>
        <v>-56</v>
      </c>
      <c r="J621" s="306"/>
      <c r="K621" s="289">
        <f ca="1">K603</f>
        <v>98</v>
      </c>
      <c r="L621" s="278"/>
      <c r="M621" s="306">
        <f t="shared" ref="M621:M624" ca="1" si="157">I621</f>
        <v>-56</v>
      </c>
      <c r="N621" s="306"/>
      <c r="O621" s="289" t="str">
        <f>O603</f>
        <v xml:space="preserve"> </v>
      </c>
      <c r="P621" s="278"/>
      <c r="Q621" s="307">
        <f t="shared" si="155"/>
        <v>0</v>
      </c>
      <c r="R621" s="306"/>
      <c r="S621" s="289" t="str">
        <f>S603</f>
        <v xml:space="preserve"> </v>
      </c>
      <c r="T621" s="278"/>
      <c r="U621" s="307">
        <f t="shared" si="156"/>
        <v>0</v>
      </c>
      <c r="W621" s="356"/>
      <c r="AA621" s="4" t="s">
        <v>31</v>
      </c>
      <c r="AJ621" s="20"/>
      <c r="AK621" s="20"/>
      <c r="AL621" s="20"/>
      <c r="AM621" s="20"/>
      <c r="AN621" s="20"/>
      <c r="AO621" s="20"/>
      <c r="AP621" s="20"/>
    </row>
    <row r="622" spans="1:44">
      <c r="A622" s="308" t="s">
        <v>413</v>
      </c>
      <c r="B622" s="1"/>
      <c r="C622" s="304">
        <f t="shared" si="152"/>
        <v>71.866666666666703</v>
      </c>
      <c r="D622" s="289">
        <v>192</v>
      </c>
      <c r="E622" s="358"/>
      <c r="F622" s="306">
        <f t="shared" si="153"/>
        <v>-138</v>
      </c>
      <c r="G622" s="289">
        <f ca="1">G604</f>
        <v>195</v>
      </c>
      <c r="H622" s="358"/>
      <c r="I622" s="306">
        <f t="shared" ca="1" si="154"/>
        <v>-140</v>
      </c>
      <c r="J622" s="306"/>
      <c r="K622" s="289">
        <f ca="1">K604</f>
        <v>195</v>
      </c>
      <c r="L622" s="358"/>
      <c r="M622" s="306">
        <f t="shared" ca="1" si="157"/>
        <v>-140</v>
      </c>
      <c r="N622" s="306"/>
      <c r="O622" s="289" t="str">
        <f>O604</f>
        <v xml:space="preserve"> </v>
      </c>
      <c r="P622" s="358"/>
      <c r="Q622" s="307">
        <f t="shared" si="155"/>
        <v>0</v>
      </c>
      <c r="R622" s="306"/>
      <c r="S622" s="289" t="str">
        <f>S604</f>
        <v xml:space="preserve"> </v>
      </c>
      <c r="T622" s="358"/>
      <c r="U622" s="307">
        <f t="shared" si="156"/>
        <v>0</v>
      </c>
      <c r="W622" s="1271" t="s">
        <v>31</v>
      </c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412</v>
      </c>
      <c r="B623" s="1"/>
      <c r="C623" s="304">
        <f t="shared" si="152"/>
        <v>8475</v>
      </c>
      <c r="D623" s="289">
        <v>1.76</v>
      </c>
      <c r="E623" s="278"/>
      <c r="F623" s="306">
        <f t="shared" si="153"/>
        <v>-149</v>
      </c>
      <c r="G623" s="289">
        <f ca="1">G606</f>
        <v>1.79</v>
      </c>
      <c r="H623" s="278"/>
      <c r="I623" s="306">
        <f t="shared" ca="1" si="154"/>
        <v>-151</v>
      </c>
      <c r="J623" s="306"/>
      <c r="K623" s="289">
        <f ca="1">K606</f>
        <v>1.79</v>
      </c>
      <c r="L623" s="278"/>
      <c r="M623" s="306">
        <f t="shared" ca="1" si="157"/>
        <v>-151</v>
      </c>
      <c r="N623" s="306"/>
      <c r="O623" s="289" t="str">
        <f>O606</f>
        <v xml:space="preserve"> </v>
      </c>
      <c r="P623" s="278"/>
      <c r="Q623" s="307">
        <f t="shared" si="155"/>
        <v>0</v>
      </c>
      <c r="R623" s="306"/>
      <c r="S623" s="289" t="str">
        <f>S606</f>
        <v xml:space="preserve"> </v>
      </c>
      <c r="T623" s="278"/>
      <c r="U623" s="307">
        <f t="shared" si="156"/>
        <v>0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413</v>
      </c>
      <c r="B624" s="1"/>
      <c r="C624" s="304">
        <f t="shared" si="152"/>
        <v>44991</v>
      </c>
      <c r="D624" s="289">
        <v>1.44</v>
      </c>
      <c r="E624" s="278"/>
      <c r="F624" s="306">
        <f t="shared" si="153"/>
        <v>-648</v>
      </c>
      <c r="G624" s="289">
        <f ca="1">G607</f>
        <v>1.46</v>
      </c>
      <c r="H624" s="278"/>
      <c r="I624" s="306">
        <f t="shared" ca="1" si="154"/>
        <v>-657</v>
      </c>
      <c r="J624" s="306"/>
      <c r="K624" s="289">
        <f ca="1">K607</f>
        <v>1.46</v>
      </c>
      <c r="L624" s="278"/>
      <c r="M624" s="306">
        <f t="shared" ca="1" si="157"/>
        <v>-657</v>
      </c>
      <c r="N624" s="306"/>
      <c r="O624" s="289" t="str">
        <f>O607</f>
        <v xml:space="preserve"> </v>
      </c>
      <c r="P624" s="278"/>
      <c r="Q624" s="307">
        <f t="shared" si="155"/>
        <v>0</v>
      </c>
      <c r="R624" s="306"/>
      <c r="S624" s="289" t="str">
        <f>S607</f>
        <v xml:space="preserve"> </v>
      </c>
      <c r="T624" s="278"/>
      <c r="U624" s="307">
        <f t="shared" si="156"/>
        <v>0</v>
      </c>
      <c r="W624" s="88" t="s">
        <v>31</v>
      </c>
      <c r="AJ624" s="20"/>
      <c r="AK624" s="20"/>
      <c r="AL624" s="20"/>
      <c r="AM624" s="20"/>
      <c r="AN624" s="20"/>
      <c r="AO624" s="20"/>
      <c r="AP624" s="20"/>
    </row>
    <row r="625" spans="1:44">
      <c r="A625" s="294" t="s">
        <v>415</v>
      </c>
      <c r="B625" s="1"/>
      <c r="C625" s="304">
        <f t="shared" si="152"/>
        <v>35876</v>
      </c>
      <c r="D625" s="289">
        <v>5.37</v>
      </c>
      <c r="E625" s="278"/>
      <c r="F625" s="306">
        <f t="shared" si="153"/>
        <v>-1926</v>
      </c>
      <c r="G625" s="289">
        <f ca="1">G609</f>
        <v>5.47</v>
      </c>
      <c r="H625" s="278"/>
      <c r="I625" s="306">
        <f t="shared" ca="1" si="154"/>
        <v>-1962</v>
      </c>
      <c r="J625" s="306"/>
      <c r="K625" s="289" t="e">
        <f ca="1">K609</f>
        <v>#REF!</v>
      </c>
      <c r="L625" s="278"/>
      <c r="M625" s="306" t="e">
        <f ca="1">K625*C625*K619</f>
        <v>#REF!</v>
      </c>
      <c r="N625" s="306"/>
      <c r="O625" s="289">
        <f>O609</f>
        <v>0</v>
      </c>
      <c r="P625" s="278"/>
      <c r="Q625" s="306">
        <f t="shared" si="155"/>
        <v>0</v>
      </c>
      <c r="R625" s="306"/>
      <c r="S625" s="289">
        <f>S609</f>
        <v>0</v>
      </c>
      <c r="T625" s="278"/>
      <c r="U625" s="306">
        <f t="shared" si="156"/>
        <v>0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431</v>
      </c>
      <c r="B626" s="1"/>
      <c r="C626" s="304">
        <f t="shared" si="152"/>
        <v>307</v>
      </c>
      <c r="D626" s="289">
        <v>5.37</v>
      </c>
      <c r="E626" s="278"/>
      <c r="F626" s="306">
        <f t="shared" si="153"/>
        <v>-16</v>
      </c>
      <c r="G626" s="289">
        <f ca="1">G610</f>
        <v>5.47</v>
      </c>
      <c r="H626" s="278"/>
      <c r="I626" s="306">
        <f t="shared" ca="1" si="154"/>
        <v>-17</v>
      </c>
      <c r="J626" s="306"/>
      <c r="K626" s="289" t="e">
        <f ca="1">K610</f>
        <v>#REF!</v>
      </c>
      <c r="L626" s="278"/>
      <c r="M626" s="306" t="e">
        <f ca="1">K626*C626*K619</f>
        <v>#REF!</v>
      </c>
      <c r="N626" s="306"/>
      <c r="O626" s="289">
        <f>O610</f>
        <v>0</v>
      </c>
      <c r="P626" s="278"/>
      <c r="Q626" s="306">
        <f t="shared" si="155"/>
        <v>0</v>
      </c>
      <c r="R626" s="306"/>
      <c r="S626" s="289">
        <f>S610</f>
        <v>0</v>
      </c>
      <c r="T626" s="278"/>
      <c r="U626" s="306">
        <f t="shared" si="156"/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308" t="s">
        <v>417</v>
      </c>
      <c r="B627" s="1"/>
      <c r="C627" s="304">
        <f t="shared" si="152"/>
        <v>4639573.3333333302</v>
      </c>
      <c r="D627" s="359">
        <v>5.6790000000000003</v>
      </c>
      <c r="E627" s="308" t="s">
        <v>364</v>
      </c>
      <c r="F627" s="306">
        <f t="shared" si="153"/>
        <v>-2635</v>
      </c>
      <c r="G627" s="359">
        <f ca="1">G612</f>
        <v>5.7730000000000006</v>
      </c>
      <c r="H627" s="308" t="s">
        <v>364</v>
      </c>
      <c r="I627" s="306">
        <f t="shared" ca="1" si="154"/>
        <v>-2678</v>
      </c>
      <c r="J627" s="306"/>
      <c r="K627" s="359" t="str">
        <f>K612</f>
        <v xml:space="preserve"> </v>
      </c>
      <c r="L627" s="308" t="s">
        <v>31</v>
      </c>
      <c r="M627" s="306">
        <f>K627*C627</f>
        <v>0</v>
      </c>
      <c r="N627" s="306"/>
      <c r="O627" s="359" t="e">
        <f ca="1">O612</f>
        <v>#REF!</v>
      </c>
      <c r="P627" s="308" t="s">
        <v>364</v>
      </c>
      <c r="Q627" s="306" t="e">
        <f ca="1">O627*C627/100*$O$619</f>
        <v>#REF!</v>
      </c>
      <c r="R627" s="306"/>
      <c r="S627" s="359" t="e">
        <f ca="1">S612</f>
        <v>#REF!</v>
      </c>
      <c r="T627" s="308" t="s">
        <v>364</v>
      </c>
      <c r="U627" s="306" t="e">
        <f ca="1">S627*C627/100*$S$619</f>
        <v>#REF!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389</v>
      </c>
      <c r="B628" s="1"/>
      <c r="C628" s="304">
        <f t="shared" si="152"/>
        <v>8425606.6666666716</v>
      </c>
      <c r="D628" s="359">
        <v>5.2</v>
      </c>
      <c r="E628" s="308" t="s">
        <v>364</v>
      </c>
      <c r="F628" s="306">
        <f t="shared" si="153"/>
        <v>-4381</v>
      </c>
      <c r="G628" s="359">
        <f ca="1">G613</f>
        <v>5.2879999999999994</v>
      </c>
      <c r="H628" s="308" t="s">
        <v>364</v>
      </c>
      <c r="I628" s="306">
        <f t="shared" ca="1" si="154"/>
        <v>-4455</v>
      </c>
      <c r="J628" s="306"/>
      <c r="K628" s="359" t="str">
        <f>K613</f>
        <v xml:space="preserve"> </v>
      </c>
      <c r="L628" s="308" t="s">
        <v>31</v>
      </c>
      <c r="M628" s="306">
        <f>K628*C628</f>
        <v>0</v>
      </c>
      <c r="N628" s="306"/>
      <c r="O628" s="359" t="e">
        <f ca="1">O613</f>
        <v>#REF!</v>
      </c>
      <c r="P628" s="308" t="s">
        <v>364</v>
      </c>
      <c r="Q628" s="306" t="e">
        <f ca="1">O628*C628/100*$O$619</f>
        <v>#REF!</v>
      </c>
      <c r="R628" s="306"/>
      <c r="S628" s="359" t="e">
        <f ca="1">S613</f>
        <v>#REF!</v>
      </c>
      <c r="T628" s="308" t="s">
        <v>364</v>
      </c>
      <c r="U628" s="306" t="e">
        <f ca="1">S628*C628/100*$S$619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390</v>
      </c>
      <c r="B629" s="1"/>
      <c r="C629" s="304">
        <f t="shared" si="152"/>
        <v>8751.9666666666617</v>
      </c>
      <c r="D629" s="360">
        <v>56</v>
      </c>
      <c r="E629" s="308" t="s">
        <v>364</v>
      </c>
      <c r="F629" s="306">
        <f t="shared" si="153"/>
        <v>-49</v>
      </c>
      <c r="G629" s="360">
        <f ca="1">G614</f>
        <v>57</v>
      </c>
      <c r="H629" s="308" t="s">
        <v>364</v>
      </c>
      <c r="I629" s="306">
        <f t="shared" ca="1" si="154"/>
        <v>-49</v>
      </c>
      <c r="J629" s="306"/>
      <c r="K629" s="360" t="str">
        <f>K614</f>
        <v xml:space="preserve"> </v>
      </c>
      <c r="L629" s="308" t="s">
        <v>31</v>
      </c>
      <c r="M629" s="306">
        <f>K629*C629</f>
        <v>0</v>
      </c>
      <c r="N629" s="306"/>
      <c r="O629" s="360" t="e">
        <f ca="1">O614</f>
        <v>#DIV/0!</v>
      </c>
      <c r="P629" s="308" t="s">
        <v>364</v>
      </c>
      <c r="Q629" s="306" t="e">
        <f t="shared" ref="Q629" ca="1" si="158">Q669+Q707</f>
        <v>#DIV/0!</v>
      </c>
      <c r="R629" s="306"/>
      <c r="S629" s="360" t="e">
        <f ca="1">S614</f>
        <v>#DIV/0!</v>
      </c>
      <c r="T629" s="308" t="s">
        <v>364</v>
      </c>
      <c r="U629" s="306" t="e">
        <f t="shared" ref="U629" ca="1" si="159">U669+U707</f>
        <v>#DIV/0!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433</v>
      </c>
      <c r="B630" s="1"/>
      <c r="C630" s="304">
        <f t="shared" si="152"/>
        <v>135.96666666666667</v>
      </c>
      <c r="D630" s="283">
        <v>60</v>
      </c>
      <c r="E630" s="1"/>
      <c r="F630" s="306">
        <f t="shared" si="153"/>
        <v>8158</v>
      </c>
      <c r="G630" s="283">
        <f>'Blocking - detail'!I504</f>
        <v>60</v>
      </c>
      <c r="H630" s="1"/>
      <c r="I630" s="306">
        <f t="shared" si="154"/>
        <v>8158</v>
      </c>
      <c r="J630" s="306"/>
      <c r="K630" s="286" t="s">
        <v>31</v>
      </c>
      <c r="L630" s="1"/>
      <c r="M630" s="306">
        <f>K630*C630</f>
        <v>0</v>
      </c>
      <c r="N630" s="306"/>
      <c r="O630" s="283" t="e">
        <f>Q630/C630</f>
        <v>#DIV/0!</v>
      </c>
      <c r="P630" s="1"/>
      <c r="Q630" s="306" t="e">
        <f>I630*(W639/(W639+X639))</f>
        <v>#DIV/0!</v>
      </c>
      <c r="R630" s="306"/>
      <c r="S630" s="283" t="e">
        <f>U630/C630</f>
        <v>#DIV/0!</v>
      </c>
      <c r="T630" s="1"/>
      <c r="U630" s="306" t="e">
        <f>I630*(X639/(W639+X639))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434</v>
      </c>
      <c r="B631" s="1"/>
      <c r="C631" s="304">
        <f t="shared" si="152"/>
        <v>53526</v>
      </c>
      <c r="D631" s="324">
        <v>-30</v>
      </c>
      <c r="E631" s="306" t="s">
        <v>364</v>
      </c>
      <c r="F631" s="306">
        <f t="shared" si="153"/>
        <v>-16058</v>
      </c>
      <c r="G631" s="324">
        <f>'Blocking - detail'!I505</f>
        <v>-30</v>
      </c>
      <c r="H631" s="306" t="s">
        <v>364</v>
      </c>
      <c r="I631" s="306">
        <f t="shared" si="154"/>
        <v>-16058</v>
      </c>
      <c r="J631" s="306"/>
      <c r="K631" s="324">
        <f>G631</f>
        <v>-30</v>
      </c>
      <c r="L631" s="306" t="s">
        <v>364</v>
      </c>
      <c r="M631" s="306">
        <f>I631</f>
        <v>-16058</v>
      </c>
      <c r="N631" s="306"/>
      <c r="O631" s="1281" t="s">
        <v>31</v>
      </c>
      <c r="P631" s="306" t="s">
        <v>31</v>
      </c>
      <c r="Q631" s="307">
        <f>O631*C631</f>
        <v>0</v>
      </c>
      <c r="R631" s="306"/>
      <c r="S631" s="1281" t="s">
        <v>31</v>
      </c>
      <c r="T631" s="306" t="s">
        <v>31</v>
      </c>
      <c r="U631" s="307">
        <f>S631*C631</f>
        <v>0</v>
      </c>
      <c r="AJ631" s="20"/>
      <c r="AK631" s="20"/>
      <c r="AL631" s="20"/>
      <c r="AM631" s="20"/>
      <c r="AN631" s="20"/>
      <c r="AO631" s="20"/>
      <c r="AP631" s="20"/>
    </row>
    <row r="632" spans="1:44" s="1118" customFormat="1" hidden="1">
      <c r="A632" s="968" t="s">
        <v>882</v>
      </c>
      <c r="C632" s="987">
        <f>C627</f>
        <v>4639573.3333333302</v>
      </c>
      <c r="D632" s="254">
        <v>0</v>
      </c>
      <c r="E632" s="1119"/>
      <c r="F632" s="1123"/>
      <c r="G632" s="1128">
        <f>G615</f>
        <v>0</v>
      </c>
      <c r="H632" s="1000" t="s">
        <v>364</v>
      </c>
      <c r="I632" s="306">
        <f t="shared" ref="I632:I633" si="160">I672+I710</f>
        <v>0</v>
      </c>
      <c r="J632" s="306"/>
      <c r="K632" s="1128" t="str">
        <f>K615</f>
        <v xml:space="preserve"> </v>
      </c>
      <c r="L632" s="1000" t="s">
        <v>31</v>
      </c>
      <c r="M632" s="999">
        <f>K632*C632/100*K619</f>
        <v>0</v>
      </c>
      <c r="N632" s="306"/>
      <c r="O632" s="1128" t="s">
        <v>31</v>
      </c>
      <c r="P632" s="1000" t="s">
        <v>31</v>
      </c>
      <c r="Q632" s="999">
        <f>O632*C632/100*O619</f>
        <v>0</v>
      </c>
      <c r="R632" s="306"/>
      <c r="S632" s="1128">
        <f>S615</f>
        <v>0</v>
      </c>
      <c r="T632" s="1000" t="s">
        <v>364</v>
      </c>
      <c r="U632" s="306">
        <f>I632</f>
        <v>0</v>
      </c>
      <c r="W632" s="784"/>
      <c r="Z632" s="1125"/>
      <c r="AA632" s="1125"/>
      <c r="AF632" s="1119"/>
      <c r="AG632" s="1119"/>
      <c r="AH632" s="1119"/>
      <c r="AI632" s="1119"/>
      <c r="AJ632" s="1119"/>
      <c r="AK632" s="1119"/>
      <c r="AL632" s="1119"/>
      <c r="AM632" s="1119"/>
      <c r="AN632" s="1119"/>
      <c r="AO632" s="1119"/>
      <c r="AP632" s="1119"/>
      <c r="AR632" s="1124"/>
    </row>
    <row r="633" spans="1:44" s="1118" customFormat="1" hidden="1">
      <c r="A633" s="968" t="s">
        <v>883</v>
      </c>
      <c r="C633" s="987">
        <f>C628</f>
        <v>8425606.6666666716</v>
      </c>
      <c r="D633" s="254"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60"/>
        <v>0</v>
      </c>
      <c r="J633" s="306"/>
      <c r="K633" s="1128" t="str">
        <f>K616</f>
        <v xml:space="preserve"> </v>
      </c>
      <c r="L633" s="1000" t="s">
        <v>31</v>
      </c>
      <c r="M633" s="999">
        <f>K633*C633/100*K619</f>
        <v>0</v>
      </c>
      <c r="N633" s="306"/>
      <c r="O633" s="1128" t="s">
        <v>31</v>
      </c>
      <c r="P633" s="1000" t="s">
        <v>31</v>
      </c>
      <c r="Q633" s="999">
        <f>O633*C633/100*O619</f>
        <v>0</v>
      </c>
      <c r="R633" s="306"/>
      <c r="S633" s="1128">
        <f>S616</f>
        <v>0</v>
      </c>
      <c r="T633" s="1000" t="s">
        <v>364</v>
      </c>
      <c r="U633" s="306">
        <f>I633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>
      <c r="A634" s="1" t="s">
        <v>371</v>
      </c>
      <c r="B634" s="65"/>
      <c r="C634" s="304">
        <f>C674+C712</f>
        <v>922516135.814906</v>
      </c>
      <c r="D634" s="309"/>
      <c r="E634" s="1"/>
      <c r="F634" s="2">
        <f>F674+F712</f>
        <v>71564749</v>
      </c>
      <c r="G634" s="2"/>
      <c r="H634" s="1"/>
      <c r="I634" s="2">
        <f t="shared" ref="I634" ca="1" si="161">I674+I712</f>
        <v>72786063</v>
      </c>
      <c r="J634" s="2"/>
      <c r="K634" s="2"/>
      <c r="L634" s="1"/>
      <c r="M634" s="2" t="e">
        <f ca="1">SUM(M602:M633)</f>
        <v>#REF!</v>
      </c>
      <c r="N634" s="2"/>
      <c r="O634" s="2"/>
      <c r="P634" s="1"/>
      <c r="Q634" s="2" t="e">
        <f ca="1">SUM(Q602:Q633)</f>
        <v>#REF!</v>
      </c>
      <c r="R634" s="2"/>
      <c r="S634" s="2"/>
      <c r="T634" s="1"/>
      <c r="U634" s="2" t="e">
        <f ca="1">SUM(U602:U633)</f>
        <v>#REF!</v>
      </c>
      <c r="X634" s="773"/>
      <c r="Y634" s="773"/>
      <c r="AJ634" s="20"/>
      <c r="AK634" s="20"/>
      <c r="AL634" s="20"/>
      <c r="AM634" s="20"/>
      <c r="AN634" s="20"/>
      <c r="AO634" s="20"/>
      <c r="AP634" s="20"/>
    </row>
    <row r="635" spans="1:44">
      <c r="A635" s="1" t="s">
        <v>353</v>
      </c>
      <c r="B635" s="25"/>
      <c r="C635" s="325">
        <f ca="1">C675+C713</f>
        <v>6097942.0909218071</v>
      </c>
      <c r="D635" s="294"/>
      <c r="E635" s="294"/>
      <c r="F635" s="295">
        <f ca="1">F675+F713</f>
        <v>526986.3902728206</v>
      </c>
      <c r="G635" s="294"/>
      <c r="H635" s="294"/>
      <c r="I635" s="295">
        <f ca="1">F635</f>
        <v>526986.3902728206</v>
      </c>
      <c r="J635" s="51"/>
      <c r="K635" s="294"/>
      <c r="L635" s="294"/>
      <c r="M635" s="295" t="e">
        <f ca="1">$I$635*V639/($V$639+$W$639+$X$639)</f>
        <v>#DIV/0!</v>
      </c>
      <c r="N635" s="51"/>
      <c r="O635" s="294"/>
      <c r="P635" s="294"/>
      <c r="Q635" s="295" t="e">
        <f ca="1">$I$635*W639/($V$639+$W$639+$X$639)</f>
        <v>#DIV/0!</v>
      </c>
      <c r="R635" s="51"/>
      <c r="S635" s="294"/>
      <c r="T635" s="294"/>
      <c r="U635" s="295" t="e">
        <f ca="1">$I$635*X639/($V$639+$W$639+$X$639)</f>
        <v>#DIV/0!</v>
      </c>
      <c r="V635" s="274"/>
      <c r="W635" s="275"/>
      <c r="AJ635" s="20"/>
      <c r="AK635" s="20"/>
      <c r="AL635" s="20"/>
      <c r="AM635" s="20"/>
      <c r="AN635" s="20"/>
      <c r="AO635" s="20"/>
      <c r="AP635" s="20"/>
    </row>
    <row r="636" spans="1:44" ht="16.5" thickBot="1">
      <c r="A636" s="1" t="s">
        <v>372</v>
      </c>
      <c r="B636" s="1"/>
      <c r="C636" s="351">
        <f ca="1">SUM(C634)+C635</f>
        <v>928614077.90582776</v>
      </c>
      <c r="D636" s="327"/>
      <c r="E636" s="330"/>
      <c r="F636" s="329">
        <f ca="1">F634+F635</f>
        <v>72091735.390272826</v>
      </c>
      <c r="G636" s="327"/>
      <c r="H636" s="330"/>
      <c r="I636" s="329">
        <f ca="1">I634+I635</f>
        <v>73313049.390272826</v>
      </c>
      <c r="J636" s="329"/>
      <c r="K636" s="327"/>
      <c r="L636" s="330"/>
      <c r="M636" s="329" t="e">
        <f ca="1">M634+M635</f>
        <v>#REF!</v>
      </c>
      <c r="N636" s="329"/>
      <c r="O636" s="327"/>
      <c r="P636" s="330"/>
      <c r="Q636" s="329" t="e">
        <f ca="1">Q634+Q635</f>
        <v>#REF!</v>
      </c>
      <c r="R636" s="329"/>
      <c r="S636" s="327"/>
      <c r="T636" s="330"/>
      <c r="U636" s="329" t="e">
        <f ca="1">U634+U635</f>
        <v>#REF!</v>
      </c>
      <c r="V636" s="757" t="s">
        <v>399</v>
      </c>
      <c r="W636" s="1082">
        <f ca="1">'Rate Spread targets'!Q26*1000</f>
        <v>73313073.820560843</v>
      </c>
      <c r="X636" s="1417">
        <f ca="1">'Rate Spread targets'!V26</f>
        <v>1.6941448609556001E-2</v>
      </c>
      <c r="Y636" s="751"/>
      <c r="Z636" s="770">
        <f ca="1">'Rate Spread targets'!V26</f>
        <v>1.6941448609556001E-2</v>
      </c>
      <c r="AA636" s="4" t="s">
        <v>894</v>
      </c>
      <c r="AJ636" s="20"/>
      <c r="AK636" s="20"/>
      <c r="AL636" s="20"/>
      <c r="AM636" s="20"/>
      <c r="AN636" s="20"/>
      <c r="AO636" s="20"/>
      <c r="AP636" s="20"/>
    </row>
    <row r="637" spans="1:44" ht="16.5" thickTop="1">
      <c r="A637" s="1"/>
      <c r="B637" s="1"/>
      <c r="C637" s="26"/>
      <c r="D637" s="336"/>
      <c r="E637" s="23"/>
      <c r="F637" s="307"/>
      <c r="G637" s="336"/>
      <c r="H637" s="23"/>
      <c r="I637" s="307"/>
      <c r="J637" s="307"/>
      <c r="K637" s="336"/>
      <c r="L637" s="23"/>
      <c r="M637" s="307"/>
      <c r="N637" s="307"/>
      <c r="O637" s="336"/>
      <c r="P637" s="23"/>
      <c r="Q637" s="307"/>
      <c r="R637" s="307"/>
      <c r="S637" s="336"/>
      <c r="T637" s="23"/>
      <c r="U637" s="307"/>
      <c r="V637" s="112" t="s">
        <v>257</v>
      </c>
      <c r="W637" s="780">
        <f ca="1">W636-I636</f>
        <v>24.430288016796112</v>
      </c>
      <c r="X637" s="783" t="s">
        <v>31</v>
      </c>
      <c r="Y637" s="751"/>
      <c r="Z637" s="55"/>
      <c r="AJ637" s="20"/>
      <c r="AK637" s="20"/>
      <c r="AL637" s="20"/>
      <c r="AM637" s="20"/>
      <c r="AN637" s="20"/>
      <c r="AO637" s="20"/>
      <c r="AP637" s="20"/>
    </row>
    <row r="638" spans="1:44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307"/>
      <c r="V638" s="1279"/>
      <c r="W638" s="1279"/>
      <c r="X638" s="719"/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>
      <c r="A639" s="1"/>
      <c r="B639" s="1"/>
      <c r="C639" s="21"/>
      <c r="D639" s="322" t="s">
        <v>31</v>
      </c>
      <c r="E639" s="1"/>
      <c r="F639" s="2" t="s">
        <v>31</v>
      </c>
      <c r="G639" s="338" t="s">
        <v>31</v>
      </c>
      <c r="H639" s="1"/>
      <c r="I639" s="2" t="s">
        <v>31</v>
      </c>
      <c r="J639" s="2"/>
      <c r="K639" s="338" t="s">
        <v>31</v>
      </c>
      <c r="L639" s="1"/>
      <c r="M639" s="2" t="s">
        <v>31</v>
      </c>
      <c r="N639" s="2"/>
      <c r="O639" s="338" t="s">
        <v>31</v>
      </c>
      <c r="P639" s="1"/>
      <c r="Q639" s="2" t="s">
        <v>31</v>
      </c>
      <c r="R639" s="2"/>
      <c r="S639" s="338" t="s">
        <v>31</v>
      </c>
      <c r="T639" s="1"/>
      <c r="U639" s="2" t="s">
        <v>31</v>
      </c>
      <c r="V639" s="1124"/>
      <c r="W639" s="1124"/>
      <c r="X639" s="1124"/>
      <c r="Y639" s="1129"/>
      <c r="AJ639" s="20"/>
      <c r="AK639" s="20"/>
      <c r="AL639" s="20"/>
      <c r="AM639" s="20"/>
      <c r="AN639" s="20"/>
      <c r="AO639" s="20"/>
      <c r="AP639" s="20"/>
    </row>
    <row r="640" spans="1:44">
      <c r="A640" s="278" t="s">
        <v>426</v>
      </c>
      <c r="B640" s="1"/>
      <c r="C640" s="1"/>
      <c r="D640" s="2"/>
      <c r="E640" s="1"/>
      <c r="F640" s="1"/>
      <c r="G640" s="2"/>
      <c r="H640" s="1"/>
      <c r="I640" s="1"/>
      <c r="J640" s="1"/>
      <c r="K640" s="2"/>
      <c r="L640" s="1"/>
      <c r="M640" s="1"/>
      <c r="N640" s="1"/>
      <c r="O640" s="2"/>
      <c r="P640" s="1"/>
      <c r="Q640" s="1"/>
      <c r="R640" s="1"/>
      <c r="S640" s="2"/>
      <c r="T640" s="1"/>
      <c r="U640" s="1"/>
      <c r="AJ640" s="20"/>
      <c r="AK640" s="20"/>
      <c r="AL640" s="20"/>
      <c r="AM640" s="20"/>
      <c r="AN640" s="20"/>
      <c r="AO640" s="20"/>
      <c r="AP640" s="20"/>
    </row>
    <row r="641" spans="1:42">
      <c r="A641" s="294" t="s">
        <v>435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W641" s="261" t="s">
        <v>31</v>
      </c>
      <c r="AJ641" s="20"/>
      <c r="AK641" s="20"/>
      <c r="AL641" s="20"/>
      <c r="AM641" s="20"/>
      <c r="AN641" s="20"/>
      <c r="AO641" s="20"/>
      <c r="AP641" s="20"/>
    </row>
    <row r="642" spans="1:42">
      <c r="A642" s="308"/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20"/>
      <c r="W642" s="74"/>
      <c r="X642" s="74"/>
      <c r="Y642" s="74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</row>
    <row r="643" spans="1:42">
      <c r="A643" s="308" t="s">
        <v>383</v>
      </c>
      <c r="B643" s="1"/>
      <c r="C643" s="304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>
      <c r="A644" s="308" t="s">
        <v>411</v>
      </c>
      <c r="B644" s="1"/>
      <c r="C644" s="304">
        <v>389.06666666666672</v>
      </c>
      <c r="D644" s="283">
        <v>259</v>
      </c>
      <c r="E644" s="308"/>
      <c r="F644" s="306">
        <f>ROUND(D644*C644,0)</f>
        <v>100768</v>
      </c>
      <c r="G644" s="283">
        <f ca="1">$G$602</f>
        <v>264</v>
      </c>
      <c r="H644" s="308"/>
      <c r="I644" s="306">
        <f ca="1">ROUND(G644*$C644,0)</f>
        <v>102714</v>
      </c>
      <c r="J644" s="306"/>
      <c r="K644" s="283">
        <f ca="1">$K$602</f>
        <v>264</v>
      </c>
      <c r="L644" s="308"/>
      <c r="M644" s="306">
        <f ca="1">ROUND(K644*$C644,0)</f>
        <v>102714</v>
      </c>
      <c r="N644" s="306"/>
      <c r="O644" s="283" t="str">
        <f>$O$602</f>
        <v xml:space="preserve"> </v>
      </c>
      <c r="P644" s="308"/>
      <c r="Q644" s="306">
        <f>ROUND(O644*$C644,0)</f>
        <v>0</v>
      </c>
      <c r="R644" s="306"/>
      <c r="S644" s="283" t="str">
        <f>$S$602</f>
        <v xml:space="preserve"> </v>
      </c>
      <c r="T644" s="308"/>
      <c r="U644" s="306">
        <f>ROUND(S644*$C644,0)</f>
        <v>0</v>
      </c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>
      <c r="A645" s="308" t="s">
        <v>412</v>
      </c>
      <c r="B645" s="1"/>
      <c r="C645" s="304">
        <v>7908.9999999999536</v>
      </c>
      <c r="D645" s="283">
        <v>96</v>
      </c>
      <c r="E645" s="308"/>
      <c r="F645" s="306">
        <f>ROUND(D645*C645,0)</f>
        <v>759264</v>
      </c>
      <c r="G645" s="283">
        <f ca="1">$G$603</f>
        <v>98</v>
      </c>
      <c r="H645" s="308"/>
      <c r="I645" s="306">
        <f ca="1">ROUND(G645*$C645,0)</f>
        <v>775082</v>
      </c>
      <c r="J645" s="306"/>
      <c r="K645" s="283">
        <f ca="1">$K$603</f>
        <v>98</v>
      </c>
      <c r="L645" s="308"/>
      <c r="M645" s="306">
        <f ca="1">ROUND(K645*$C645,0)</f>
        <v>775082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>
      <c r="A646" s="308" t="s">
        <v>413</v>
      </c>
      <c r="B646" s="1"/>
      <c r="C646" s="304">
        <v>3359.0333333333369</v>
      </c>
      <c r="D646" s="283">
        <v>192</v>
      </c>
      <c r="E646" s="310"/>
      <c r="F646" s="306">
        <f>ROUND(D646*C646,0)</f>
        <v>644934</v>
      </c>
      <c r="G646" s="283">
        <f ca="1">$G$604</f>
        <v>195</v>
      </c>
      <c r="H646" s="310"/>
      <c r="I646" s="306">
        <f ca="1">ROUND(G646*$C646,0)</f>
        <v>655012</v>
      </c>
      <c r="J646" s="306"/>
      <c r="K646" s="283">
        <f ca="1">$K$604</f>
        <v>195</v>
      </c>
      <c r="L646" s="310"/>
      <c r="M646" s="306">
        <f ca="1">ROUND(K646*$C646,0)</f>
        <v>655012</v>
      </c>
      <c r="N646" s="306"/>
      <c r="O646" s="283" t="str">
        <f>$O$604</f>
        <v xml:space="preserve"> </v>
      </c>
      <c r="P646" s="310"/>
      <c r="Q646" s="306">
        <f>ROUND(O646*$C646,0)</f>
        <v>0</v>
      </c>
      <c r="R646" s="306"/>
      <c r="S646" s="283" t="str">
        <f>$S$604</f>
        <v xml:space="preserve"> </v>
      </c>
      <c r="T646" s="310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>
      <c r="A647" s="308" t="s">
        <v>384</v>
      </c>
      <c r="B647" s="1"/>
      <c r="C647" s="304">
        <f>SUM(C644:C646)</f>
        <v>11657.099999999957</v>
      </c>
      <c r="D647" s="283"/>
      <c r="E647" s="308"/>
      <c r="F647" s="306"/>
      <c r="G647" s="283"/>
      <c r="H647" s="308"/>
      <c r="I647" s="306"/>
      <c r="J647" s="306"/>
      <c r="K647" s="283"/>
      <c r="L647" s="308"/>
      <c r="M647" s="306"/>
      <c r="N647" s="306"/>
      <c r="O647" s="283"/>
      <c r="P647" s="308"/>
      <c r="Q647" s="306"/>
      <c r="R647" s="306"/>
      <c r="S647" s="283"/>
      <c r="T647" s="308"/>
      <c r="U647" s="306"/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>
      <c r="A648" s="308" t="s">
        <v>412</v>
      </c>
      <c r="B648" s="1"/>
      <c r="C648" s="304">
        <v>1361738.5</v>
      </c>
      <c r="D648" s="283">
        <v>1.76</v>
      </c>
      <c r="E648" s="308" t="s">
        <v>31</v>
      </c>
      <c r="F648" s="306">
        <f>ROUND(D648*C648,0)</f>
        <v>2396660</v>
      </c>
      <c r="G648" s="283">
        <f ca="1">$G$606</f>
        <v>1.79</v>
      </c>
      <c r="H648" s="308" t="s">
        <v>31</v>
      </c>
      <c r="I648" s="306">
        <f ca="1">ROUND(G648*$C648,0)</f>
        <v>2437512</v>
      </c>
      <c r="J648" s="306"/>
      <c r="K648" s="283">
        <f ca="1">$K$606</f>
        <v>1.79</v>
      </c>
      <c r="L648" s="308" t="s">
        <v>31</v>
      </c>
      <c r="M648" s="306">
        <f ca="1">ROUND(K648*$C648,0)</f>
        <v>2437512</v>
      </c>
      <c r="N648" s="306"/>
      <c r="O648" s="283" t="str">
        <f>$O$606</f>
        <v xml:space="preserve"> </v>
      </c>
      <c r="P648" s="308" t="s">
        <v>31</v>
      </c>
      <c r="Q648" s="306">
        <f>ROUND(O648*$C648,0)</f>
        <v>0</v>
      </c>
      <c r="R648" s="306"/>
      <c r="S648" s="283" t="str">
        <f>$S$606</f>
        <v xml:space="preserve"> </v>
      </c>
      <c r="T648" s="308" t="s">
        <v>31</v>
      </c>
      <c r="U648" s="306">
        <f>ROUND(S648*$C648,0)</f>
        <v>0</v>
      </c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>
      <c r="A649" s="308" t="s">
        <v>413</v>
      </c>
      <c r="B649" s="1"/>
      <c r="C649" s="304">
        <v>1673144</v>
      </c>
      <c r="D649" s="283">
        <v>1.44</v>
      </c>
      <c r="E649" s="308" t="s">
        <v>31</v>
      </c>
      <c r="F649" s="306">
        <f>ROUND(D649*C649,0)</f>
        <v>2409327</v>
      </c>
      <c r="G649" s="283">
        <f ca="1">$G$607</f>
        <v>1.46</v>
      </c>
      <c r="H649" s="308" t="s">
        <v>31</v>
      </c>
      <c r="I649" s="306">
        <f ca="1">ROUND(G649*$C649,0)</f>
        <v>2442790</v>
      </c>
      <c r="J649" s="306"/>
      <c r="K649" s="283">
        <f ca="1">$K$607</f>
        <v>1.46</v>
      </c>
      <c r="L649" s="308" t="s">
        <v>31</v>
      </c>
      <c r="M649" s="306">
        <f ca="1">ROUND(K649*$C649,0)</f>
        <v>2442790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>
      <c r="A650" s="294" t="s">
        <v>414</v>
      </c>
      <c r="B650" s="1"/>
      <c r="C650" s="304"/>
      <c r="D650" s="340"/>
      <c r="E650" s="308"/>
      <c r="F650" s="306"/>
      <c r="G650" s="340"/>
      <c r="H650" s="308"/>
      <c r="I650" s="306"/>
      <c r="J650" s="306"/>
      <c r="K650" s="340"/>
      <c r="L650" s="308"/>
      <c r="M650" s="306"/>
      <c r="N650" s="306"/>
      <c r="O650" s="340"/>
      <c r="P650" s="308"/>
      <c r="Q650" s="306"/>
      <c r="R650" s="306"/>
      <c r="S650" s="340"/>
      <c r="T650" s="308"/>
      <c r="U650" s="306"/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>
      <c r="A651" s="294" t="s">
        <v>415</v>
      </c>
      <c r="B651" s="1"/>
      <c r="C651" s="304">
        <v>2302073.5</v>
      </c>
      <c r="D651" s="283">
        <v>5.37</v>
      </c>
      <c r="E651" s="308"/>
      <c r="F651" s="306">
        <f>ROUND(D651*C651,0)</f>
        <v>12362135</v>
      </c>
      <c r="G651" s="283">
        <f ca="1">$G$609</f>
        <v>5.47</v>
      </c>
      <c r="H651" s="308"/>
      <c r="I651" s="306">
        <f ca="1">ROUND(G651*$C651,0)</f>
        <v>12592342</v>
      </c>
      <c r="J651" s="306"/>
      <c r="K651" s="283" t="e">
        <f ca="1">$K$609</f>
        <v>#REF!</v>
      </c>
      <c r="L651" s="308"/>
      <c r="M651" s="306" t="e">
        <f ca="1">ROUND(K651*$C651,0)</f>
        <v>#REF!</v>
      </c>
      <c r="N651" s="306"/>
      <c r="O651" s="283">
        <f>$O$609</f>
        <v>0</v>
      </c>
      <c r="P651" s="308"/>
      <c r="Q651" s="306">
        <f>ROUND(O651*$C651,0)</f>
        <v>0</v>
      </c>
      <c r="R651" s="306"/>
      <c r="S651" s="283">
        <f>$S$609</f>
        <v>0</v>
      </c>
      <c r="T651" s="308"/>
      <c r="U651" s="306">
        <f>ROUND(S651*$C651,0)</f>
        <v>0</v>
      </c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>
      <c r="A652" s="294" t="s">
        <v>431</v>
      </c>
      <c r="B652" s="1"/>
      <c r="C652" s="304">
        <v>3562.6666666666692</v>
      </c>
      <c r="D652" s="354">
        <v>5.37</v>
      </c>
      <c r="E652" s="308"/>
      <c r="F652" s="306">
        <f>ROUND(D652*C652,0)</f>
        <v>19132</v>
      </c>
      <c r="G652" s="354">
        <f ca="1">G651</f>
        <v>5.47</v>
      </c>
      <c r="H652" s="308"/>
      <c r="I652" s="306">
        <f ca="1">ROUND(G652*$C652,0)</f>
        <v>19488</v>
      </c>
      <c r="J652" s="306"/>
      <c r="K652" s="354" t="e">
        <f ca="1">K651</f>
        <v>#REF!</v>
      </c>
      <c r="L652" s="308"/>
      <c r="M652" s="306" t="e">
        <f ca="1">ROUND(K652*$C652,0)</f>
        <v>#REF!</v>
      </c>
      <c r="N652" s="306"/>
      <c r="O652" s="354">
        <f>O651</f>
        <v>0</v>
      </c>
      <c r="P652" s="308"/>
      <c r="Q652" s="306">
        <f>ROUND(O652*$C652,0)</f>
        <v>0</v>
      </c>
      <c r="R652" s="306"/>
      <c r="S652" s="354">
        <f>S651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>
      <c r="A653" s="308" t="s">
        <v>416</v>
      </c>
      <c r="B653" s="1"/>
      <c r="C653" s="304"/>
      <c r="D653" s="283"/>
      <c r="E653" s="308"/>
      <c r="F653" s="306"/>
      <c r="G653" s="283"/>
      <c r="H653" s="308"/>
      <c r="I653" s="306"/>
      <c r="J653" s="306"/>
      <c r="K653" s="283"/>
      <c r="L653" s="308"/>
      <c r="M653" s="306"/>
      <c r="N653" s="306"/>
      <c r="O653" s="283"/>
      <c r="P653" s="308"/>
      <c r="Q653" s="306"/>
      <c r="R653" s="306"/>
      <c r="S653" s="283"/>
      <c r="T653" s="308"/>
      <c r="U653" s="306"/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>
      <c r="A654" s="308" t="s">
        <v>417</v>
      </c>
      <c r="B654" s="304"/>
      <c r="C654" s="304">
        <v>364977559.51704049</v>
      </c>
      <c r="D654" s="313">
        <v>5.6790000000000003</v>
      </c>
      <c r="E654" s="308" t="s">
        <v>364</v>
      </c>
      <c r="F654" s="306">
        <f>ROUND(D654*C654/100,0)</f>
        <v>20727076</v>
      </c>
      <c r="G654" s="312">
        <f ca="1">$G$612</f>
        <v>5.7730000000000006</v>
      </c>
      <c r="H654" s="308" t="s">
        <v>364</v>
      </c>
      <c r="I654" s="306">
        <f ca="1">ROUND(G654*$C654/100,0)</f>
        <v>21070155</v>
      </c>
      <c r="J654" s="306"/>
      <c r="K654" s="312" t="str">
        <f>$K$612</f>
        <v xml:space="preserve"> </v>
      </c>
      <c r="L654" s="308" t="s">
        <v>364</v>
      </c>
      <c r="M654" s="306">
        <f>ROUND(K654*$C654/100,0)</f>
        <v>0</v>
      </c>
      <c r="N654" s="306"/>
      <c r="O654" s="312" t="e">
        <f ca="1">$O$612</f>
        <v>#REF!</v>
      </c>
      <c r="P654" s="308" t="s">
        <v>364</v>
      </c>
      <c r="Q654" s="306" t="e">
        <f ca="1">ROUND(O654*$C654/100,0)</f>
        <v>#REF!</v>
      </c>
      <c r="R654" s="306"/>
      <c r="S654" s="312" t="e">
        <f ca="1">$S$612</f>
        <v>#REF!</v>
      </c>
      <c r="T654" s="308" t="s">
        <v>364</v>
      </c>
      <c r="U654" s="306" t="e">
        <f ca="1">ROUND(S654*$C654/100,0)</f>
        <v>#REF!</v>
      </c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>
      <c r="A655" s="308" t="s">
        <v>389</v>
      </c>
      <c r="B655" s="304"/>
      <c r="C655" s="304">
        <v>452336004.29786551</v>
      </c>
      <c r="D655" s="313">
        <v>5.2</v>
      </c>
      <c r="E655" s="308" t="s">
        <v>364</v>
      </c>
      <c r="F655" s="306">
        <f>ROUND(D655*C655/100,0)</f>
        <v>23521472</v>
      </c>
      <c r="G655" s="312">
        <f ca="1">$G$613</f>
        <v>5.2879999999999994</v>
      </c>
      <c r="H655" s="308" t="s">
        <v>364</v>
      </c>
      <c r="I655" s="306">
        <f ca="1">ROUND(G655*$C655/100,0)</f>
        <v>23919528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>
      <c r="A656" s="308" t="s">
        <v>390</v>
      </c>
      <c r="B656" s="1"/>
      <c r="C656" s="304">
        <v>391011.43333333306</v>
      </c>
      <c r="D656" s="956">
        <v>56</v>
      </c>
      <c r="E656" s="308" t="s">
        <v>364</v>
      </c>
      <c r="F656" s="306">
        <f>ROUND(D656*C656/100,0)</f>
        <v>218966</v>
      </c>
      <c r="G656" s="460">
        <f ca="1">$G$614</f>
        <v>57</v>
      </c>
      <c r="H656" s="308" t="s">
        <v>364</v>
      </c>
      <c r="I656" s="306">
        <f ca="1">ROUND(G656*$C656/100,0)</f>
        <v>222877</v>
      </c>
      <c r="J656" s="306"/>
      <c r="K656" s="460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460" t="e">
        <f ca="1">$O$614</f>
        <v>#DIV/0!</v>
      </c>
      <c r="P656" s="308" t="s">
        <v>364</v>
      </c>
      <c r="Q656" s="306" t="e">
        <f ca="1">ROUND(O656*$C656/100,0)</f>
        <v>#DIV/0!</v>
      </c>
      <c r="R656" s="306"/>
      <c r="S656" s="460" t="e">
        <f ca="1">$S$614</f>
        <v>#DIV/0!</v>
      </c>
      <c r="T656" s="308" t="s">
        <v>364</v>
      </c>
      <c r="U656" s="306" t="e">
        <f ca="1">ROUND(S656*$C656/100,0)</f>
        <v>#DIV/0!</v>
      </c>
      <c r="X656" s="74"/>
      <c r="Y656" s="74"/>
      <c r="Z656" s="7" t="s">
        <v>31</v>
      </c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s="1118" customFormat="1" hidden="1">
      <c r="A657" s="968" t="s">
        <v>868</v>
      </c>
      <c r="C657" s="1122">
        <f>C654</f>
        <v>364977559.51704049</v>
      </c>
      <c r="D657" s="254">
        <v>0</v>
      </c>
      <c r="E657" s="1119"/>
      <c r="F657" s="1123"/>
      <c r="G657" s="1128">
        <f>G615</f>
        <v>0</v>
      </c>
      <c r="H657" s="1000" t="s">
        <v>364</v>
      </c>
      <c r="I657" s="1000">
        <f t="shared" ref="I657:I658" si="162">ROUND(G657*$C657/100,0)</f>
        <v>0</v>
      </c>
      <c r="J657" s="1000"/>
      <c r="K657" s="1128" t="str">
        <f>K615</f>
        <v xml:space="preserve"> </v>
      </c>
      <c r="L657" s="1000" t="s">
        <v>364</v>
      </c>
      <c r="M657" s="1000">
        <f t="shared" ref="M657:M658" si="163">ROUND(K657*$C657/100,0)</f>
        <v>0</v>
      </c>
      <c r="N657" s="1000"/>
      <c r="O657" s="1128" t="str">
        <f>O615</f>
        <v xml:space="preserve"> </v>
      </c>
      <c r="P657" s="1000" t="s">
        <v>364</v>
      </c>
      <c r="Q657" s="1000">
        <f t="shared" ref="Q657:Q658" si="164">ROUND(O657*$C657/100,0)</f>
        <v>0</v>
      </c>
      <c r="R657" s="1000"/>
      <c r="S657" s="1128">
        <f>S615</f>
        <v>0</v>
      </c>
      <c r="T657" s="1000" t="s">
        <v>364</v>
      </c>
      <c r="U657" s="1000">
        <f t="shared" ref="U657:U658" si="165">ROUND(S657*$C657/100,0)</f>
        <v>0</v>
      </c>
      <c r="W657" s="1121"/>
      <c r="X657" s="1130"/>
      <c r="Y657" s="1120"/>
      <c r="Z657" s="1125"/>
      <c r="AA657" s="1125"/>
      <c r="AF657" s="1119"/>
      <c r="AG657" s="1119"/>
      <c r="AH657" s="1119"/>
      <c r="AI657" s="1119"/>
      <c r="AJ657" s="1119"/>
      <c r="AK657" s="1119"/>
      <c r="AL657" s="1119"/>
      <c r="AM657" s="1119"/>
      <c r="AN657" s="1119"/>
      <c r="AO657" s="1119"/>
      <c r="AP657" s="1119"/>
      <c r="AR657" s="1124"/>
    </row>
    <row r="658" spans="1:44" s="1118" customFormat="1" hidden="1">
      <c r="A658" s="968" t="s">
        <v>869</v>
      </c>
      <c r="C658" s="1122">
        <f>C655</f>
        <v>452336004.29786551</v>
      </c>
      <c r="D658" s="254">
        <v>0</v>
      </c>
      <c r="E658" s="1119"/>
      <c r="F658" s="1123"/>
      <c r="G658" s="1128">
        <f>G616</f>
        <v>0</v>
      </c>
      <c r="H658" s="1000" t="s">
        <v>364</v>
      </c>
      <c r="I658" s="1000">
        <f t="shared" si="162"/>
        <v>0</v>
      </c>
      <c r="J658" s="1000"/>
      <c r="K658" s="1128" t="str">
        <f>K616</f>
        <v xml:space="preserve"> </v>
      </c>
      <c r="L658" s="1000" t="s">
        <v>364</v>
      </c>
      <c r="M658" s="1000">
        <f t="shared" si="163"/>
        <v>0</v>
      </c>
      <c r="N658" s="1000"/>
      <c r="O658" s="1128" t="str">
        <f>O616</f>
        <v xml:space="preserve"> </v>
      </c>
      <c r="P658" s="1000" t="s">
        <v>364</v>
      </c>
      <c r="Q658" s="1000">
        <f t="shared" si="164"/>
        <v>0</v>
      </c>
      <c r="R658" s="1000"/>
      <c r="S658" s="1128">
        <f>S616</f>
        <v>0</v>
      </c>
      <c r="T658" s="1000" t="s">
        <v>364</v>
      </c>
      <c r="U658" s="1000">
        <f t="shared" si="165"/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>
      <c r="A659" s="345" t="s">
        <v>391</v>
      </c>
      <c r="B659" s="1"/>
      <c r="C659" s="304"/>
      <c r="D659" s="317">
        <v>-0.01</v>
      </c>
      <c r="E659" s="1"/>
      <c r="F659" s="306"/>
      <c r="G659" s="317">
        <v>-0.01</v>
      </c>
      <c r="H659" s="1"/>
      <c r="I659" s="306"/>
      <c r="J659" s="306"/>
      <c r="K659" s="317">
        <v>-0.01</v>
      </c>
      <c r="L659" s="1"/>
      <c r="M659" s="306"/>
      <c r="N659" s="306"/>
      <c r="O659" s="317">
        <v>-0.01</v>
      </c>
      <c r="P659" s="1"/>
      <c r="Q659" s="306"/>
      <c r="R659" s="306"/>
      <c r="S659" s="317">
        <v>-0.01</v>
      </c>
      <c r="T659" s="1"/>
      <c r="U659" s="306"/>
      <c r="X659" s="401"/>
      <c r="Y659" s="74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</row>
    <row r="660" spans="1:44">
      <c r="A660" s="308" t="s">
        <v>411</v>
      </c>
      <c r="B660" s="21"/>
      <c r="C660" s="304">
        <v>7</v>
      </c>
      <c r="D660" s="289">
        <v>259</v>
      </c>
      <c r="E660" s="278"/>
      <c r="F660" s="306">
        <f t="shared" ref="F660:F666" si="166">ROUND(D660*C660*$D$659,0)</f>
        <v>-18</v>
      </c>
      <c r="G660" s="289">
        <f ca="1">G644</f>
        <v>264</v>
      </c>
      <c r="H660" s="278"/>
      <c r="I660" s="306">
        <f ca="1">ROUND(G660*$C660*G659,0)</f>
        <v>-18</v>
      </c>
      <c r="J660" s="306"/>
      <c r="K660" s="289">
        <f ca="1">K644</f>
        <v>264</v>
      </c>
      <c r="L660" s="278"/>
      <c r="M660" s="306">
        <f ca="1">ROUND(K660*$C660*K659,0)</f>
        <v>-18</v>
      </c>
      <c r="N660" s="306"/>
      <c r="O660" s="289" t="str">
        <f>O644</f>
        <v xml:space="preserve"> </v>
      </c>
      <c r="P660" s="278"/>
      <c r="Q660" s="306">
        <f>ROUND(O660*$C660*O659,0)</f>
        <v>0</v>
      </c>
      <c r="R660" s="306"/>
      <c r="S660" s="289" t="str">
        <f>S644</f>
        <v xml:space="preserve"> </v>
      </c>
      <c r="T660" s="278"/>
      <c r="U660" s="306">
        <f>ROUND(S660*$C660*S659,0)</f>
        <v>0</v>
      </c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>
      <c r="A661" s="308" t="s">
        <v>412</v>
      </c>
      <c r="B661" s="1"/>
      <c r="C661" s="304">
        <v>40.89999999999997</v>
      </c>
      <c r="D661" s="289">
        <v>96</v>
      </c>
      <c r="E661" s="278"/>
      <c r="F661" s="306">
        <f t="shared" si="166"/>
        <v>-39</v>
      </c>
      <c r="G661" s="289">
        <f ca="1">G645</f>
        <v>98</v>
      </c>
      <c r="H661" s="278"/>
      <c r="I661" s="306">
        <f ca="1">ROUND(G661*$C661*G659,0)</f>
        <v>-40</v>
      </c>
      <c r="J661" s="306"/>
      <c r="K661" s="289">
        <f ca="1">K645</f>
        <v>98</v>
      </c>
      <c r="L661" s="278"/>
      <c r="M661" s="306">
        <f ca="1">ROUND(K661*$C661*K659,0)</f>
        <v>-40</v>
      </c>
      <c r="N661" s="306"/>
      <c r="O661" s="289" t="str">
        <f>O645</f>
        <v xml:space="preserve"> </v>
      </c>
      <c r="P661" s="278"/>
      <c r="Q661" s="306">
        <f>ROUND(O661*$C661*O659,0)</f>
        <v>0</v>
      </c>
      <c r="R661" s="306"/>
      <c r="S661" s="289" t="str">
        <f>S645</f>
        <v xml:space="preserve"> </v>
      </c>
      <c r="T661" s="278"/>
      <c r="U661" s="306">
        <f>ROUND(S661*$C661*S659,0)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>
      <c r="A662" s="308" t="s">
        <v>413</v>
      </c>
      <c r="B662" s="1"/>
      <c r="C662" s="304">
        <v>71.866666666666703</v>
      </c>
      <c r="D662" s="289">
        <v>192</v>
      </c>
      <c r="E662" s="358"/>
      <c r="F662" s="306">
        <f t="shared" si="166"/>
        <v>-138</v>
      </c>
      <c r="G662" s="289">
        <f ca="1">G646</f>
        <v>195</v>
      </c>
      <c r="H662" s="358"/>
      <c r="I662" s="306">
        <f ca="1">ROUND(G662*$C662*G659,0)</f>
        <v>-140</v>
      </c>
      <c r="J662" s="306"/>
      <c r="K662" s="289">
        <f ca="1">K646</f>
        <v>195</v>
      </c>
      <c r="L662" s="358"/>
      <c r="M662" s="306">
        <f ca="1">ROUND(K662*$C662*K659,0)</f>
        <v>-140</v>
      </c>
      <c r="N662" s="306"/>
      <c r="O662" s="289" t="str">
        <f>O646</f>
        <v xml:space="preserve"> </v>
      </c>
      <c r="P662" s="358"/>
      <c r="Q662" s="306">
        <f>ROUND(O662*$C662*O659,0)</f>
        <v>0</v>
      </c>
      <c r="R662" s="306"/>
      <c r="S662" s="289" t="str">
        <f>S646</f>
        <v xml:space="preserve"> </v>
      </c>
      <c r="T662" s="358"/>
      <c r="U662" s="306">
        <f>ROUND(S662*$C662*S659,0)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>
      <c r="A663" s="308" t="s">
        <v>412</v>
      </c>
      <c r="B663" s="1"/>
      <c r="C663" s="304">
        <v>6443</v>
      </c>
      <c r="D663" s="289">
        <v>1.76</v>
      </c>
      <c r="E663" s="278"/>
      <c r="F663" s="306">
        <f t="shared" si="166"/>
        <v>-113</v>
      </c>
      <c r="G663" s="289">
        <f ca="1">G648</f>
        <v>1.79</v>
      </c>
      <c r="H663" s="278"/>
      <c r="I663" s="306">
        <f ca="1">ROUND(G663*$C663*G659,0)</f>
        <v>-115</v>
      </c>
      <c r="J663" s="306"/>
      <c r="K663" s="289">
        <f ca="1">K648</f>
        <v>1.79</v>
      </c>
      <c r="L663" s="278"/>
      <c r="M663" s="306">
        <f ca="1">ROUND(K663*$C663*K659,0)</f>
        <v>-115</v>
      </c>
      <c r="N663" s="306"/>
      <c r="O663" s="289" t="str">
        <f>O648</f>
        <v xml:space="preserve"> </v>
      </c>
      <c r="P663" s="278"/>
      <c r="Q663" s="306">
        <f>ROUND(O663*$C663*O659,0)</f>
        <v>0</v>
      </c>
      <c r="R663" s="306"/>
      <c r="S663" s="289" t="str">
        <f>S648</f>
        <v xml:space="preserve"> </v>
      </c>
      <c r="T663" s="278"/>
      <c r="U663" s="306">
        <f>ROUND(S663*$C663*S659,0)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>
      <c r="A664" s="308" t="s">
        <v>413</v>
      </c>
      <c r="B664" s="1"/>
      <c r="C664" s="304">
        <v>44991</v>
      </c>
      <c r="D664" s="289">
        <v>1.44</v>
      </c>
      <c r="E664" s="278"/>
      <c r="F664" s="306">
        <f t="shared" si="166"/>
        <v>-648</v>
      </c>
      <c r="G664" s="289">
        <f ca="1">G649</f>
        <v>1.46</v>
      </c>
      <c r="H664" s="278"/>
      <c r="I664" s="306">
        <f ca="1">ROUND(G664*$C664*G659,0)</f>
        <v>-657</v>
      </c>
      <c r="J664" s="306"/>
      <c r="K664" s="289">
        <f ca="1">K649</f>
        <v>1.46</v>
      </c>
      <c r="L664" s="278"/>
      <c r="M664" s="306">
        <f ca="1">ROUND(K664*$C664*K659,0)</f>
        <v>-657</v>
      </c>
      <c r="N664" s="306"/>
      <c r="O664" s="289" t="str">
        <f>O649</f>
        <v xml:space="preserve"> </v>
      </c>
      <c r="P664" s="278"/>
      <c r="Q664" s="306">
        <f>ROUND(O664*$C664*O659,0)</f>
        <v>0</v>
      </c>
      <c r="R664" s="306"/>
      <c r="S664" s="289" t="str">
        <f>S649</f>
        <v xml:space="preserve"> </v>
      </c>
      <c r="T664" s="278"/>
      <c r="U664" s="306">
        <f>ROUND(S664*$C664*S659,0)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>
      <c r="A665" s="294" t="s">
        <v>415</v>
      </c>
      <c r="B665" s="1"/>
      <c r="C665" s="304">
        <v>34590</v>
      </c>
      <c r="D665" s="289">
        <v>5.37</v>
      </c>
      <c r="E665" s="278"/>
      <c r="F665" s="306">
        <f t="shared" si="166"/>
        <v>-1857</v>
      </c>
      <c r="G665" s="289">
        <f ca="1">G651</f>
        <v>5.47</v>
      </c>
      <c r="H665" s="278"/>
      <c r="I665" s="306">
        <f ca="1">ROUND(G665*$C665*G659,0)</f>
        <v>-1892</v>
      </c>
      <c r="J665" s="306"/>
      <c r="K665" s="289" t="e">
        <f ca="1">K651</f>
        <v>#REF!</v>
      </c>
      <c r="L665" s="278"/>
      <c r="M665" s="306" t="e">
        <f ca="1">ROUND(K665*$C665*K659,0)</f>
        <v>#REF!</v>
      </c>
      <c r="N665" s="306"/>
      <c r="O665" s="289">
        <f>O651</f>
        <v>0</v>
      </c>
      <c r="P665" s="278"/>
      <c r="Q665" s="306">
        <f>ROUND(O665*$C665*O659,0)</f>
        <v>0</v>
      </c>
      <c r="R665" s="306"/>
      <c r="S665" s="289">
        <f>S651</f>
        <v>0</v>
      </c>
      <c r="T665" s="278"/>
      <c r="U665" s="306">
        <f>ROUND(S665*$C665*S659,0)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>
      <c r="A666" s="294" t="s">
        <v>431</v>
      </c>
      <c r="B666" s="1"/>
      <c r="C666" s="304">
        <v>307</v>
      </c>
      <c r="D666" s="289">
        <v>5.37</v>
      </c>
      <c r="E666" s="278"/>
      <c r="F666" s="306">
        <f t="shared" si="166"/>
        <v>-16</v>
      </c>
      <c r="G666" s="289">
        <f ca="1">G652</f>
        <v>5.47</v>
      </c>
      <c r="H666" s="278"/>
      <c r="I666" s="306">
        <f ca="1">ROUND(G666*$C666*G659,0)</f>
        <v>-17</v>
      </c>
      <c r="J666" s="306"/>
      <c r="K666" s="289" t="e">
        <f ca="1">K652</f>
        <v>#REF!</v>
      </c>
      <c r="L666" s="278"/>
      <c r="M666" s="306" t="e">
        <f ca="1">ROUND(K666*$C666*K659,0)</f>
        <v>#REF!</v>
      </c>
      <c r="N666" s="306"/>
      <c r="O666" s="289">
        <f>O652</f>
        <v>0</v>
      </c>
      <c r="P666" s="278"/>
      <c r="Q666" s="306">
        <f>ROUND(O666*$C666*O659,0)</f>
        <v>0</v>
      </c>
      <c r="R666" s="306"/>
      <c r="S666" s="289">
        <f>S652</f>
        <v>0</v>
      </c>
      <c r="T666" s="278"/>
      <c r="U666" s="306">
        <f>ROUND(S666*$C666*S659,0)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>
      <c r="A667" s="308" t="s">
        <v>417</v>
      </c>
      <c r="B667" s="1"/>
      <c r="C667" s="304">
        <v>4148839.9999999972</v>
      </c>
      <c r="D667" s="359">
        <v>5.6790000000000003</v>
      </c>
      <c r="E667" s="308" t="s">
        <v>364</v>
      </c>
      <c r="F667" s="306">
        <f>ROUND(D667*C667/100*$D$659,0)</f>
        <v>-2356</v>
      </c>
      <c r="G667" s="359">
        <f ca="1">G654</f>
        <v>5.7730000000000006</v>
      </c>
      <c r="H667" s="308" t="s">
        <v>364</v>
      </c>
      <c r="I667" s="306">
        <f ca="1">ROUND(G667*$C667/100*G659,0)</f>
        <v>-2395</v>
      </c>
      <c r="J667" s="306"/>
      <c r="K667" s="359" t="str">
        <f>K654</f>
        <v xml:space="preserve"> </v>
      </c>
      <c r="L667" s="308" t="s">
        <v>364</v>
      </c>
      <c r="M667" s="306">
        <f>ROUND(K667*$C667/100*K659,0)</f>
        <v>0</v>
      </c>
      <c r="N667" s="306"/>
      <c r="O667" s="359" t="e">
        <f ca="1">O654</f>
        <v>#REF!</v>
      </c>
      <c r="P667" s="308" t="s">
        <v>364</v>
      </c>
      <c r="Q667" s="306" t="e">
        <f ca="1">ROUND(O667*$C667/100*O659,0)</f>
        <v>#REF!</v>
      </c>
      <c r="R667" s="306"/>
      <c r="S667" s="359" t="e">
        <f ca="1">S654</f>
        <v>#REF!</v>
      </c>
      <c r="T667" s="308" t="s">
        <v>364</v>
      </c>
      <c r="U667" s="306" t="e">
        <f ca="1">ROUND(S667*$C667/100*S659,0)</f>
        <v>#REF!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>
      <c r="A668" s="308" t="s">
        <v>389</v>
      </c>
      <c r="B668" s="1"/>
      <c r="C668" s="304">
        <v>8404540.0000000037</v>
      </c>
      <c r="D668" s="359">
        <v>5.2</v>
      </c>
      <c r="E668" s="308" t="s">
        <v>364</v>
      </c>
      <c r="F668" s="306">
        <f>ROUND(D668*C668/100*$D$659,0)</f>
        <v>-4370</v>
      </c>
      <c r="G668" s="359">
        <f ca="1">G655</f>
        <v>5.2879999999999994</v>
      </c>
      <c r="H668" s="308" t="s">
        <v>364</v>
      </c>
      <c r="I668" s="306">
        <f ca="1">ROUND(G668*$C668/100*G659,0)</f>
        <v>-4444</v>
      </c>
      <c r="J668" s="306"/>
      <c r="K668" s="359" t="str">
        <f>K655</f>
        <v xml:space="preserve"> </v>
      </c>
      <c r="L668" s="308" t="s">
        <v>364</v>
      </c>
      <c r="M668" s="306">
        <f>ROUND(K668*$C668/100*K659,0)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ROUND(O668*$C668/100*O659,0)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ROUND(S668*$C668/100*S659,0)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>
      <c r="A669" s="308" t="s">
        <v>390</v>
      </c>
      <c r="B669" s="1"/>
      <c r="C669" s="304">
        <v>7796.8333333333294</v>
      </c>
      <c r="D669" s="360">
        <v>56</v>
      </c>
      <c r="E669" s="308" t="s">
        <v>364</v>
      </c>
      <c r="F669" s="306">
        <f>ROUND(D669*C669/100*$D$659,0)</f>
        <v>-44</v>
      </c>
      <c r="G669" s="360">
        <f ca="1">G656</f>
        <v>57</v>
      </c>
      <c r="H669" s="308" t="s">
        <v>364</v>
      </c>
      <c r="I669" s="306">
        <f ca="1">ROUND(G669*$C669/100*G659,0)</f>
        <v>-44</v>
      </c>
      <c r="J669" s="306"/>
      <c r="K669" s="360" t="str">
        <f>K656</f>
        <v xml:space="preserve"> </v>
      </c>
      <c r="L669" s="308" t="s">
        <v>364</v>
      </c>
      <c r="M669" s="306">
        <f>ROUND(K669*$C669/100*K659,0)</f>
        <v>0</v>
      </c>
      <c r="N669" s="306"/>
      <c r="O669" s="360" t="e">
        <f ca="1">O656</f>
        <v>#DIV/0!</v>
      </c>
      <c r="P669" s="308" t="s">
        <v>364</v>
      </c>
      <c r="Q669" s="306" t="e">
        <f ca="1">ROUND(O669*$C669/100*O659,0)</f>
        <v>#DIV/0!</v>
      </c>
      <c r="R669" s="306"/>
      <c r="S669" s="360" t="e">
        <f ca="1">S656</f>
        <v>#DIV/0!</v>
      </c>
      <c r="T669" s="308" t="s">
        <v>364</v>
      </c>
      <c r="U669" s="306" t="e">
        <f ca="1">ROUND(S669*$C669/100*S659,0)</f>
        <v>#DIV/0!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>
      <c r="A670" s="308" t="s">
        <v>433</v>
      </c>
      <c r="B670" s="1"/>
      <c r="C670" s="304">
        <v>119.76666666666668</v>
      </c>
      <c r="D670" s="283">
        <v>60</v>
      </c>
      <c r="E670" s="1"/>
      <c r="F670" s="306">
        <f>ROUND(D670*C670,0)</f>
        <v>7186</v>
      </c>
      <c r="G670" s="283">
        <f>$G$630</f>
        <v>60</v>
      </c>
      <c r="H670" s="1"/>
      <c r="I670" s="306">
        <f>ROUND(G670*$C670,0)</f>
        <v>7186</v>
      </c>
      <c r="J670" s="306"/>
      <c r="K670" s="283">
        <v>0</v>
      </c>
      <c r="L670" s="1"/>
      <c r="M670" s="306">
        <f>ROUND(K670*$C670,0)</f>
        <v>0</v>
      </c>
      <c r="N670" s="306"/>
      <c r="O670" s="283" t="e">
        <f>O630</f>
        <v>#DIV/0!</v>
      </c>
      <c r="P670" s="1"/>
      <c r="Q670" s="306" t="e">
        <f>ROUND(O670*$C670,0)</f>
        <v>#DIV/0!</v>
      </c>
      <c r="R670" s="306"/>
      <c r="S670" s="283" t="e">
        <f>S630</f>
        <v>#DIV/0!</v>
      </c>
      <c r="T670" s="1"/>
      <c r="U670" s="306" t="e">
        <f>ROUND(S670*$C670,0)</f>
        <v>#DIV/0!</v>
      </c>
      <c r="X670" s="3"/>
      <c r="Y670" s="105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>
      <c r="A671" s="308" t="s">
        <v>434</v>
      </c>
      <c r="B671" s="290"/>
      <c r="C671" s="304">
        <v>51494</v>
      </c>
      <c r="D671" s="324">
        <v>-30</v>
      </c>
      <c r="E671" s="306" t="s">
        <v>364</v>
      </c>
      <c r="F671" s="306">
        <f>-ROUND(D671*C671*$D$659,0)</f>
        <v>-15448</v>
      </c>
      <c r="G671" s="324">
        <f>$G$631</f>
        <v>-30</v>
      </c>
      <c r="H671" s="306" t="s">
        <v>364</v>
      </c>
      <c r="I671" s="306">
        <f>ROUND(G671*$C671/100,0)</f>
        <v>-15448</v>
      </c>
      <c r="J671" s="306"/>
      <c r="K671" s="324">
        <f>$G$631</f>
        <v>-30</v>
      </c>
      <c r="L671" s="306" t="s">
        <v>364</v>
      </c>
      <c r="M671" s="306">
        <f>ROUND(K671*$C671/100,0)</f>
        <v>-15448</v>
      </c>
      <c r="N671" s="306"/>
      <c r="O671" s="324">
        <v>0</v>
      </c>
      <c r="P671" s="306" t="s">
        <v>364</v>
      </c>
      <c r="Q671" s="306">
        <f>ROUND(O671*$C671/100,0)</f>
        <v>0</v>
      </c>
      <c r="R671" s="306"/>
      <c r="S671" s="324">
        <v>0</v>
      </c>
      <c r="T671" s="306" t="s">
        <v>364</v>
      </c>
      <c r="U671" s="306">
        <f>ROUND(S671*$C671/100,0)</f>
        <v>0</v>
      </c>
      <c r="X671" s="3"/>
      <c r="Y671" s="105"/>
      <c r="Z671" s="7" t="s">
        <v>31</v>
      </c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s="1118" customFormat="1" hidden="1">
      <c r="A672" s="968" t="s">
        <v>868</v>
      </c>
      <c r="C672" s="1122">
        <f>C667</f>
        <v>4148839.9999999972</v>
      </c>
      <c r="D672" s="254">
        <v>0</v>
      </c>
      <c r="E672" s="1119"/>
      <c r="F672" s="1123"/>
      <c r="G672" s="1128">
        <f>G657</f>
        <v>0</v>
      </c>
      <c r="H672" s="1000" t="s">
        <v>364</v>
      </c>
      <c r="I672" s="1000">
        <f>ROUND(G672*$C672/100*G659,0)</f>
        <v>0</v>
      </c>
      <c r="J672" s="1000"/>
      <c r="K672" s="1128" t="str">
        <f>K657</f>
        <v xml:space="preserve"> </v>
      </c>
      <c r="L672" s="1000" t="s">
        <v>364</v>
      </c>
      <c r="M672" s="1000">
        <f>ROUND(K672*$C672/100*K659,0)</f>
        <v>0</v>
      </c>
      <c r="N672" s="1000"/>
      <c r="O672" s="1128" t="str">
        <f>O657</f>
        <v xml:space="preserve"> </v>
      </c>
      <c r="P672" s="1000" t="s">
        <v>364</v>
      </c>
      <c r="Q672" s="1000">
        <f>ROUND(O672*$C672/100*O659,0)</f>
        <v>0</v>
      </c>
      <c r="R672" s="1000"/>
      <c r="S672" s="1128">
        <f>S657</f>
        <v>0</v>
      </c>
      <c r="T672" s="1000" t="s">
        <v>364</v>
      </c>
      <c r="U672" s="1000">
        <f>ROUND(S672*$C672/100*S659,0)</f>
        <v>0</v>
      </c>
      <c r="W672" s="1121"/>
      <c r="X672" s="1130"/>
      <c r="Y672" s="1120"/>
      <c r="Z672" s="1125"/>
      <c r="AA672" s="1125"/>
      <c r="AF672" s="1119"/>
      <c r="AG672" s="1119"/>
      <c r="AH672" s="1119"/>
      <c r="AI672" s="1119"/>
      <c r="AJ672" s="1119"/>
      <c r="AK672" s="1119"/>
      <c r="AL672" s="1119"/>
      <c r="AM672" s="1119"/>
      <c r="AN672" s="1119"/>
      <c r="AO672" s="1119"/>
      <c r="AP672" s="1119"/>
      <c r="AR672" s="1124"/>
    </row>
    <row r="673" spans="1:44" s="1118" customFormat="1" hidden="1">
      <c r="A673" s="968" t="s">
        <v>869</v>
      </c>
      <c r="C673" s="1122">
        <f>C668</f>
        <v>8404540.0000000037</v>
      </c>
      <c r="D673" s="254"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ROUND(G673*$C673/100*G659,0)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ROUND(K673*$C673/100*K659,0)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ROUND(O673*$C673/100*O659,0)</f>
        <v>0</v>
      </c>
      <c r="R673" s="1000"/>
      <c r="S673" s="1128">
        <f>S658</f>
        <v>0</v>
      </c>
      <c r="T673" s="1000" t="s">
        <v>364</v>
      </c>
      <c r="U673" s="1000">
        <f>ROUND(S673*$C673/100*S659,0)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>
      <c r="A674" s="1" t="s">
        <v>371</v>
      </c>
      <c r="B674" s="292"/>
      <c r="C674" s="304">
        <f>SUM(C654:C655)</f>
        <v>817313563.814906</v>
      </c>
      <c r="D674" s="315"/>
      <c r="E674" s="1"/>
      <c r="F674" s="2">
        <f>SUM(F644:F671)</f>
        <v>63141873</v>
      </c>
      <c r="G674" s="315"/>
      <c r="H674" s="1"/>
      <c r="I674" s="2">
        <f ca="1">SUM(I644:I673)</f>
        <v>64219476</v>
      </c>
      <c r="J674" s="2"/>
      <c r="K674" s="315"/>
      <c r="L674" s="1"/>
      <c r="M674" s="2" t="e">
        <f ca="1">SUM(M644:M673)</f>
        <v>#REF!</v>
      </c>
      <c r="N674" s="2"/>
      <c r="O674" s="315"/>
      <c r="P674" s="1"/>
      <c r="Q674" s="2" t="e">
        <f ca="1">SUM(Q644:Q673)</f>
        <v>#REF!</v>
      </c>
      <c r="R674" s="2"/>
      <c r="S674" s="315"/>
      <c r="T674" s="1"/>
      <c r="U674" s="2" t="e">
        <f ca="1">SUM(U644:U673)</f>
        <v>#REF!</v>
      </c>
      <c r="X674" s="401"/>
      <c r="Y674" s="74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</row>
    <row r="675" spans="1:44">
      <c r="A675" s="1" t="s">
        <v>353</v>
      </c>
      <c r="B675" s="1"/>
      <c r="C675" s="334">
        <f>'Table 2'!H46</f>
        <v>5770845.7835495584</v>
      </c>
      <c r="D675" s="294"/>
      <c r="E675" s="294"/>
      <c r="F675" s="295">
        <f>'Table 3'!E46</f>
        <v>500452.88870847702</v>
      </c>
      <c r="G675" s="294"/>
      <c r="H675" s="294"/>
      <c r="I675" s="295">
        <f>F675</f>
        <v>500452.88870847702</v>
      </c>
      <c r="J675" s="51"/>
      <c r="K675" s="294"/>
      <c r="L675" s="294"/>
      <c r="M675" s="295" t="e">
        <f>$I$675*V639/($V$639+$W$639+$X$639)</f>
        <v>#DIV/0!</v>
      </c>
      <c r="N675" s="51"/>
      <c r="O675" s="294"/>
      <c r="P675" s="294"/>
      <c r="Q675" s="295" t="e">
        <f>$I$675*W639/($V$639+$W$639+$X$639)</f>
        <v>#DIV/0!</v>
      </c>
      <c r="R675" s="51"/>
      <c r="S675" s="294"/>
      <c r="T675" s="294"/>
      <c r="U675" s="295" t="e">
        <f>$I$675*X639/($V$639+$W$639+$X$639)</f>
        <v>#DIV/0!</v>
      </c>
      <c r="V675" s="429"/>
      <c r="W675" s="272"/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t="16.5" thickBot="1">
      <c r="A676" s="1" t="s">
        <v>372</v>
      </c>
      <c r="B676" s="1"/>
      <c r="C676" s="351">
        <f>SUM(C674)+C675</f>
        <v>823084409.59845555</v>
      </c>
      <c r="D676" s="327"/>
      <c r="E676" s="330"/>
      <c r="F676" s="329">
        <f>F674+F675</f>
        <v>63642325.88870848</v>
      </c>
      <c r="G676" s="327"/>
      <c r="H676" s="330"/>
      <c r="I676" s="329">
        <f ca="1">I674+I675</f>
        <v>64719928.88870848</v>
      </c>
      <c r="J676" s="307"/>
      <c r="K676" s="327"/>
      <c r="L676" s="330"/>
      <c r="M676" s="329" t="e">
        <f ca="1">M674+M675</f>
        <v>#REF!</v>
      </c>
      <c r="N676" s="329"/>
      <c r="O676" s="327"/>
      <c r="P676" s="330"/>
      <c r="Q676" s="329" t="e">
        <f ca="1">Q674+Q675</f>
        <v>#REF!</v>
      </c>
      <c r="R676" s="329"/>
      <c r="S676" s="327"/>
      <c r="T676" s="330"/>
      <c r="U676" s="329" t="e">
        <f ca="1">U674+U675</f>
        <v>#REF!</v>
      </c>
      <c r="V676" s="396"/>
      <c r="W676" s="455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thickTop="1">
      <c r="A677" s="1"/>
      <c r="B677" s="1"/>
      <c r="C677" s="21"/>
      <c r="D677" s="322" t="s">
        <v>31</v>
      </c>
      <c r="E677" s="1"/>
      <c r="F677" s="2"/>
      <c r="G677" s="338" t="s">
        <v>31</v>
      </c>
      <c r="H677" s="1"/>
      <c r="I677" s="2" t="s">
        <v>31</v>
      </c>
      <c r="J677" s="2"/>
      <c r="K677" s="338" t="s">
        <v>31</v>
      </c>
      <c r="L677" s="1"/>
      <c r="M677" s="2" t="s">
        <v>31</v>
      </c>
      <c r="N677" s="2"/>
      <c r="O677" s="338" t="s">
        <v>31</v>
      </c>
      <c r="P677" s="1"/>
      <c r="Q677" s="2" t="s">
        <v>31</v>
      </c>
      <c r="R677" s="2"/>
      <c r="S677" s="338" t="s">
        <v>31</v>
      </c>
      <c r="T677" s="1"/>
      <c r="U677" s="2" t="s">
        <v>31</v>
      </c>
      <c r="V677" s="20"/>
      <c r="W677" s="74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>
      <c r="A678" s="278" t="s">
        <v>426</v>
      </c>
      <c r="B678" s="1"/>
      <c r="C678" s="1"/>
      <c r="D678" s="2"/>
      <c r="E678" s="1"/>
      <c r="F678" s="1"/>
      <c r="G678" s="2"/>
      <c r="H678" s="1"/>
      <c r="I678" s="1"/>
      <c r="J678" s="1"/>
      <c r="K678" s="2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>
      <c r="A679" s="294" t="s">
        <v>436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>
      <c r="A680" s="308"/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>
      <c r="A681" s="308" t="s">
        <v>383</v>
      </c>
      <c r="B681" s="21"/>
      <c r="C681" s="304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>
      <c r="A682" s="308" t="s">
        <v>411</v>
      </c>
      <c r="B682" s="1"/>
      <c r="C682" s="304">
        <v>24.6</v>
      </c>
      <c r="D682" s="283">
        <v>259</v>
      </c>
      <c r="E682" s="308"/>
      <c r="F682" s="306">
        <f>ROUND(D682*C682,0)</f>
        <v>6371</v>
      </c>
      <c r="G682" s="283">
        <f ca="1">$G$602</f>
        <v>264</v>
      </c>
      <c r="H682" s="308"/>
      <c r="I682" s="306">
        <f ca="1">ROUND(G682*$C682,0)</f>
        <v>6494</v>
      </c>
      <c r="J682" s="306"/>
      <c r="K682" s="283">
        <f ca="1">$K$602</f>
        <v>264</v>
      </c>
      <c r="L682" s="308"/>
      <c r="M682" s="306">
        <f ca="1">ROUND(K682*$C682,0)</f>
        <v>6494</v>
      </c>
      <c r="N682" s="306"/>
      <c r="O682" s="283" t="str">
        <f>$O$602</f>
        <v xml:space="preserve"> </v>
      </c>
      <c r="P682" s="308"/>
      <c r="Q682" s="306">
        <f>ROUND(O682*$C682,0)</f>
        <v>0</v>
      </c>
      <c r="R682" s="306"/>
      <c r="S682" s="283" t="str">
        <f>$S$602</f>
        <v xml:space="preserve"> </v>
      </c>
      <c r="T682" s="308"/>
      <c r="U682" s="306">
        <f>ROUND(S682*$C682,0)</f>
        <v>0</v>
      </c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>
      <c r="A683" s="308" t="s">
        <v>412</v>
      </c>
      <c r="B683" s="1"/>
      <c r="C683" s="304">
        <v>807.26666666666597</v>
      </c>
      <c r="D683" s="283">
        <v>96</v>
      </c>
      <c r="E683" s="308"/>
      <c r="F683" s="306">
        <f>ROUND(D683*C683,0)</f>
        <v>77498</v>
      </c>
      <c r="G683" s="283">
        <f ca="1">$G$603</f>
        <v>98</v>
      </c>
      <c r="H683" s="308"/>
      <c r="I683" s="306">
        <f ca="1">ROUND(G683*$C683,0)</f>
        <v>79112</v>
      </c>
      <c r="J683" s="306"/>
      <c r="K683" s="283">
        <f ca="1">$K$603</f>
        <v>98</v>
      </c>
      <c r="L683" s="308"/>
      <c r="M683" s="306">
        <f ca="1">ROUND(K683*$C683,0)</f>
        <v>79112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>
      <c r="A684" s="308" t="s">
        <v>413</v>
      </c>
      <c r="B684" s="1"/>
      <c r="C684" s="304">
        <v>541.26666666666597</v>
      </c>
      <c r="D684" s="283">
        <v>192</v>
      </c>
      <c r="E684" s="310"/>
      <c r="F684" s="306">
        <f>ROUND(D684*C684,0)</f>
        <v>103923</v>
      </c>
      <c r="G684" s="283">
        <f ca="1">$G$604</f>
        <v>195</v>
      </c>
      <c r="H684" s="310"/>
      <c r="I684" s="306">
        <f ca="1">ROUND(G684*$C684,0)</f>
        <v>105547</v>
      </c>
      <c r="J684" s="306"/>
      <c r="K684" s="283">
        <f ca="1">$K$604</f>
        <v>195</v>
      </c>
      <c r="L684" s="310"/>
      <c r="M684" s="306">
        <f ca="1">ROUND(K684*$C684,0)</f>
        <v>105547</v>
      </c>
      <c r="N684" s="306"/>
      <c r="O684" s="283" t="str">
        <f>$O$604</f>
        <v xml:space="preserve"> </v>
      </c>
      <c r="P684" s="310"/>
      <c r="Q684" s="306">
        <f>ROUND(O684*$C684,0)</f>
        <v>0</v>
      </c>
      <c r="R684" s="306"/>
      <c r="S684" s="283" t="str">
        <f>$S$604</f>
        <v xml:space="preserve"> </v>
      </c>
      <c r="T684" s="310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>
      <c r="A685" s="308" t="s">
        <v>384</v>
      </c>
      <c r="B685" s="1"/>
      <c r="C685" s="304">
        <f>SUM(C682:C684)</f>
        <v>1373.1333333333318</v>
      </c>
      <c r="D685" s="283"/>
      <c r="E685" s="308"/>
      <c r="F685" s="306"/>
      <c r="G685" s="283"/>
      <c r="H685" s="308"/>
      <c r="I685" s="306"/>
      <c r="J685" s="306"/>
      <c r="K685" s="283"/>
      <c r="L685" s="308"/>
      <c r="M685" s="306"/>
      <c r="N685" s="306"/>
      <c r="O685" s="283"/>
      <c r="P685" s="308"/>
      <c r="Q685" s="306"/>
      <c r="R685" s="306"/>
      <c r="S685" s="283"/>
      <c r="T685" s="308"/>
      <c r="U685" s="306"/>
      <c r="V685" s="20"/>
      <c r="W685" s="74"/>
      <c r="X685" s="3"/>
      <c r="Y685" s="105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>
      <c r="A686" s="308" t="s">
        <v>412</v>
      </c>
      <c r="B686" s="1"/>
      <c r="C686" s="304">
        <v>137328.5</v>
      </c>
      <c r="D686" s="283">
        <v>1.76</v>
      </c>
      <c r="E686" s="308" t="s">
        <v>31</v>
      </c>
      <c r="F686" s="306">
        <f>ROUND(D686*C686,0)</f>
        <v>241698</v>
      </c>
      <c r="G686" s="283">
        <f ca="1">$G$606</f>
        <v>1.79</v>
      </c>
      <c r="H686" s="308" t="s">
        <v>31</v>
      </c>
      <c r="I686" s="306">
        <f ca="1">ROUND(G686*$C686,0)</f>
        <v>245818</v>
      </c>
      <c r="J686" s="306"/>
      <c r="K686" s="283">
        <f ca="1">$K$606</f>
        <v>1.79</v>
      </c>
      <c r="L686" s="308" t="s">
        <v>31</v>
      </c>
      <c r="M686" s="306">
        <f ca="1">ROUND(K686*$C686,0)</f>
        <v>245818</v>
      </c>
      <c r="N686" s="306"/>
      <c r="O686" s="283" t="str">
        <f>$O$606</f>
        <v xml:space="preserve"> </v>
      </c>
      <c r="P686" s="308" t="s">
        <v>31</v>
      </c>
      <c r="Q686" s="306">
        <f>ROUND(O686*$C686,0)</f>
        <v>0</v>
      </c>
      <c r="R686" s="306"/>
      <c r="S686" s="283" t="str">
        <f>$S$606</f>
        <v xml:space="preserve"> </v>
      </c>
      <c r="T686" s="308" t="s">
        <v>31</v>
      </c>
      <c r="U686" s="306">
        <f>ROUND(S686*$C686,0)</f>
        <v>0</v>
      </c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>
      <c r="A687" s="308" t="s">
        <v>413</v>
      </c>
      <c r="B687" s="1"/>
      <c r="C687" s="304">
        <v>302902</v>
      </c>
      <c r="D687" s="283">
        <v>1.44</v>
      </c>
      <c r="E687" s="308" t="s">
        <v>31</v>
      </c>
      <c r="F687" s="306">
        <f>ROUND(D687*C687,0)</f>
        <v>436179</v>
      </c>
      <c r="G687" s="283">
        <f ca="1">$G$607</f>
        <v>1.46</v>
      </c>
      <c r="H687" s="308" t="s">
        <v>31</v>
      </c>
      <c r="I687" s="306">
        <f ca="1">ROUND(G687*$C687,0)</f>
        <v>442237</v>
      </c>
      <c r="J687" s="306"/>
      <c r="K687" s="283">
        <f ca="1">$K$607</f>
        <v>1.46</v>
      </c>
      <c r="L687" s="308" t="s">
        <v>31</v>
      </c>
      <c r="M687" s="306">
        <f ca="1">ROUND(K687*$C687,0)</f>
        <v>442237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401"/>
      <c r="Y687" s="74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>
      <c r="A688" s="294" t="s">
        <v>414</v>
      </c>
      <c r="B688" s="1"/>
      <c r="C688" s="304"/>
      <c r="D688" s="340"/>
      <c r="E688" s="308"/>
      <c r="F688" s="306"/>
      <c r="G688" s="340"/>
      <c r="H688" s="308"/>
      <c r="I688" s="306"/>
      <c r="J688" s="306"/>
      <c r="K688" s="340"/>
      <c r="L688" s="308"/>
      <c r="M688" s="306"/>
      <c r="N688" s="306"/>
      <c r="O688" s="340"/>
      <c r="P688" s="308"/>
      <c r="Q688" s="306"/>
      <c r="R688" s="306"/>
      <c r="S688" s="340"/>
      <c r="T688" s="308"/>
      <c r="U688" s="306"/>
      <c r="V688" s="20"/>
      <c r="W688" s="74"/>
      <c r="X688" s="74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>
      <c r="A689" s="294" t="s">
        <v>415</v>
      </c>
      <c r="B689" s="1"/>
      <c r="C689" s="304">
        <v>340651</v>
      </c>
      <c r="D689" s="283">
        <v>5.37</v>
      </c>
      <c r="E689" s="308"/>
      <c r="F689" s="306">
        <f>ROUND(D689*C689,0)</f>
        <v>1829296</v>
      </c>
      <c r="G689" s="283">
        <f ca="1">$G$609</f>
        <v>5.47</v>
      </c>
      <c r="H689" s="308"/>
      <c r="I689" s="306">
        <f ca="1">ROUND(G689*$C689,0)</f>
        <v>1863361</v>
      </c>
      <c r="J689" s="306"/>
      <c r="K689" s="283" t="e">
        <f ca="1">$K$609</f>
        <v>#REF!</v>
      </c>
      <c r="L689" s="308"/>
      <c r="M689" s="306" t="e">
        <f ca="1">ROUND(K689*$C689,0)</f>
        <v>#REF!</v>
      </c>
      <c r="N689" s="306"/>
      <c r="O689" s="283">
        <f>$O$609</f>
        <v>0</v>
      </c>
      <c r="P689" s="308"/>
      <c r="Q689" s="306">
        <f>ROUND(O689*$C689,0)</f>
        <v>0</v>
      </c>
      <c r="R689" s="306"/>
      <c r="S689" s="283">
        <f>$S$609</f>
        <v>0</v>
      </c>
      <c r="T689" s="308"/>
      <c r="U689" s="306">
        <f>ROUND(S689*$C689,0)</f>
        <v>0</v>
      </c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>
      <c r="A690" s="294" t="s">
        <v>431</v>
      </c>
      <c r="B690" s="1"/>
      <c r="C690" s="304">
        <v>17.5</v>
      </c>
      <c r="D690" s="354">
        <v>5.37</v>
      </c>
      <c r="E690" s="308"/>
      <c r="F690" s="306">
        <f>ROUND(D690*C690,0)</f>
        <v>94</v>
      </c>
      <c r="G690" s="354">
        <f ca="1">G689</f>
        <v>5.47</v>
      </c>
      <c r="H690" s="308"/>
      <c r="I690" s="306">
        <f ca="1">ROUND(G690*$C690,0)</f>
        <v>96</v>
      </c>
      <c r="J690" s="306"/>
      <c r="K690" s="354" t="e">
        <f ca="1">K689</f>
        <v>#REF!</v>
      </c>
      <c r="L690" s="308"/>
      <c r="M690" s="306" t="e">
        <f ca="1">ROUND(K690*$C690,0)</f>
        <v>#REF!</v>
      </c>
      <c r="N690" s="306"/>
      <c r="O690" s="354">
        <f>O689</f>
        <v>0</v>
      </c>
      <c r="P690" s="308"/>
      <c r="Q690" s="306">
        <f>ROUND(O690*$C690,0)</f>
        <v>0</v>
      </c>
      <c r="R690" s="306"/>
      <c r="S690" s="354">
        <f>S689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>
      <c r="A691" s="308" t="s">
        <v>416</v>
      </c>
      <c r="B691" s="1"/>
      <c r="C691" s="304"/>
      <c r="D691" s="283"/>
      <c r="E691" s="308"/>
      <c r="F691" s="306"/>
      <c r="G691" s="283"/>
      <c r="H691" s="308"/>
      <c r="I691" s="306"/>
      <c r="J691" s="306"/>
      <c r="K691" s="283"/>
      <c r="L691" s="308"/>
      <c r="M691" s="306"/>
      <c r="N691" s="306"/>
      <c r="O691" s="283"/>
      <c r="P691" s="308"/>
      <c r="Q691" s="306"/>
      <c r="R691" s="306"/>
      <c r="S691" s="283"/>
      <c r="T691" s="308"/>
      <c r="U691" s="306"/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>
      <c r="A692" s="308" t="s">
        <v>417</v>
      </c>
      <c r="B692" s="1"/>
      <c r="C692" s="304">
        <v>41625753.333333328</v>
      </c>
      <c r="D692" s="313">
        <v>5.6790000000000003</v>
      </c>
      <c r="E692" s="308" t="s">
        <v>364</v>
      </c>
      <c r="F692" s="306">
        <f>ROUND(D692*C692/100,0)</f>
        <v>2363927</v>
      </c>
      <c r="G692" s="312">
        <f ca="1">$G$612</f>
        <v>5.7730000000000006</v>
      </c>
      <c r="H692" s="308" t="s">
        <v>364</v>
      </c>
      <c r="I692" s="306">
        <f ca="1">ROUND(G692*$C692/100,0)</f>
        <v>2403055</v>
      </c>
      <c r="J692" s="306"/>
      <c r="K692" s="312" t="str">
        <f>$K$612</f>
        <v xml:space="preserve"> </v>
      </c>
      <c r="L692" s="308" t="s">
        <v>364</v>
      </c>
      <c r="M692" s="306">
        <f>ROUND(K692*$C692/100,0)</f>
        <v>0</v>
      </c>
      <c r="N692" s="306"/>
      <c r="O692" s="312" t="e">
        <f ca="1">$O$612</f>
        <v>#REF!</v>
      </c>
      <c r="P692" s="308" t="s">
        <v>364</v>
      </c>
      <c r="Q692" s="306" t="e">
        <f ca="1">ROUND(O692*$C692/100,0)</f>
        <v>#REF!</v>
      </c>
      <c r="R692" s="306"/>
      <c r="S692" s="312" t="e">
        <f ca="1">$S$612</f>
        <v>#REF!</v>
      </c>
      <c r="T692" s="308" t="s">
        <v>364</v>
      </c>
      <c r="U692" s="306" t="e">
        <f ca="1">ROUND(S692*$C692/100,0)</f>
        <v>#REF!</v>
      </c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>
      <c r="A693" s="308" t="s">
        <v>389</v>
      </c>
      <c r="B693" s="1"/>
      <c r="C693" s="304">
        <v>63576818.666666672</v>
      </c>
      <c r="D693" s="313">
        <v>5.2</v>
      </c>
      <c r="E693" s="308" t="s">
        <v>364</v>
      </c>
      <c r="F693" s="306">
        <f>ROUND(D693*C693/100,0)</f>
        <v>3305995</v>
      </c>
      <c r="G693" s="312">
        <f ca="1">$G$613</f>
        <v>5.2879999999999994</v>
      </c>
      <c r="H693" s="308" t="s">
        <v>364</v>
      </c>
      <c r="I693" s="306">
        <f ca="1">ROUND(G693*$C693/100,0)</f>
        <v>3361942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>
      <c r="A694" s="308" t="s">
        <v>390</v>
      </c>
      <c r="B694" s="1"/>
      <c r="C694" s="304">
        <v>103480.49999999997</v>
      </c>
      <c r="D694" s="956">
        <v>56</v>
      </c>
      <c r="E694" s="308" t="s">
        <v>364</v>
      </c>
      <c r="F694" s="306">
        <f>ROUND(D694*C694/100,0)</f>
        <v>57949</v>
      </c>
      <c r="G694" s="460">
        <f ca="1">$G$614</f>
        <v>57</v>
      </c>
      <c r="H694" s="308" t="s">
        <v>364</v>
      </c>
      <c r="I694" s="306">
        <f ca="1">ROUND(G694*$C694/100,0)</f>
        <v>58984</v>
      </c>
      <c r="J694" s="306"/>
      <c r="K694" s="460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460" t="e">
        <f ca="1">$O$614</f>
        <v>#DIV/0!</v>
      </c>
      <c r="P694" s="308" t="s">
        <v>364</v>
      </c>
      <c r="Q694" s="306" t="e">
        <f ca="1">ROUND(O694*$C694/100,0)</f>
        <v>#DIV/0!</v>
      </c>
      <c r="R694" s="306"/>
      <c r="S694" s="460" t="e">
        <f ca="1">$S$614</f>
        <v>#DIV/0!</v>
      </c>
      <c r="T694" s="308" t="s">
        <v>364</v>
      </c>
      <c r="U694" s="306" t="e">
        <f ca="1">ROUND(S694*$C694/100,0)</f>
        <v>#DIV/0!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s="1118" customFormat="1" hidden="1">
      <c r="A695" s="968" t="s">
        <v>868</v>
      </c>
      <c r="C695" s="1122">
        <f>C692</f>
        <v>41625753.333333328</v>
      </c>
      <c r="D695" s="254">
        <v>0</v>
      </c>
      <c r="E695" s="1119"/>
      <c r="F695" s="1123"/>
      <c r="G695" s="1128">
        <f>G615</f>
        <v>0</v>
      </c>
      <c r="H695" s="1000" t="s">
        <v>364</v>
      </c>
      <c r="I695" s="1000">
        <f t="shared" ref="I695:I696" si="167">ROUND(G695*$C695/100,0)</f>
        <v>0</v>
      </c>
      <c r="J695" s="1000"/>
      <c r="K695" s="1128" t="str">
        <f>K615</f>
        <v xml:space="preserve"> </v>
      </c>
      <c r="L695" s="1000" t="s">
        <v>364</v>
      </c>
      <c r="M695" s="1000">
        <f t="shared" ref="M695:M696" si="168">ROUND(K695*$C695/100,0)</f>
        <v>0</v>
      </c>
      <c r="N695" s="1000"/>
      <c r="O695" s="1128" t="str">
        <f>O615</f>
        <v xml:space="preserve"> </v>
      </c>
      <c r="P695" s="1000" t="s">
        <v>364</v>
      </c>
      <c r="Q695" s="1000">
        <f t="shared" ref="Q695:Q696" si="169">ROUND(O695*$C695/100,0)</f>
        <v>0</v>
      </c>
      <c r="R695" s="1000"/>
      <c r="S695" s="1128">
        <f>S615</f>
        <v>0</v>
      </c>
      <c r="T695" s="1000" t="s">
        <v>364</v>
      </c>
      <c r="U695" s="1000">
        <f t="shared" ref="U695:U696" si="170">ROUND(S695*$C695/100,0)</f>
        <v>0</v>
      </c>
      <c r="W695" s="784"/>
      <c r="Z695" s="1125"/>
      <c r="AA695" s="1125"/>
      <c r="AF695" s="1119"/>
      <c r="AG695" s="1119"/>
      <c r="AH695" s="1119"/>
      <c r="AI695" s="1119"/>
      <c r="AJ695" s="1119"/>
      <c r="AK695" s="1119"/>
      <c r="AL695" s="1119"/>
      <c r="AM695" s="1119"/>
      <c r="AN695" s="1119"/>
      <c r="AO695" s="1119"/>
      <c r="AP695" s="1119"/>
      <c r="AR695" s="1124"/>
    </row>
    <row r="696" spans="1:44" s="1118" customFormat="1" hidden="1">
      <c r="A696" s="968" t="s">
        <v>869</v>
      </c>
      <c r="C696" s="1122">
        <f>C693</f>
        <v>63576818.666666672</v>
      </c>
      <c r="D696" s="254">
        <v>0</v>
      </c>
      <c r="E696" s="1119"/>
      <c r="F696" s="1123"/>
      <c r="G696" s="1128">
        <f>G616</f>
        <v>0</v>
      </c>
      <c r="H696" s="1000" t="s">
        <v>364</v>
      </c>
      <c r="I696" s="1000">
        <f t="shared" si="167"/>
        <v>0</v>
      </c>
      <c r="J696" s="1000"/>
      <c r="K696" s="1128" t="str">
        <f>K616</f>
        <v xml:space="preserve"> </v>
      </c>
      <c r="L696" s="1000" t="s">
        <v>364</v>
      </c>
      <c r="M696" s="1000">
        <f t="shared" si="168"/>
        <v>0</v>
      </c>
      <c r="N696" s="1000"/>
      <c r="O696" s="1128" t="str">
        <f>O616</f>
        <v xml:space="preserve"> </v>
      </c>
      <c r="P696" s="1000" t="s">
        <v>364</v>
      </c>
      <c r="Q696" s="1000">
        <f t="shared" si="169"/>
        <v>0</v>
      </c>
      <c r="R696" s="1000"/>
      <c r="S696" s="1128">
        <f>S616</f>
        <v>0</v>
      </c>
      <c r="T696" s="1000" t="s">
        <v>364</v>
      </c>
      <c r="U696" s="1000">
        <f t="shared" si="170"/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>
      <c r="A697" s="345" t="s">
        <v>391</v>
      </c>
      <c r="B697" s="1"/>
      <c r="C697" s="304"/>
      <c r="D697" s="317">
        <v>-0.01</v>
      </c>
      <c r="E697" s="1"/>
      <c r="F697" s="306"/>
      <c r="G697" s="317">
        <v>-0.01</v>
      </c>
      <c r="H697" s="1"/>
      <c r="I697" s="306"/>
      <c r="J697" s="306"/>
      <c r="K697" s="317">
        <v>-0.01</v>
      </c>
      <c r="L697" s="1"/>
      <c r="M697" s="306"/>
      <c r="N697" s="306"/>
      <c r="O697" s="317">
        <v>-0.01</v>
      </c>
      <c r="P697" s="1"/>
      <c r="Q697" s="306"/>
      <c r="R697" s="306"/>
      <c r="S697" s="317">
        <v>-0.01</v>
      </c>
      <c r="T697" s="1"/>
      <c r="U697" s="306"/>
      <c r="V697" s="20"/>
      <c r="W697" s="74"/>
      <c r="X697" s="74"/>
      <c r="Y697" s="74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</row>
    <row r="698" spans="1:44">
      <c r="A698" s="308" t="s">
        <v>411</v>
      </c>
      <c r="B698" s="1"/>
      <c r="C698" s="304">
        <v>0</v>
      </c>
      <c r="D698" s="289">
        <v>259</v>
      </c>
      <c r="E698" s="278"/>
      <c r="F698" s="306">
        <f t="shared" ref="F698:F704" si="171">ROUND(D698*C698*$D$659,0)</f>
        <v>0</v>
      </c>
      <c r="G698" s="289">
        <f ca="1">G682</f>
        <v>264</v>
      </c>
      <c r="H698" s="278"/>
      <c r="I698" s="306">
        <f ca="1">ROUND(G698*$C698*G697,0)</f>
        <v>0</v>
      </c>
      <c r="J698" s="306"/>
      <c r="K698" s="289">
        <f ca="1">K682</f>
        <v>264</v>
      </c>
      <c r="L698" s="278"/>
      <c r="M698" s="306">
        <f ca="1">ROUND(K698*$C698*K697,0)</f>
        <v>0</v>
      </c>
      <c r="N698" s="306"/>
      <c r="O698" s="289" t="str">
        <f>O682</f>
        <v xml:space="preserve"> </v>
      </c>
      <c r="P698" s="278"/>
      <c r="Q698" s="306">
        <f>ROUND(O698*$C698*O697,0)</f>
        <v>0</v>
      </c>
      <c r="R698" s="306"/>
      <c r="S698" s="289" t="str">
        <f>S682</f>
        <v xml:space="preserve"> </v>
      </c>
      <c r="T698" s="278"/>
      <c r="U698" s="306">
        <f>ROUND(S698*$C698*S697,0)</f>
        <v>0</v>
      </c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>
      <c r="A699" s="308" t="s">
        <v>412</v>
      </c>
      <c r="B699" s="1"/>
      <c r="C699" s="304">
        <v>16.2</v>
      </c>
      <c r="D699" s="289">
        <v>96</v>
      </c>
      <c r="E699" s="278"/>
      <c r="F699" s="306">
        <f t="shared" si="171"/>
        <v>-16</v>
      </c>
      <c r="G699" s="289">
        <f ca="1">G683</f>
        <v>98</v>
      </c>
      <c r="H699" s="278"/>
      <c r="I699" s="306">
        <f ca="1">ROUND(G699*$C699*G697,0)</f>
        <v>-16</v>
      </c>
      <c r="J699" s="306"/>
      <c r="K699" s="289">
        <f ca="1">K683</f>
        <v>98</v>
      </c>
      <c r="L699" s="278"/>
      <c r="M699" s="306">
        <f ca="1">ROUND(K699*$C699*K697,0)</f>
        <v>-16</v>
      </c>
      <c r="N699" s="306"/>
      <c r="O699" s="289" t="str">
        <f>O683</f>
        <v xml:space="preserve"> </v>
      </c>
      <c r="P699" s="278"/>
      <c r="Q699" s="306">
        <f>ROUND(O699*$C699*O697,0)</f>
        <v>0</v>
      </c>
      <c r="R699" s="306"/>
      <c r="S699" s="289" t="str">
        <f>S683</f>
        <v xml:space="preserve"> </v>
      </c>
      <c r="T699" s="278"/>
      <c r="U699" s="306">
        <f>ROUND(S699*$C699*S697,0)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>
      <c r="A700" s="308" t="s">
        <v>413</v>
      </c>
      <c r="B700" s="1"/>
      <c r="C700" s="304">
        <v>0</v>
      </c>
      <c r="D700" s="289">
        <v>192</v>
      </c>
      <c r="E700" s="358"/>
      <c r="F700" s="306">
        <f t="shared" si="171"/>
        <v>0</v>
      </c>
      <c r="G700" s="289">
        <f ca="1">G684</f>
        <v>195</v>
      </c>
      <c r="H700" s="358"/>
      <c r="I700" s="306">
        <f ca="1">ROUND(G700*$C700*G697,0)</f>
        <v>0</v>
      </c>
      <c r="J700" s="306"/>
      <c r="K700" s="289">
        <f ca="1">K684</f>
        <v>195</v>
      </c>
      <c r="L700" s="358"/>
      <c r="M700" s="306">
        <f ca="1">ROUND(K700*$C700*K697,0)</f>
        <v>0</v>
      </c>
      <c r="N700" s="306"/>
      <c r="O700" s="289" t="str">
        <f>O684</f>
        <v xml:space="preserve"> </v>
      </c>
      <c r="P700" s="358"/>
      <c r="Q700" s="306">
        <f>ROUND(O700*$C700*O697,0)</f>
        <v>0</v>
      </c>
      <c r="R700" s="306"/>
      <c r="S700" s="289" t="str">
        <f>S684</f>
        <v xml:space="preserve"> </v>
      </c>
      <c r="T700" s="358"/>
      <c r="U700" s="306">
        <f>ROUND(S700*$C700*S697,0)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>
      <c r="A701" s="308" t="s">
        <v>412</v>
      </c>
      <c r="B701" s="1"/>
      <c r="C701" s="304">
        <v>2032</v>
      </c>
      <c r="D701" s="289">
        <v>1.76</v>
      </c>
      <c r="E701" s="278"/>
      <c r="F701" s="306">
        <f t="shared" si="171"/>
        <v>-36</v>
      </c>
      <c r="G701" s="289">
        <f ca="1">G686</f>
        <v>1.79</v>
      </c>
      <c r="H701" s="278"/>
      <c r="I701" s="306">
        <f ca="1">ROUND(G701*$C701*G697,0)</f>
        <v>-36</v>
      </c>
      <c r="J701" s="306"/>
      <c r="K701" s="289">
        <f ca="1">K686</f>
        <v>1.79</v>
      </c>
      <c r="L701" s="278"/>
      <c r="M701" s="306">
        <f ca="1">ROUND(K701*$C701*K697,0)</f>
        <v>-36</v>
      </c>
      <c r="N701" s="306"/>
      <c r="O701" s="289" t="str">
        <f>O686</f>
        <v xml:space="preserve"> </v>
      </c>
      <c r="P701" s="278"/>
      <c r="Q701" s="306">
        <f>ROUND(O701*$C701*O697,0)</f>
        <v>0</v>
      </c>
      <c r="R701" s="306"/>
      <c r="S701" s="289" t="str">
        <f>S686</f>
        <v xml:space="preserve"> </v>
      </c>
      <c r="T701" s="278"/>
      <c r="U701" s="306">
        <f>ROUND(S701*$C701*S697,0)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>
      <c r="A702" s="308" t="s">
        <v>413</v>
      </c>
      <c r="B702" s="1"/>
      <c r="C702" s="304">
        <v>0</v>
      </c>
      <c r="D702" s="289">
        <v>1.44</v>
      </c>
      <c r="E702" s="278"/>
      <c r="F702" s="306">
        <f t="shared" si="171"/>
        <v>0</v>
      </c>
      <c r="G702" s="289">
        <f ca="1">G687</f>
        <v>1.46</v>
      </c>
      <c r="H702" s="278"/>
      <c r="I702" s="306">
        <f ca="1">ROUND(G702*$C702*G697,0)</f>
        <v>0</v>
      </c>
      <c r="J702" s="306"/>
      <c r="K702" s="289">
        <f ca="1">K687</f>
        <v>1.46</v>
      </c>
      <c r="L702" s="278"/>
      <c r="M702" s="306">
        <f ca="1">ROUND(K702*$C702*K697,0)</f>
        <v>0</v>
      </c>
      <c r="N702" s="306"/>
      <c r="O702" s="289" t="str">
        <f>O687</f>
        <v xml:space="preserve"> </v>
      </c>
      <c r="P702" s="278"/>
      <c r="Q702" s="306">
        <f>ROUND(O702*$C702*O697,0)</f>
        <v>0</v>
      </c>
      <c r="R702" s="306"/>
      <c r="S702" s="289" t="str">
        <f>S687</f>
        <v xml:space="preserve"> </v>
      </c>
      <c r="T702" s="278"/>
      <c r="U702" s="306">
        <f>ROUND(S702*$C702*S697,0)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>
      <c r="A703" s="294" t="s">
        <v>415</v>
      </c>
      <c r="B703" s="1"/>
      <c r="C703" s="304">
        <v>1286</v>
      </c>
      <c r="D703" s="289">
        <v>5.37</v>
      </c>
      <c r="E703" s="278"/>
      <c r="F703" s="306">
        <f t="shared" si="171"/>
        <v>-69</v>
      </c>
      <c r="G703" s="289">
        <f ca="1">G689</f>
        <v>5.47</v>
      </c>
      <c r="H703" s="278"/>
      <c r="I703" s="306">
        <f ca="1">ROUND(G703*$C703*G697,0)</f>
        <v>-70</v>
      </c>
      <c r="J703" s="306"/>
      <c r="K703" s="289" t="e">
        <f ca="1">K689</f>
        <v>#REF!</v>
      </c>
      <c r="L703" s="278"/>
      <c r="M703" s="306" t="e">
        <f ca="1">ROUND(K703*$C703*K697,0)</f>
        <v>#REF!</v>
      </c>
      <c r="N703" s="306"/>
      <c r="O703" s="289">
        <f>O689</f>
        <v>0</v>
      </c>
      <c r="P703" s="278"/>
      <c r="Q703" s="306">
        <f>ROUND(O703*$C703*O697,0)</f>
        <v>0</v>
      </c>
      <c r="R703" s="306"/>
      <c r="S703" s="289">
        <f>S689</f>
        <v>0</v>
      </c>
      <c r="T703" s="278"/>
      <c r="U703" s="306">
        <f>ROUND(S703*$C703*S697,0)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>
      <c r="A704" s="294" t="s">
        <v>431</v>
      </c>
      <c r="B704" s="1"/>
      <c r="C704" s="304">
        <v>0</v>
      </c>
      <c r="D704" s="289">
        <v>5.37</v>
      </c>
      <c r="E704" s="278"/>
      <c r="F704" s="306">
        <f t="shared" si="171"/>
        <v>0</v>
      </c>
      <c r="G704" s="289">
        <f ca="1">G690</f>
        <v>5.47</v>
      </c>
      <c r="H704" s="278"/>
      <c r="I704" s="306">
        <f ca="1">ROUND(G704*$C704*G697,0)</f>
        <v>0</v>
      </c>
      <c r="J704" s="306"/>
      <c r="K704" s="289" t="e">
        <f ca="1">K690</f>
        <v>#REF!</v>
      </c>
      <c r="L704" s="278"/>
      <c r="M704" s="306" t="e">
        <f ca="1">ROUND(K704*$C704*K697,0)</f>
        <v>#REF!</v>
      </c>
      <c r="N704" s="306"/>
      <c r="O704" s="289">
        <f>O690</f>
        <v>0</v>
      </c>
      <c r="P704" s="278"/>
      <c r="Q704" s="306">
        <f>ROUND(O704*$C704*O697,0)</f>
        <v>0</v>
      </c>
      <c r="R704" s="306"/>
      <c r="S704" s="289">
        <f>S690</f>
        <v>0</v>
      </c>
      <c r="T704" s="278"/>
      <c r="U704" s="306">
        <f>ROUND(S704*$C704*S697,0)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>
      <c r="A705" s="308" t="s">
        <v>417</v>
      </c>
      <c r="B705" s="1"/>
      <c r="C705" s="304">
        <v>490733.33333333302</v>
      </c>
      <c r="D705" s="359">
        <v>5.6790000000000003</v>
      </c>
      <c r="E705" s="308" t="s">
        <v>364</v>
      </c>
      <c r="F705" s="306">
        <f>ROUND(D705*C705/100*$D$659,0)</f>
        <v>-279</v>
      </c>
      <c r="G705" s="359">
        <f ca="1">G692</f>
        <v>5.7730000000000006</v>
      </c>
      <c r="H705" s="308" t="s">
        <v>364</v>
      </c>
      <c r="I705" s="306">
        <f ca="1">ROUND(G705*$C705/100*G697,0)</f>
        <v>-283</v>
      </c>
      <c r="J705" s="306"/>
      <c r="K705" s="359" t="str">
        <f>K692</f>
        <v xml:space="preserve"> </v>
      </c>
      <c r="L705" s="308" t="s">
        <v>364</v>
      </c>
      <c r="M705" s="306">
        <f>ROUND(K705*$C705/100*K697,0)</f>
        <v>0</v>
      </c>
      <c r="N705" s="306"/>
      <c r="O705" s="359" t="e">
        <f ca="1">O692</f>
        <v>#REF!</v>
      </c>
      <c r="P705" s="308" t="s">
        <v>364</v>
      </c>
      <c r="Q705" s="306" t="e">
        <f ca="1">ROUND(O705*$C705/100*O697,0)</f>
        <v>#REF!</v>
      </c>
      <c r="R705" s="306"/>
      <c r="S705" s="359" t="e">
        <f ca="1">S692</f>
        <v>#REF!</v>
      </c>
      <c r="T705" s="308" t="s">
        <v>364</v>
      </c>
      <c r="U705" s="306" t="e">
        <f ca="1">ROUND(S705*$C705/100*S697,0)</f>
        <v>#REF!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>
      <c r="A706" s="308" t="s">
        <v>389</v>
      </c>
      <c r="B706" s="1"/>
      <c r="C706" s="304">
        <v>21066.666666666977</v>
      </c>
      <c r="D706" s="359">
        <v>5.2</v>
      </c>
      <c r="E706" s="308" t="s">
        <v>364</v>
      </c>
      <c r="F706" s="306">
        <f>ROUND(D706*C706/100*$D$659,0)</f>
        <v>-11</v>
      </c>
      <c r="G706" s="359">
        <f ca="1">G693</f>
        <v>5.2879999999999994</v>
      </c>
      <c r="H706" s="308" t="s">
        <v>364</v>
      </c>
      <c r="I706" s="306">
        <f ca="1">ROUND(G706*$C706/100*G697,0)</f>
        <v>-11</v>
      </c>
      <c r="J706" s="306"/>
      <c r="K706" s="359" t="str">
        <f>K693</f>
        <v xml:space="preserve"> </v>
      </c>
      <c r="L706" s="308" t="s">
        <v>364</v>
      </c>
      <c r="M706" s="306">
        <f>ROUND(K706*$C706/100*K697,0)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ROUND(O706*$C706/100*O697,0)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ROUND(S706*$C706/100*S697,0)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>
      <c r="A707" s="308" t="s">
        <v>390</v>
      </c>
      <c r="B707" s="1"/>
      <c r="C707" s="304">
        <v>955.13333333333298</v>
      </c>
      <c r="D707" s="360">
        <v>56</v>
      </c>
      <c r="E707" s="308" t="s">
        <v>364</v>
      </c>
      <c r="F707" s="306">
        <f>ROUND(D707*C707/100*$D$659,0)</f>
        <v>-5</v>
      </c>
      <c r="G707" s="360">
        <f ca="1">G694</f>
        <v>57</v>
      </c>
      <c r="H707" s="308" t="s">
        <v>364</v>
      </c>
      <c r="I707" s="306">
        <f ca="1">ROUND(G707*$C707/100*G697,0)</f>
        <v>-5</v>
      </c>
      <c r="J707" s="306"/>
      <c r="K707" s="360" t="str">
        <f>K694</f>
        <v xml:space="preserve"> </v>
      </c>
      <c r="L707" s="308" t="s">
        <v>364</v>
      </c>
      <c r="M707" s="306">
        <f>ROUND(K707*$C707/100*K697,0)</f>
        <v>0</v>
      </c>
      <c r="N707" s="306"/>
      <c r="O707" s="360" t="e">
        <f ca="1">O694</f>
        <v>#DIV/0!</v>
      </c>
      <c r="P707" s="308" t="s">
        <v>364</v>
      </c>
      <c r="Q707" s="306" t="e">
        <f ca="1">ROUND(O707*$C707/100*O697,0)</f>
        <v>#DIV/0!</v>
      </c>
      <c r="R707" s="306"/>
      <c r="S707" s="360" t="e">
        <f ca="1">S694</f>
        <v>#DIV/0!</v>
      </c>
      <c r="T707" s="308" t="s">
        <v>364</v>
      </c>
      <c r="U707" s="306" t="e">
        <f ca="1">ROUND(S707*$C707/100*S697,0)</f>
        <v>#DIV/0!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>
      <c r="A708" s="308" t="s">
        <v>433</v>
      </c>
      <c r="B708" s="1"/>
      <c r="C708" s="304">
        <v>16.2</v>
      </c>
      <c r="D708" s="283">
        <v>60</v>
      </c>
      <c r="E708" s="1"/>
      <c r="F708" s="306">
        <f>ROUND(D708*C708,0)</f>
        <v>972</v>
      </c>
      <c r="G708" s="283">
        <f>$G$630</f>
        <v>60</v>
      </c>
      <c r="H708" s="1"/>
      <c r="I708" s="306">
        <f>ROUND(G708*$C708,0)</f>
        <v>972</v>
      </c>
      <c r="J708" s="306"/>
      <c r="K708" s="283">
        <v>0</v>
      </c>
      <c r="L708" s="1"/>
      <c r="M708" s="306">
        <f>ROUND(K708*$C708,0)</f>
        <v>0</v>
      </c>
      <c r="N708" s="306"/>
      <c r="O708" s="283" t="e">
        <f>O630</f>
        <v>#DIV/0!</v>
      </c>
      <c r="P708" s="1"/>
      <c r="Q708" s="306" t="e">
        <f>ROUND(O708*$C708,0)</f>
        <v>#DIV/0!</v>
      </c>
      <c r="R708" s="306"/>
      <c r="S708" s="283" t="e">
        <f>S630</f>
        <v>#DIV/0!</v>
      </c>
      <c r="T708" s="1"/>
      <c r="U708" s="306" t="e">
        <f>ROUND(S708*$C708,0)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>
      <c r="A709" s="308" t="s">
        <v>434</v>
      </c>
      <c r="B709" s="1"/>
      <c r="C709" s="304">
        <v>2032</v>
      </c>
      <c r="D709" s="324">
        <v>-30</v>
      </c>
      <c r="E709" s="306" t="s">
        <v>364</v>
      </c>
      <c r="F709" s="306">
        <f>-ROUND(D709*C709*$D$659,0)</f>
        <v>-610</v>
      </c>
      <c r="G709" s="324">
        <f>$G$631</f>
        <v>-30</v>
      </c>
      <c r="H709" s="306" t="s">
        <v>364</v>
      </c>
      <c r="I709" s="306">
        <f>ROUND(G709*$C709/100,0)</f>
        <v>-610</v>
      </c>
      <c r="J709" s="306"/>
      <c r="K709" s="324">
        <f>$G$631</f>
        <v>-30</v>
      </c>
      <c r="L709" s="306" t="s">
        <v>364</v>
      </c>
      <c r="M709" s="306">
        <f>ROUND(K709*$C709/100,0)</f>
        <v>-610</v>
      </c>
      <c r="N709" s="306"/>
      <c r="O709" s="324">
        <v>0</v>
      </c>
      <c r="P709" s="306" t="s">
        <v>364</v>
      </c>
      <c r="Q709" s="306">
        <f>ROUND(O709*$C709/100,0)</f>
        <v>0</v>
      </c>
      <c r="R709" s="306"/>
      <c r="S709" s="324">
        <v>0</v>
      </c>
      <c r="T709" s="306" t="s">
        <v>364</v>
      </c>
      <c r="U709" s="306">
        <f>ROUND(S709*$C709/100,0)</f>
        <v>0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s="1118" customFormat="1" hidden="1">
      <c r="A710" s="968" t="s">
        <v>868</v>
      </c>
      <c r="C710" s="1122">
        <f>C705</f>
        <v>490733.33333333302</v>
      </c>
      <c r="D710" s="254">
        <v>0</v>
      </c>
      <c r="E710" s="1119"/>
      <c r="F710" s="1123"/>
      <c r="G710" s="1128">
        <f>G695</f>
        <v>0</v>
      </c>
      <c r="H710" s="1000" t="s">
        <v>364</v>
      </c>
      <c r="I710" s="1000">
        <f>ROUND(G710*$C710/100*G697,0)</f>
        <v>0</v>
      </c>
      <c r="J710" s="1000"/>
      <c r="K710" s="1128" t="str">
        <f>K695</f>
        <v xml:space="preserve"> </v>
      </c>
      <c r="L710" s="1000" t="s">
        <v>364</v>
      </c>
      <c r="M710" s="1000">
        <f>ROUND(K710*$C710/100*K697,0)</f>
        <v>0</v>
      </c>
      <c r="N710" s="1000"/>
      <c r="O710" s="1128" t="str">
        <f>O695</f>
        <v xml:space="preserve"> </v>
      </c>
      <c r="P710" s="1000" t="s">
        <v>364</v>
      </c>
      <c r="Q710" s="1000">
        <f>ROUND(O710*$C710/100*O697,0)</f>
        <v>0</v>
      </c>
      <c r="R710" s="1000"/>
      <c r="S710" s="1128">
        <f>S695</f>
        <v>0</v>
      </c>
      <c r="T710" s="1000" t="s">
        <v>364</v>
      </c>
      <c r="U710" s="1000">
        <f>ROUND(S710*$C710/100*S697,0)</f>
        <v>0</v>
      </c>
      <c r="W710" s="784"/>
      <c r="Z710" s="1125"/>
      <c r="AA710" s="1125"/>
      <c r="AF710" s="1119"/>
      <c r="AG710" s="1119"/>
      <c r="AH710" s="1119"/>
      <c r="AI710" s="1119"/>
      <c r="AJ710" s="1119"/>
      <c r="AK710" s="1119"/>
      <c r="AL710" s="1119"/>
      <c r="AM710" s="1119"/>
      <c r="AN710" s="1119"/>
      <c r="AO710" s="1119"/>
      <c r="AP710" s="1119"/>
      <c r="AR710" s="1124"/>
    </row>
    <row r="711" spans="1:44" s="1118" customFormat="1" hidden="1">
      <c r="A711" s="968" t="s">
        <v>869</v>
      </c>
      <c r="C711" s="1122">
        <f>C706</f>
        <v>21066.666666666977</v>
      </c>
      <c r="D711" s="254"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ROUND(G711*$C711/100*G697,0)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ROUND(K711*$C711/100*K697,0)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ROUND(O711*$C711/100*O697,0)</f>
        <v>0</v>
      </c>
      <c r="R711" s="1000"/>
      <c r="S711" s="1128">
        <f>S696</f>
        <v>0</v>
      </c>
      <c r="T711" s="1000" t="s">
        <v>364</v>
      </c>
      <c r="U711" s="1000">
        <f>ROUND(S711*$C711/100*S697,0)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>
      <c r="A712" s="1" t="s">
        <v>371</v>
      </c>
      <c r="B712" s="1"/>
      <c r="C712" s="304">
        <f>SUM(C692:C693)</f>
        <v>105202572</v>
      </c>
      <c r="D712" s="315"/>
      <c r="E712" s="1"/>
      <c r="F712" s="2">
        <f>SUM(F682:F709)</f>
        <v>8422876</v>
      </c>
      <c r="G712" s="315"/>
      <c r="H712" s="1"/>
      <c r="I712" s="2">
        <f ca="1">SUM(I682:I711)</f>
        <v>8566587</v>
      </c>
      <c r="J712" s="2"/>
      <c r="K712" s="315"/>
      <c r="L712" s="1"/>
      <c r="M712" s="2" t="e">
        <f ca="1">SUM(M682:M711)</f>
        <v>#REF!</v>
      </c>
      <c r="N712" s="2"/>
      <c r="O712" s="315"/>
      <c r="P712" s="1"/>
      <c r="Q712" s="2" t="e">
        <f ca="1">SUM(Q682:Q711)</f>
        <v>#REF!</v>
      </c>
      <c r="R712" s="2"/>
      <c r="S712" s="315"/>
      <c r="T712" s="1"/>
      <c r="U712" s="2" t="e">
        <f ca="1">SUM(U682:U711)</f>
        <v>#REF!</v>
      </c>
      <c r="V712" s="20"/>
      <c r="W712" s="74"/>
      <c r="X712" s="74"/>
      <c r="Y712" s="74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</row>
    <row r="713" spans="1:44">
      <c r="A713" s="1" t="s">
        <v>353</v>
      </c>
      <c r="B713" s="1"/>
      <c r="C713" s="334">
        <f ca="1">'Table 2'!H76</f>
        <v>327096.30737224856</v>
      </c>
      <c r="D713" s="294"/>
      <c r="E713" s="294"/>
      <c r="F713" s="295">
        <f ca="1">'Table 3'!E76</f>
        <v>26533.50156434354</v>
      </c>
      <c r="G713" s="294"/>
      <c r="H713" s="294"/>
      <c r="I713" s="295">
        <f ca="1">F713</f>
        <v>26533.50156434354</v>
      </c>
      <c r="J713" s="51"/>
      <c r="K713" s="294"/>
      <c r="L713" s="294"/>
      <c r="M713" s="295" t="e">
        <f ca="1">$I$713*V639/($V$639+$W$639+$X$639)</f>
        <v>#DIV/0!</v>
      </c>
      <c r="N713" s="51"/>
      <c r="O713" s="294"/>
      <c r="P713" s="294"/>
      <c r="Q713" s="295" t="e">
        <f ca="1">$I$713*W639/($V$639+$W$639+$X$639)</f>
        <v>#DIV/0!</v>
      </c>
      <c r="R713" s="51"/>
      <c r="S713" s="294"/>
      <c r="T713" s="294"/>
      <c r="U713" s="295" t="e">
        <f ca="1">$I$713*X639/($V$639+$W$639+$X$639)</f>
        <v>#DIV/0!</v>
      </c>
      <c r="V713" s="429"/>
      <c r="W713" s="272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t="16.5" thickBot="1">
      <c r="A714" s="1" t="s">
        <v>372</v>
      </c>
      <c r="B714" s="1"/>
      <c r="C714" s="351">
        <f ca="1">SUM(C712)+C713</f>
        <v>105529668.30737224</v>
      </c>
      <c r="D714" s="327"/>
      <c r="E714" s="330"/>
      <c r="F714" s="329">
        <f ca="1">F712+F713</f>
        <v>8449409.5015643444</v>
      </c>
      <c r="G714" s="327"/>
      <c r="H714" s="330"/>
      <c r="I714" s="329">
        <f ca="1">I712+I713</f>
        <v>8593120.5015643444</v>
      </c>
      <c r="J714" s="307"/>
      <c r="K714" s="327"/>
      <c r="L714" s="330"/>
      <c r="M714" s="329" t="e">
        <f ca="1">M712+M713</f>
        <v>#REF!</v>
      </c>
      <c r="N714" s="329"/>
      <c r="O714" s="327"/>
      <c r="P714" s="330"/>
      <c r="Q714" s="329" t="e">
        <f ca="1">Q712+Q713</f>
        <v>#REF!</v>
      </c>
      <c r="R714" s="329"/>
      <c r="S714" s="327"/>
      <c r="T714" s="330"/>
      <c r="U714" s="329" t="e">
        <f ca="1">U712+U713</f>
        <v>#REF!</v>
      </c>
      <c r="V714" s="396"/>
      <c r="W714" s="455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thickTop="1">
      <c r="A715" s="288"/>
      <c r="B715" s="363"/>
      <c r="C715" s="288"/>
      <c r="D715" s="1"/>
      <c r="E715" s="288"/>
      <c r="F715" s="364"/>
      <c r="G715" s="288"/>
      <c r="H715" s="288"/>
      <c r="I715" s="288"/>
      <c r="J715" s="288"/>
      <c r="K715" s="288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0"/>
      <c r="W715" s="74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>
      <c r="A716" s="278" t="s">
        <v>437</v>
      </c>
      <c r="B716" s="1"/>
      <c r="C716" s="21"/>
      <c r="D716" s="322"/>
      <c r="E716" s="1"/>
      <c r="F716" s="2"/>
      <c r="G716" s="322"/>
      <c r="H716" s="1"/>
      <c r="I716" s="2"/>
      <c r="J716" s="2"/>
      <c r="K716" s="322"/>
      <c r="L716" s="1"/>
      <c r="M716" s="2"/>
      <c r="N716" s="2"/>
      <c r="O716" s="322"/>
      <c r="P716" s="1"/>
      <c r="Q716" s="2"/>
      <c r="R716" s="2"/>
      <c r="S716" s="322"/>
      <c r="T716" s="1"/>
      <c r="U716" s="2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94" t="s">
        <v>438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308"/>
      <c r="B718" s="1"/>
      <c r="C718" s="21"/>
      <c r="D718" s="322"/>
      <c r="E718" s="1"/>
      <c r="F718" s="365"/>
      <c r="G718" s="322"/>
      <c r="H718" s="1"/>
      <c r="I718" s="366"/>
      <c r="J718" s="366"/>
      <c r="K718" s="322"/>
      <c r="L718" s="1"/>
      <c r="M718" s="366"/>
      <c r="N718" s="366"/>
      <c r="O718" s="322"/>
      <c r="P718" s="1"/>
      <c r="Q718" s="366"/>
      <c r="R718" s="366"/>
      <c r="S718" s="322"/>
      <c r="T718" s="1"/>
      <c r="U718" s="366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294" t="s">
        <v>439</v>
      </c>
      <c r="B719" s="1"/>
      <c r="C719" s="304"/>
      <c r="D719" s="2" t="s">
        <v>31</v>
      </c>
      <c r="E719" s="1"/>
      <c r="F719" s="1"/>
      <c r="G719" s="2" t="s">
        <v>31</v>
      </c>
      <c r="H719" s="1"/>
      <c r="I719" s="1"/>
      <c r="J719" s="1"/>
      <c r="K719" s="2" t="s">
        <v>31</v>
      </c>
      <c r="L719" s="1"/>
      <c r="M719" s="1"/>
      <c r="N719" s="1"/>
      <c r="O719" s="2" t="s">
        <v>31</v>
      </c>
      <c r="P719" s="1"/>
      <c r="Q719" s="1"/>
      <c r="R719" s="1"/>
      <c r="S719" s="2" t="s">
        <v>31</v>
      </c>
      <c r="T719" s="1"/>
      <c r="U719" s="1"/>
      <c r="V719" s="20"/>
      <c r="W719" s="74"/>
      <c r="X719" s="20"/>
      <c r="Y719" s="20"/>
      <c r="Z719" s="20"/>
      <c r="AA719" s="20"/>
      <c r="AB719" s="20"/>
      <c r="AC719" s="20"/>
      <c r="AD719" s="20"/>
      <c r="AE719" s="20"/>
      <c r="AF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440</v>
      </c>
      <c r="B720" s="1"/>
      <c r="C720" s="304">
        <f>C774+C827</f>
        <v>1019.8115973941144</v>
      </c>
      <c r="D720" s="322">
        <v>0</v>
      </c>
      <c r="E720" s="309"/>
      <c r="F720" s="306">
        <f>F774+F827</f>
        <v>0</v>
      </c>
      <c r="G720" s="322">
        <f>D720</f>
        <v>0</v>
      </c>
      <c r="H720" s="309"/>
      <c r="I720" s="306">
        <f>I774+I827</f>
        <v>0</v>
      </c>
      <c r="J720" s="306"/>
      <c r="K720" s="322">
        <f>G720</f>
        <v>0</v>
      </c>
      <c r="L720" s="309"/>
      <c r="M720" s="306">
        <f>I720</f>
        <v>0</v>
      </c>
      <c r="N720" s="306"/>
      <c r="O720" s="311" t="s">
        <v>31</v>
      </c>
      <c r="P720" s="309"/>
      <c r="Q720" s="306">
        <f>O720*C720</f>
        <v>0</v>
      </c>
      <c r="R720" s="306"/>
      <c r="S720" s="322" t="str">
        <f>O720</f>
        <v xml:space="preserve"> </v>
      </c>
      <c r="T720" s="309"/>
      <c r="U720" s="306">
        <f>S720*C720</f>
        <v>0</v>
      </c>
      <c r="X720" s="14"/>
      <c r="Y720" s="14"/>
      <c r="AK720" s="20"/>
      <c r="AL720" s="20"/>
      <c r="AM720" s="20"/>
      <c r="AN720" s="20"/>
      <c r="AO720" s="20"/>
      <c r="AP720" s="20"/>
    </row>
    <row r="721" spans="1:42">
      <c r="A721" s="294" t="s">
        <v>441</v>
      </c>
      <c r="B721" s="1"/>
      <c r="C721" s="304"/>
      <c r="D721" s="322"/>
      <c r="E721" s="309"/>
      <c r="F721" s="306"/>
      <c r="G721" s="322"/>
      <c r="H721" s="309"/>
      <c r="I721" s="306"/>
      <c r="J721" s="306"/>
      <c r="K721" s="322"/>
      <c r="L721" s="309"/>
      <c r="M721" s="306"/>
      <c r="N721" s="306"/>
      <c r="O721" s="322"/>
      <c r="P721" s="309"/>
      <c r="Q721" s="306"/>
      <c r="R721" s="306"/>
      <c r="S721" s="322"/>
      <c r="T721" s="309"/>
      <c r="U721" s="306"/>
      <c r="AA721" s="84"/>
      <c r="AB721" s="642"/>
      <c r="AC721" s="84"/>
      <c r="AD721" s="642"/>
      <c r="AE721" s="84"/>
      <c r="AF721" s="84"/>
      <c r="AG721" s="222"/>
      <c r="AK721" s="20"/>
      <c r="AL721" s="20"/>
      <c r="AM721" s="20"/>
      <c r="AN721" s="20"/>
      <c r="AO721" s="20"/>
      <c r="AP721" s="20"/>
    </row>
    <row r="722" spans="1:42">
      <c r="A722" s="294" t="s">
        <v>442</v>
      </c>
      <c r="B722" s="1"/>
      <c r="C722" s="304">
        <f t="shared" ref="C722:C727" si="172">C776+C829</f>
        <v>3760.393248727928</v>
      </c>
      <c r="D722" s="322">
        <v>0</v>
      </c>
      <c r="E722" s="309"/>
      <c r="F722" s="306">
        <f>F776+F829</f>
        <v>0</v>
      </c>
      <c r="G722" s="322">
        <v>0</v>
      </c>
      <c r="H722" s="309"/>
      <c r="I722" s="306">
        <f>I776+I829</f>
        <v>0</v>
      </c>
      <c r="J722" s="306"/>
      <c r="K722" s="322">
        <f>G722</f>
        <v>0</v>
      </c>
      <c r="L722" s="309"/>
      <c r="M722" s="306">
        <f>I722</f>
        <v>0</v>
      </c>
      <c r="N722" s="306"/>
      <c r="O722" s="311" t="s">
        <v>31</v>
      </c>
      <c r="P722" s="309"/>
      <c r="Q722" s="306">
        <f>O722*C722</f>
        <v>0</v>
      </c>
      <c r="R722" s="306"/>
      <c r="S722" s="311" t="s">
        <v>31</v>
      </c>
      <c r="T722" s="309"/>
      <c r="U722" s="306">
        <f>S722*C722</f>
        <v>0</v>
      </c>
      <c r="V722" s="53"/>
      <c r="X722" s="765" t="s">
        <v>625</v>
      </c>
      <c r="Y722" s="765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443</v>
      </c>
      <c r="B723" s="1"/>
      <c r="C723" s="304">
        <f t="shared" si="172"/>
        <v>431.38877405282796</v>
      </c>
      <c r="D723" s="322">
        <v>362</v>
      </c>
      <c r="E723" s="309"/>
      <c r="F723" s="306">
        <f>F777+F830</f>
        <v>156163</v>
      </c>
      <c r="G723" s="322">
        <f ca="1">ROUND(D723*(1+$X$768),0)+2</f>
        <v>370</v>
      </c>
      <c r="H723" s="309"/>
      <c r="I723" s="306">
        <f ca="1">I777+I830</f>
        <v>159614</v>
      </c>
      <c r="J723" s="306"/>
      <c r="K723" s="322">
        <f ca="1">G723</f>
        <v>370</v>
      </c>
      <c r="L723" s="309"/>
      <c r="M723" s="306">
        <f ca="1">I723</f>
        <v>159614</v>
      </c>
      <c r="N723" s="306"/>
      <c r="O723" s="311" t="s">
        <v>31</v>
      </c>
      <c r="P723" s="309"/>
      <c r="Q723" s="306">
        <f>O723*C723</f>
        <v>0</v>
      </c>
      <c r="R723" s="306"/>
      <c r="S723" s="322" t="str">
        <f>O723</f>
        <v xml:space="preserve"> </v>
      </c>
      <c r="T723" s="309"/>
      <c r="U723" s="306">
        <f>S723*C723</f>
        <v>0</v>
      </c>
      <c r="V723" s="69"/>
      <c r="X723" s="14">
        <f ca="1">(G723-D723)/D723</f>
        <v>2.2099447513812154E-2</v>
      </c>
      <c r="Y723" s="14"/>
      <c r="Z723" s="314"/>
      <c r="AA723" s="84"/>
      <c r="AB723" s="305"/>
      <c r="AC723" s="84"/>
      <c r="AD723" s="305"/>
      <c r="AE723" s="84"/>
      <c r="AF723" s="84"/>
      <c r="AG723" s="719"/>
      <c r="AK723" s="20"/>
      <c r="AL723" s="20"/>
      <c r="AM723" s="20"/>
      <c r="AN723" s="20"/>
      <c r="AO723" s="20"/>
      <c r="AP723" s="20"/>
    </row>
    <row r="724" spans="1:42">
      <c r="A724" s="294" t="s">
        <v>444</v>
      </c>
      <c r="B724" s="1"/>
      <c r="C724" s="304">
        <f t="shared" si="172"/>
        <v>13.334244034527019</v>
      </c>
      <c r="D724" s="322">
        <v>1479</v>
      </c>
      <c r="E724" s="309"/>
      <c r="F724" s="306">
        <f>F778+F831</f>
        <v>19721</v>
      </c>
      <c r="G724" s="322">
        <f ca="1">ROUND(D724*(1+$X$768),0)</f>
        <v>1504</v>
      </c>
      <c r="H724" s="309"/>
      <c r="I724" s="306">
        <f ca="1">I778+I831</f>
        <v>20055</v>
      </c>
      <c r="J724" s="306"/>
      <c r="K724" s="322">
        <f ca="1">G724</f>
        <v>1504</v>
      </c>
      <c r="L724" s="309"/>
      <c r="M724" s="306">
        <f ca="1">I724</f>
        <v>20055</v>
      </c>
      <c r="N724" s="306"/>
      <c r="O724" s="311" t="s">
        <v>31</v>
      </c>
      <c r="P724" s="309"/>
      <c r="Q724" s="306">
        <f>O724*C724</f>
        <v>0</v>
      </c>
      <c r="R724" s="306"/>
      <c r="S724" s="322" t="str">
        <f>O724</f>
        <v xml:space="preserve"> </v>
      </c>
      <c r="T724" s="309"/>
      <c r="U724" s="306">
        <f>S724*C724</f>
        <v>0</v>
      </c>
      <c r="V724" s="69"/>
      <c r="X724" s="14">
        <f ca="1">(G724-D724)/D724</f>
        <v>1.6903313049357674E-2</v>
      </c>
      <c r="Y724" s="14"/>
      <c r="AA724" s="84"/>
      <c r="AB724" s="84"/>
      <c r="AG724" s="20"/>
      <c r="AJ724" s="20"/>
      <c r="AK724" s="20"/>
      <c r="AL724" s="20"/>
      <c r="AM724" s="20"/>
      <c r="AN724" s="20"/>
      <c r="AO724" s="20"/>
      <c r="AP724" s="20"/>
    </row>
    <row r="725" spans="1:42">
      <c r="A725" s="294" t="s">
        <v>352</v>
      </c>
      <c r="B725" s="1"/>
      <c r="C725" s="304">
        <f t="shared" si="172"/>
        <v>5224.9278642093977</v>
      </c>
      <c r="D725" s="322"/>
      <c r="E725" s="309"/>
      <c r="F725" s="306"/>
      <c r="G725" s="322"/>
      <c r="H725" s="309"/>
      <c r="I725" s="306"/>
      <c r="J725" s="306"/>
      <c r="K725" s="322"/>
      <c r="L725" s="309"/>
      <c r="M725" s="306"/>
      <c r="N725" s="306"/>
      <c r="O725" s="322"/>
      <c r="P725" s="309"/>
      <c r="Q725" s="306"/>
      <c r="R725" s="306"/>
      <c r="S725" s="322"/>
      <c r="T725" s="309"/>
      <c r="U725" s="306"/>
      <c r="V725" s="69"/>
      <c r="X725" s="305"/>
      <c r="Y725" s="305"/>
      <c r="Z725" s="69"/>
      <c r="AG725" s="314"/>
      <c r="AH725" s="314"/>
      <c r="AI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445</v>
      </c>
      <c r="B726" s="1"/>
      <c r="C726" s="304">
        <f t="shared" si="172"/>
        <v>39964.6016666668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Z726" s="69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104</v>
      </c>
      <c r="B727" s="1"/>
      <c r="C727" s="304">
        <f t="shared" si="172"/>
        <v>5844</v>
      </c>
      <c r="D727" s="322"/>
      <c r="E727" s="306"/>
      <c r="F727" s="306"/>
      <c r="G727" s="322"/>
      <c r="H727" s="306"/>
      <c r="I727" s="715" t="s">
        <v>31</v>
      </c>
      <c r="J727" s="715"/>
      <c r="K727" s="322"/>
      <c r="L727" s="306"/>
      <c r="M727" s="715" t="s">
        <v>31</v>
      </c>
      <c r="N727" s="715"/>
      <c r="O727" s="322"/>
      <c r="P727" s="306"/>
      <c r="Q727" s="715" t="s">
        <v>31</v>
      </c>
      <c r="R727" s="715"/>
      <c r="S727" s="322"/>
      <c r="T727" s="306"/>
      <c r="U727" s="715" t="s">
        <v>31</v>
      </c>
      <c r="V727" s="69"/>
      <c r="X727" s="305"/>
      <c r="Y727" s="305"/>
      <c r="Z727" s="27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446</v>
      </c>
      <c r="B728" s="1"/>
      <c r="C728" s="304"/>
      <c r="D728" s="322"/>
      <c r="E728" s="309"/>
      <c r="F728" s="306"/>
      <c r="G728" s="322"/>
      <c r="H728" s="309"/>
      <c r="I728" s="306"/>
      <c r="J728" s="306"/>
      <c r="K728" s="322"/>
      <c r="L728" s="309"/>
      <c r="M728" s="306"/>
      <c r="N728" s="306"/>
      <c r="O728" s="322"/>
      <c r="P728" s="309"/>
      <c r="Q728" s="306"/>
      <c r="R728" s="306"/>
      <c r="S728" s="322"/>
      <c r="T728" s="309"/>
      <c r="U728" s="306"/>
      <c r="V728" s="69"/>
      <c r="X728" s="305"/>
      <c r="Y728" s="305"/>
      <c r="Z728" s="6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447</v>
      </c>
      <c r="B729" s="1"/>
      <c r="C729" s="304">
        <f>C783+C836</f>
        <v>3200.9016113138414</v>
      </c>
      <c r="D729" s="322">
        <v>25.64</v>
      </c>
      <c r="E729" s="309"/>
      <c r="F729" s="306">
        <f>F783+F836</f>
        <v>82071</v>
      </c>
      <c r="G729" s="322">
        <f ca="1">ROUND(D729*(1+$X$768),2)-0.05</f>
        <v>26.02</v>
      </c>
      <c r="H729" s="309"/>
      <c r="I729" s="306">
        <f ca="1">I783+I836</f>
        <v>83288</v>
      </c>
      <c r="J729" s="306"/>
      <c r="K729" s="322">
        <f ca="1">G729</f>
        <v>26.02</v>
      </c>
      <c r="L729" s="309"/>
      <c r="M729" s="306">
        <f ca="1">I729</f>
        <v>83288</v>
      </c>
      <c r="N729" s="306"/>
      <c r="O729" s="311" t="s">
        <v>31</v>
      </c>
      <c r="P729" s="309"/>
      <c r="Q729" s="306">
        <f>O729*C729</f>
        <v>0</v>
      </c>
      <c r="R729" s="306"/>
      <c r="S729" s="311" t="s">
        <v>31</v>
      </c>
      <c r="T729" s="309"/>
      <c r="U729" s="306">
        <f>S729*C729</f>
        <v>0</v>
      </c>
      <c r="V729" s="361"/>
      <c r="X729" s="14">
        <f ca="1">(G729-D729)/D729</f>
        <v>1.4820592823712909E-2</v>
      </c>
      <c r="Y729" s="14"/>
      <c r="Z729" s="69"/>
      <c r="AK729" s="20"/>
      <c r="AL729" s="20"/>
      <c r="AM729" s="20"/>
      <c r="AN729" s="20"/>
      <c r="AO729" s="20"/>
      <c r="AP729" s="20"/>
    </row>
    <row r="730" spans="1:42">
      <c r="A730" s="294" t="s">
        <v>448</v>
      </c>
      <c r="B730" s="1"/>
      <c r="C730" s="304"/>
      <c r="D730" s="322"/>
      <c r="E730" s="309"/>
      <c r="F730" s="306"/>
      <c r="G730" s="322"/>
      <c r="H730" s="309"/>
      <c r="I730" s="306"/>
      <c r="J730" s="306"/>
      <c r="K730" s="322"/>
      <c r="L730" s="309"/>
      <c r="M730" s="306"/>
      <c r="N730" s="306"/>
      <c r="O730" s="322"/>
      <c r="P730" s="309"/>
      <c r="Q730" s="306"/>
      <c r="R730" s="306"/>
      <c r="S730" s="322"/>
      <c r="T730" s="309"/>
      <c r="U730" s="306"/>
      <c r="V730" s="361"/>
      <c r="X730" s="305"/>
      <c r="Y730" s="305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442</v>
      </c>
      <c r="B731" s="1"/>
      <c r="C731" s="304">
        <f>C785+C838</f>
        <v>53216.72760788173</v>
      </c>
      <c r="D731" s="322">
        <v>25.54</v>
      </c>
      <c r="E731" s="309"/>
      <c r="F731" s="306">
        <f>F785+F838</f>
        <v>1359155</v>
      </c>
      <c r="G731" s="322">
        <f ca="1">ROUND(D731*(1+$X$768),2)+0.05</f>
        <v>26.02</v>
      </c>
      <c r="H731" s="309"/>
      <c r="I731" s="306">
        <f ca="1">I785+I838</f>
        <v>1384699</v>
      </c>
      <c r="J731" s="306"/>
      <c r="K731" s="322">
        <f t="shared" ref="K731:K735" ca="1" si="173">G731</f>
        <v>26.02</v>
      </c>
      <c r="L731" s="309"/>
      <c r="M731" s="306">
        <f t="shared" ref="M731:M735" ca="1" si="174">I731</f>
        <v>1384699</v>
      </c>
      <c r="N731" s="306"/>
      <c r="O731" s="311" t="s">
        <v>31</v>
      </c>
      <c r="P731" s="309"/>
      <c r="Q731" s="306">
        <f>O731*C731</f>
        <v>0</v>
      </c>
      <c r="R731" s="306"/>
      <c r="S731" s="311" t="s">
        <v>31</v>
      </c>
      <c r="T731" s="309"/>
      <c r="U731" s="306">
        <f>S731*C731</f>
        <v>0</v>
      </c>
      <c r="V731" s="361"/>
      <c r="X731" s="14">
        <f ca="1">(G731-D731)/D731</f>
        <v>1.879404855129211E-2</v>
      </c>
      <c r="Y731" s="14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443</v>
      </c>
      <c r="B732" s="1"/>
      <c r="C732" s="304">
        <f>C786+C839</f>
        <v>40819.098454276304</v>
      </c>
      <c r="D732" s="322">
        <v>17.79</v>
      </c>
      <c r="E732" s="309"/>
      <c r="F732" s="306">
        <f>F786+F839</f>
        <v>726172</v>
      </c>
      <c r="G732" s="322">
        <f ca="1">D732*(1+$X$768)+0.01</f>
        <v>18.101388370764003</v>
      </c>
      <c r="H732" s="309"/>
      <c r="I732" s="306">
        <f ca="1">I786+I839</f>
        <v>738882</v>
      </c>
      <c r="J732" s="306"/>
      <c r="K732" s="322">
        <f t="shared" ca="1" si="173"/>
        <v>18.101388370764003</v>
      </c>
      <c r="L732" s="309"/>
      <c r="M732" s="306">
        <f t="shared" ca="1" si="174"/>
        <v>738882</v>
      </c>
      <c r="N732" s="306"/>
      <c r="O732" s="311" t="s">
        <v>31</v>
      </c>
      <c r="P732" s="309"/>
      <c r="Q732" s="306">
        <f>O732*C732</f>
        <v>0</v>
      </c>
      <c r="R732" s="306"/>
      <c r="S732" s="311" t="s">
        <v>31</v>
      </c>
      <c r="T732" s="309"/>
      <c r="U732" s="306">
        <f>S732*C732</f>
        <v>0</v>
      </c>
      <c r="V732" s="361"/>
      <c r="X732" s="14">
        <f ca="1">(G732-D732)/D732</f>
        <v>1.7503562156492607E-2</v>
      </c>
      <c r="Y732" s="14"/>
      <c r="Z732" s="69"/>
      <c r="AC732" s="84"/>
      <c r="AD732" s="84"/>
      <c r="AE732" s="84"/>
      <c r="AF732" s="84"/>
      <c r="AG732" s="84"/>
      <c r="AH732" s="222"/>
      <c r="AI732" s="20" t="s">
        <v>31</v>
      </c>
      <c r="AJ732" s="20"/>
      <c r="AK732" s="20"/>
      <c r="AL732" s="20"/>
      <c r="AM732" s="20"/>
      <c r="AN732" s="20"/>
      <c r="AO732" s="20"/>
      <c r="AP732" s="20"/>
    </row>
    <row r="733" spans="1:42">
      <c r="A733" s="294" t="s">
        <v>444</v>
      </c>
      <c r="B733" s="1" t="s">
        <v>31</v>
      </c>
      <c r="C733" s="304">
        <f>C787+C840</f>
        <v>5313.3743371072133</v>
      </c>
      <c r="D733" s="322">
        <v>13.92</v>
      </c>
      <c r="E733" s="309"/>
      <c r="F733" s="306">
        <f>F787+F840</f>
        <v>73962</v>
      </c>
      <c r="G733" s="322">
        <f ca="1">D733*(1+$X$768)</f>
        <v>14.155824964645021</v>
      </c>
      <c r="H733" s="309"/>
      <c r="I733" s="306">
        <f ca="1">I787+I840</f>
        <v>75215</v>
      </c>
      <c r="J733" s="306"/>
      <c r="K733" s="322">
        <f t="shared" ca="1" si="173"/>
        <v>14.155824964645021</v>
      </c>
      <c r="L733" s="309"/>
      <c r="M733" s="306">
        <f t="shared" ca="1" si="174"/>
        <v>75215</v>
      </c>
      <c r="N733" s="306"/>
      <c r="O733" s="311" t="s">
        <v>31</v>
      </c>
      <c r="P733" s="309"/>
      <c r="Q733" s="306">
        <f>O733*C733</f>
        <v>0</v>
      </c>
      <c r="R733" s="306"/>
      <c r="S733" s="311" t="s">
        <v>31</v>
      </c>
      <c r="T733" s="309"/>
      <c r="U733" s="306">
        <f>S733*C733</f>
        <v>0</v>
      </c>
      <c r="V733" s="361"/>
      <c r="X733" s="14">
        <f ca="1">(G733-D733)/D733</f>
        <v>1.6941448609556091E-2</v>
      </c>
      <c r="Y733" s="14"/>
      <c r="Z733" s="69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450</v>
      </c>
      <c r="B734" s="1"/>
      <c r="C734" s="304">
        <f>C788+C841</f>
        <v>559.74429781916001</v>
      </c>
      <c r="D734" s="322">
        <v>76.930000000000007</v>
      </c>
      <c r="E734" s="309"/>
      <c r="F734" s="306">
        <f>F788+F841</f>
        <v>43061</v>
      </c>
      <c r="G734" s="322">
        <f ca="1">3*G729</f>
        <v>78.06</v>
      </c>
      <c r="H734" s="309"/>
      <c r="I734" s="306">
        <f ca="1">I788+I841</f>
        <v>43693</v>
      </c>
      <c r="J734" s="306"/>
      <c r="K734" s="322">
        <f t="shared" ca="1" si="173"/>
        <v>78.06</v>
      </c>
      <c r="L734" s="309"/>
      <c r="M734" s="306">
        <f t="shared" ca="1" si="174"/>
        <v>43693</v>
      </c>
      <c r="N734" s="306"/>
      <c r="O734" s="311" t="s">
        <v>31</v>
      </c>
      <c r="P734" s="309"/>
      <c r="Q734" s="306">
        <f>O734*C734</f>
        <v>0</v>
      </c>
      <c r="R734" s="306"/>
      <c r="S734" s="311" t="s">
        <v>31</v>
      </c>
      <c r="T734" s="309"/>
      <c r="U734" s="306">
        <f>S734*C734</f>
        <v>0</v>
      </c>
      <c r="V734" s="69"/>
      <c r="X734" s="14">
        <f ca="1">(G734-D734)/D734</f>
        <v>1.4688678018978232E-2</v>
      </c>
      <c r="Y734" s="14"/>
      <c r="Z734" s="69"/>
      <c r="AI734" s="20"/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451</v>
      </c>
      <c r="B735" s="1"/>
      <c r="C735" s="304">
        <f>C789+C842</f>
        <v>984.58847619077994</v>
      </c>
      <c r="D735" s="322">
        <v>153.22</v>
      </c>
      <c r="E735" s="309"/>
      <c r="F735" s="306">
        <f>F789+F842</f>
        <v>150858</v>
      </c>
      <c r="G735" s="322">
        <f ca="1">6*G731</f>
        <v>156.12</v>
      </c>
      <c r="H735" s="309"/>
      <c r="I735" s="306">
        <f ca="1">I789+I842</f>
        <v>153714</v>
      </c>
      <c r="J735" s="306"/>
      <c r="K735" s="322">
        <f t="shared" ca="1" si="173"/>
        <v>156.12</v>
      </c>
      <c r="L735" s="309"/>
      <c r="M735" s="306">
        <f t="shared" ca="1" si="174"/>
        <v>153714</v>
      </c>
      <c r="N735" s="306"/>
      <c r="O735" s="311" t="s">
        <v>31</v>
      </c>
      <c r="P735" s="309"/>
      <c r="Q735" s="306">
        <f>O735*C735</f>
        <v>0</v>
      </c>
      <c r="R735" s="306"/>
      <c r="S735" s="311" t="s">
        <v>31</v>
      </c>
      <c r="T735" s="309"/>
      <c r="U735" s="306">
        <f>S735*C735</f>
        <v>0</v>
      </c>
      <c r="V735" s="69"/>
      <c r="X735" s="14">
        <f ca="1">(G735-D735)/D735</f>
        <v>1.8927033024409384E-2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452</v>
      </c>
      <c r="B736" s="1"/>
      <c r="C736" s="304"/>
      <c r="D736" s="322"/>
      <c r="E736" s="309"/>
      <c r="F736" s="306"/>
      <c r="G736" s="322"/>
      <c r="H736" s="309"/>
      <c r="I736" s="306"/>
      <c r="J736" s="306"/>
      <c r="K736" s="322"/>
      <c r="L736" s="309"/>
      <c r="M736" s="306"/>
      <c r="N736" s="306"/>
      <c r="O736" s="322"/>
      <c r="P736" s="309"/>
      <c r="Q736" s="306"/>
      <c r="R736" s="306"/>
      <c r="S736" s="322"/>
      <c r="T736" s="309"/>
      <c r="U736" s="306"/>
      <c r="V736" s="69"/>
      <c r="X736" s="3"/>
      <c r="Y736" s="3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447</v>
      </c>
      <c r="B737" s="1"/>
      <c r="C737" s="304">
        <f>C791+C844</f>
        <v>40.035839968204996</v>
      </c>
      <c r="D737" s="348">
        <v>-25.64</v>
      </c>
      <c r="E737" s="309"/>
      <c r="F737" s="306">
        <f>F791+F844</f>
        <v>-1027</v>
      </c>
      <c r="G737" s="348">
        <f ca="1">-G729</f>
        <v>-26.02</v>
      </c>
      <c r="H737" s="309"/>
      <c r="I737" s="306">
        <f ca="1">I791+I844</f>
        <v>-1041</v>
      </c>
      <c r="J737" s="306"/>
      <c r="K737" s="348">
        <f ca="1">G737</f>
        <v>-26.02</v>
      </c>
      <c r="L737" s="309"/>
      <c r="M737" s="306">
        <f ca="1">I737</f>
        <v>-1041</v>
      </c>
      <c r="N737" s="306"/>
      <c r="O737" s="338" t="s">
        <v>31</v>
      </c>
      <c r="P737" s="309"/>
      <c r="Q737" s="306">
        <f>O737*C737</f>
        <v>0</v>
      </c>
      <c r="R737" s="306"/>
      <c r="S737" s="338" t="s">
        <v>31</v>
      </c>
      <c r="T737" s="309"/>
      <c r="U737" s="306">
        <f>S737*C737</f>
        <v>0</v>
      </c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453</v>
      </c>
      <c r="B738" s="1"/>
      <c r="C738" s="304">
        <f>C792+C845</f>
        <v>411.79827649787603</v>
      </c>
      <c r="D738" s="348">
        <v>-25.54</v>
      </c>
      <c r="E738" s="309"/>
      <c r="F738" s="306">
        <f>F792+F845</f>
        <v>-10518</v>
      </c>
      <c r="G738" s="348">
        <f ca="1">-G731</f>
        <v>-26.02</v>
      </c>
      <c r="H738" s="309"/>
      <c r="I738" s="306">
        <f ca="1">I792+I845</f>
        <v>-10715</v>
      </c>
      <c r="J738" s="306"/>
      <c r="K738" s="348">
        <f ca="1">G738</f>
        <v>-26.02</v>
      </c>
      <c r="L738" s="309"/>
      <c r="M738" s="306">
        <f ca="1">I738</f>
        <v>-10715</v>
      </c>
      <c r="N738" s="306"/>
      <c r="O738" s="338" t="s">
        <v>31</v>
      </c>
      <c r="P738" s="309"/>
      <c r="Q738" s="306">
        <f>O738*C738</f>
        <v>0</v>
      </c>
      <c r="R738" s="306"/>
      <c r="S738" s="338" t="s">
        <v>31</v>
      </c>
      <c r="T738" s="309"/>
      <c r="U738" s="306">
        <f>S738*C738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308" t="s">
        <v>416</v>
      </c>
      <c r="B739" s="1"/>
      <c r="C739" s="304">
        <f>C793+C846</f>
        <v>0</v>
      </c>
      <c r="D739" s="322"/>
      <c r="E739" s="306"/>
      <c r="F739" s="306"/>
      <c r="G739" s="322"/>
      <c r="H739" s="306"/>
      <c r="I739" s="306"/>
      <c r="J739" s="306"/>
      <c r="K739" s="322"/>
      <c r="L739" s="306"/>
      <c r="M739" s="306"/>
      <c r="N739" s="850" t="s">
        <v>31</v>
      </c>
      <c r="O739" s="322"/>
      <c r="P739" s="306"/>
      <c r="Q739" s="306"/>
      <c r="R739" s="306"/>
      <c r="S739" s="322"/>
      <c r="T739" s="306"/>
      <c r="U739" s="306"/>
      <c r="V739" s="69"/>
      <c r="X739" s="3"/>
      <c r="Y739" s="3"/>
      <c r="Z739" s="69"/>
      <c r="AA739" s="3" t="s">
        <v>31</v>
      </c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294" t="s">
        <v>454</v>
      </c>
      <c r="B740" s="1"/>
      <c r="C740" s="304">
        <f>C794+C847</f>
        <v>158323871.89494899</v>
      </c>
      <c r="D740" s="368">
        <v>6.9180000000000001</v>
      </c>
      <c r="E740" s="306" t="s">
        <v>364</v>
      </c>
      <c r="F740" s="306">
        <f>F794+F847</f>
        <v>10952845</v>
      </c>
      <c r="G740" s="368">
        <f ca="1">ROUND(D740+(D740*$X$768)-G742,3)</f>
        <v>7.0350000000000001</v>
      </c>
      <c r="H740" s="306" t="s">
        <v>364</v>
      </c>
      <c r="I740" s="306">
        <f ca="1">I794+I847</f>
        <v>11138085</v>
      </c>
      <c r="J740" s="306"/>
      <c r="K740" s="1132" t="e">
        <f ca="1">M740/C740*100</f>
        <v>#REF!</v>
      </c>
      <c r="L740" s="850" t="s">
        <v>31</v>
      </c>
      <c r="M740" s="306" t="e">
        <f ca="1">V876-M720-M722-M723-M724-M729-M731-M732-M733-M734-M735-M737-M738-M741-M742-M745-M747-M748-M749-M750-M752-M753-M754-M755-M756-M758-M759-M761-M762-M763-M764-M765-M767</f>
        <v>#REF!</v>
      </c>
      <c r="N740" s="306"/>
      <c r="O740" s="1132" t="e">
        <f ca="1">Q740/C740*100</f>
        <v>#DIV/0!</v>
      </c>
      <c r="P740" s="306" t="s">
        <v>364</v>
      </c>
      <c r="Q740" s="306" t="e">
        <f ca="1">W876-Q720-Q722-Q723-Q724-Q729-Q731-Q732-Q733-Q734-Q735-Q737-Q738-Q741-Q742-Q745-Q747-Q748-Q749-Q750-Q752-Q753-Q754-Q755-Q756-Q758-Q759-Q761-Q762-Q763-Q764-Q765-Q767</f>
        <v>#DIV/0!</v>
      </c>
      <c r="R740" s="306"/>
      <c r="S740" s="1132" t="e">
        <f ca="1">U740/C740*100</f>
        <v>#DIV/0!</v>
      </c>
      <c r="T740" s="306" t="s">
        <v>364</v>
      </c>
      <c r="U740" s="306" t="e">
        <f ca="1">X876-U720-U722-U723-U724-U729-U731-U732-U733-U734-U735-U737-U738-U741-U742-U745-U747-U748-U749-U750-U752-U753-U754-U755-U756-U758-U759-U761-U762-U763-U764-U765-U767</f>
        <v>#DIV/0!</v>
      </c>
      <c r="V740" s="323"/>
      <c r="X740" s="14">
        <f ca="1">(G740-D740)/D740</f>
        <v>1.6912402428447527E-2</v>
      </c>
      <c r="Y740" s="14"/>
      <c r="Z740" s="69"/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308" t="s">
        <v>390</v>
      </c>
      <c r="B741" s="1"/>
      <c r="C741" s="304">
        <f>C795+C848</f>
        <v>60236</v>
      </c>
      <c r="D741" s="591">
        <v>56</v>
      </c>
      <c r="E741" s="308" t="s">
        <v>364</v>
      </c>
      <c r="F741" s="306">
        <f>F795+F848</f>
        <v>33732</v>
      </c>
      <c r="G741" s="591">
        <f ca="1">ROUND(D741*(1+$X$768),0)</f>
        <v>57</v>
      </c>
      <c r="H741" s="308" t="s">
        <v>364</v>
      </c>
      <c r="I741" s="306">
        <f ca="1">I795+I848</f>
        <v>34334</v>
      </c>
      <c r="J741" s="306"/>
      <c r="K741" s="1133" t="s">
        <v>31</v>
      </c>
      <c r="L741" s="406" t="s">
        <v>31</v>
      </c>
      <c r="M741" s="306">
        <f>K741*C741</f>
        <v>0</v>
      </c>
      <c r="N741" s="306"/>
      <c r="O741" s="591" t="e">
        <f ca="1">ROUND(Q741/C741,2)*100</f>
        <v>#DIV/0!</v>
      </c>
      <c r="P741" s="308" t="s">
        <v>364</v>
      </c>
      <c r="Q741" s="306" t="e">
        <f ca="1">I741*(W876/($W$876+$X$876))</f>
        <v>#DIV/0!</v>
      </c>
      <c r="R741" s="306"/>
      <c r="S741" s="591" t="e">
        <f ca="1">ROUND(U741/C741,2)*100</f>
        <v>#DIV/0!</v>
      </c>
      <c r="T741" s="308" t="s">
        <v>364</v>
      </c>
      <c r="U741" s="306" t="e">
        <f ca="1">I741*(X876/($W$876+$X$876))</f>
        <v>#DIV/0!</v>
      </c>
      <c r="X741" s="14">
        <f ca="1">(G741-D741)/D741</f>
        <v>1.7857142857142856E-2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 s="1118" customFormat="1" hidden="1">
      <c r="A742" s="968" t="s">
        <v>891</v>
      </c>
      <c r="C742" s="987">
        <f>C740</f>
        <v>158323871.89494899</v>
      </c>
      <c r="D742" s="254">
        <v>0</v>
      </c>
      <c r="E742" s="1119"/>
      <c r="F742" s="1123"/>
      <c r="G742" s="1128">
        <v>0</v>
      </c>
      <c r="H742" s="972" t="s">
        <v>364</v>
      </c>
      <c r="I742" s="1000">
        <f>I796+I849</f>
        <v>0</v>
      </c>
      <c r="J742" s="1000"/>
      <c r="K742" s="1128" t="s">
        <v>31</v>
      </c>
      <c r="L742" s="972" t="s">
        <v>31</v>
      </c>
      <c r="M742" s="1000">
        <f>K742*C742</f>
        <v>0</v>
      </c>
      <c r="N742" s="1000"/>
      <c r="O742" s="1128" t="s">
        <v>31</v>
      </c>
      <c r="P742" s="972" t="s">
        <v>31</v>
      </c>
      <c r="Q742" s="1000">
        <f>O742*C742</f>
        <v>0</v>
      </c>
      <c r="R742" s="1000"/>
      <c r="S742" s="1128">
        <f>G742</f>
        <v>0</v>
      </c>
      <c r="T742" s="972" t="s">
        <v>364</v>
      </c>
      <c r="U742" s="1000">
        <f>I742</f>
        <v>0</v>
      </c>
      <c r="V742" s="1124">
        <f>'NPC Spread'!I33</f>
        <v>4820591.7626756122</v>
      </c>
      <c r="W742" s="784" t="s">
        <v>857</v>
      </c>
      <c r="Z742" s="1125"/>
      <c r="AA742" s="1125"/>
      <c r="AF742" s="1119"/>
      <c r="AG742" s="1119"/>
      <c r="AH742" s="1119"/>
      <c r="AI742" s="1119"/>
      <c r="AJ742" s="1119"/>
      <c r="AK742" s="1119"/>
      <c r="AL742" s="1119"/>
      <c r="AM742" s="1119"/>
      <c r="AN742" s="1119"/>
      <c r="AO742" s="1119"/>
      <c r="AP742" s="1119"/>
      <c r="AR742" s="1124"/>
    </row>
    <row r="743" spans="1:44" s="1118" customFormat="1" hidden="1">
      <c r="A743" s="1255" t="s">
        <v>873</v>
      </c>
      <c r="B743" s="1256"/>
      <c r="C743" s="1262"/>
      <c r="D743" s="1267">
        <v>6.9180000000000001</v>
      </c>
      <c r="E743" s="1263" t="s">
        <v>364</v>
      </c>
      <c r="F743" s="1259"/>
      <c r="G743" s="1260">
        <f ca="1">G740+G742</f>
        <v>7.0350000000000001</v>
      </c>
      <c r="H743" s="1263" t="s">
        <v>364</v>
      </c>
      <c r="I743" s="1266"/>
      <c r="J743" s="1266"/>
      <c r="K743" s="1260" t="e">
        <f ca="1">K740+K742</f>
        <v>#REF!</v>
      </c>
      <c r="L743" s="1263" t="s">
        <v>364</v>
      </c>
      <c r="M743" s="1266"/>
      <c r="N743" s="1266"/>
      <c r="O743" s="1260" t="e">
        <f ca="1">O740+O742</f>
        <v>#DIV/0!</v>
      </c>
      <c r="P743" s="1263" t="s">
        <v>364</v>
      </c>
      <c r="Q743" s="1266"/>
      <c r="R743" s="1266"/>
      <c r="S743" s="1260" t="e">
        <f ca="1">S740+S742</f>
        <v>#DIV/0!</v>
      </c>
      <c r="T743" s="1263" t="s">
        <v>364</v>
      </c>
      <c r="U743" s="1266"/>
      <c r="V743" s="1124"/>
      <c r="W743" s="784"/>
      <c r="X743" s="55">
        <f ca="1">(G743-D743)/D743</f>
        <v>1.6912402428447527E-2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>
      <c r="A744" s="345" t="s">
        <v>391</v>
      </c>
      <c r="B744" s="1"/>
      <c r="C744" s="304"/>
      <c r="D744" s="317">
        <v>-0.01</v>
      </c>
      <c r="E744" s="1"/>
      <c r="F744" s="306"/>
      <c r="G744" s="317">
        <v>-0.01</v>
      </c>
      <c r="H744" s="1"/>
      <c r="I744" s="306"/>
      <c r="J744" s="306"/>
      <c r="K744" s="317">
        <v>-0.01</v>
      </c>
      <c r="L744" s="1"/>
      <c r="M744" s="306"/>
      <c r="N744" s="306"/>
      <c r="O744" s="317">
        <v>-0.01</v>
      </c>
      <c r="P744" s="1"/>
      <c r="Q744" s="306"/>
      <c r="R744" s="306"/>
      <c r="S744" s="317">
        <v>-0.01</v>
      </c>
      <c r="T744" s="1"/>
      <c r="U744" s="306"/>
      <c r="AI744" s="20"/>
      <c r="AJ744" s="20"/>
      <c r="AK744" s="20"/>
      <c r="AL744" s="20"/>
      <c r="AM744" s="20"/>
      <c r="AN744" s="20"/>
      <c r="AO744" s="20"/>
      <c r="AP744" s="20"/>
    </row>
    <row r="745" spans="1:44">
      <c r="A745" s="294" t="s">
        <v>380</v>
      </c>
      <c r="B745" s="1"/>
      <c r="C745" s="304">
        <f>C798+C851</f>
        <v>0</v>
      </c>
      <c r="D745" s="369">
        <v>0</v>
      </c>
      <c r="E745" s="309"/>
      <c r="F745" s="306">
        <f>F798+F851</f>
        <v>0</v>
      </c>
      <c r="G745" s="369">
        <f>G720</f>
        <v>0</v>
      </c>
      <c r="H745" s="309"/>
      <c r="I745" s="306">
        <f>I798+I851</f>
        <v>0</v>
      </c>
      <c r="J745" s="306"/>
      <c r="K745" s="369">
        <f>K720</f>
        <v>0</v>
      </c>
      <c r="L745" s="309"/>
      <c r="M745" s="306">
        <f>I745</f>
        <v>0</v>
      </c>
      <c r="N745" s="306"/>
      <c r="O745" s="369" t="str">
        <f>O720</f>
        <v xml:space="preserve"> </v>
      </c>
      <c r="P745" s="309"/>
      <c r="Q745" s="306">
        <f>O745*C745*$O$744</f>
        <v>0</v>
      </c>
      <c r="R745" s="306"/>
      <c r="S745" s="369" t="str">
        <f>S720</f>
        <v xml:space="preserve"> </v>
      </c>
      <c r="T745" s="309"/>
      <c r="U745" s="306">
        <f>S745*C745*$S$744</f>
        <v>0</v>
      </c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381</v>
      </c>
      <c r="B746" s="1"/>
      <c r="C746" s="304"/>
      <c r="D746" s="369"/>
      <c r="E746" s="309"/>
      <c r="F746" s="306"/>
      <c r="G746" s="369"/>
      <c r="H746" s="309"/>
      <c r="I746" s="306"/>
      <c r="J746" s="306"/>
      <c r="K746" s="369"/>
      <c r="L746" s="309"/>
      <c r="M746" s="306"/>
      <c r="N746" s="306"/>
      <c r="O746" s="369"/>
      <c r="P746" s="309"/>
      <c r="Q746" s="306"/>
      <c r="R746" s="306"/>
      <c r="S746" s="369"/>
      <c r="T746" s="309"/>
      <c r="U746" s="306"/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442</v>
      </c>
      <c r="B747" s="1"/>
      <c r="C747" s="304">
        <f>C800+C853</f>
        <v>1.0000071591230999</v>
      </c>
      <c r="D747" s="369">
        <v>0</v>
      </c>
      <c r="E747" s="309"/>
      <c r="F747" s="306">
        <f>F800+F853</f>
        <v>0</v>
      </c>
      <c r="G747" s="369">
        <f>G722</f>
        <v>0</v>
      </c>
      <c r="H747" s="309"/>
      <c r="I747" s="306">
        <f>I800+I853</f>
        <v>0</v>
      </c>
      <c r="J747" s="306"/>
      <c r="K747" s="369">
        <f>K722</f>
        <v>0</v>
      </c>
      <c r="L747" s="309"/>
      <c r="M747" s="306">
        <f t="shared" ref="M747:M750" si="175">I747</f>
        <v>0</v>
      </c>
      <c r="N747" s="306"/>
      <c r="O747" s="369" t="str">
        <f>O722</f>
        <v xml:space="preserve"> </v>
      </c>
      <c r="P747" s="309"/>
      <c r="Q747" s="306">
        <f>O747*C747*$O$744</f>
        <v>0</v>
      </c>
      <c r="R747" s="306"/>
      <c r="S747" s="369" t="str">
        <f>S722</f>
        <v xml:space="preserve"> </v>
      </c>
      <c r="T747" s="309"/>
      <c r="U747" s="306">
        <f>S747*C747*$S$744</f>
        <v>0</v>
      </c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443</v>
      </c>
      <c r="B748" s="1"/>
      <c r="C748" s="304">
        <f>C801+C854</f>
        <v>0</v>
      </c>
      <c r="D748" s="369">
        <v>362</v>
      </c>
      <c r="E748" s="309"/>
      <c r="F748" s="306">
        <f>F801+F854</f>
        <v>0</v>
      </c>
      <c r="G748" s="369">
        <f ca="1">G723</f>
        <v>370</v>
      </c>
      <c r="H748" s="309"/>
      <c r="I748" s="306">
        <f ca="1">I801+I854</f>
        <v>0</v>
      </c>
      <c r="J748" s="306"/>
      <c r="K748" s="369">
        <f ca="1">K723</f>
        <v>370</v>
      </c>
      <c r="L748" s="309"/>
      <c r="M748" s="306">
        <f t="shared" ca="1" si="175"/>
        <v>0</v>
      </c>
      <c r="N748" s="306"/>
      <c r="O748" s="369" t="str">
        <f>O723</f>
        <v xml:space="preserve"> </v>
      </c>
      <c r="P748" s="309"/>
      <c r="Q748" s="306">
        <f>O748*C748*$O$744</f>
        <v>0</v>
      </c>
      <c r="R748" s="306"/>
      <c r="S748" s="369" t="str">
        <f>S723</f>
        <v xml:space="preserve"> </v>
      </c>
      <c r="T748" s="309"/>
      <c r="U748" s="306">
        <f>S748*C748*$S$744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444</v>
      </c>
      <c r="B749" s="1"/>
      <c r="C749" s="304">
        <f>C802+C855</f>
        <v>0</v>
      </c>
      <c r="D749" s="369">
        <v>1479</v>
      </c>
      <c r="E749" s="309"/>
      <c r="F749" s="306">
        <f>F802+F855</f>
        <v>0</v>
      </c>
      <c r="G749" s="369">
        <f ca="1">G724</f>
        <v>1504</v>
      </c>
      <c r="H749" s="309"/>
      <c r="I749" s="306">
        <f ca="1">I802+I855</f>
        <v>0</v>
      </c>
      <c r="J749" s="306"/>
      <c r="K749" s="369">
        <f ca="1">K724</f>
        <v>1504</v>
      </c>
      <c r="L749" s="309"/>
      <c r="M749" s="306">
        <f t="shared" ca="1" si="175"/>
        <v>0</v>
      </c>
      <c r="N749" s="306"/>
      <c r="O749" s="369" t="str">
        <f>O724</f>
        <v xml:space="preserve"> </v>
      </c>
      <c r="P749" s="309"/>
      <c r="Q749" s="306">
        <f>O749*C749*$O$744</f>
        <v>0</v>
      </c>
      <c r="R749" s="306"/>
      <c r="S749" s="369" t="str">
        <f>S724</f>
        <v xml:space="preserve"> </v>
      </c>
      <c r="T749" s="309"/>
      <c r="U749" s="306">
        <f>S749*C749*$S$744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380</v>
      </c>
      <c r="B750" s="1"/>
      <c r="C750" s="304">
        <f>C803+C856</f>
        <v>0</v>
      </c>
      <c r="D750" s="369">
        <v>25.64</v>
      </c>
      <c r="E750" s="309"/>
      <c r="F750" s="306">
        <f>F803+F856</f>
        <v>0</v>
      </c>
      <c r="G750" s="369">
        <f ca="1">G729</f>
        <v>26.02</v>
      </c>
      <c r="H750" s="309"/>
      <c r="I750" s="306">
        <f ca="1">I803+I856</f>
        <v>0</v>
      </c>
      <c r="J750" s="306"/>
      <c r="K750" s="369">
        <f ca="1">K729</f>
        <v>26.02</v>
      </c>
      <c r="L750" s="309"/>
      <c r="M750" s="306">
        <f t="shared" ca="1" si="175"/>
        <v>0</v>
      </c>
      <c r="N750" s="306"/>
      <c r="O750" s="369" t="str">
        <f>O729</f>
        <v xml:space="preserve"> </v>
      </c>
      <c r="P750" s="309"/>
      <c r="Q750" s="306">
        <f>O750*C750*$O$744</f>
        <v>0</v>
      </c>
      <c r="R750" s="306"/>
      <c r="S750" s="369" t="str">
        <f>S729</f>
        <v xml:space="preserve"> </v>
      </c>
      <c r="T750" s="309"/>
      <c r="U750" s="306">
        <f>S750*C750*$S$744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381</v>
      </c>
      <c r="B751" s="1"/>
      <c r="C751" s="304"/>
      <c r="D751" s="369"/>
      <c r="E751" s="309"/>
      <c r="F751" s="306"/>
      <c r="G751" s="369"/>
      <c r="H751" s="309"/>
      <c r="I751" s="306"/>
      <c r="J751" s="306"/>
      <c r="K751" s="369"/>
      <c r="L751" s="309"/>
      <c r="M751" s="306"/>
      <c r="N751" s="306"/>
      <c r="O751" s="369"/>
      <c r="P751" s="309"/>
      <c r="Q751" s="306"/>
      <c r="R751" s="306"/>
      <c r="S751" s="369"/>
      <c r="T751" s="309"/>
      <c r="U751" s="306"/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442</v>
      </c>
      <c r="B752" s="1"/>
      <c r="C752" s="304">
        <f>C805+C858</f>
        <v>38.0002720466778</v>
      </c>
      <c r="D752" s="369">
        <v>25.54</v>
      </c>
      <c r="E752" s="309"/>
      <c r="F752" s="306">
        <f>F805+F858</f>
        <v>-10</v>
      </c>
      <c r="G752" s="369">
        <f ca="1">G731</f>
        <v>26.02</v>
      </c>
      <c r="H752" s="309"/>
      <c r="I752" s="306">
        <f ca="1">I805+I858</f>
        <v>-10</v>
      </c>
      <c r="J752" s="306"/>
      <c r="K752" s="369">
        <f ca="1">K731</f>
        <v>26.02</v>
      </c>
      <c r="L752" s="309"/>
      <c r="M752" s="306">
        <f t="shared" ref="M752:M756" ca="1" si="176">I752</f>
        <v>-10</v>
      </c>
      <c r="N752" s="306"/>
      <c r="O752" s="369" t="str">
        <f>O731</f>
        <v xml:space="preserve"> </v>
      </c>
      <c r="P752" s="309"/>
      <c r="Q752" s="306">
        <f>O752*C752*$O$744</f>
        <v>0</v>
      </c>
      <c r="R752" s="306"/>
      <c r="S752" s="369" t="str">
        <f>S731</f>
        <v xml:space="preserve"> </v>
      </c>
      <c r="T752" s="309"/>
      <c r="U752" s="306">
        <f>S752*C752*$S$744</f>
        <v>0</v>
      </c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443</v>
      </c>
      <c r="B753" s="1"/>
      <c r="C753" s="304">
        <f>C806+C859</f>
        <v>0</v>
      </c>
      <c r="D753" s="369">
        <v>17.79</v>
      </c>
      <c r="E753" s="309"/>
      <c r="F753" s="306">
        <f>F806+F859</f>
        <v>0</v>
      </c>
      <c r="G753" s="369">
        <f ca="1">G732</f>
        <v>18.101388370764003</v>
      </c>
      <c r="H753" s="309"/>
      <c r="I753" s="306">
        <f ca="1">I806+I859</f>
        <v>0</v>
      </c>
      <c r="J753" s="306"/>
      <c r="K753" s="369">
        <f ca="1">K732</f>
        <v>18.101388370764003</v>
      </c>
      <c r="L753" s="309"/>
      <c r="M753" s="306">
        <f t="shared" ca="1" si="176"/>
        <v>0</v>
      </c>
      <c r="N753" s="306"/>
      <c r="O753" s="369" t="str">
        <f>O732</f>
        <v xml:space="preserve"> </v>
      </c>
      <c r="P753" s="309"/>
      <c r="Q753" s="306">
        <f>O753*C753*$O$744</f>
        <v>0</v>
      </c>
      <c r="R753" s="306"/>
      <c r="S753" s="369" t="str">
        <f>S732</f>
        <v xml:space="preserve"> </v>
      </c>
      <c r="T753" s="309"/>
      <c r="U753" s="306">
        <f>S753*C753*$S$744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444</v>
      </c>
      <c r="B754" s="1"/>
      <c r="C754" s="304">
        <f>C807+C860</f>
        <v>0</v>
      </c>
      <c r="D754" s="369">
        <v>13.92</v>
      </c>
      <c r="E754" s="309"/>
      <c r="F754" s="306">
        <f>F807+F860</f>
        <v>0</v>
      </c>
      <c r="G754" s="369">
        <f ca="1">G733</f>
        <v>14.155824964645021</v>
      </c>
      <c r="H754" s="309"/>
      <c r="I754" s="306">
        <f ca="1">I807+I860</f>
        <v>0</v>
      </c>
      <c r="J754" s="306"/>
      <c r="K754" s="369">
        <f ca="1">K733</f>
        <v>14.155824964645021</v>
      </c>
      <c r="L754" s="309"/>
      <c r="M754" s="306">
        <f t="shared" ca="1" si="176"/>
        <v>0</v>
      </c>
      <c r="N754" s="306"/>
      <c r="O754" s="369" t="str">
        <f>O733</f>
        <v xml:space="preserve"> </v>
      </c>
      <c r="P754" s="309"/>
      <c r="Q754" s="306">
        <f>O754*C754*$O$744</f>
        <v>0</v>
      </c>
      <c r="R754" s="306"/>
      <c r="S754" s="369" t="str">
        <f>S733</f>
        <v xml:space="preserve"> </v>
      </c>
      <c r="T754" s="309"/>
      <c r="U754" s="306">
        <f>S754*C754*$S$744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455</v>
      </c>
      <c r="B755" s="1"/>
      <c r="C755" s="304">
        <f>C808+C861</f>
        <v>0</v>
      </c>
      <c r="D755" s="338">
        <v>76.930000000000007</v>
      </c>
      <c r="E755" s="309"/>
      <c r="F755" s="306">
        <f>F808+F861</f>
        <v>0</v>
      </c>
      <c r="G755" s="338">
        <f ca="1">G734</f>
        <v>78.06</v>
      </c>
      <c r="H755" s="309"/>
      <c r="I755" s="306">
        <f ca="1">I808+I861</f>
        <v>0</v>
      </c>
      <c r="J755" s="306"/>
      <c r="K755" s="338">
        <f ca="1">K734</f>
        <v>78.06</v>
      </c>
      <c r="L755" s="309"/>
      <c r="M755" s="306">
        <f t="shared" ca="1" si="176"/>
        <v>0</v>
      </c>
      <c r="N755" s="306"/>
      <c r="O755" s="338" t="str">
        <f>O734</f>
        <v xml:space="preserve"> </v>
      </c>
      <c r="P755" s="309"/>
      <c r="Q755" s="306">
        <f>O755*C755*$O$744</f>
        <v>0</v>
      </c>
      <c r="R755" s="306"/>
      <c r="S755" s="338" t="str">
        <f>S734</f>
        <v xml:space="preserve"> </v>
      </c>
      <c r="T755" s="309"/>
      <c r="U755" s="306">
        <f>S755*C755*$S$744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456</v>
      </c>
      <c r="B756" s="1"/>
      <c r="C756" s="304">
        <f>C809+C862</f>
        <v>0</v>
      </c>
      <c r="D756" s="338">
        <v>153.22</v>
      </c>
      <c r="E756" s="309"/>
      <c r="F756" s="306">
        <f>F809+F862</f>
        <v>0</v>
      </c>
      <c r="G756" s="338">
        <f ca="1">G735</f>
        <v>156.12</v>
      </c>
      <c r="H756" s="309"/>
      <c r="I756" s="306">
        <f ca="1">I809+I862</f>
        <v>0</v>
      </c>
      <c r="J756" s="306"/>
      <c r="K756" s="338">
        <f ca="1">K735</f>
        <v>156.12</v>
      </c>
      <c r="L756" s="309"/>
      <c r="M756" s="306">
        <f t="shared" ca="1" si="176"/>
        <v>0</v>
      </c>
      <c r="N756" s="306"/>
      <c r="O756" s="338" t="str">
        <f>O735</f>
        <v xml:space="preserve"> </v>
      </c>
      <c r="P756" s="309"/>
      <c r="Q756" s="306">
        <f>O756*C756*$O$744</f>
        <v>0</v>
      </c>
      <c r="R756" s="306"/>
      <c r="S756" s="338" t="str">
        <f>S735</f>
        <v xml:space="preserve"> </v>
      </c>
      <c r="T756" s="309"/>
      <c r="U756" s="306">
        <f>S756*C756*$S$744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452</v>
      </c>
      <c r="B757" s="1"/>
      <c r="C757" s="304"/>
      <c r="D757" s="322"/>
      <c r="E757" s="309"/>
      <c r="F757" s="306"/>
      <c r="G757" s="322"/>
      <c r="H757" s="309"/>
      <c r="I757" s="306"/>
      <c r="J757" s="306"/>
      <c r="K757" s="322"/>
      <c r="L757" s="309"/>
      <c r="M757" s="306"/>
      <c r="N757" s="306"/>
      <c r="O757" s="322"/>
      <c r="P757" s="309"/>
      <c r="Q757" s="306"/>
      <c r="R757" s="306"/>
      <c r="S757" s="322"/>
      <c r="T757" s="309"/>
      <c r="U757" s="306"/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447</v>
      </c>
      <c r="B758" s="1"/>
      <c r="C758" s="304">
        <f>C811+C864</f>
        <v>0</v>
      </c>
      <c r="D758" s="348">
        <v>-25.64</v>
      </c>
      <c r="E758" s="309"/>
      <c r="F758" s="306">
        <f>F811+F864</f>
        <v>0</v>
      </c>
      <c r="G758" s="348">
        <f ca="1">G737</f>
        <v>-26.02</v>
      </c>
      <c r="H758" s="309"/>
      <c r="I758" s="306">
        <f ca="1">I811+I864</f>
        <v>0</v>
      </c>
      <c r="J758" s="306"/>
      <c r="K758" s="348">
        <f ca="1">K737</f>
        <v>-26.02</v>
      </c>
      <c r="L758" s="309"/>
      <c r="M758" s="306">
        <f t="shared" ref="M758:M759" ca="1" si="177">I758</f>
        <v>0</v>
      </c>
      <c r="N758" s="306"/>
      <c r="O758" s="348" t="str">
        <f>O737</f>
        <v xml:space="preserve"> </v>
      </c>
      <c r="P758" s="309"/>
      <c r="Q758" s="306">
        <f>O758*C758*$O$744</f>
        <v>0</v>
      </c>
      <c r="R758" s="306"/>
      <c r="S758" s="348" t="str">
        <f>S737</f>
        <v xml:space="preserve"> </v>
      </c>
      <c r="T758" s="309"/>
      <c r="U758" s="306">
        <f>S758*C758*$S$744</f>
        <v>0</v>
      </c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453</v>
      </c>
      <c r="B759" s="1"/>
      <c r="C759" s="304">
        <f>C812+C865</f>
        <v>0</v>
      </c>
      <c r="D759" s="348">
        <v>-25.54</v>
      </c>
      <c r="E759" s="309"/>
      <c r="F759" s="306">
        <f>F812+F865</f>
        <v>0</v>
      </c>
      <c r="G759" s="348">
        <f ca="1">G738</f>
        <v>-26.02</v>
      </c>
      <c r="H759" s="309"/>
      <c r="I759" s="306">
        <f ca="1">I812+I865</f>
        <v>0</v>
      </c>
      <c r="J759" s="306"/>
      <c r="K759" s="348">
        <f ca="1">K738</f>
        <v>-26.02</v>
      </c>
      <c r="L759" s="309"/>
      <c r="M759" s="306">
        <f t="shared" ca="1" si="177"/>
        <v>0</v>
      </c>
      <c r="N759" s="306"/>
      <c r="O759" s="348" t="str">
        <f>O738</f>
        <v xml:space="preserve"> </v>
      </c>
      <c r="P759" s="309"/>
      <c r="Q759" s="306">
        <f>O759*C759*$O$744</f>
        <v>0</v>
      </c>
      <c r="R759" s="306"/>
      <c r="S759" s="348" t="str">
        <f>S738</f>
        <v xml:space="preserve"> </v>
      </c>
      <c r="T759" s="309"/>
      <c r="U759" s="306">
        <f>S759*C759*$S$744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308" t="s">
        <v>416</v>
      </c>
      <c r="B760" s="1"/>
      <c r="C760" s="304"/>
      <c r="D760" s="369"/>
      <c r="E760" s="306"/>
      <c r="F760" s="306"/>
      <c r="G760" s="369"/>
      <c r="H760" s="306"/>
      <c r="I760" s="306"/>
      <c r="J760" s="306"/>
      <c r="K760" s="369"/>
      <c r="L760" s="306"/>
      <c r="M760" s="306"/>
      <c r="N760" s="306"/>
      <c r="O760" s="369"/>
      <c r="P760" s="306"/>
      <c r="Q760" s="306"/>
      <c r="R760" s="306"/>
      <c r="S760" s="369"/>
      <c r="T760" s="306"/>
      <c r="U760" s="306"/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294" t="s">
        <v>454</v>
      </c>
      <c r="B761" s="1"/>
      <c r="C761" s="304">
        <f>C814+C867</f>
        <v>10034</v>
      </c>
      <c r="D761" s="370">
        <v>6.9180000000000001</v>
      </c>
      <c r="E761" s="306" t="s">
        <v>364</v>
      </c>
      <c r="F761" s="306">
        <f>F814+F867</f>
        <v>-7</v>
      </c>
      <c r="G761" s="370">
        <f ca="1">G740</f>
        <v>7.0350000000000001</v>
      </c>
      <c r="H761" s="306" t="s">
        <v>364</v>
      </c>
      <c r="I761" s="306">
        <f t="shared" ref="I761:I768" ca="1" si="178">I814+I867</f>
        <v>-7</v>
      </c>
      <c r="J761" s="306"/>
      <c r="K761" s="370" t="e">
        <f ca="1">K740</f>
        <v>#REF!</v>
      </c>
      <c r="L761" s="850" t="s">
        <v>31</v>
      </c>
      <c r="M761" s="306" t="e">
        <f ca="1">K761*C761*K744</f>
        <v>#REF!</v>
      </c>
      <c r="N761" s="306"/>
      <c r="O761" s="370" t="e">
        <f ca="1">O740</f>
        <v>#DIV/0!</v>
      </c>
      <c r="P761" s="306" t="s">
        <v>364</v>
      </c>
      <c r="Q761" s="306" t="e">
        <f ca="1">O761*C761*O744/100</f>
        <v>#DIV/0!</v>
      </c>
      <c r="R761" s="306"/>
      <c r="S761" s="370" t="e">
        <f ca="1">S740</f>
        <v>#DIV/0!</v>
      </c>
      <c r="T761" s="306" t="s">
        <v>364</v>
      </c>
      <c r="U761" s="306" t="e">
        <f ca="1">S761*C761*S744/100</f>
        <v>#DIV/0!</v>
      </c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308" t="s">
        <v>390</v>
      </c>
      <c r="B762" s="1"/>
      <c r="C762" s="304">
        <f>C815+C868</f>
        <v>0</v>
      </c>
      <c r="D762" s="360">
        <v>56</v>
      </c>
      <c r="E762" s="308" t="s">
        <v>364</v>
      </c>
      <c r="F762" s="306">
        <f>F815+F868</f>
        <v>0</v>
      </c>
      <c r="G762" s="360">
        <f ca="1">G741</f>
        <v>57</v>
      </c>
      <c r="H762" s="308" t="s">
        <v>364</v>
      </c>
      <c r="I762" s="306">
        <f t="shared" ca="1" si="178"/>
        <v>0</v>
      </c>
      <c r="J762" s="306"/>
      <c r="K762" s="360" t="str">
        <f>K741</f>
        <v xml:space="preserve"> </v>
      </c>
      <c r="L762" s="406" t="s">
        <v>31</v>
      </c>
      <c r="M762" s="306">
        <f>K762*C762</f>
        <v>0</v>
      </c>
      <c r="N762" s="306"/>
      <c r="O762" s="360" t="e">
        <f ca="1">O741</f>
        <v>#DIV/0!</v>
      </c>
      <c r="P762" s="308" t="s">
        <v>364</v>
      </c>
      <c r="Q762" s="306" t="e">
        <f ca="1">O762*C762</f>
        <v>#DIV/0!</v>
      </c>
      <c r="R762" s="306"/>
      <c r="S762" s="360" t="e">
        <f ca="1">S741</f>
        <v>#DIV/0!</v>
      </c>
      <c r="T762" s="308" t="s">
        <v>364</v>
      </c>
      <c r="U762" s="306" t="e">
        <f ca="1">S762*C762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433</v>
      </c>
      <c r="B763" s="1"/>
      <c r="C763" s="304">
        <f>C816+C869</f>
        <v>12</v>
      </c>
      <c r="D763" s="322">
        <v>60</v>
      </c>
      <c r="E763" s="1"/>
      <c r="F763" s="306">
        <f>F816+F869</f>
        <v>720</v>
      </c>
      <c r="G763" s="322">
        <f>'Blocking - detail'!I623</f>
        <v>60</v>
      </c>
      <c r="H763" s="1"/>
      <c r="I763" s="306">
        <f t="shared" si="178"/>
        <v>720</v>
      </c>
      <c r="J763" s="306"/>
      <c r="K763" s="311" t="s">
        <v>31</v>
      </c>
      <c r="L763" s="1"/>
      <c r="M763" s="306">
        <f>K763*C763</f>
        <v>0</v>
      </c>
      <c r="N763" s="306"/>
      <c r="O763" s="322" t="e">
        <f>Q763/C763</f>
        <v>#DIV/0!</v>
      </c>
      <c r="P763" s="1"/>
      <c r="Q763" s="1000" t="e">
        <f>I763*(W876/(W876+X876))</f>
        <v>#DIV/0!</v>
      </c>
      <c r="R763" s="306"/>
      <c r="S763" s="322" t="e">
        <f>U763/C763</f>
        <v>#DIV/0!</v>
      </c>
      <c r="T763" s="1"/>
      <c r="U763" s="1000" t="e">
        <f>I763*(X876/(W876+X876))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434</v>
      </c>
      <c r="B764" s="1"/>
      <c r="C764" s="304">
        <f>C817+C870</f>
        <v>456.00326456013363</v>
      </c>
      <c r="D764" s="591">
        <v>-30</v>
      </c>
      <c r="E764" s="306" t="s">
        <v>364</v>
      </c>
      <c r="F764" s="306">
        <f>F817+F870</f>
        <v>-137</v>
      </c>
      <c r="G764" s="463">
        <f>'Blocking - detail'!I624</f>
        <v>-30</v>
      </c>
      <c r="H764" s="306" t="s">
        <v>364</v>
      </c>
      <c r="I764" s="306">
        <f t="shared" si="178"/>
        <v>-137</v>
      </c>
      <c r="J764" s="306"/>
      <c r="K764" s="463">
        <f>G764</f>
        <v>-30</v>
      </c>
      <c r="L764" s="306" t="s">
        <v>364</v>
      </c>
      <c r="M764" s="306">
        <f>I764</f>
        <v>-137</v>
      </c>
      <c r="N764" s="306"/>
      <c r="O764" s="1134" t="s">
        <v>31</v>
      </c>
      <c r="P764" s="850" t="s">
        <v>31</v>
      </c>
      <c r="Q764" s="306">
        <f>O764*C764</f>
        <v>0</v>
      </c>
      <c r="R764" s="306"/>
      <c r="S764" s="1134" t="s">
        <v>31</v>
      </c>
      <c r="T764" s="850" t="s">
        <v>31</v>
      </c>
      <c r="U764" s="306">
        <f>S764*C764</f>
        <v>0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 s="1118" customFormat="1" hidden="1">
      <c r="A765" s="968" t="s">
        <v>891</v>
      </c>
      <c r="C765" s="987">
        <f>C761</f>
        <v>10034</v>
      </c>
      <c r="D765" s="254">
        <v>0</v>
      </c>
      <c r="E765" s="1119"/>
      <c r="F765" s="1123"/>
      <c r="G765" s="1128">
        <f>G742</f>
        <v>0</v>
      </c>
      <c r="H765" s="1000" t="s">
        <v>364</v>
      </c>
      <c r="I765" s="1000">
        <f t="shared" si="178"/>
        <v>0</v>
      </c>
      <c r="J765" s="1000"/>
      <c r="K765" s="1128" t="str">
        <f>K742</f>
        <v xml:space="preserve"> </v>
      </c>
      <c r="L765" s="1000" t="s">
        <v>31</v>
      </c>
      <c r="M765" s="1000">
        <f>K765*C765</f>
        <v>0</v>
      </c>
      <c r="N765" s="1000"/>
      <c r="O765" s="1128" t="str">
        <f>O742</f>
        <v xml:space="preserve"> </v>
      </c>
      <c r="P765" s="1000" t="s">
        <v>31</v>
      </c>
      <c r="Q765" s="1000">
        <f>O765*C765</f>
        <v>0</v>
      </c>
      <c r="R765" s="1000"/>
      <c r="S765" s="1128">
        <f>S742</f>
        <v>0</v>
      </c>
      <c r="T765" s="1000" t="s">
        <v>364</v>
      </c>
      <c r="U765" s="1000">
        <f>S765*C765*S744/100</f>
        <v>0</v>
      </c>
      <c r="W765" s="784"/>
      <c r="X765" s="1118" t="s">
        <v>31</v>
      </c>
      <c r="Z765" s="1125"/>
      <c r="AA765" s="1125"/>
      <c r="AF765" s="1119"/>
      <c r="AG765" s="1119"/>
      <c r="AH765" s="1119"/>
      <c r="AI765" s="1119"/>
      <c r="AJ765" s="1119"/>
      <c r="AK765" s="1119"/>
      <c r="AL765" s="1119"/>
      <c r="AM765" s="1119"/>
      <c r="AN765" s="1119"/>
      <c r="AO765" s="1119"/>
      <c r="AP765" s="1119"/>
      <c r="AR765" s="1124"/>
    </row>
    <row r="766" spans="1:44">
      <c r="A766" s="1" t="s">
        <v>371</v>
      </c>
      <c r="B766" s="1"/>
      <c r="C766" s="304">
        <f>C819+C872</f>
        <v>158323871.89494899</v>
      </c>
      <c r="D766" s="309"/>
      <c r="E766" s="308"/>
      <c r="F766" s="2">
        <f>F819+F872</f>
        <v>13586761</v>
      </c>
      <c r="G766" s="2"/>
      <c r="H766" s="308"/>
      <c r="I766" s="1000">
        <f t="shared" ca="1" si="178"/>
        <v>13820389</v>
      </c>
      <c r="J766" s="1000"/>
      <c r="K766" s="2"/>
      <c r="L766" s="308"/>
      <c r="M766" s="1000" t="e">
        <f ca="1">SUM(M720:M765)</f>
        <v>#REF!</v>
      </c>
      <c r="N766" s="1000"/>
      <c r="O766" s="2"/>
      <c r="P766" s="308"/>
      <c r="Q766" s="1000" t="e">
        <f ca="1">SUM(Q720:Q765)</f>
        <v>#DIV/0!</v>
      </c>
      <c r="R766" s="1000"/>
      <c r="S766" s="2"/>
      <c r="T766" s="308"/>
      <c r="U766" s="1000" t="e">
        <f ca="1">SUM(U720:U765)</f>
        <v>#DIV/0!</v>
      </c>
      <c r="X766" s="261"/>
      <c r="Y766" s="261"/>
      <c r="AI766" s="20"/>
      <c r="AJ766" s="20"/>
      <c r="AK766" s="20"/>
      <c r="AL766" s="20"/>
      <c r="AM766" s="20"/>
      <c r="AN766" s="20"/>
      <c r="AO766" s="20"/>
      <c r="AP766" s="20"/>
    </row>
    <row r="767" spans="1:44" ht="14.25" customHeight="1">
      <c r="A767" s="1" t="s">
        <v>353</v>
      </c>
      <c r="B767" s="1"/>
      <c r="C767" s="325">
        <f ca="1">C820+C873</f>
        <v>2550999.9999999995</v>
      </c>
      <c r="D767" s="294"/>
      <c r="E767" s="294"/>
      <c r="F767" s="295">
        <f ca="1">F820+F873</f>
        <v>193000</v>
      </c>
      <c r="G767" s="294"/>
      <c r="H767" s="294"/>
      <c r="I767" s="1272">
        <f t="shared" ca="1" si="178"/>
        <v>193000</v>
      </c>
      <c r="J767" s="999"/>
      <c r="K767" s="294"/>
      <c r="L767" s="294"/>
      <c r="M767" s="1272" t="e">
        <f ca="1">$I$767*V876/($V$876+$W$876+$X$876)</f>
        <v>#DIV/0!</v>
      </c>
      <c r="N767" s="51"/>
      <c r="O767" s="294"/>
      <c r="P767" s="294"/>
      <c r="Q767" s="1272" t="e">
        <f ca="1">$I$767*W876/($V$876+$W$876+$X$876)</f>
        <v>#DIV/0!</v>
      </c>
      <c r="R767" s="51"/>
      <c r="S767" s="294"/>
      <c r="T767" s="294"/>
      <c r="U767" s="1272" t="e">
        <f ca="1">$I$767*X876/($V$876+$W$876+$X$876)</f>
        <v>#DIV/0!</v>
      </c>
      <c r="AI767" s="20"/>
      <c r="AJ767" s="20"/>
      <c r="AK767" s="20"/>
      <c r="AL767" s="20"/>
      <c r="AM767" s="20"/>
      <c r="AN767" s="20"/>
      <c r="AO767" s="20"/>
      <c r="AP767" s="20"/>
    </row>
    <row r="768" spans="1:44" ht="17.25" customHeight="1" thickBot="1">
      <c r="A768" s="1" t="s">
        <v>372</v>
      </c>
      <c r="B768" s="1"/>
      <c r="C768" s="351">
        <f ca="1">SUM(C766:C767)</f>
        <v>160874871.89494899</v>
      </c>
      <c r="D768" s="327"/>
      <c r="E768" s="330"/>
      <c r="F768" s="329">
        <f ca="1">F766+F767</f>
        <v>13779761</v>
      </c>
      <c r="G768" s="327"/>
      <c r="H768" s="330"/>
      <c r="I768" s="329">
        <f t="shared" ca="1" si="178"/>
        <v>14013389</v>
      </c>
      <c r="J768" s="329"/>
      <c r="K768" s="327"/>
      <c r="L768" s="330"/>
      <c r="M768" s="329" t="e">
        <f ca="1">SUM(M766:M767)</f>
        <v>#REF!</v>
      </c>
      <c r="N768" s="329"/>
      <c r="O768" s="327"/>
      <c r="P768" s="330"/>
      <c r="Q768" s="329" t="e">
        <f ca="1">SUM(Q766:Q767)</f>
        <v>#DIV/0!</v>
      </c>
      <c r="R768" s="329"/>
      <c r="S768" s="327"/>
      <c r="T768" s="330"/>
      <c r="U768" s="329" t="e">
        <f ca="1">SUM(U766:U767)</f>
        <v>#DIV/0!</v>
      </c>
      <c r="V768" s="757" t="s">
        <v>354</v>
      </c>
      <c r="W768" s="778">
        <f ca="1">'Rate Spread targets'!Q27*1000</f>
        <v>14013210.112833465</v>
      </c>
      <c r="X768" s="1417">
        <f ca="1">'Rate Spread targets'!V27</f>
        <v>1.6941448609556001E-2</v>
      </c>
      <c r="Y768" s="751"/>
      <c r="Z768" s="305" t="s">
        <v>31</v>
      </c>
      <c r="AA768" s="305"/>
      <c r="AI768" s="20"/>
      <c r="AJ768" s="20"/>
      <c r="AK768" s="20"/>
      <c r="AL768" s="20"/>
      <c r="AM768" s="20"/>
      <c r="AN768" s="20"/>
      <c r="AO768" s="20"/>
      <c r="AP768" s="20"/>
    </row>
    <row r="769" spans="1:42" ht="16.5" thickTop="1">
      <c r="A769" s="1"/>
      <c r="B769" s="1"/>
      <c r="C769" s="26"/>
      <c r="D769" s="336" t="s">
        <v>31</v>
      </c>
      <c r="E769" s="23"/>
      <c r="F769" s="307"/>
      <c r="G769" s="371" t="s">
        <v>31</v>
      </c>
      <c r="H769" s="23"/>
      <c r="I769" s="257" t="s">
        <v>31</v>
      </c>
      <c r="J769" s="257"/>
      <c r="K769" s="371" t="s">
        <v>31</v>
      </c>
      <c r="L769" s="23"/>
      <c r="M769" s="257" t="s">
        <v>31</v>
      </c>
      <c r="N769" s="257"/>
      <c r="O769" s="371" t="s">
        <v>31</v>
      </c>
      <c r="P769" s="23"/>
      <c r="Q769" s="257" t="s">
        <v>31</v>
      </c>
      <c r="R769" s="257"/>
      <c r="S769" s="371" t="s">
        <v>31</v>
      </c>
      <c r="T769" s="23"/>
      <c r="U769" s="257" t="s">
        <v>31</v>
      </c>
      <c r="V769" s="112" t="s">
        <v>257</v>
      </c>
      <c r="W769" s="780">
        <f ca="1">W768-I768</f>
        <v>-178.88716653548181</v>
      </c>
      <c r="X769" s="782" t="s">
        <v>31</v>
      </c>
      <c r="Y769" s="792"/>
      <c r="AI769" s="20"/>
      <c r="AJ769" s="20"/>
      <c r="AK769" s="20"/>
      <c r="AL769" s="20"/>
      <c r="AM769" s="20"/>
      <c r="AN769" s="20"/>
      <c r="AO769" s="20"/>
      <c r="AP769" s="20"/>
    </row>
    <row r="770" spans="1:42">
      <c r="A770" s="278" t="s">
        <v>437</v>
      </c>
      <c r="B770" s="1"/>
      <c r="C770" s="21"/>
      <c r="D770" s="322"/>
      <c r="E770" s="1"/>
      <c r="F770" s="2"/>
      <c r="G770" s="322"/>
      <c r="H770" s="1"/>
      <c r="I770" s="2"/>
      <c r="J770" s="2"/>
      <c r="K770" s="322"/>
      <c r="L770" s="1"/>
      <c r="M770" s="2"/>
      <c r="N770" s="2"/>
      <c r="O770" s="322"/>
      <c r="P770" s="1"/>
      <c r="Q770" s="2"/>
      <c r="R770" s="2"/>
      <c r="S770" s="322"/>
      <c r="T770" s="1"/>
      <c r="U770" s="2"/>
      <c r="AI770" s="20"/>
      <c r="AJ770" s="20"/>
      <c r="AK770" s="20"/>
      <c r="AL770" s="20"/>
      <c r="AM770" s="20"/>
      <c r="AN770" s="20"/>
      <c r="AO770" s="20"/>
      <c r="AP770" s="20"/>
    </row>
    <row r="771" spans="1:42">
      <c r="A771" s="294" t="s">
        <v>190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/>
      <c r="V771" s="84"/>
      <c r="W771" s="331" t="s">
        <v>31</v>
      </c>
      <c r="X771" s="222"/>
      <c r="Y771" s="222"/>
      <c r="AI771" s="20"/>
      <c r="AJ771" s="20"/>
      <c r="AK771" s="20"/>
      <c r="AL771" s="20"/>
      <c r="AM771" s="20"/>
      <c r="AN771" s="20"/>
      <c r="AO771" s="20"/>
      <c r="AP771" s="20"/>
    </row>
    <row r="772" spans="1:42">
      <c r="A772" s="308"/>
      <c r="B772" s="1"/>
      <c r="C772" s="21"/>
      <c r="D772" s="322"/>
      <c r="E772" s="1"/>
      <c r="F772" s="365"/>
      <c r="G772" s="322"/>
      <c r="H772" s="1"/>
      <c r="I772" s="366"/>
      <c r="J772" s="366"/>
      <c r="K772" s="322"/>
      <c r="L772" s="1"/>
      <c r="M772" s="366"/>
      <c r="N772" s="366"/>
      <c r="O772" s="322"/>
      <c r="P772" s="1"/>
      <c r="Q772" s="366"/>
      <c r="R772" s="366"/>
      <c r="S772" s="322"/>
      <c r="T772" s="1"/>
      <c r="U772" s="366"/>
      <c r="V772" s="20"/>
      <c r="W772" s="74"/>
      <c r="X772" s="74"/>
      <c r="Y772" s="74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</row>
    <row r="773" spans="1:42">
      <c r="A773" s="294" t="s">
        <v>439</v>
      </c>
      <c r="B773" s="1"/>
      <c r="C773" s="304"/>
      <c r="D773" s="2" t="s">
        <v>31</v>
      </c>
      <c r="E773" s="1"/>
      <c r="F773" s="1"/>
      <c r="G773" s="2" t="s">
        <v>31</v>
      </c>
      <c r="H773" s="1"/>
      <c r="I773" s="1"/>
      <c r="J773" s="1"/>
      <c r="K773" s="2" t="s">
        <v>31</v>
      </c>
      <c r="L773" s="1"/>
      <c r="M773" s="1"/>
      <c r="N773" s="1"/>
      <c r="O773" s="2" t="s">
        <v>31</v>
      </c>
      <c r="P773" s="1"/>
      <c r="Q773" s="1"/>
      <c r="R773" s="1"/>
      <c r="S773" s="2" t="s">
        <v>31</v>
      </c>
      <c r="T773" s="1"/>
      <c r="U773" s="1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>
      <c r="A774" s="294" t="s">
        <v>440</v>
      </c>
      <c r="B774" s="1"/>
      <c r="C774" s="304">
        <v>585.32901446738447</v>
      </c>
      <c r="D774" s="322">
        <v>0</v>
      </c>
      <c r="E774" s="309"/>
      <c r="F774" s="306">
        <f>ROUND(D774*C774,0)</f>
        <v>0</v>
      </c>
      <c r="G774" s="322">
        <f>$G$720</f>
        <v>0</v>
      </c>
      <c r="H774" s="309"/>
      <c r="I774" s="306">
        <f>ROUND(G774*$C774,0)</f>
        <v>0</v>
      </c>
      <c r="J774" s="306"/>
      <c r="K774" s="322">
        <f>$K$720</f>
        <v>0</v>
      </c>
      <c r="L774" s="309"/>
      <c r="M774" s="306">
        <f>ROUND(K774*$C774,0)</f>
        <v>0</v>
      </c>
      <c r="N774" s="306"/>
      <c r="O774" s="322" t="str">
        <f>$O$720</f>
        <v xml:space="preserve"> </v>
      </c>
      <c r="P774" s="309"/>
      <c r="Q774" s="306">
        <f>ROUND(O774*$C774,0)</f>
        <v>0</v>
      </c>
      <c r="R774" s="306"/>
      <c r="S774" s="322" t="str">
        <f>$S$720</f>
        <v xml:space="preserve"> </v>
      </c>
      <c r="T774" s="309"/>
      <c r="U774" s="306">
        <f>ROUND(S774*$C774,0)</f>
        <v>0</v>
      </c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>
      <c r="A775" s="294" t="s">
        <v>441</v>
      </c>
      <c r="B775" s="1"/>
      <c r="C775" s="304"/>
      <c r="D775" s="322"/>
      <c r="E775" s="309"/>
      <c r="F775" s="306"/>
      <c r="G775" s="322"/>
      <c r="H775" s="309"/>
      <c r="I775" s="306"/>
      <c r="J775" s="306"/>
      <c r="K775" s="322"/>
      <c r="L775" s="309"/>
      <c r="M775" s="306"/>
      <c r="N775" s="306"/>
      <c r="O775" s="322"/>
      <c r="P775" s="309"/>
      <c r="Q775" s="306"/>
      <c r="R775" s="306"/>
      <c r="S775" s="322"/>
      <c r="T775" s="309"/>
      <c r="U775" s="306"/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>
      <c r="A776" s="294" t="s">
        <v>442</v>
      </c>
      <c r="B776" s="1"/>
      <c r="C776" s="304">
        <v>2639.7847546294379</v>
      </c>
      <c r="D776" s="322">
        <v>0</v>
      </c>
      <c r="E776" s="309"/>
      <c r="F776" s="306">
        <f>ROUND(D776*C776,0)</f>
        <v>0</v>
      </c>
      <c r="G776" s="322">
        <f>$G$722</f>
        <v>0</v>
      </c>
      <c r="H776" s="309"/>
      <c r="I776" s="306">
        <f>ROUND(G776*$C776,0)</f>
        <v>0</v>
      </c>
      <c r="J776" s="306"/>
      <c r="K776" s="322">
        <f>$K$722</f>
        <v>0</v>
      </c>
      <c r="L776" s="309"/>
      <c r="M776" s="306">
        <f>ROUND(K776*$C776,0)</f>
        <v>0</v>
      </c>
      <c r="N776" s="306"/>
      <c r="O776" s="322" t="str">
        <f>$O$722</f>
        <v xml:space="preserve"> </v>
      </c>
      <c r="P776" s="309"/>
      <c r="Q776" s="306">
        <f>ROUND(O776*$C776,0)</f>
        <v>0</v>
      </c>
      <c r="R776" s="306"/>
      <c r="S776" s="322" t="str">
        <f>$S$722</f>
        <v xml:space="preserve"> </v>
      </c>
      <c r="T776" s="309"/>
      <c r="U776" s="306">
        <f>ROUND(S776*$C776,0)</f>
        <v>0</v>
      </c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>
      <c r="A777" s="294" t="s">
        <v>443</v>
      </c>
      <c r="B777" s="1"/>
      <c r="C777" s="304">
        <v>314.59706558952797</v>
      </c>
      <c r="D777" s="322">
        <v>362</v>
      </c>
      <c r="E777" s="309"/>
      <c r="F777" s="306">
        <f>ROUND(D777*C777,0)</f>
        <v>113884</v>
      </c>
      <c r="G777" s="322">
        <f ca="1">$G$723</f>
        <v>370</v>
      </c>
      <c r="H777" s="309"/>
      <c r="I777" s="306">
        <f ca="1">ROUND(G777*$C777,0)</f>
        <v>116401</v>
      </c>
      <c r="J777" s="306"/>
      <c r="K777" s="322">
        <f ca="1">$K$723</f>
        <v>370</v>
      </c>
      <c r="L777" s="309"/>
      <c r="M777" s="306">
        <f ca="1">ROUND(K777*$C777,0)</f>
        <v>116401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>
      <c r="A778" s="294" t="s">
        <v>444</v>
      </c>
      <c r="B778" s="1"/>
      <c r="C778" s="304">
        <v>10.9999976307206</v>
      </c>
      <c r="D778" s="322">
        <v>1479</v>
      </c>
      <c r="E778" s="309"/>
      <c r="F778" s="306">
        <f>ROUND(D778*C778,0)</f>
        <v>16269</v>
      </c>
      <c r="G778" s="322">
        <f ca="1">$G$724</f>
        <v>1504</v>
      </c>
      <c r="H778" s="309"/>
      <c r="I778" s="306">
        <f ca="1">ROUND(G778*$C778,0)</f>
        <v>16544</v>
      </c>
      <c r="J778" s="306"/>
      <c r="K778" s="322">
        <f ca="1">$K$724</f>
        <v>1504</v>
      </c>
      <c r="L778" s="309"/>
      <c r="M778" s="306">
        <f ca="1">ROUND(K778*$C778,0)</f>
        <v>16544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>
      <c r="A779" s="294" t="s">
        <v>352</v>
      </c>
      <c r="B779" s="1"/>
      <c r="C779" s="304">
        <f>SUM(C774:C778)</f>
        <v>3550.7108323170714</v>
      </c>
      <c r="D779" s="322"/>
      <c r="E779" s="309"/>
      <c r="F779" s="306"/>
      <c r="G779" s="322"/>
      <c r="H779" s="309"/>
      <c r="I779" s="306"/>
      <c r="J779" s="306"/>
      <c r="K779" s="322"/>
      <c r="L779" s="309"/>
      <c r="M779" s="306"/>
      <c r="N779" s="306"/>
      <c r="O779" s="322"/>
      <c r="P779" s="309"/>
      <c r="Q779" s="306"/>
      <c r="R779" s="306"/>
      <c r="S779" s="322"/>
      <c r="T779" s="309"/>
      <c r="U779" s="306"/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>
      <c r="A780" s="294" t="s">
        <v>445</v>
      </c>
      <c r="B780" s="1"/>
      <c r="C780" s="304">
        <v>26978.440555555677</v>
      </c>
      <c r="D780" s="322"/>
      <c r="E780" s="306"/>
      <c r="F780" s="306"/>
      <c r="G780" s="322"/>
      <c r="H780" s="306"/>
      <c r="I780" s="306"/>
      <c r="J780" s="306"/>
      <c r="K780" s="322"/>
      <c r="L780" s="306"/>
      <c r="M780" s="306"/>
      <c r="N780" s="306"/>
      <c r="O780" s="322"/>
      <c r="P780" s="306"/>
      <c r="Q780" s="306"/>
      <c r="R780" s="306"/>
      <c r="S780" s="322"/>
      <c r="T780" s="306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>
      <c r="A781" s="294" t="s">
        <v>104</v>
      </c>
      <c r="B781" s="1"/>
      <c r="C781" s="304">
        <v>3789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>
      <c r="A782" s="294" t="s">
        <v>446</v>
      </c>
      <c r="B782" s="1"/>
      <c r="C782" s="304"/>
      <c r="D782" s="322"/>
      <c r="E782" s="309"/>
      <c r="F782" s="306"/>
      <c r="G782" s="322"/>
      <c r="H782" s="309"/>
      <c r="I782" s="306"/>
      <c r="J782" s="306"/>
      <c r="K782" s="322"/>
      <c r="L782" s="309"/>
      <c r="M782" s="306"/>
      <c r="N782" s="306"/>
      <c r="O782" s="322"/>
      <c r="P782" s="309"/>
      <c r="Q782" s="306"/>
      <c r="R782" s="306"/>
      <c r="S782" s="322"/>
      <c r="T782" s="309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>
      <c r="A783" s="294" t="s">
        <v>447</v>
      </c>
      <c r="B783" s="1"/>
      <c r="C783" s="304">
        <v>2076.8587101006215</v>
      </c>
      <c r="D783" s="322">
        <v>25.64</v>
      </c>
      <c r="E783" s="309"/>
      <c r="F783" s="306">
        <f>ROUND(D783*C783,0)</f>
        <v>53251</v>
      </c>
      <c r="G783" s="322">
        <f ca="1">$G$729</f>
        <v>26.02</v>
      </c>
      <c r="H783" s="309"/>
      <c r="I783" s="306">
        <f ca="1">ROUND(G783*$C783,0)</f>
        <v>54040</v>
      </c>
      <c r="J783" s="306"/>
      <c r="K783" s="322">
        <f ca="1">$K$729</f>
        <v>26.02</v>
      </c>
      <c r="L783" s="309"/>
      <c r="M783" s="306">
        <f ca="1">ROUND(K783*$C783,0)</f>
        <v>54040</v>
      </c>
      <c r="N783" s="306"/>
      <c r="O783" s="322" t="str">
        <f>$O$729</f>
        <v xml:space="preserve"> </v>
      </c>
      <c r="P783" s="309"/>
      <c r="Q783" s="306">
        <f>ROUND(O783*$C783,0)</f>
        <v>0</v>
      </c>
      <c r="R783" s="306"/>
      <c r="S783" s="322" t="str">
        <f>$S$729</f>
        <v xml:space="preserve"> </v>
      </c>
      <c r="T783" s="309"/>
      <c r="U783" s="306">
        <f>ROUND(S783*$C783,0)</f>
        <v>0</v>
      </c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>
      <c r="A784" s="294" t="s">
        <v>448</v>
      </c>
      <c r="B784" s="1"/>
      <c r="C784" s="304"/>
      <c r="D784" s="322"/>
      <c r="E784" s="309"/>
      <c r="F784" s="306"/>
      <c r="G784" s="322"/>
      <c r="H784" s="309"/>
      <c r="I784" s="306"/>
      <c r="J784" s="306"/>
      <c r="K784" s="322"/>
      <c r="L784" s="309"/>
      <c r="M784" s="306"/>
      <c r="N784" s="306"/>
      <c r="O784" s="322"/>
      <c r="P784" s="309"/>
      <c r="Q784" s="306"/>
      <c r="R784" s="306"/>
      <c r="S784" s="322"/>
      <c r="T784" s="309"/>
      <c r="U784" s="306"/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4">
      <c r="A785" s="294" t="s">
        <v>442</v>
      </c>
      <c r="B785" s="1"/>
      <c r="C785" s="304">
        <v>39873.252848561533</v>
      </c>
      <c r="D785" s="322">
        <v>25.54</v>
      </c>
      <c r="E785" s="309"/>
      <c r="F785" s="306">
        <f>ROUND(D785*C785,0)</f>
        <v>1018363</v>
      </c>
      <c r="G785" s="322">
        <f ca="1">$G$731</f>
        <v>26.02</v>
      </c>
      <c r="H785" s="309"/>
      <c r="I785" s="306">
        <f ca="1">ROUND(G785*$C785,0)</f>
        <v>1037502</v>
      </c>
      <c r="J785" s="306"/>
      <c r="K785" s="322">
        <f ca="1">$K$731</f>
        <v>26.02</v>
      </c>
      <c r="L785" s="309"/>
      <c r="M785" s="306">
        <f ca="1">ROUND(K785*$C785,0)</f>
        <v>1037502</v>
      </c>
      <c r="N785" s="306"/>
      <c r="O785" s="322" t="str">
        <f>$O$731</f>
        <v xml:space="preserve"> </v>
      </c>
      <c r="P785" s="309"/>
      <c r="Q785" s="306">
        <f>ROUND(O785*$C785,0)</f>
        <v>0</v>
      </c>
      <c r="R785" s="306"/>
      <c r="S785" s="322" t="str">
        <f>$S$731</f>
        <v xml:space="preserve"> </v>
      </c>
      <c r="T785" s="309"/>
      <c r="U785" s="306">
        <f>ROUND(S785*$C785,0)</f>
        <v>0</v>
      </c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4">
      <c r="A786" s="294" t="s">
        <v>443</v>
      </c>
      <c r="B786" s="1"/>
      <c r="C786" s="304">
        <v>29185.4347915853</v>
      </c>
      <c r="D786" s="322">
        <v>17.79</v>
      </c>
      <c r="E786" s="309"/>
      <c r="F786" s="306">
        <f>ROUND(D786*C786,0)</f>
        <v>519209</v>
      </c>
      <c r="G786" s="322">
        <f ca="1">$G$732</f>
        <v>18.101388370764003</v>
      </c>
      <c r="H786" s="309"/>
      <c r="I786" s="306">
        <f ca="1">ROUND(G786*$C786,0)</f>
        <v>528297</v>
      </c>
      <c r="J786" s="306"/>
      <c r="K786" s="322">
        <f ca="1">$K$732</f>
        <v>18.101388370764003</v>
      </c>
      <c r="L786" s="309"/>
      <c r="M786" s="306">
        <f ca="1">ROUND(K786*$C786,0)</f>
        <v>528297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4">
      <c r="A787" s="294" t="s">
        <v>444</v>
      </c>
      <c r="B787" s="1"/>
      <c r="C787" s="304">
        <v>4458.9991006743103</v>
      </c>
      <c r="D787" s="322">
        <v>13.92</v>
      </c>
      <c r="E787" s="309"/>
      <c r="F787" s="306">
        <f>ROUND(D787*C787,0)</f>
        <v>62069</v>
      </c>
      <c r="G787" s="322">
        <f ca="1">$G$733</f>
        <v>14.155824964645021</v>
      </c>
      <c r="H787" s="309"/>
      <c r="I787" s="306">
        <f ca="1">ROUND(G787*$C787,0)</f>
        <v>63121</v>
      </c>
      <c r="J787" s="306"/>
      <c r="K787" s="322">
        <f ca="1">$K$733</f>
        <v>14.155824964645021</v>
      </c>
      <c r="L787" s="309"/>
      <c r="M787" s="306">
        <f ca="1">ROUND(K787*$C787,0)</f>
        <v>63121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4">
      <c r="A788" s="294" t="s">
        <v>450</v>
      </c>
      <c r="B788" s="1"/>
      <c r="C788" s="304">
        <v>287.38362640647603</v>
      </c>
      <c r="D788" s="322">
        <v>76.930000000000007</v>
      </c>
      <c r="E788" s="309"/>
      <c r="F788" s="306">
        <f>ROUND(D788*C788,0)</f>
        <v>22108</v>
      </c>
      <c r="G788" s="322">
        <f ca="1">$G$734</f>
        <v>78.06</v>
      </c>
      <c r="H788" s="309"/>
      <c r="I788" s="306">
        <f ca="1">ROUND(G788*$C788,0)</f>
        <v>22433</v>
      </c>
      <c r="J788" s="306"/>
      <c r="K788" s="322">
        <f ca="1">$K$734</f>
        <v>78.06</v>
      </c>
      <c r="L788" s="309"/>
      <c r="M788" s="306">
        <f ca="1">ROUND(K788*$C788,0)</f>
        <v>22433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4">
      <c r="A789" s="294" t="s">
        <v>451</v>
      </c>
      <c r="B789" s="1"/>
      <c r="C789" s="304">
        <v>596.26328693931896</v>
      </c>
      <c r="D789" s="322">
        <v>153.22</v>
      </c>
      <c r="E789" s="309"/>
      <c r="F789" s="306">
        <f>ROUND(D789*C789,0)</f>
        <v>91359</v>
      </c>
      <c r="G789" s="322">
        <f ca="1">$G$735</f>
        <v>156.12</v>
      </c>
      <c r="H789" s="309"/>
      <c r="I789" s="306">
        <f ca="1">ROUND(G789*$C789,0)</f>
        <v>93089</v>
      </c>
      <c r="J789" s="306"/>
      <c r="K789" s="322">
        <f ca="1">$K$735</f>
        <v>156.12</v>
      </c>
      <c r="L789" s="309"/>
      <c r="M789" s="306">
        <f ca="1">ROUND(K789*$C789,0)</f>
        <v>93089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4">
      <c r="A790" s="294" t="s">
        <v>452</v>
      </c>
      <c r="B790" s="1"/>
      <c r="C790" s="304"/>
      <c r="D790" s="322"/>
      <c r="E790" s="309"/>
      <c r="F790" s="306"/>
      <c r="G790" s="322"/>
      <c r="H790" s="309"/>
      <c r="I790" s="306"/>
      <c r="J790" s="306"/>
      <c r="K790" s="322"/>
      <c r="L790" s="309"/>
      <c r="M790" s="306"/>
      <c r="N790" s="306"/>
      <c r="O790" s="322"/>
      <c r="P790" s="309"/>
      <c r="Q790" s="306"/>
      <c r="R790" s="306"/>
      <c r="S790" s="322"/>
      <c r="T790" s="309"/>
      <c r="U790" s="306"/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4">
      <c r="A791" s="294" t="s">
        <v>447</v>
      </c>
      <c r="B791" s="1"/>
      <c r="C791" s="304">
        <v>13.885153858261599</v>
      </c>
      <c r="D791" s="348">
        <v>-25.64</v>
      </c>
      <c r="E791" s="309"/>
      <c r="F791" s="306">
        <f>ROUND(D791*C791,0)</f>
        <v>-356</v>
      </c>
      <c r="G791" s="348">
        <f ca="1">-G783</f>
        <v>-26.02</v>
      </c>
      <c r="H791" s="309"/>
      <c r="I791" s="306">
        <f ca="1">ROUND(G791*$C791,0)</f>
        <v>-361</v>
      </c>
      <c r="J791" s="306"/>
      <c r="K791" s="348">
        <f ca="1">-K783</f>
        <v>-26.02</v>
      </c>
      <c r="L791" s="309"/>
      <c r="M791" s="306">
        <f ca="1">ROUND(K791*$C791,0)</f>
        <v>-361</v>
      </c>
      <c r="N791" s="306"/>
      <c r="O791" s="348">
        <f>-O783</f>
        <v>0</v>
      </c>
      <c r="P791" s="309"/>
      <c r="Q791" s="306">
        <f>ROUND(O791*$C791,0)</f>
        <v>0</v>
      </c>
      <c r="R791" s="306"/>
      <c r="S791" s="348">
        <f>-S783</f>
        <v>0</v>
      </c>
      <c r="T791" s="309"/>
      <c r="U791" s="306">
        <f>ROUND(S791*$C791,0)</f>
        <v>0</v>
      </c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4">
      <c r="A792" s="294" t="s">
        <v>453</v>
      </c>
      <c r="B792" s="1"/>
      <c r="C792" s="304">
        <v>218.78375922302399</v>
      </c>
      <c r="D792" s="348">
        <v>-25.54</v>
      </c>
      <c r="E792" s="309"/>
      <c r="F792" s="306">
        <f>ROUND(D792*C792,0)</f>
        <v>-5588</v>
      </c>
      <c r="G792" s="348">
        <f ca="1">-G785</f>
        <v>-26.02</v>
      </c>
      <c r="H792" s="309"/>
      <c r="I792" s="306">
        <f ca="1">ROUND(G792*$C792,0)</f>
        <v>-5693</v>
      </c>
      <c r="J792" s="306"/>
      <c r="K792" s="348">
        <f ca="1">-K785</f>
        <v>-26.02</v>
      </c>
      <c r="L792" s="309"/>
      <c r="M792" s="306">
        <f ca="1">ROUND(K792*$C792,0)</f>
        <v>-5693</v>
      </c>
      <c r="N792" s="306"/>
      <c r="O792" s="348">
        <f>-O785</f>
        <v>0</v>
      </c>
      <c r="P792" s="309"/>
      <c r="Q792" s="306">
        <f>ROUND(O792*$C792,0)</f>
        <v>0</v>
      </c>
      <c r="R792" s="306"/>
      <c r="S792" s="348">
        <f>-S785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4">
      <c r="A793" s="308" t="s">
        <v>416</v>
      </c>
      <c r="B793" s="1"/>
      <c r="C793" s="64" t="s">
        <v>31</v>
      </c>
      <c r="D793" s="322"/>
      <c r="E793" s="306"/>
      <c r="F793" s="306"/>
      <c r="G793" s="322"/>
      <c r="H793" s="306"/>
      <c r="I793" s="306"/>
      <c r="J793" s="306"/>
      <c r="K793" s="322"/>
      <c r="L793" s="306"/>
      <c r="M793" s="306"/>
      <c r="N793" s="306"/>
      <c r="O793" s="322"/>
      <c r="P793" s="306"/>
      <c r="Q793" s="306"/>
      <c r="R793" s="306"/>
      <c r="S793" s="322"/>
      <c r="T793" s="306"/>
      <c r="U793" s="306"/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4">
      <c r="A794" s="294" t="s">
        <v>454</v>
      </c>
      <c r="B794" s="1"/>
      <c r="C794" s="304">
        <v>110142584.89494899</v>
      </c>
      <c r="D794" s="367">
        <v>6.9180000000000001</v>
      </c>
      <c r="E794" s="306" t="s">
        <v>364</v>
      </c>
      <c r="F794" s="306">
        <f>ROUND(D794/100*C794,0)</f>
        <v>7619664</v>
      </c>
      <c r="G794" s="367">
        <f ca="1">$G$740</f>
        <v>7.0350000000000001</v>
      </c>
      <c r="H794" s="306" t="s">
        <v>364</v>
      </c>
      <c r="I794" s="306">
        <f ca="1">ROUND(G794/100*$C794,0)</f>
        <v>7748531</v>
      </c>
      <c r="J794" s="306"/>
      <c r="K794" s="367" t="e">
        <f ca="1">$K$740</f>
        <v>#REF!</v>
      </c>
      <c r="L794" s="306" t="s">
        <v>364</v>
      </c>
      <c r="M794" s="306" t="e">
        <f ca="1">ROUND(K794/100*$C794,0)</f>
        <v>#REF!</v>
      </c>
      <c r="N794" s="306"/>
      <c r="O794" s="367" t="e">
        <f ca="1">$O$740</f>
        <v>#DIV/0!</v>
      </c>
      <c r="P794" s="306" t="s">
        <v>364</v>
      </c>
      <c r="Q794" s="306" t="e">
        <f ca="1">ROUND(O794/100*$C794,0)</f>
        <v>#DIV/0!</v>
      </c>
      <c r="R794" s="306"/>
      <c r="S794" s="367" t="e">
        <f ca="1">$S$740</f>
        <v>#DIV/0!</v>
      </c>
      <c r="T794" s="306" t="s">
        <v>364</v>
      </c>
      <c r="U794" s="306" t="e">
        <f ca="1">ROUND(S794/100*$C794,0)</f>
        <v>#DIV/0!</v>
      </c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4">
      <c r="A795" s="308" t="s">
        <v>390</v>
      </c>
      <c r="B795" s="1"/>
      <c r="C795" s="260">
        <v>43439</v>
      </c>
      <c r="D795" s="324">
        <v>56</v>
      </c>
      <c r="E795" s="308" t="s">
        <v>364</v>
      </c>
      <c r="F795" s="306">
        <f>ROUND(D795/100*C795,0)</f>
        <v>24326</v>
      </c>
      <c r="G795" s="324">
        <f ca="1">$G$741</f>
        <v>57</v>
      </c>
      <c r="H795" s="308" t="s">
        <v>364</v>
      </c>
      <c r="I795" s="306">
        <f ca="1">ROUND(G795*$C795/100,0)</f>
        <v>24760</v>
      </c>
      <c r="J795" s="306"/>
      <c r="K795" s="324" t="str">
        <f>$K$741</f>
        <v xml:space="preserve"> </v>
      </c>
      <c r="L795" s="308" t="s">
        <v>364</v>
      </c>
      <c r="M795" s="306">
        <f>ROUND(K795*$C795/100,0)</f>
        <v>0</v>
      </c>
      <c r="N795" s="306"/>
      <c r="O795" s="324" t="e">
        <f ca="1">$O$741</f>
        <v>#DIV/0!</v>
      </c>
      <c r="P795" s="308" t="s">
        <v>364</v>
      </c>
      <c r="Q795" s="306" t="e">
        <f ca="1">ROUND(O795*$C795/100,0)</f>
        <v>#DIV/0!</v>
      </c>
      <c r="R795" s="306"/>
      <c r="S795" s="324" t="e">
        <f ca="1">$S$741</f>
        <v>#DIV/0!</v>
      </c>
      <c r="T795" s="308" t="s">
        <v>364</v>
      </c>
      <c r="U795" s="306" t="e">
        <f ca="1">ROUND(S795*$C795/100,0)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4" s="1118" customFormat="1" hidden="1">
      <c r="A796" s="968" t="s">
        <v>872</v>
      </c>
      <c r="C796" s="1122">
        <f>C794</f>
        <v>110142584.89494899</v>
      </c>
      <c r="D796" s="254">
        <v>0</v>
      </c>
      <c r="E796" s="1119"/>
      <c r="F796" s="1123"/>
      <c r="G796" s="1128">
        <f>G742</f>
        <v>0</v>
      </c>
      <c r="H796" s="1000" t="s">
        <v>364</v>
      </c>
      <c r="I796" s="1000">
        <f>ROUND(G796*$C796/100,0)</f>
        <v>0</v>
      </c>
      <c r="J796" s="1000"/>
      <c r="K796" s="1128" t="str">
        <f>K742</f>
        <v xml:space="preserve"> </v>
      </c>
      <c r="L796" s="1000" t="s">
        <v>364</v>
      </c>
      <c r="M796" s="1000">
        <f>ROUND(K796*$C796/100,0)</f>
        <v>0</v>
      </c>
      <c r="N796" s="1000"/>
      <c r="O796" s="1128" t="str">
        <f>O742</f>
        <v xml:space="preserve"> </v>
      </c>
      <c r="P796" s="1000" t="s">
        <v>364</v>
      </c>
      <c r="Q796" s="1000">
        <f>ROUND(O796*$C796/100,0)</f>
        <v>0</v>
      </c>
      <c r="R796" s="1000"/>
      <c r="S796" s="1128">
        <f>S742</f>
        <v>0</v>
      </c>
      <c r="T796" s="1000" t="s">
        <v>364</v>
      </c>
      <c r="U796" s="1000">
        <f>ROUND(S796*$C796/100,0)</f>
        <v>0</v>
      </c>
      <c r="W796" s="784"/>
      <c r="Z796" s="1125"/>
      <c r="AA796" s="1125"/>
      <c r="AF796" s="1119"/>
      <c r="AG796" s="1119"/>
      <c r="AH796" s="1119"/>
      <c r="AI796" s="1119"/>
      <c r="AJ796" s="1119"/>
      <c r="AK796" s="1119"/>
      <c r="AL796" s="1119"/>
      <c r="AM796" s="1119"/>
      <c r="AN796" s="1119"/>
      <c r="AO796" s="1119"/>
      <c r="AP796" s="1119"/>
      <c r="AR796" s="1124"/>
    </row>
    <row r="797" spans="1:44">
      <c r="A797" s="345" t="s">
        <v>391</v>
      </c>
      <c r="B797" s="1"/>
      <c r="C797" s="304"/>
      <c r="D797" s="317"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4">
      <c r="A798" s="294" t="s">
        <v>380</v>
      </c>
      <c r="B798" s="1"/>
      <c r="C798" s="304">
        <v>0</v>
      </c>
      <c r="D798" s="369">
        <v>0</v>
      </c>
      <c r="E798" s="309"/>
      <c r="F798" s="306">
        <f>ROUND(D798*C798*$D$744,0)</f>
        <v>0</v>
      </c>
      <c r="G798" s="369">
        <f>G774</f>
        <v>0</v>
      </c>
      <c r="H798" s="309"/>
      <c r="I798" s="306">
        <f>ROUND(G798*$C798*$G$797,0)</f>
        <v>0</v>
      </c>
      <c r="J798" s="306"/>
      <c r="K798" s="369">
        <f>K774</f>
        <v>0</v>
      </c>
      <c r="L798" s="309"/>
      <c r="M798" s="306">
        <f>ROUND(K798*$C798*$G$797,0)</f>
        <v>0</v>
      </c>
      <c r="N798" s="306"/>
      <c r="O798" s="369" t="str">
        <f>O774</f>
        <v xml:space="preserve"> </v>
      </c>
      <c r="P798" s="309"/>
      <c r="Q798" s="306">
        <f>ROUND(O798*$C798*$G$797,0)</f>
        <v>0</v>
      </c>
      <c r="R798" s="306"/>
      <c r="S798" s="369" t="str">
        <f>S774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4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4">
      <c r="A800" s="294" t="s">
        <v>442</v>
      </c>
      <c r="B800" s="1"/>
      <c r="C800" s="304">
        <v>1.0000071591230999</v>
      </c>
      <c r="D800" s="369">
        <v>0</v>
      </c>
      <c r="E800" s="309"/>
      <c r="F800" s="306">
        <f>ROUND(D800*C800*$D$744,0)</f>
        <v>0</v>
      </c>
      <c r="G800" s="369">
        <f>G776</f>
        <v>0</v>
      </c>
      <c r="H800" s="309"/>
      <c r="I800" s="306">
        <f>ROUND(G800*$C800*$G$797,0)</f>
        <v>0</v>
      </c>
      <c r="J800" s="306"/>
      <c r="K800" s="369">
        <f>K776</f>
        <v>0</v>
      </c>
      <c r="L800" s="309"/>
      <c r="M800" s="306">
        <f>ROUND(K800*$C800*$G$797,0)</f>
        <v>0</v>
      </c>
      <c r="N800" s="306"/>
      <c r="O800" s="369" t="str">
        <f>O776</f>
        <v xml:space="preserve"> </v>
      </c>
      <c r="P800" s="309"/>
      <c r="Q800" s="306">
        <f>ROUND(O800*$C800*$G$797,0)</f>
        <v>0</v>
      </c>
      <c r="R800" s="306"/>
      <c r="S800" s="369" t="str">
        <f>S776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>
      <c r="A801" s="294" t="s">
        <v>443</v>
      </c>
      <c r="B801" s="1"/>
      <c r="C801" s="304">
        <v>0</v>
      </c>
      <c r="D801" s="369">
        <v>362</v>
      </c>
      <c r="E801" s="309"/>
      <c r="F801" s="306">
        <f>ROUND(D801*C801*$D$744,0)</f>
        <v>0</v>
      </c>
      <c r="G801" s="369">
        <f ca="1">G777</f>
        <v>370</v>
      </c>
      <c r="H801" s="309"/>
      <c r="I801" s="306">
        <f ca="1">ROUND(G801*$C801*$G$797,0)</f>
        <v>0</v>
      </c>
      <c r="J801" s="306"/>
      <c r="K801" s="369">
        <f ca="1">K777</f>
        <v>370</v>
      </c>
      <c r="L801" s="309"/>
      <c r="M801" s="306">
        <f ca="1">ROUND(K801*$C801*$G$797,0)</f>
        <v>0</v>
      </c>
      <c r="N801" s="306"/>
      <c r="O801" s="369" t="str">
        <f>O777</f>
        <v xml:space="preserve"> </v>
      </c>
      <c r="P801" s="309"/>
      <c r="Q801" s="306">
        <f>ROUND(O801*$C801*$G$797,0)</f>
        <v>0</v>
      </c>
      <c r="R801" s="306"/>
      <c r="S801" s="369" t="str">
        <f>S777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>
      <c r="A802" s="294" t="s">
        <v>444</v>
      </c>
      <c r="B802" s="1"/>
      <c r="C802" s="304">
        <v>0</v>
      </c>
      <c r="D802" s="369">
        <v>1479</v>
      </c>
      <c r="E802" s="309"/>
      <c r="F802" s="306">
        <f>ROUND(D802*C802*$D$744,0)</f>
        <v>0</v>
      </c>
      <c r="G802" s="369">
        <f ca="1">G778</f>
        <v>1504</v>
      </c>
      <c r="H802" s="309"/>
      <c r="I802" s="306">
        <f ca="1">ROUND(G802*$C802*$G$797,0)</f>
        <v>0</v>
      </c>
      <c r="J802" s="306"/>
      <c r="K802" s="369">
        <f ca="1">K778</f>
        <v>1504</v>
      </c>
      <c r="L802" s="309"/>
      <c r="M802" s="306">
        <f ca="1">ROUND(K802*$C802*$G$797,0)</f>
        <v>0</v>
      </c>
      <c r="N802" s="306"/>
      <c r="O802" s="369" t="str">
        <f>O778</f>
        <v xml:space="preserve"> </v>
      </c>
      <c r="P802" s="309"/>
      <c r="Q802" s="306">
        <f>ROUND(O802*$C802*$G$797,0)</f>
        <v>0</v>
      </c>
      <c r="R802" s="306"/>
      <c r="S802" s="369" t="str">
        <f>S778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>
      <c r="A803" s="294" t="s">
        <v>380</v>
      </c>
      <c r="B803" s="1"/>
      <c r="C803" s="304">
        <v>0</v>
      </c>
      <c r="D803" s="369">
        <v>25.64</v>
      </c>
      <c r="E803" s="309"/>
      <c r="F803" s="306">
        <f>ROUND(D803*C803*$D$744,0)</f>
        <v>0</v>
      </c>
      <c r="G803" s="369">
        <f ca="1">G783</f>
        <v>26.02</v>
      </c>
      <c r="H803" s="309"/>
      <c r="I803" s="306">
        <f ca="1">ROUND(G803*$C803*$G$797,0)</f>
        <v>0</v>
      </c>
      <c r="J803" s="306"/>
      <c r="K803" s="369">
        <f ca="1">K783</f>
        <v>26.02</v>
      </c>
      <c r="L803" s="309"/>
      <c r="M803" s="306">
        <f ca="1">ROUND(K803*$C803*$G$797,0)</f>
        <v>0</v>
      </c>
      <c r="N803" s="306"/>
      <c r="O803" s="369" t="str">
        <f>O783</f>
        <v xml:space="preserve"> </v>
      </c>
      <c r="P803" s="309"/>
      <c r="Q803" s="306">
        <f>ROUND(O803*$C803*$G$797,0)</f>
        <v>0</v>
      </c>
      <c r="R803" s="306"/>
      <c r="S803" s="369" t="str">
        <f>S783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>
      <c r="A805" s="294" t="s">
        <v>442</v>
      </c>
      <c r="B805" s="1"/>
      <c r="C805" s="304">
        <v>38.0002720466778</v>
      </c>
      <c r="D805" s="369">
        <v>25.54</v>
      </c>
      <c r="E805" s="309"/>
      <c r="F805" s="306">
        <f>ROUND(D805*C805*$D$744,0)</f>
        <v>-10</v>
      </c>
      <c r="G805" s="369">
        <f ca="1">G785</f>
        <v>26.02</v>
      </c>
      <c r="H805" s="309"/>
      <c r="I805" s="306">
        <f ca="1">ROUND(G805*$C805*$G$797,0)</f>
        <v>-10</v>
      </c>
      <c r="J805" s="306"/>
      <c r="K805" s="369">
        <f ca="1">K785</f>
        <v>26.02</v>
      </c>
      <c r="L805" s="309"/>
      <c r="M805" s="306">
        <f ca="1">ROUND(K805*$C805*$G$797,0)</f>
        <v>-10</v>
      </c>
      <c r="N805" s="306"/>
      <c r="O805" s="369" t="str">
        <f>O785</f>
        <v xml:space="preserve"> </v>
      </c>
      <c r="P805" s="309"/>
      <c r="Q805" s="306">
        <f>ROUND(O805*$C805*$G$797,0)</f>
        <v>0</v>
      </c>
      <c r="R805" s="306"/>
      <c r="S805" s="369" t="str">
        <f>S785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>
      <c r="A806" s="294" t="s">
        <v>443</v>
      </c>
      <c r="B806" s="1"/>
      <c r="C806" s="304">
        <v>0</v>
      </c>
      <c r="D806" s="369">
        <v>17.79</v>
      </c>
      <c r="E806" s="309"/>
      <c r="F806" s="306">
        <f>ROUND(D806*C806*$D$744,0)</f>
        <v>0</v>
      </c>
      <c r="G806" s="369">
        <f ca="1">G786</f>
        <v>18.101388370764003</v>
      </c>
      <c r="H806" s="309"/>
      <c r="I806" s="306">
        <f ca="1">ROUND(G806*$C806*$G$797,0)</f>
        <v>0</v>
      </c>
      <c r="J806" s="306"/>
      <c r="K806" s="369">
        <f ca="1">K786</f>
        <v>18.101388370764003</v>
      </c>
      <c r="L806" s="309"/>
      <c r="M806" s="306">
        <f ca="1">ROUND(K806*$C806*$G$797,0)</f>
        <v>0</v>
      </c>
      <c r="N806" s="306"/>
      <c r="O806" s="369" t="str">
        <f>O786</f>
        <v xml:space="preserve"> </v>
      </c>
      <c r="P806" s="309"/>
      <c r="Q806" s="306">
        <f>ROUND(O806*$C806*$G$797,0)</f>
        <v>0</v>
      </c>
      <c r="R806" s="306"/>
      <c r="S806" s="369" t="str">
        <f>S786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>
      <c r="A807" s="294" t="s">
        <v>444</v>
      </c>
      <c r="B807" s="1"/>
      <c r="C807" s="304">
        <v>0</v>
      </c>
      <c r="D807" s="369">
        <v>13.92</v>
      </c>
      <c r="E807" s="309"/>
      <c r="F807" s="306">
        <f>ROUND(D807*C807*$D$744,0)</f>
        <v>0</v>
      </c>
      <c r="G807" s="369">
        <f ca="1">G787</f>
        <v>14.155824964645021</v>
      </c>
      <c r="H807" s="309"/>
      <c r="I807" s="306">
        <f ca="1">ROUND(G807*$C807*$G$797,0)</f>
        <v>0</v>
      </c>
      <c r="J807" s="306"/>
      <c r="K807" s="369">
        <f ca="1">K787</f>
        <v>14.155824964645021</v>
      </c>
      <c r="L807" s="309"/>
      <c r="M807" s="306">
        <f ca="1">ROUND(K807*$C807*$G$797,0)</f>
        <v>0</v>
      </c>
      <c r="N807" s="306"/>
      <c r="O807" s="369" t="str">
        <f>O787</f>
        <v xml:space="preserve"> </v>
      </c>
      <c r="P807" s="309"/>
      <c r="Q807" s="306">
        <f>ROUND(O807*$C807*$G$797,0)</f>
        <v>0</v>
      </c>
      <c r="R807" s="306"/>
      <c r="S807" s="369" t="str">
        <f>S787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>
      <c r="A808" s="294" t="s">
        <v>455</v>
      </c>
      <c r="B808" s="1"/>
      <c r="C808" s="304">
        <v>0</v>
      </c>
      <c r="D808" s="338">
        <v>76.930000000000007</v>
      </c>
      <c r="E808" s="309"/>
      <c r="F808" s="306">
        <f>ROUND(D808*C808*$D$744,0)</f>
        <v>0</v>
      </c>
      <c r="G808" s="338">
        <f ca="1">G788</f>
        <v>78.06</v>
      </c>
      <c r="H808" s="309"/>
      <c r="I808" s="306">
        <f ca="1">ROUND(G808*$C808*$G$797,0)</f>
        <v>0</v>
      </c>
      <c r="J808" s="306"/>
      <c r="K808" s="338">
        <f ca="1">K788</f>
        <v>78.06</v>
      </c>
      <c r="L808" s="309"/>
      <c r="M808" s="306">
        <f ca="1">ROUND(K808*$C808*$G$797,0)</f>
        <v>0</v>
      </c>
      <c r="N808" s="306"/>
      <c r="O808" s="338" t="str">
        <f>O788</f>
        <v xml:space="preserve"> </v>
      </c>
      <c r="P808" s="309"/>
      <c r="Q808" s="306">
        <f>ROUND(O808*$C808*$G$797,0)</f>
        <v>0</v>
      </c>
      <c r="R808" s="306"/>
      <c r="S808" s="338" t="str">
        <f>S788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>
      <c r="A809" s="294" t="s">
        <v>456</v>
      </c>
      <c r="B809" s="1"/>
      <c r="C809" s="304">
        <v>0</v>
      </c>
      <c r="D809" s="338">
        <v>153.22</v>
      </c>
      <c r="E809" s="309"/>
      <c r="F809" s="306">
        <f>ROUND(D809*C809*$D$744,0)</f>
        <v>0</v>
      </c>
      <c r="G809" s="338">
        <f ca="1">G789</f>
        <v>156.12</v>
      </c>
      <c r="H809" s="309"/>
      <c r="I809" s="306">
        <f ca="1">ROUND(G809*$C809*$G$797,0)</f>
        <v>0</v>
      </c>
      <c r="J809" s="306"/>
      <c r="K809" s="338">
        <f ca="1">K789</f>
        <v>156.12</v>
      </c>
      <c r="L809" s="309"/>
      <c r="M809" s="306">
        <f ca="1">ROUND(K809*$C809*$G$797,0)</f>
        <v>0</v>
      </c>
      <c r="N809" s="306"/>
      <c r="O809" s="338" t="str">
        <f>O789</f>
        <v xml:space="preserve"> </v>
      </c>
      <c r="P809" s="309"/>
      <c r="Q809" s="306">
        <f>ROUND(O809*$C809*$G$797,0)</f>
        <v>0</v>
      </c>
      <c r="R809" s="306"/>
      <c r="S809" s="338" t="str">
        <f>S789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>
      <c r="A811" s="294" t="s">
        <v>447</v>
      </c>
      <c r="B811" s="1"/>
      <c r="C811" s="304">
        <v>0</v>
      </c>
      <c r="D811" s="348">
        <v>-25.64</v>
      </c>
      <c r="E811" s="309"/>
      <c r="F811" s="306">
        <f>ROUND(D811*C811*$D$744,0)</f>
        <v>0</v>
      </c>
      <c r="G811" s="348">
        <f ca="1">G791</f>
        <v>-26.02</v>
      </c>
      <c r="H811" s="309"/>
      <c r="I811" s="306">
        <f ca="1">ROUND(G811*$C811*$G$797,0)</f>
        <v>0</v>
      </c>
      <c r="J811" s="306"/>
      <c r="K811" s="348">
        <f ca="1">K791</f>
        <v>-26.02</v>
      </c>
      <c r="L811" s="309"/>
      <c r="M811" s="306">
        <f ca="1">ROUND(K811*$C811*$G$797,0)</f>
        <v>0</v>
      </c>
      <c r="N811" s="306"/>
      <c r="O811" s="348">
        <f>O791</f>
        <v>0</v>
      </c>
      <c r="P811" s="309"/>
      <c r="Q811" s="306">
        <f>ROUND(O811*$C811*$G$797,0)</f>
        <v>0</v>
      </c>
      <c r="R811" s="306"/>
      <c r="S811" s="348">
        <f>S791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>
      <c r="A812" s="294" t="s">
        <v>453</v>
      </c>
      <c r="B812" s="1"/>
      <c r="C812" s="304">
        <v>0</v>
      </c>
      <c r="D812" s="348">
        <v>-25.54</v>
      </c>
      <c r="E812" s="309"/>
      <c r="F812" s="306">
        <f>ROUND(D812*C812*$D$744,0)</f>
        <v>0</v>
      </c>
      <c r="G812" s="348">
        <f ca="1">G792</f>
        <v>-26.02</v>
      </c>
      <c r="H812" s="309"/>
      <c r="I812" s="306">
        <f ca="1">ROUND(G812*$C812*$G$797,0)</f>
        <v>0</v>
      </c>
      <c r="J812" s="306"/>
      <c r="K812" s="348">
        <f ca="1">K792</f>
        <v>-26.02</v>
      </c>
      <c r="L812" s="309"/>
      <c r="M812" s="306">
        <f ca="1">ROUND(K812*$C812*$G$797,0)</f>
        <v>0</v>
      </c>
      <c r="N812" s="306"/>
      <c r="O812" s="348">
        <f>O792</f>
        <v>0</v>
      </c>
      <c r="P812" s="309"/>
      <c r="Q812" s="306">
        <f>ROUND(O812*$C812*$G$797,0)</f>
        <v>0</v>
      </c>
      <c r="R812" s="306"/>
      <c r="S812" s="348">
        <f>S792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>
      <c r="A814" s="294" t="s">
        <v>454</v>
      </c>
      <c r="B814" s="1"/>
      <c r="C814" s="304">
        <v>10034</v>
      </c>
      <c r="D814" s="370">
        <v>6.9180000000000001</v>
      </c>
      <c r="E814" s="306" t="s">
        <v>364</v>
      </c>
      <c r="F814" s="306">
        <f>ROUND(D814*C814/100*D797,0)</f>
        <v>-7</v>
      </c>
      <c r="G814" s="370">
        <f ca="1">G794</f>
        <v>7.0350000000000001</v>
      </c>
      <c r="H814" s="306" t="s">
        <v>364</v>
      </c>
      <c r="I814" s="306">
        <f ca="1">ROUND(G814/100*$C814*$G$797,0)</f>
        <v>-7</v>
      </c>
      <c r="J814" s="306"/>
      <c r="K814" s="370" t="e">
        <f ca="1">K794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O794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S794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>
      <c r="A815" s="308" t="s">
        <v>390</v>
      </c>
      <c r="B815" s="1"/>
      <c r="C815" s="304">
        <v>0</v>
      </c>
      <c r="D815" s="360">
        <v>56</v>
      </c>
      <c r="E815" s="308" t="s">
        <v>364</v>
      </c>
      <c r="F815" s="306">
        <f>ROUND(D815*C815,0)</f>
        <v>0</v>
      </c>
      <c r="G815" s="360">
        <f ca="1">G795</f>
        <v>57</v>
      </c>
      <c r="H815" s="308" t="s">
        <v>364</v>
      </c>
      <c r="I815" s="306">
        <f ca="1">ROUND(G815/100*$C815*$G$797,0)</f>
        <v>0</v>
      </c>
      <c r="J815" s="306"/>
      <c r="K815" s="360" t="str">
        <f>K795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O795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S795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>
      <c r="A816" s="308" t="s">
        <v>433</v>
      </c>
      <c r="B816" s="1"/>
      <c r="C816" s="304">
        <v>12</v>
      </c>
      <c r="D816" s="283">
        <v>60</v>
      </c>
      <c r="E816" s="1"/>
      <c r="F816" s="306">
        <f>ROUND(D816*$C816,0)</f>
        <v>720</v>
      </c>
      <c r="G816" s="283">
        <f>$G$763</f>
        <v>60</v>
      </c>
      <c r="H816" s="1"/>
      <c r="I816" s="306">
        <f>ROUND(G816*$C816,0)</f>
        <v>720</v>
      </c>
      <c r="J816" s="306"/>
      <c r="K816" s="283">
        <v>0</v>
      </c>
      <c r="L816" s="1"/>
      <c r="M816" s="306">
        <f>ROUND(K816*$C816,0)</f>
        <v>0</v>
      </c>
      <c r="N816" s="306"/>
      <c r="O816" s="283" t="e">
        <f>O763</f>
        <v>#DIV/0!</v>
      </c>
      <c r="P816" s="1"/>
      <c r="Q816" s="306" t="e">
        <f>ROUND(O816*$C816,0)</f>
        <v>#DIV/0!</v>
      </c>
      <c r="R816" s="306"/>
      <c r="S816" s="283" t="e">
        <f>S763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4">
      <c r="A817" s="308" t="s">
        <v>434</v>
      </c>
      <c r="B817" s="1"/>
      <c r="C817" s="304">
        <v>456.00326456013363</v>
      </c>
      <c r="D817" s="324">
        <v>-30</v>
      </c>
      <c r="E817" s="306" t="s">
        <v>364</v>
      </c>
      <c r="F817" s="306">
        <f>ROUND(D817*$C817/100,0)</f>
        <v>-137</v>
      </c>
      <c r="G817" s="324">
        <f>$G$764</f>
        <v>-30</v>
      </c>
      <c r="H817" s="306" t="s">
        <v>364</v>
      </c>
      <c r="I817" s="306">
        <f>ROUND(G817*$C817/100,0)</f>
        <v>-137</v>
      </c>
      <c r="J817" s="306"/>
      <c r="K817" s="324">
        <f>$G$764</f>
        <v>-30</v>
      </c>
      <c r="L817" s="306" t="s">
        <v>364</v>
      </c>
      <c r="M817" s="306">
        <f>ROUND(K817*$C817/100,0)</f>
        <v>-137</v>
      </c>
      <c r="N817" s="306"/>
      <c r="O817" s="324">
        <v>0</v>
      </c>
      <c r="P817" s="306" t="s">
        <v>364</v>
      </c>
      <c r="Q817" s="306">
        <f>ROUND(O817*$C817/100,0)</f>
        <v>0</v>
      </c>
      <c r="R817" s="306"/>
      <c r="S817" s="324"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4" s="1118" customFormat="1" hidden="1">
      <c r="A818" s="968" t="s">
        <v>872</v>
      </c>
      <c r="C818" s="1122">
        <f>C814</f>
        <v>10034</v>
      </c>
      <c r="D818" s="254">
        <v>0</v>
      </c>
      <c r="E818" s="1119"/>
      <c r="F818" s="1123"/>
      <c r="G818" s="1128">
        <f>G765</f>
        <v>0</v>
      </c>
      <c r="H818" s="1000" t="s">
        <v>364</v>
      </c>
      <c r="I818" s="306">
        <f>ROUND(G818/100*$C818*$G$797,0)</f>
        <v>0</v>
      </c>
      <c r="J818" s="306"/>
      <c r="K818" s="1128" t="str">
        <f>K765</f>
        <v xml:space="preserve"> </v>
      </c>
      <c r="L818" s="1000" t="s">
        <v>364</v>
      </c>
      <c r="M818" s="306">
        <f>ROUND(K818/100*$C818*$G$797,0)</f>
        <v>0</v>
      </c>
      <c r="N818" s="306"/>
      <c r="O818" s="1128" t="str">
        <f>O765</f>
        <v xml:space="preserve"> </v>
      </c>
      <c r="P818" s="1000" t="s">
        <v>364</v>
      </c>
      <c r="Q818" s="306">
        <f>ROUND(O818/100*$C818*$G$797,0)</f>
        <v>0</v>
      </c>
      <c r="R818" s="306"/>
      <c r="S818" s="1128">
        <f>S765</f>
        <v>0</v>
      </c>
      <c r="T818" s="1000" t="s">
        <v>364</v>
      </c>
      <c r="U818" s="306">
        <f>ROUND(S818/100*$C818*$G$797,0)</f>
        <v>0</v>
      </c>
      <c r="W818" s="784"/>
      <c r="Z818" s="1125"/>
      <c r="AA818" s="1125"/>
      <c r="AF818" s="1119"/>
      <c r="AG818" s="1119"/>
      <c r="AH818" s="1119"/>
      <c r="AI818" s="1119"/>
      <c r="AJ818" s="1119"/>
      <c r="AK818" s="1119"/>
      <c r="AL818" s="1119"/>
      <c r="AM818" s="1119"/>
      <c r="AN818" s="1119"/>
      <c r="AO818" s="1119"/>
      <c r="AP818" s="1119"/>
      <c r="AR818" s="1124"/>
    </row>
    <row r="819" spans="1:44">
      <c r="A819" s="1" t="s">
        <v>371</v>
      </c>
      <c r="B819" s="1"/>
      <c r="C819" s="304">
        <f>SUM(C794:C794)</f>
        <v>110142584.89494899</v>
      </c>
      <c r="D819" s="315"/>
      <c r="E819" s="308"/>
      <c r="F819" s="2">
        <f>SUM(F774:F817)</f>
        <v>9535124</v>
      </c>
      <c r="G819" s="315"/>
      <c r="H819" s="308"/>
      <c r="I819" s="2">
        <f ca="1">SUM(I774:I818)</f>
        <v>9699230</v>
      </c>
      <c r="J819" s="2"/>
      <c r="K819" s="315"/>
      <c r="L819" s="308"/>
      <c r="M819" s="2" t="e">
        <f ca="1">SUM(M774:M818)</f>
        <v>#REF!</v>
      </c>
      <c r="N819" s="2"/>
      <c r="O819" s="315"/>
      <c r="P819" s="308"/>
      <c r="Q819" s="2" t="e">
        <f ca="1">SUM(Q774:Q818)</f>
        <v>#DIV/0!</v>
      </c>
      <c r="R819" s="2"/>
      <c r="S819" s="315"/>
      <c r="T819" s="308"/>
      <c r="U819" s="2" t="e">
        <f ca="1">SUM(U774:U818)</f>
        <v>#DIV/0!</v>
      </c>
      <c r="V819" s="20"/>
      <c r="W819" s="74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4">
      <c r="A820" s="1" t="s">
        <v>353</v>
      </c>
      <c r="B820" s="1"/>
      <c r="C820" s="334">
        <f ca="1">'Table 2'!H101</f>
        <v>1885731.2072950637</v>
      </c>
      <c r="D820" s="294"/>
      <c r="E820" s="294"/>
      <c r="F820" s="295">
        <f ca="1">'Table 3'!E101</f>
        <v>142267.21150160185</v>
      </c>
      <c r="G820" s="294"/>
      <c r="H820" s="294"/>
      <c r="I820" s="295">
        <f ca="1">F820</f>
        <v>142267.21150160185</v>
      </c>
      <c r="J820" s="51"/>
      <c r="K820" s="294"/>
      <c r="L820" s="294"/>
      <c r="M820" s="295" t="e">
        <f ca="1">$I$820*V876/($V$876+$W$876+$X$876)</f>
        <v>#DIV/0!</v>
      </c>
      <c r="N820" s="51"/>
      <c r="O820" s="294"/>
      <c r="P820" s="294"/>
      <c r="Q820" s="295" t="e">
        <f ca="1">$I$820*W876/($V$876+$W$876+$X$876)</f>
        <v>#DIV/0!</v>
      </c>
      <c r="R820" s="51"/>
      <c r="S820" s="294"/>
      <c r="T820" s="294"/>
      <c r="U820" s="295" t="e">
        <f ca="1">$I$820*X876/($V$876+$W$876+$X$876)</f>
        <v>#DIV/0!</v>
      </c>
      <c r="V820" s="429"/>
      <c r="W820" s="272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4" ht="16.5" thickBot="1">
      <c r="A821" s="1" t="s">
        <v>372</v>
      </c>
      <c r="B821" s="1"/>
      <c r="C821" s="351">
        <f ca="1">SUM(C819:C820)</f>
        <v>112028316.10224405</v>
      </c>
      <c r="D821" s="327"/>
      <c r="E821" s="330"/>
      <c r="F821" s="329">
        <f ca="1">F819+F820</f>
        <v>9677391.2115016021</v>
      </c>
      <c r="G821" s="327"/>
      <c r="H821" s="330"/>
      <c r="I821" s="329">
        <f ca="1">I819+I820</f>
        <v>9841497.2115016021</v>
      </c>
      <c r="J821" s="307"/>
      <c r="K821" s="327"/>
      <c r="L821" s="330"/>
      <c r="M821" s="329" t="e">
        <f ca="1">M819+M820</f>
        <v>#REF!</v>
      </c>
      <c r="N821" s="329"/>
      <c r="O821" s="327"/>
      <c r="P821" s="330"/>
      <c r="Q821" s="329" t="e">
        <f ca="1">Q819+Q820</f>
        <v>#DIV/0!</v>
      </c>
      <c r="R821" s="329"/>
      <c r="S821" s="327"/>
      <c r="T821" s="330"/>
      <c r="U821" s="329" t="e">
        <f ca="1">U819+U820</f>
        <v>#DIV/0!</v>
      </c>
      <c r="V821" s="396"/>
      <c r="W821" s="455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4" ht="16.5" thickTop="1">
      <c r="A822" s="1"/>
      <c r="B822" s="1"/>
      <c r="C822" s="26"/>
      <c r="D822" s="336" t="s">
        <v>31</v>
      </c>
      <c r="E822" s="23"/>
      <c r="F822" s="307"/>
      <c r="G822" s="371" t="s">
        <v>31</v>
      </c>
      <c r="H822" s="23"/>
      <c r="I822" s="257" t="s">
        <v>31</v>
      </c>
      <c r="J822" s="257"/>
      <c r="K822" s="371" t="s">
        <v>31</v>
      </c>
      <c r="L822" s="23"/>
      <c r="M822" s="257" t="s">
        <v>31</v>
      </c>
      <c r="N822" s="257"/>
      <c r="O822" s="371" t="s">
        <v>31</v>
      </c>
      <c r="P822" s="23"/>
      <c r="Q822" s="257" t="s">
        <v>31</v>
      </c>
      <c r="R822" s="257"/>
      <c r="S822" s="371" t="s">
        <v>31</v>
      </c>
      <c r="T822" s="23"/>
      <c r="U822" s="257" t="s">
        <v>31</v>
      </c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4">
      <c r="A823" s="278" t="s">
        <v>457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4">
      <c r="A824" s="294" t="s">
        <v>458</v>
      </c>
      <c r="B824" s="1"/>
      <c r="C824" s="21"/>
      <c r="D824" s="322"/>
      <c r="E824" s="1"/>
      <c r="F824" s="2"/>
      <c r="G824" s="322"/>
      <c r="H824" s="1"/>
      <c r="I824" s="2"/>
      <c r="J824" s="2"/>
      <c r="K824" s="322"/>
      <c r="L824" s="1"/>
      <c r="M824" s="2"/>
      <c r="N824" s="2"/>
      <c r="O824" s="322"/>
      <c r="P824" s="1"/>
      <c r="Q824" s="2"/>
      <c r="R824" s="2"/>
      <c r="S824" s="322"/>
      <c r="T824" s="1"/>
      <c r="U824" s="2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4">
      <c r="A825" s="308"/>
      <c r="B825" s="1"/>
      <c r="C825" s="21"/>
      <c r="D825" s="322"/>
      <c r="E825" s="1"/>
      <c r="F825" s="365"/>
      <c r="G825" s="322"/>
      <c r="H825" s="1"/>
      <c r="I825" s="366"/>
      <c r="J825" s="366"/>
      <c r="K825" s="322"/>
      <c r="L825" s="1"/>
      <c r="M825" s="366"/>
      <c r="N825" s="366"/>
      <c r="O825" s="322"/>
      <c r="P825" s="1"/>
      <c r="Q825" s="366"/>
      <c r="R825" s="366"/>
      <c r="S825" s="322"/>
      <c r="T825" s="1"/>
      <c r="U825" s="366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4">
      <c r="A826" s="294" t="s">
        <v>439</v>
      </c>
      <c r="B826" s="1"/>
      <c r="C826" s="304"/>
      <c r="D826" s="2" t="s">
        <v>31</v>
      </c>
      <c r="E826" s="1"/>
      <c r="F826" s="1"/>
      <c r="G826" s="2" t="s">
        <v>31</v>
      </c>
      <c r="H826" s="1"/>
      <c r="I826" s="1"/>
      <c r="J826" s="1"/>
      <c r="K826" s="2" t="s">
        <v>31</v>
      </c>
      <c r="L826" s="1"/>
      <c r="M826" s="1"/>
      <c r="N826" s="1"/>
      <c r="O826" s="2" t="s">
        <v>31</v>
      </c>
      <c r="P826" s="1"/>
      <c r="Q826" s="1"/>
      <c r="R826" s="1"/>
      <c r="S826" s="2" t="s">
        <v>31</v>
      </c>
      <c r="T826" s="1"/>
      <c r="U826" s="1"/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4">
      <c r="A827" s="294" t="s">
        <v>440</v>
      </c>
      <c r="B827" s="1"/>
      <c r="C827" s="304">
        <v>434.48258292673</v>
      </c>
      <c r="D827" s="322">
        <v>0</v>
      </c>
      <c r="E827" s="309"/>
      <c r="F827" s="306">
        <f>ROUND(D827*C827,0)</f>
        <v>0</v>
      </c>
      <c r="G827" s="322">
        <f>$G$720</f>
        <v>0</v>
      </c>
      <c r="H827" s="309"/>
      <c r="I827" s="306">
        <f>ROUND(G827*$C827,0)</f>
        <v>0</v>
      </c>
      <c r="J827" s="306"/>
      <c r="K827" s="322">
        <f>$K$720</f>
        <v>0</v>
      </c>
      <c r="L827" s="309"/>
      <c r="M827" s="306">
        <f>ROUND(K827*$C827,0)</f>
        <v>0</v>
      </c>
      <c r="N827" s="306"/>
      <c r="O827" s="322" t="str">
        <f>$O$720</f>
        <v xml:space="preserve"> </v>
      </c>
      <c r="P827" s="309"/>
      <c r="Q827" s="306">
        <f>ROUND(O827*$C827,0)</f>
        <v>0</v>
      </c>
      <c r="R827" s="306"/>
      <c r="S827" s="322" t="str">
        <f>$S$720</f>
        <v xml:space="preserve"> </v>
      </c>
      <c r="T827" s="309"/>
      <c r="U827" s="306">
        <f>ROUND(S827*$C827,0)</f>
        <v>0</v>
      </c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4">
      <c r="A828" s="294" t="s">
        <v>441</v>
      </c>
      <c r="B828" s="1"/>
      <c r="C828" s="304"/>
      <c r="D828" s="322"/>
      <c r="E828" s="309"/>
      <c r="F828" s="306"/>
      <c r="G828" s="322"/>
      <c r="H828" s="309"/>
      <c r="I828" s="306"/>
      <c r="J828" s="306"/>
      <c r="K828" s="322"/>
      <c r="L828" s="309"/>
      <c r="M828" s="306"/>
      <c r="N828" s="306"/>
      <c r="O828" s="322"/>
      <c r="P828" s="309"/>
      <c r="Q828" s="306"/>
      <c r="R828" s="306"/>
      <c r="S828" s="322"/>
      <c r="T828" s="309"/>
      <c r="U828" s="306"/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4">
      <c r="A829" s="294" t="s">
        <v>442</v>
      </c>
      <c r="B829" s="1"/>
      <c r="C829" s="304">
        <v>1120.6084940984899</v>
      </c>
      <c r="D829" s="322">
        <v>0</v>
      </c>
      <c r="E829" s="309"/>
      <c r="F829" s="306">
        <f>ROUND(D829*C829,0)</f>
        <v>0</v>
      </c>
      <c r="G829" s="322">
        <f>$G$722</f>
        <v>0</v>
      </c>
      <c r="H829" s="309"/>
      <c r="I829" s="306">
        <f>ROUND(G829*$C829,0)</f>
        <v>0</v>
      </c>
      <c r="J829" s="306"/>
      <c r="K829" s="322">
        <f>$K$722</f>
        <v>0</v>
      </c>
      <c r="L829" s="309"/>
      <c r="M829" s="306">
        <f>ROUND(K829*$C829,0)</f>
        <v>0</v>
      </c>
      <c r="N829" s="306"/>
      <c r="O829" s="322" t="str">
        <f>$O$722</f>
        <v xml:space="preserve"> </v>
      </c>
      <c r="P829" s="309"/>
      <c r="Q829" s="306">
        <f>ROUND(O829*$C829,0)</f>
        <v>0</v>
      </c>
      <c r="R829" s="306"/>
      <c r="S829" s="322" t="str">
        <f>$S$722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4">
      <c r="A830" s="294" t="s">
        <v>443</v>
      </c>
      <c r="B830" s="1"/>
      <c r="C830" s="304">
        <v>116.7917084633</v>
      </c>
      <c r="D830" s="322">
        <v>362</v>
      </c>
      <c r="E830" s="309"/>
      <c r="F830" s="306">
        <f>ROUND(D830*C830,0)</f>
        <v>42279</v>
      </c>
      <c r="G830" s="322">
        <f ca="1">$G$723</f>
        <v>370</v>
      </c>
      <c r="H830" s="309"/>
      <c r="I830" s="306">
        <f ca="1">ROUND(G830*$C830,0)</f>
        <v>43213</v>
      </c>
      <c r="J830" s="306"/>
      <c r="K830" s="322">
        <f ca="1">$K$723</f>
        <v>370</v>
      </c>
      <c r="L830" s="309"/>
      <c r="M830" s="306">
        <f ca="1">ROUND(K830*$C830,0)</f>
        <v>43213</v>
      </c>
      <c r="N830" s="306"/>
      <c r="O830" s="322" t="str">
        <f>$O$723</f>
        <v xml:space="preserve"> </v>
      </c>
      <c r="P830" s="309"/>
      <c r="Q830" s="306">
        <f>ROUND(O830*$C830,0)</f>
        <v>0</v>
      </c>
      <c r="R830" s="306"/>
      <c r="S830" s="322" t="str">
        <f>$S$723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4">
      <c r="A831" s="294" t="s">
        <v>444</v>
      </c>
      <c r="B831" s="1"/>
      <c r="C831" s="304">
        <v>2.3342464038064201</v>
      </c>
      <c r="D831" s="322">
        <v>1479</v>
      </c>
      <c r="E831" s="309"/>
      <c r="F831" s="306">
        <f>ROUND(D831*C831,0)</f>
        <v>3452</v>
      </c>
      <c r="G831" s="322">
        <f ca="1">$G$724</f>
        <v>1504</v>
      </c>
      <c r="H831" s="309"/>
      <c r="I831" s="306">
        <f ca="1">ROUND(G831*$C831,0)</f>
        <v>3511</v>
      </c>
      <c r="J831" s="306"/>
      <c r="K831" s="322">
        <f ca="1">$K$724</f>
        <v>1504</v>
      </c>
      <c r="L831" s="309"/>
      <c r="M831" s="306">
        <f ca="1">ROUND(K831*$C831,0)</f>
        <v>3511</v>
      </c>
      <c r="N831" s="306"/>
      <c r="O831" s="322" t="str">
        <f>$O$724</f>
        <v xml:space="preserve"> </v>
      </c>
      <c r="P831" s="309"/>
      <c r="Q831" s="306">
        <f>ROUND(O831*$C831,0)</f>
        <v>0</v>
      </c>
      <c r="R831" s="306"/>
      <c r="S831" s="322" t="str">
        <f>$S$724</f>
        <v xml:space="preserve"> </v>
      </c>
      <c r="T831" s="309"/>
      <c r="U831" s="306">
        <f>ROUND(S831*$C831,0)</f>
        <v>0</v>
      </c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4">
      <c r="A832" s="294" t="s">
        <v>352</v>
      </c>
      <c r="B832" s="1"/>
      <c r="C832" s="304">
        <f>SUM(C827:C831)</f>
        <v>1674.2170318923263</v>
      </c>
      <c r="D832" s="322"/>
      <c r="E832" s="309"/>
      <c r="F832" s="306"/>
      <c r="G832" s="322"/>
      <c r="H832" s="309"/>
      <c r="I832" s="306"/>
      <c r="J832" s="306"/>
      <c r="K832" s="322"/>
      <c r="L832" s="309"/>
      <c r="M832" s="306"/>
      <c r="N832" s="306"/>
      <c r="O832" s="322"/>
      <c r="P832" s="309"/>
      <c r="Q832" s="306"/>
      <c r="R832" s="306"/>
      <c r="S832" s="322"/>
      <c r="T832" s="309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2">
      <c r="A833" s="294" t="s">
        <v>445</v>
      </c>
      <c r="B833" s="1"/>
      <c r="C833" s="304">
        <v>12986.161111111121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2">
      <c r="A834" s="294" t="s">
        <v>104</v>
      </c>
      <c r="B834" s="1"/>
      <c r="C834" s="304">
        <v>2055</v>
      </c>
      <c r="D834" s="322"/>
      <c r="E834" s="306"/>
      <c r="F834" s="306"/>
      <c r="G834" s="322"/>
      <c r="H834" s="306"/>
      <c r="I834" s="306"/>
      <c r="J834" s="306"/>
      <c r="K834" s="322"/>
      <c r="L834" s="306"/>
      <c r="M834" s="306"/>
      <c r="N834" s="306"/>
      <c r="O834" s="322"/>
      <c r="P834" s="306"/>
      <c r="Q834" s="306"/>
      <c r="R834" s="306"/>
      <c r="S834" s="322"/>
      <c r="T834" s="306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2">
      <c r="A835" s="294" t="s">
        <v>446</v>
      </c>
      <c r="B835" s="1"/>
      <c r="C835" s="304"/>
      <c r="D835" s="322"/>
      <c r="E835" s="309"/>
      <c r="F835" s="306"/>
      <c r="G835" s="322"/>
      <c r="H835" s="309"/>
      <c r="I835" s="306"/>
      <c r="J835" s="306"/>
      <c r="K835" s="322"/>
      <c r="L835" s="309"/>
      <c r="M835" s="306"/>
      <c r="N835" s="306"/>
      <c r="O835" s="322"/>
      <c r="P835" s="309"/>
      <c r="Q835" s="306"/>
      <c r="R835" s="306"/>
      <c r="S835" s="322"/>
      <c r="T835" s="309"/>
      <c r="U835" s="306"/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2">
      <c r="A836" s="294" t="s">
        <v>447</v>
      </c>
      <c r="B836" s="1"/>
      <c r="C836" s="304">
        <v>1124.0429012132199</v>
      </c>
      <c r="D836" s="322">
        <v>25.64</v>
      </c>
      <c r="E836" s="309"/>
      <c r="F836" s="306">
        <f>ROUND(D836*C836,0)</f>
        <v>28820</v>
      </c>
      <c r="G836" s="322">
        <f ca="1">$G$729</f>
        <v>26.02</v>
      </c>
      <c r="H836" s="309"/>
      <c r="I836" s="306">
        <f ca="1">ROUND(G836*$C836,0)</f>
        <v>29248</v>
      </c>
      <c r="J836" s="306"/>
      <c r="K836" s="322">
        <f ca="1">$K$729</f>
        <v>26.02</v>
      </c>
      <c r="L836" s="309"/>
      <c r="M836" s="306">
        <f ca="1">ROUND(K836*$C836,0)</f>
        <v>29248</v>
      </c>
      <c r="N836" s="306"/>
      <c r="O836" s="322" t="str">
        <f>$O$729</f>
        <v xml:space="preserve"> </v>
      </c>
      <c r="P836" s="309"/>
      <c r="Q836" s="306">
        <f>ROUND(O836*$C836,0)</f>
        <v>0</v>
      </c>
      <c r="R836" s="306"/>
      <c r="S836" s="322" t="str">
        <f>$S$729</f>
        <v xml:space="preserve"> </v>
      </c>
      <c r="T836" s="309"/>
      <c r="U836" s="306">
        <f>ROUND(S836*$C836,0)</f>
        <v>0</v>
      </c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2">
      <c r="A837" s="294" t="s">
        <v>448</v>
      </c>
      <c r="B837" s="1"/>
      <c r="C837" s="304"/>
      <c r="D837" s="322"/>
      <c r="E837" s="309"/>
      <c r="F837" s="306"/>
      <c r="G837" s="322"/>
      <c r="H837" s="309"/>
      <c r="I837" s="306"/>
      <c r="J837" s="306"/>
      <c r="K837" s="322"/>
      <c r="L837" s="309"/>
      <c r="M837" s="306"/>
      <c r="N837" s="306"/>
      <c r="O837" s="322"/>
      <c r="P837" s="309"/>
      <c r="Q837" s="306"/>
      <c r="R837" s="306"/>
      <c r="S837" s="322"/>
      <c r="T837" s="309"/>
      <c r="U837" s="306"/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2">
      <c r="A838" s="294" t="s">
        <v>442</v>
      </c>
      <c r="B838" s="1"/>
      <c r="C838" s="304">
        <v>13343.474759320199</v>
      </c>
      <c r="D838" s="322">
        <v>25.54</v>
      </c>
      <c r="E838" s="309"/>
      <c r="F838" s="306">
        <f>ROUND(D838*C838,0)</f>
        <v>340792</v>
      </c>
      <c r="G838" s="322">
        <f ca="1">$G$731</f>
        <v>26.02</v>
      </c>
      <c r="H838" s="309"/>
      <c r="I838" s="306">
        <f ca="1">ROUND(G838*$C838,0)</f>
        <v>347197</v>
      </c>
      <c r="J838" s="306"/>
      <c r="K838" s="322">
        <f ca="1">$K$731</f>
        <v>26.02</v>
      </c>
      <c r="L838" s="309"/>
      <c r="M838" s="306">
        <f ca="1">ROUND(K838*$C838,0)</f>
        <v>347197</v>
      </c>
      <c r="N838" s="306"/>
      <c r="O838" s="322" t="str">
        <f>$O$731</f>
        <v xml:space="preserve"> </v>
      </c>
      <c r="P838" s="309"/>
      <c r="Q838" s="306">
        <f>ROUND(O838*$C838,0)</f>
        <v>0</v>
      </c>
      <c r="R838" s="306"/>
      <c r="S838" s="322" t="str">
        <f>$S$731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2">
      <c r="A839" s="294" t="s">
        <v>443</v>
      </c>
      <c r="B839" s="1"/>
      <c r="C839" s="304">
        <v>11633.663662691</v>
      </c>
      <c r="D839" s="322">
        <v>17.79</v>
      </c>
      <c r="E839" s="309"/>
      <c r="F839" s="306">
        <f>ROUND(D839*C839,0)</f>
        <v>206963</v>
      </c>
      <c r="G839" s="322">
        <f ca="1">$G$732</f>
        <v>18.101388370764003</v>
      </c>
      <c r="H839" s="309"/>
      <c r="I839" s="306">
        <f ca="1">ROUND(G839*$C839,0)</f>
        <v>210585</v>
      </c>
      <c r="J839" s="306"/>
      <c r="K839" s="322">
        <f ca="1">$K$732</f>
        <v>18.101388370764003</v>
      </c>
      <c r="L839" s="309"/>
      <c r="M839" s="306">
        <f ca="1">ROUND(K839*$C839,0)</f>
        <v>210585</v>
      </c>
      <c r="N839" s="306"/>
      <c r="O839" s="322" t="str">
        <f>$O$732</f>
        <v xml:space="preserve"> </v>
      </c>
      <c r="P839" s="309"/>
      <c r="Q839" s="306">
        <f>ROUND(O839*$C839,0)</f>
        <v>0</v>
      </c>
      <c r="R839" s="306"/>
      <c r="S839" s="322" t="str">
        <f>$S$732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2">
      <c r="A840" s="294" t="s">
        <v>444</v>
      </c>
      <c r="B840" s="1"/>
      <c r="C840" s="304">
        <v>854.37523643290297</v>
      </c>
      <c r="D840" s="322">
        <v>13.92</v>
      </c>
      <c r="E840" s="309"/>
      <c r="F840" s="306">
        <f>ROUND(D840*C840,0)</f>
        <v>11893</v>
      </c>
      <c r="G840" s="322">
        <f ca="1">$G$733</f>
        <v>14.155824964645021</v>
      </c>
      <c r="H840" s="309"/>
      <c r="I840" s="306">
        <f ca="1">ROUND(G840*$C840,0)</f>
        <v>12094</v>
      </c>
      <c r="J840" s="306"/>
      <c r="K840" s="322">
        <f ca="1">$K$733</f>
        <v>14.155824964645021</v>
      </c>
      <c r="L840" s="309"/>
      <c r="M840" s="306">
        <f ca="1">ROUND(K840*$C840,0)</f>
        <v>12094</v>
      </c>
      <c r="N840" s="306"/>
      <c r="O840" s="322" t="str">
        <f>$O$733</f>
        <v xml:space="preserve"> </v>
      </c>
      <c r="P840" s="309"/>
      <c r="Q840" s="306">
        <f>ROUND(O840*$C840,0)</f>
        <v>0</v>
      </c>
      <c r="R840" s="306"/>
      <c r="S840" s="322" t="str">
        <f>$S$733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2">
      <c r="A841" s="294" t="s">
        <v>450</v>
      </c>
      <c r="B841" s="1"/>
      <c r="C841" s="304">
        <v>272.36067141268398</v>
      </c>
      <c r="D841" s="322">
        <v>76.930000000000007</v>
      </c>
      <c r="E841" s="309"/>
      <c r="F841" s="306">
        <f>ROUND(D841*C841,0)</f>
        <v>20953</v>
      </c>
      <c r="G841" s="322">
        <f ca="1">$G$734</f>
        <v>78.06</v>
      </c>
      <c r="H841" s="309"/>
      <c r="I841" s="306">
        <f ca="1">ROUND(G841*$C841,0)</f>
        <v>21260</v>
      </c>
      <c r="J841" s="306"/>
      <c r="K841" s="322">
        <f ca="1">$K$734</f>
        <v>78.06</v>
      </c>
      <c r="L841" s="309"/>
      <c r="M841" s="306">
        <f ca="1">ROUND(K841*$C841,0)</f>
        <v>21260</v>
      </c>
      <c r="N841" s="306"/>
      <c r="O841" s="322" t="str">
        <f>$O$734</f>
        <v xml:space="preserve"> </v>
      </c>
      <c r="P841" s="309"/>
      <c r="Q841" s="306">
        <f>ROUND(O841*$C841,0)</f>
        <v>0</v>
      </c>
      <c r="R841" s="306"/>
      <c r="S841" s="322" t="str">
        <f>$S$734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2">
      <c r="A842" s="294" t="s">
        <v>451</v>
      </c>
      <c r="B842" s="1"/>
      <c r="C842" s="304">
        <v>388.32518925146098</v>
      </c>
      <c r="D842" s="322">
        <v>153.22</v>
      </c>
      <c r="E842" s="309"/>
      <c r="F842" s="306">
        <f>ROUND(D842*C842,0)</f>
        <v>59499</v>
      </c>
      <c r="G842" s="322">
        <f ca="1">$G$735</f>
        <v>156.12</v>
      </c>
      <c r="H842" s="309"/>
      <c r="I842" s="306">
        <f ca="1">ROUND(G842*$C842,0)</f>
        <v>60625</v>
      </c>
      <c r="J842" s="306"/>
      <c r="K842" s="322">
        <f ca="1">$K$735</f>
        <v>156.12</v>
      </c>
      <c r="L842" s="309"/>
      <c r="M842" s="306">
        <f ca="1">ROUND(K842*$C842,0)</f>
        <v>60625</v>
      </c>
      <c r="N842" s="306"/>
      <c r="O842" s="322" t="str">
        <f>$O$735</f>
        <v xml:space="preserve"> </v>
      </c>
      <c r="P842" s="309"/>
      <c r="Q842" s="306">
        <f>ROUND(O842*$C842,0)</f>
        <v>0</v>
      </c>
      <c r="R842" s="306"/>
      <c r="S842" s="322" t="str">
        <f>$S$735</f>
        <v xml:space="preserve"> </v>
      </c>
      <c r="T842" s="309"/>
      <c r="U842" s="306">
        <f>ROUND(S842*$C842,0)</f>
        <v>0</v>
      </c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2">
      <c r="A843" s="294" t="s">
        <v>452</v>
      </c>
      <c r="B843" s="1"/>
      <c r="C843" s="304"/>
      <c r="D843" s="322"/>
      <c r="E843" s="309"/>
      <c r="F843" s="306"/>
      <c r="G843" s="322"/>
      <c r="H843" s="309"/>
      <c r="I843" s="306"/>
      <c r="J843" s="306"/>
      <c r="K843" s="322"/>
      <c r="L843" s="309"/>
      <c r="M843" s="306"/>
      <c r="N843" s="306"/>
      <c r="O843" s="322"/>
      <c r="P843" s="309"/>
      <c r="Q843" s="306"/>
      <c r="R843" s="306"/>
      <c r="S843" s="322"/>
      <c r="T843" s="309"/>
      <c r="U843" s="306"/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2">
      <c r="A844" s="294" t="s">
        <v>447</v>
      </c>
      <c r="B844" s="1"/>
      <c r="C844" s="304">
        <v>26.1506861099434</v>
      </c>
      <c r="D844" s="348">
        <v>-25.64</v>
      </c>
      <c r="E844" s="309"/>
      <c r="F844" s="306">
        <f>ROUND(D844*C844,0)</f>
        <v>-671</v>
      </c>
      <c r="G844" s="348">
        <f ca="1">-G836</f>
        <v>-26.02</v>
      </c>
      <c r="H844" s="309"/>
      <c r="I844" s="306">
        <f ca="1">ROUND(G844*$C844,0)</f>
        <v>-680</v>
      </c>
      <c r="J844" s="306"/>
      <c r="K844" s="348">
        <f ca="1">-K836</f>
        <v>-26.02</v>
      </c>
      <c r="L844" s="309"/>
      <c r="M844" s="306">
        <f ca="1">ROUND(K844*$C844,0)</f>
        <v>-680</v>
      </c>
      <c r="N844" s="306"/>
      <c r="O844" s="348">
        <f>-O836</f>
        <v>0</v>
      </c>
      <c r="P844" s="309"/>
      <c r="Q844" s="306">
        <f>ROUND(O844*$C844,0)</f>
        <v>0</v>
      </c>
      <c r="R844" s="306"/>
      <c r="S844" s="348">
        <f>-S836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2">
      <c r="A845" s="294" t="s">
        <v>453</v>
      </c>
      <c r="B845" s="1"/>
      <c r="C845" s="304">
        <v>193.01451727485201</v>
      </c>
      <c r="D845" s="348">
        <v>-25.54</v>
      </c>
      <c r="E845" s="309"/>
      <c r="F845" s="306">
        <f>ROUND(D845*C845,0)</f>
        <v>-4930</v>
      </c>
      <c r="G845" s="348">
        <f ca="1">-G838</f>
        <v>-26.02</v>
      </c>
      <c r="H845" s="309"/>
      <c r="I845" s="306">
        <f ca="1">ROUND(G845*$C845,0)</f>
        <v>-5022</v>
      </c>
      <c r="J845" s="306"/>
      <c r="K845" s="348">
        <f ca="1">-K838</f>
        <v>-26.02</v>
      </c>
      <c r="L845" s="309"/>
      <c r="M845" s="306">
        <f ca="1">ROUND(K845*$C845,0)</f>
        <v>-5022</v>
      </c>
      <c r="N845" s="306"/>
      <c r="O845" s="348">
        <f>-O838</f>
        <v>0</v>
      </c>
      <c r="P845" s="309"/>
      <c r="Q845" s="306">
        <f>ROUND(O845*$C845,0)</f>
        <v>0</v>
      </c>
      <c r="R845" s="306"/>
      <c r="S845" s="348">
        <f>-S838</f>
        <v>0</v>
      </c>
      <c r="T845" s="309"/>
      <c r="U845" s="306">
        <f>ROUND(S845*$C845,0)</f>
        <v>0</v>
      </c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2">
      <c r="A846" s="308" t="s">
        <v>416</v>
      </c>
      <c r="B846" s="1"/>
      <c r="C846" s="304"/>
      <c r="D846" s="322"/>
      <c r="E846" s="306"/>
      <c r="F846" s="306"/>
      <c r="G846" s="322"/>
      <c r="H846" s="306"/>
      <c r="I846" s="306"/>
      <c r="J846" s="306"/>
      <c r="K846" s="322"/>
      <c r="L846" s="306"/>
      <c r="M846" s="306"/>
      <c r="N846" s="306"/>
      <c r="O846" s="322"/>
      <c r="P846" s="306"/>
      <c r="Q846" s="306"/>
      <c r="R846" s="306"/>
      <c r="S846" s="322"/>
      <c r="T846" s="306"/>
      <c r="U846" s="306"/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2">
      <c r="A847" s="294" t="s">
        <v>454</v>
      </c>
      <c r="B847" s="1"/>
      <c r="C847" s="304">
        <v>48181287</v>
      </c>
      <c r="D847" s="367">
        <v>6.9180000000000001</v>
      </c>
      <c r="E847" s="306" t="s">
        <v>364</v>
      </c>
      <c r="F847" s="306">
        <f>ROUND(D847/100*C847,0)</f>
        <v>3333181</v>
      </c>
      <c r="G847" s="367">
        <f ca="1">$G$740</f>
        <v>7.0350000000000001</v>
      </c>
      <c r="H847" s="306" t="s">
        <v>364</v>
      </c>
      <c r="I847" s="306">
        <f ca="1">ROUND(G847/100*$C847,0)</f>
        <v>3389554</v>
      </c>
      <c r="J847" s="306"/>
      <c r="K847" s="367" t="e">
        <f ca="1">$K$740</f>
        <v>#REF!</v>
      </c>
      <c r="L847" s="306" t="s">
        <v>364</v>
      </c>
      <c r="M847" s="306" t="e">
        <f ca="1">ROUND(K847/100*$C847,0)</f>
        <v>#REF!</v>
      </c>
      <c r="N847" s="306"/>
      <c r="O847" s="367" t="e">
        <f ca="1">$O$740</f>
        <v>#DIV/0!</v>
      </c>
      <c r="P847" s="306" t="s">
        <v>364</v>
      </c>
      <c r="Q847" s="306" t="e">
        <f ca="1">ROUND(O847/100*$C847,0)</f>
        <v>#DIV/0!</v>
      </c>
      <c r="R847" s="306"/>
      <c r="S847" s="367" t="e">
        <f ca="1">$S$740</f>
        <v>#DIV/0!</v>
      </c>
      <c r="T847" s="306" t="s">
        <v>364</v>
      </c>
      <c r="U847" s="306" t="e">
        <f ca="1">ROUND(S847/100*$C847,0)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2">
      <c r="A848" s="308" t="s">
        <v>390</v>
      </c>
      <c r="B848" s="1"/>
      <c r="C848" s="304">
        <v>16797</v>
      </c>
      <c r="D848" s="324">
        <v>56</v>
      </c>
      <c r="E848" s="308" t="s">
        <v>364</v>
      </c>
      <c r="F848" s="306">
        <f>ROUND(D848*C848/100,0)</f>
        <v>9406</v>
      </c>
      <c r="G848" s="324">
        <f ca="1">$G$741</f>
        <v>57</v>
      </c>
      <c r="H848" s="308" t="s">
        <v>364</v>
      </c>
      <c r="I848" s="306">
        <f ca="1">ROUND(G848*$C848/100,0)</f>
        <v>9574</v>
      </c>
      <c r="J848" s="306"/>
      <c r="K848" s="324" t="str">
        <f>$K$741</f>
        <v xml:space="preserve"> </v>
      </c>
      <c r="L848" s="308" t="s">
        <v>364</v>
      </c>
      <c r="M848" s="306">
        <f>ROUND(K848*$C848/100,0)</f>
        <v>0</v>
      </c>
      <c r="N848" s="306"/>
      <c r="O848" s="324" t="e">
        <f ca="1">$O$741</f>
        <v>#DIV/0!</v>
      </c>
      <c r="P848" s="308" t="s">
        <v>364</v>
      </c>
      <c r="Q848" s="306" t="e">
        <f ca="1">ROUND(O848*$C848/100,0)</f>
        <v>#DIV/0!</v>
      </c>
      <c r="R848" s="306"/>
      <c r="S848" s="324" t="e">
        <f ca="1">$S$741</f>
        <v>#DIV/0!</v>
      </c>
      <c r="T848" s="308" t="s">
        <v>364</v>
      </c>
      <c r="U848" s="306" t="e">
        <f ca="1">ROUND(S848*$C848/100,0)</f>
        <v>#DIV/0!</v>
      </c>
      <c r="V848" s="20"/>
      <c r="W848" s="74"/>
      <c r="X848" s="74"/>
      <c r="Y848" s="74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</row>
    <row r="849" spans="1:44" s="1118" customFormat="1" hidden="1">
      <c r="A849" s="968" t="s">
        <v>872</v>
      </c>
      <c r="C849" s="1122">
        <f>C847</f>
        <v>48181287</v>
      </c>
      <c r="D849" s="254">
        <v>0</v>
      </c>
      <c r="E849" s="1119"/>
      <c r="F849" s="1123"/>
      <c r="G849" s="1135">
        <f>G742</f>
        <v>0</v>
      </c>
      <c r="H849" s="1000" t="s">
        <v>364</v>
      </c>
      <c r="I849" s="1000">
        <f>ROUND(G849*$C849/100,0)</f>
        <v>0</v>
      </c>
      <c r="J849" s="1000"/>
      <c r="K849" s="1135" t="str">
        <f>K742</f>
        <v xml:space="preserve"> </v>
      </c>
      <c r="L849" s="1000" t="s">
        <v>364</v>
      </c>
      <c r="M849" s="1000">
        <f>ROUND(K849*$C849/100,0)</f>
        <v>0</v>
      </c>
      <c r="N849" s="1000"/>
      <c r="O849" s="1135" t="str">
        <f>O742</f>
        <v xml:space="preserve"> </v>
      </c>
      <c r="P849" s="1000" t="s">
        <v>364</v>
      </c>
      <c r="Q849" s="1000">
        <f>ROUND(O849*$C849/100,0)</f>
        <v>0</v>
      </c>
      <c r="R849" s="1000"/>
      <c r="S849" s="1135">
        <f>S742</f>
        <v>0</v>
      </c>
      <c r="T849" s="1000" t="s">
        <v>364</v>
      </c>
      <c r="U849" s="1000">
        <f>ROUND(S849*$C849/100,0)</f>
        <v>0</v>
      </c>
      <c r="W849" s="784"/>
      <c r="Z849" s="1125"/>
      <c r="AA849" s="1125"/>
      <c r="AF849" s="1119"/>
      <c r="AG849" s="1119"/>
      <c r="AH849" s="1119"/>
      <c r="AI849" s="1119"/>
      <c r="AJ849" s="1119"/>
      <c r="AK849" s="1119"/>
      <c r="AL849" s="1119"/>
      <c r="AM849" s="1119"/>
      <c r="AN849" s="1119"/>
      <c r="AO849" s="1119"/>
      <c r="AP849" s="1119"/>
      <c r="AR849" s="1124"/>
    </row>
    <row r="850" spans="1:44">
      <c r="A850" s="345" t="s">
        <v>391</v>
      </c>
      <c r="B850" s="1"/>
      <c r="C850" s="304"/>
      <c r="D850" s="317">
        <v>-0.01</v>
      </c>
      <c r="E850" s="1"/>
      <c r="F850" s="306"/>
      <c r="G850" s="317">
        <v>-0.01</v>
      </c>
      <c r="H850" s="1"/>
      <c r="I850" s="306"/>
      <c r="J850" s="306"/>
      <c r="K850" s="317">
        <v>-0.01</v>
      </c>
      <c r="L850" s="1"/>
      <c r="M850" s="306"/>
      <c r="N850" s="306"/>
      <c r="O850" s="317">
        <v>-0.01</v>
      </c>
      <c r="P850" s="1"/>
      <c r="Q850" s="306"/>
      <c r="R850" s="306"/>
      <c r="S850" s="317">
        <v>-0.01</v>
      </c>
      <c r="T850" s="1"/>
      <c r="U850" s="306"/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4">
      <c r="A851" s="294" t="s">
        <v>380</v>
      </c>
      <c r="B851" s="1"/>
      <c r="C851" s="304">
        <v>0</v>
      </c>
      <c r="D851" s="369">
        <v>0</v>
      </c>
      <c r="E851" s="309"/>
      <c r="F851" s="306">
        <f>ROUND(D851*C851,0)</f>
        <v>0</v>
      </c>
      <c r="G851" s="369">
        <f>G827</f>
        <v>0</v>
      </c>
      <c r="H851" s="309"/>
      <c r="I851" s="306">
        <f>ROUND(G851*$C851*$G$850,0)</f>
        <v>0</v>
      </c>
      <c r="J851" s="306"/>
      <c r="K851" s="369">
        <f>K827</f>
        <v>0</v>
      </c>
      <c r="L851" s="309"/>
      <c r="M851" s="306">
        <f>ROUND(K851*$C851*$G$850,0)</f>
        <v>0</v>
      </c>
      <c r="N851" s="306"/>
      <c r="O851" s="369" t="str">
        <f>O827</f>
        <v xml:space="preserve"> </v>
      </c>
      <c r="P851" s="309"/>
      <c r="Q851" s="306">
        <f>ROUND(O851*$C851*$G$850,0)</f>
        <v>0</v>
      </c>
      <c r="R851" s="306"/>
      <c r="S851" s="369" t="str">
        <f>S827</f>
        <v xml:space="preserve"> </v>
      </c>
      <c r="T851" s="309"/>
      <c r="U851" s="306">
        <f>ROUND(S851*$C851*$G$850,0)</f>
        <v>0</v>
      </c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4">
      <c r="A852" s="294" t="s">
        <v>381</v>
      </c>
      <c r="B852" s="1"/>
      <c r="C852" s="304"/>
      <c r="D852" s="369"/>
      <c r="E852" s="309"/>
      <c r="F852" s="306"/>
      <c r="G852" s="369"/>
      <c r="H852" s="309"/>
      <c r="I852" s="306"/>
      <c r="J852" s="306"/>
      <c r="K852" s="369"/>
      <c r="L852" s="309"/>
      <c r="M852" s="306"/>
      <c r="N852" s="306"/>
      <c r="O852" s="369"/>
      <c r="P852" s="309"/>
      <c r="Q852" s="306"/>
      <c r="R852" s="306"/>
      <c r="S852" s="369"/>
      <c r="T852" s="309"/>
      <c r="U852" s="306"/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4">
      <c r="A853" s="294" t="s">
        <v>442</v>
      </c>
      <c r="B853" s="1"/>
      <c r="C853" s="304">
        <v>0</v>
      </c>
      <c r="D853" s="369">
        <v>0</v>
      </c>
      <c r="E853" s="309"/>
      <c r="F853" s="306">
        <f>ROUND(D853*C853,0)</f>
        <v>0</v>
      </c>
      <c r="G853" s="369">
        <f>G829</f>
        <v>0</v>
      </c>
      <c r="H853" s="309"/>
      <c r="I853" s="306">
        <f>ROUND(G853*$C853*$G$850,0)</f>
        <v>0</v>
      </c>
      <c r="J853" s="306"/>
      <c r="K853" s="369">
        <f>K829</f>
        <v>0</v>
      </c>
      <c r="L853" s="309"/>
      <c r="M853" s="306">
        <f>ROUND(K853*$C853*$G$850,0)</f>
        <v>0</v>
      </c>
      <c r="N853" s="306"/>
      <c r="O853" s="369" t="str">
        <f>O829</f>
        <v xml:space="preserve"> </v>
      </c>
      <c r="P853" s="309"/>
      <c r="Q853" s="306">
        <f>ROUND(O853*$C853*$G$850,0)</f>
        <v>0</v>
      </c>
      <c r="R853" s="306"/>
      <c r="S853" s="369" t="str">
        <f>S829</f>
        <v xml:space="preserve"> </v>
      </c>
      <c r="T853" s="309"/>
      <c r="U853" s="306">
        <f>ROUND(S853*$C853*$G$850,0)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4">
      <c r="A854" s="294" t="s">
        <v>443</v>
      </c>
      <c r="B854" s="1"/>
      <c r="C854" s="304">
        <v>0</v>
      </c>
      <c r="D854" s="369">
        <v>362</v>
      </c>
      <c r="E854" s="309"/>
      <c r="F854" s="306">
        <f>ROUND(D854*C854,0)</f>
        <v>0</v>
      </c>
      <c r="G854" s="369">
        <f ca="1">G830</f>
        <v>370</v>
      </c>
      <c r="H854" s="309"/>
      <c r="I854" s="306">
        <f ca="1">ROUND(G854*$C854*$G$850,0)</f>
        <v>0</v>
      </c>
      <c r="J854" s="306"/>
      <c r="K854" s="369">
        <f ca="1">K830</f>
        <v>370</v>
      </c>
      <c r="L854" s="309"/>
      <c r="M854" s="306">
        <f ca="1">ROUND(K854*$C854*$G$850,0)</f>
        <v>0</v>
      </c>
      <c r="N854" s="306"/>
      <c r="O854" s="369" t="str">
        <f>O830</f>
        <v xml:space="preserve"> </v>
      </c>
      <c r="P854" s="309"/>
      <c r="Q854" s="306">
        <f>ROUND(O854*$C854*$G$850,0)</f>
        <v>0</v>
      </c>
      <c r="R854" s="306"/>
      <c r="S854" s="369" t="str">
        <f>S830</f>
        <v xml:space="preserve"> </v>
      </c>
      <c r="T854" s="309"/>
      <c r="U854" s="306">
        <f>ROUND(S854*$C854*$G$850,0)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4">
      <c r="A855" s="294" t="s">
        <v>444</v>
      </c>
      <c r="B855" s="1"/>
      <c r="C855" s="304">
        <v>0</v>
      </c>
      <c r="D855" s="369">
        <v>1479</v>
      </c>
      <c r="E855" s="309"/>
      <c r="F855" s="306">
        <f>ROUND(D855*C855,0)</f>
        <v>0</v>
      </c>
      <c r="G855" s="369">
        <f ca="1">G831</f>
        <v>1504</v>
      </c>
      <c r="H855" s="309"/>
      <c r="I855" s="306">
        <f ca="1">ROUND(G855*$C855*$G$850,0)</f>
        <v>0</v>
      </c>
      <c r="J855" s="306"/>
      <c r="K855" s="369">
        <f ca="1">K831</f>
        <v>1504</v>
      </c>
      <c r="L855" s="309"/>
      <c r="M855" s="306">
        <f ca="1">ROUND(K855*$C855*$G$850,0)</f>
        <v>0</v>
      </c>
      <c r="N855" s="306"/>
      <c r="O855" s="369" t="str">
        <f>O831</f>
        <v xml:space="preserve"> </v>
      </c>
      <c r="P855" s="309"/>
      <c r="Q855" s="306">
        <f>ROUND(O855*$C855*$G$850,0)</f>
        <v>0</v>
      </c>
      <c r="R855" s="306"/>
      <c r="S855" s="369" t="str">
        <f>S831</f>
        <v xml:space="preserve"> </v>
      </c>
      <c r="T855" s="309"/>
      <c r="U855" s="306">
        <f>ROUND(S855*$C855*$G$850,0)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4">
      <c r="A856" s="294" t="s">
        <v>380</v>
      </c>
      <c r="B856" s="1"/>
      <c r="C856" s="304">
        <v>0</v>
      </c>
      <c r="D856" s="369">
        <v>25.64</v>
      </c>
      <c r="E856" s="309"/>
      <c r="F856" s="306">
        <f>ROUND(D856*C856,0)</f>
        <v>0</v>
      </c>
      <c r="G856" s="369">
        <f ca="1">G836</f>
        <v>26.02</v>
      </c>
      <c r="H856" s="309"/>
      <c r="I856" s="306">
        <f ca="1">ROUND(G856*$C856*$G$850,0)</f>
        <v>0</v>
      </c>
      <c r="J856" s="306"/>
      <c r="K856" s="369">
        <f ca="1">K836</f>
        <v>26.02</v>
      </c>
      <c r="L856" s="309"/>
      <c r="M856" s="306">
        <f ca="1">ROUND(K856*$C856*$G$850,0)</f>
        <v>0</v>
      </c>
      <c r="N856" s="306"/>
      <c r="O856" s="369" t="str">
        <f>O836</f>
        <v xml:space="preserve"> </v>
      </c>
      <c r="P856" s="309"/>
      <c r="Q856" s="306">
        <f>ROUND(O856*$C856*$G$850,0)</f>
        <v>0</v>
      </c>
      <c r="R856" s="306"/>
      <c r="S856" s="369" t="str">
        <f>S836</f>
        <v xml:space="preserve"> </v>
      </c>
      <c r="T856" s="309"/>
      <c r="U856" s="306">
        <f>ROUND(S856*$C856*$G$850,0)</f>
        <v>0</v>
      </c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4">
      <c r="A857" s="294" t="s">
        <v>381</v>
      </c>
      <c r="B857" s="1"/>
      <c r="C857" s="304"/>
      <c r="D857" s="369"/>
      <c r="E857" s="309"/>
      <c r="F857" s="306"/>
      <c r="G857" s="369"/>
      <c r="H857" s="309"/>
      <c r="I857" s="306"/>
      <c r="J857" s="306"/>
      <c r="K857" s="369"/>
      <c r="L857" s="309"/>
      <c r="M857" s="306"/>
      <c r="N857" s="306"/>
      <c r="O857" s="369"/>
      <c r="P857" s="309"/>
      <c r="Q857" s="306"/>
      <c r="R857" s="306"/>
      <c r="S857" s="369"/>
      <c r="T857" s="309"/>
      <c r="U857" s="306"/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4">
      <c r="A858" s="294" t="s">
        <v>442</v>
      </c>
      <c r="B858" s="1"/>
      <c r="C858" s="304">
        <v>0</v>
      </c>
      <c r="D858" s="369">
        <v>25.54</v>
      </c>
      <c r="E858" s="309"/>
      <c r="F858" s="306">
        <f>ROUND(D858*$C858*$D$744,0)</f>
        <v>0</v>
      </c>
      <c r="G858" s="369">
        <f ca="1">G838</f>
        <v>26.02</v>
      </c>
      <c r="H858" s="309"/>
      <c r="I858" s="306">
        <f ca="1">ROUND(G858*$C858*$G$850,0)</f>
        <v>0</v>
      </c>
      <c r="J858" s="306"/>
      <c r="K858" s="369">
        <f ca="1">K838</f>
        <v>26.02</v>
      </c>
      <c r="L858" s="309"/>
      <c r="M858" s="306">
        <f ca="1">ROUND(K858*$C858*$G$850,0)</f>
        <v>0</v>
      </c>
      <c r="N858" s="306"/>
      <c r="O858" s="369" t="str">
        <f>O838</f>
        <v xml:space="preserve"> </v>
      </c>
      <c r="P858" s="309"/>
      <c r="Q858" s="306">
        <f>ROUND(O858*$C858*$G$850,0)</f>
        <v>0</v>
      </c>
      <c r="R858" s="306"/>
      <c r="S858" s="369" t="str">
        <f>S838</f>
        <v xml:space="preserve"> </v>
      </c>
      <c r="T858" s="309"/>
      <c r="U858" s="306">
        <f>ROUND(S858*$C858*$G$850,0)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4">
      <c r="A859" s="294" t="s">
        <v>443</v>
      </c>
      <c r="B859" s="1"/>
      <c r="C859" s="304">
        <v>0</v>
      </c>
      <c r="D859" s="369">
        <v>17.79</v>
      </c>
      <c r="E859" s="309"/>
      <c r="F859" s="306">
        <f>ROUND(D859*$C859*$D$744,0)</f>
        <v>0</v>
      </c>
      <c r="G859" s="369">
        <f ca="1">G839</f>
        <v>18.101388370764003</v>
      </c>
      <c r="H859" s="309"/>
      <c r="I859" s="306">
        <f ca="1">ROUND(G859*$C859*$G$850,0)</f>
        <v>0</v>
      </c>
      <c r="J859" s="306"/>
      <c r="K859" s="369">
        <f ca="1">K839</f>
        <v>18.101388370764003</v>
      </c>
      <c r="L859" s="309"/>
      <c r="M859" s="306">
        <f ca="1">ROUND(K859*$C859*$G$850,0)</f>
        <v>0</v>
      </c>
      <c r="N859" s="306"/>
      <c r="O859" s="369" t="str">
        <f>O839</f>
        <v xml:space="preserve"> </v>
      </c>
      <c r="P859" s="309"/>
      <c r="Q859" s="306">
        <f>ROUND(O859*$C859*$G$850,0)</f>
        <v>0</v>
      </c>
      <c r="R859" s="306"/>
      <c r="S859" s="369" t="str">
        <f>S839</f>
        <v xml:space="preserve"> </v>
      </c>
      <c r="T859" s="309"/>
      <c r="U859" s="306">
        <f>ROUND(S859*$C859*$G$850,0)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4">
      <c r="A860" s="294" t="s">
        <v>444</v>
      </c>
      <c r="B860" s="1"/>
      <c r="C860" s="304">
        <v>0</v>
      </c>
      <c r="D860" s="369">
        <v>13.92</v>
      </c>
      <c r="E860" s="309"/>
      <c r="F860" s="306">
        <f>ROUND(D860*$C860*$D$744,0)</f>
        <v>0</v>
      </c>
      <c r="G860" s="369">
        <f ca="1">G840</f>
        <v>14.155824964645021</v>
      </c>
      <c r="H860" s="309"/>
      <c r="I860" s="306">
        <f ca="1">ROUND(G860*$C860*$G$850,0)</f>
        <v>0</v>
      </c>
      <c r="J860" s="306"/>
      <c r="K860" s="369">
        <f ca="1">K840</f>
        <v>14.155824964645021</v>
      </c>
      <c r="L860" s="309"/>
      <c r="M860" s="306">
        <f ca="1">ROUND(K860*$C860*$G$850,0)</f>
        <v>0</v>
      </c>
      <c r="N860" s="306"/>
      <c r="O860" s="369" t="str">
        <f>O840</f>
        <v xml:space="preserve"> </v>
      </c>
      <c r="P860" s="309"/>
      <c r="Q860" s="306">
        <f>ROUND(O860*$C860*$G$850,0)</f>
        <v>0</v>
      </c>
      <c r="R860" s="306"/>
      <c r="S860" s="369" t="str">
        <f>S840</f>
        <v xml:space="preserve"> </v>
      </c>
      <c r="T860" s="309"/>
      <c r="U860" s="306">
        <f>ROUND(S860*$C860*$G$850,0)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4">
      <c r="A861" s="294" t="s">
        <v>455</v>
      </c>
      <c r="B861" s="1"/>
      <c r="C861" s="304">
        <v>0</v>
      </c>
      <c r="D861" s="338">
        <v>76.930000000000007</v>
      </c>
      <c r="E861" s="309"/>
      <c r="F861" s="306">
        <f>ROUND(D861*$C861*$D$744,0)</f>
        <v>0</v>
      </c>
      <c r="G861" s="338">
        <f ca="1">G841</f>
        <v>78.06</v>
      </c>
      <c r="H861" s="309"/>
      <c r="I861" s="306">
        <f ca="1">ROUND(G861*$C861*$G$850,0)</f>
        <v>0</v>
      </c>
      <c r="J861" s="306"/>
      <c r="K861" s="338">
        <f ca="1">K841</f>
        <v>78.06</v>
      </c>
      <c r="L861" s="309"/>
      <c r="M861" s="306">
        <f ca="1">ROUND(K861*$C861*$G$850,0)</f>
        <v>0</v>
      </c>
      <c r="N861" s="306"/>
      <c r="O861" s="338" t="str">
        <f>O841</f>
        <v xml:space="preserve"> </v>
      </c>
      <c r="P861" s="309"/>
      <c r="Q861" s="306">
        <f>ROUND(O861*$C861*$G$850,0)</f>
        <v>0</v>
      </c>
      <c r="R861" s="306"/>
      <c r="S861" s="338" t="str">
        <f>S841</f>
        <v xml:space="preserve"> </v>
      </c>
      <c r="T861" s="309"/>
      <c r="U861" s="306">
        <f>ROUND(S861*$C861*$G$850,0)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4">
      <c r="A862" s="294" t="s">
        <v>456</v>
      </c>
      <c r="B862" s="1"/>
      <c r="C862" s="304">
        <v>0</v>
      </c>
      <c r="D862" s="338">
        <v>153.22</v>
      </c>
      <c r="E862" s="309"/>
      <c r="F862" s="306">
        <f>ROUND(D862*$C862*$D$744,0)</f>
        <v>0</v>
      </c>
      <c r="G862" s="338">
        <f ca="1">G842</f>
        <v>156.12</v>
      </c>
      <c r="H862" s="309"/>
      <c r="I862" s="306">
        <f ca="1">ROUND(G862*$C862*$G$850,0)</f>
        <v>0</v>
      </c>
      <c r="J862" s="306"/>
      <c r="K862" s="338">
        <f ca="1">K842</f>
        <v>156.12</v>
      </c>
      <c r="L862" s="309"/>
      <c r="M862" s="306">
        <f ca="1">ROUND(K862*$C862*$G$850,0)</f>
        <v>0</v>
      </c>
      <c r="N862" s="306"/>
      <c r="O862" s="338" t="str">
        <f>O842</f>
        <v xml:space="preserve"> </v>
      </c>
      <c r="P862" s="309"/>
      <c r="Q862" s="306">
        <f>ROUND(O862*$C862*$G$850,0)</f>
        <v>0</v>
      </c>
      <c r="R862" s="306"/>
      <c r="S862" s="338" t="str">
        <f>S842</f>
        <v xml:space="preserve"> </v>
      </c>
      <c r="T862" s="309"/>
      <c r="U862" s="306">
        <f>ROUND(S862*$C862*$G$850,0)</f>
        <v>0</v>
      </c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4">
      <c r="A863" s="294" t="s">
        <v>452</v>
      </c>
      <c r="B863" s="1"/>
      <c r="C863" s="304"/>
      <c r="D863" s="322"/>
      <c r="E863" s="309"/>
      <c r="F863" s="306"/>
      <c r="G863" s="322"/>
      <c r="H863" s="309"/>
      <c r="I863" s="306"/>
      <c r="J863" s="306"/>
      <c r="K863" s="322"/>
      <c r="L863" s="309"/>
      <c r="M863" s="306"/>
      <c r="N863" s="306"/>
      <c r="O863" s="322"/>
      <c r="P863" s="309"/>
      <c r="Q863" s="306"/>
      <c r="R863" s="306"/>
      <c r="S863" s="322"/>
      <c r="T863" s="309"/>
      <c r="U863" s="306"/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4">
      <c r="A864" s="294" t="s">
        <v>447</v>
      </c>
      <c r="B864" s="1"/>
      <c r="C864" s="304">
        <v>0</v>
      </c>
      <c r="D864" s="348">
        <v>-25.64</v>
      </c>
      <c r="E864" s="309"/>
      <c r="F864" s="306">
        <f>ROUND(D864*$C864*$D$744,0)</f>
        <v>0</v>
      </c>
      <c r="G864" s="348">
        <f ca="1">G844</f>
        <v>-26.02</v>
      </c>
      <c r="H864" s="309"/>
      <c r="I864" s="306">
        <f ca="1">ROUND(G864*$C864*$G$850,0)</f>
        <v>0</v>
      </c>
      <c r="J864" s="306"/>
      <c r="K864" s="348">
        <f ca="1">K844</f>
        <v>-26.02</v>
      </c>
      <c r="L864" s="309"/>
      <c r="M864" s="306">
        <f ca="1">ROUND(K864*$C864*$G$850,0)</f>
        <v>0</v>
      </c>
      <c r="N864" s="306"/>
      <c r="O864" s="348">
        <f>O844</f>
        <v>0</v>
      </c>
      <c r="P864" s="309"/>
      <c r="Q864" s="306">
        <f>ROUND(O864*$C864*$G$850,0)</f>
        <v>0</v>
      </c>
      <c r="R864" s="306"/>
      <c r="S864" s="348">
        <f>S844</f>
        <v>0</v>
      </c>
      <c r="T864" s="309"/>
      <c r="U864" s="306">
        <f>ROUND(S864*$C864*$G$850,0)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>
      <c r="A865" s="294" t="s">
        <v>453</v>
      </c>
      <c r="B865" s="1"/>
      <c r="C865" s="304">
        <v>0</v>
      </c>
      <c r="D865" s="348">
        <v>-25.54</v>
      </c>
      <c r="E865" s="309"/>
      <c r="F865" s="306">
        <f>ROUND(D865*$C865*$D$744,0)</f>
        <v>0</v>
      </c>
      <c r="G865" s="348">
        <f ca="1">G845</f>
        <v>-26.02</v>
      </c>
      <c r="H865" s="309"/>
      <c r="I865" s="306">
        <f ca="1">ROUND(G865*$C865*$G$850,0)</f>
        <v>0</v>
      </c>
      <c r="J865" s="306"/>
      <c r="K865" s="348">
        <f ca="1">K845</f>
        <v>-26.02</v>
      </c>
      <c r="L865" s="309"/>
      <c r="M865" s="306">
        <f ca="1">ROUND(K865*$C865*$G$850,0)</f>
        <v>0</v>
      </c>
      <c r="N865" s="306"/>
      <c r="O865" s="348">
        <f>O845</f>
        <v>0</v>
      </c>
      <c r="P865" s="309"/>
      <c r="Q865" s="306">
        <f>ROUND(O865*$C865*$G$850,0)</f>
        <v>0</v>
      </c>
      <c r="R865" s="306"/>
      <c r="S865" s="348">
        <f>S845</f>
        <v>0</v>
      </c>
      <c r="T865" s="309"/>
      <c r="U865" s="306">
        <f>ROUND(S865*$C865*$G$850,0)</f>
        <v>0</v>
      </c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>
      <c r="A866" s="308" t="s">
        <v>416</v>
      </c>
      <c r="B866" s="1"/>
      <c r="C866" s="304"/>
      <c r="D866" s="369"/>
      <c r="E866" s="306"/>
      <c r="F866" s="306"/>
      <c r="G866" s="369"/>
      <c r="H866" s="306"/>
      <c r="I866" s="306"/>
      <c r="J866" s="306"/>
      <c r="K866" s="369"/>
      <c r="L866" s="306"/>
      <c r="M866" s="306"/>
      <c r="N866" s="306"/>
      <c r="O866" s="369"/>
      <c r="P866" s="306"/>
      <c r="Q866" s="306"/>
      <c r="R866" s="306"/>
      <c r="S866" s="369"/>
      <c r="T866" s="306"/>
      <c r="U866" s="306"/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>
      <c r="A867" s="294" t="s">
        <v>454</v>
      </c>
      <c r="B867" s="1"/>
      <c r="C867" s="304">
        <v>0</v>
      </c>
      <c r="D867" s="370">
        <v>6.9180000000000001</v>
      </c>
      <c r="E867" s="306" t="s">
        <v>364</v>
      </c>
      <c r="F867" s="306">
        <f>ROUND(D867/100*C867*$D$744,0)</f>
        <v>0</v>
      </c>
      <c r="G867" s="370">
        <f ca="1">G847</f>
        <v>7.0350000000000001</v>
      </c>
      <c r="H867" s="306" t="s">
        <v>364</v>
      </c>
      <c r="I867" s="306">
        <f ca="1">ROUND(G867/100*$C867*$G$850,0)</f>
        <v>0</v>
      </c>
      <c r="J867" s="306"/>
      <c r="K867" s="370" t="e">
        <f ca="1">K847</f>
        <v>#REF!</v>
      </c>
      <c r="L867" s="306" t="s">
        <v>364</v>
      </c>
      <c r="M867" s="306" t="e">
        <f ca="1">ROUND(K867/100*$C867*$G$850,0)</f>
        <v>#REF!</v>
      </c>
      <c r="N867" s="306"/>
      <c r="O867" s="370" t="e">
        <f ca="1">O847</f>
        <v>#DIV/0!</v>
      </c>
      <c r="P867" s="306" t="s">
        <v>364</v>
      </c>
      <c r="Q867" s="306" t="e">
        <f ca="1">ROUND(O867/100*$C867*$G$850,0)</f>
        <v>#DIV/0!</v>
      </c>
      <c r="R867" s="306"/>
      <c r="S867" s="370" t="e">
        <f ca="1">S847</f>
        <v>#DIV/0!</v>
      </c>
      <c r="T867" s="306" t="s">
        <v>364</v>
      </c>
      <c r="U867" s="306" t="e">
        <f ca="1">ROUND(S867/100*$C867*$G$850,0)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>
      <c r="A868" s="308" t="s">
        <v>390</v>
      </c>
      <c r="B868" s="1"/>
      <c r="C868" s="304">
        <v>0</v>
      </c>
      <c r="D868" s="360">
        <v>56</v>
      </c>
      <c r="E868" s="308" t="s">
        <v>364</v>
      </c>
      <c r="F868" s="306">
        <f>ROUND(D868/100*C868*$D$744,0)</f>
        <v>0</v>
      </c>
      <c r="G868" s="360">
        <f ca="1">G848</f>
        <v>57</v>
      </c>
      <c r="H868" s="308" t="s">
        <v>364</v>
      </c>
      <c r="I868" s="306">
        <f ca="1">ROUND(G868/100*$C868*$G$850,0)</f>
        <v>0</v>
      </c>
      <c r="J868" s="306"/>
      <c r="K868" s="360" t="str">
        <f>K848</f>
        <v xml:space="preserve"> </v>
      </c>
      <c r="L868" s="308" t="s">
        <v>364</v>
      </c>
      <c r="M868" s="306">
        <f>ROUND(K868/100*$C868*$G$850,0)</f>
        <v>0</v>
      </c>
      <c r="N868" s="306"/>
      <c r="O868" s="360" t="e">
        <f ca="1">O848</f>
        <v>#DIV/0!</v>
      </c>
      <c r="P868" s="308" t="s">
        <v>364</v>
      </c>
      <c r="Q868" s="306" t="e">
        <f ca="1">ROUND(O868/100*$C868*$G$850,0)</f>
        <v>#DIV/0!</v>
      </c>
      <c r="R868" s="306"/>
      <c r="S868" s="360" t="e">
        <f ca="1">S848</f>
        <v>#DIV/0!</v>
      </c>
      <c r="T868" s="308" t="s">
        <v>364</v>
      </c>
      <c r="U868" s="306" t="e">
        <f ca="1">ROUND(S868/100*$C868*$G$850,0)</f>
        <v>#DIV/0!</v>
      </c>
      <c r="V868" s="20"/>
      <c r="W868" s="74"/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>
      <c r="A869" s="308" t="s">
        <v>433</v>
      </c>
      <c r="B869" s="1"/>
      <c r="C869" s="304">
        <v>0</v>
      </c>
      <c r="D869" s="283">
        <v>60</v>
      </c>
      <c r="E869" s="1"/>
      <c r="F869" s="306">
        <f>ROUND(D869*$C869,0)</f>
        <v>0</v>
      </c>
      <c r="G869" s="283">
        <f>$G$763</f>
        <v>60</v>
      </c>
      <c r="H869" s="1"/>
      <c r="I869" s="306">
        <f>ROUND(G869*$C869,0)</f>
        <v>0</v>
      </c>
      <c r="J869" s="306"/>
      <c r="K869" s="283">
        <v>0</v>
      </c>
      <c r="L869" s="1"/>
      <c r="M869" s="306">
        <f>ROUND(K869*$C869,0)</f>
        <v>0</v>
      </c>
      <c r="N869" s="306"/>
      <c r="O869" s="283" t="e">
        <f>O763</f>
        <v>#DIV/0!</v>
      </c>
      <c r="P869" s="1"/>
      <c r="Q869" s="306" t="e">
        <f>ROUND(O869*$C869,0)</f>
        <v>#DIV/0!</v>
      </c>
      <c r="R869" s="306"/>
      <c r="S869" s="283" t="e">
        <f>S763</f>
        <v>#DIV/0!</v>
      </c>
      <c r="T869" s="1"/>
      <c r="U869" s="306" t="e">
        <f>ROUND(S869*$C869,0)</f>
        <v>#DIV/0!</v>
      </c>
      <c r="V869" s="20"/>
      <c r="W869" s="32" t="s">
        <v>31</v>
      </c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>
      <c r="A870" s="308" t="s">
        <v>434</v>
      </c>
      <c r="B870" s="1"/>
      <c r="C870" s="304">
        <v>0</v>
      </c>
      <c r="D870" s="324">
        <v>-30</v>
      </c>
      <c r="E870" s="306" t="s">
        <v>364</v>
      </c>
      <c r="F870" s="306">
        <f>ROUND(D870*$C870/100,0)</f>
        <v>0</v>
      </c>
      <c r="G870" s="324">
        <f>$G$764</f>
        <v>-30</v>
      </c>
      <c r="H870" s="306" t="s">
        <v>364</v>
      </c>
      <c r="I870" s="306">
        <f>ROUND(G870*$C870/100,0)</f>
        <v>0</v>
      </c>
      <c r="J870" s="306"/>
      <c r="K870" s="324">
        <f>$G$764</f>
        <v>-30</v>
      </c>
      <c r="L870" s="306" t="s">
        <v>364</v>
      </c>
      <c r="M870" s="306">
        <f>ROUND(K870*$C870/100,0)</f>
        <v>0</v>
      </c>
      <c r="N870" s="306"/>
      <c r="O870" s="324">
        <v>0</v>
      </c>
      <c r="P870" s="306" t="s">
        <v>364</v>
      </c>
      <c r="Q870" s="306">
        <f>ROUND(O870*$C870/100,0)</f>
        <v>0</v>
      </c>
      <c r="R870" s="306"/>
      <c r="S870" s="324">
        <v>0</v>
      </c>
      <c r="T870" s="306" t="s">
        <v>364</v>
      </c>
      <c r="U870" s="306">
        <f>ROUND(S870*$C870/100,0)</f>
        <v>0</v>
      </c>
      <c r="V870" s="20"/>
      <c r="W870" s="74"/>
      <c r="X870" s="74"/>
      <c r="Y870" s="74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</row>
    <row r="871" spans="1:44" s="1118" customFormat="1" hidden="1">
      <c r="A871" s="968" t="s">
        <v>872</v>
      </c>
      <c r="C871" s="1122">
        <f>C867</f>
        <v>0</v>
      </c>
      <c r="D871" s="254">
        <v>0</v>
      </c>
      <c r="E871" s="1119"/>
      <c r="F871" s="1123"/>
      <c r="G871" s="1135">
        <f>G765</f>
        <v>0</v>
      </c>
      <c r="H871" s="1000" t="s">
        <v>364</v>
      </c>
      <c r="I871" s="306">
        <f>ROUND(G871/100*$C871*$G$850,0)</f>
        <v>0</v>
      </c>
      <c r="J871" s="306"/>
      <c r="K871" s="1135" t="str">
        <f>K765</f>
        <v xml:space="preserve"> </v>
      </c>
      <c r="L871" s="1000" t="s">
        <v>364</v>
      </c>
      <c r="M871" s="306">
        <f>ROUND(K871/100*$C871*$G$850,0)</f>
        <v>0</v>
      </c>
      <c r="N871" s="306"/>
      <c r="O871" s="1135" t="str">
        <f>O765</f>
        <v xml:space="preserve"> </v>
      </c>
      <c r="P871" s="1000" t="s">
        <v>364</v>
      </c>
      <c r="Q871" s="306">
        <f>ROUND(O871/100*$C871*$G$850,0)</f>
        <v>0</v>
      </c>
      <c r="R871" s="306"/>
      <c r="S871" s="1135">
        <f>S765</f>
        <v>0</v>
      </c>
      <c r="T871" s="1000" t="s">
        <v>364</v>
      </c>
      <c r="U871" s="306">
        <f>ROUND(S871/100*$C871*$G$850,0)</f>
        <v>0</v>
      </c>
      <c r="W871" s="784"/>
      <c r="Z871" s="1125"/>
      <c r="AA871" s="1125"/>
      <c r="AF871" s="1119"/>
      <c r="AG871" s="1119"/>
      <c r="AH871" s="1119"/>
      <c r="AI871" s="1119"/>
      <c r="AJ871" s="1119"/>
      <c r="AK871" s="1119"/>
      <c r="AL871" s="1119"/>
      <c r="AM871" s="1119"/>
      <c r="AN871" s="1119"/>
      <c r="AO871" s="1119"/>
      <c r="AP871" s="1119"/>
      <c r="AR871" s="1124"/>
    </row>
    <row r="872" spans="1:44">
      <c r="A872" s="1" t="s">
        <v>371</v>
      </c>
      <c r="B872" s="1"/>
      <c r="C872" s="304">
        <f>SUM(C847:C847)</f>
        <v>48181287</v>
      </c>
      <c r="D872" s="315"/>
      <c r="E872" s="308"/>
      <c r="F872" s="2">
        <f>SUM(F827:F870)</f>
        <v>4051637</v>
      </c>
      <c r="G872" s="315"/>
      <c r="H872" s="308"/>
      <c r="I872" s="2">
        <f ca="1">SUM(I827:I871)</f>
        <v>4121159</v>
      </c>
      <c r="J872" s="2"/>
      <c r="K872" s="315"/>
      <c r="L872" s="308"/>
      <c r="M872" s="2" t="e">
        <f ca="1">SUM(M827:M871)</f>
        <v>#REF!</v>
      </c>
      <c r="N872" s="2"/>
      <c r="O872" s="315"/>
      <c r="P872" s="308"/>
      <c r="Q872" s="2" t="e">
        <f ca="1">SUM(Q827:Q871)</f>
        <v>#DIV/0!</v>
      </c>
      <c r="R872" s="2"/>
      <c r="S872" s="315"/>
      <c r="T872" s="308"/>
      <c r="U872" s="2" t="e">
        <f ca="1">SUM(U827:U871)</f>
        <v>#DIV/0!</v>
      </c>
      <c r="V872" s="20"/>
      <c r="W872" s="74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>
      <c r="A873" s="1" t="s">
        <v>353</v>
      </c>
      <c r="B873" s="1"/>
      <c r="C873" s="334">
        <f ca="1">'Table 2'!H102</f>
        <v>665268.792704936</v>
      </c>
      <c r="D873" s="294"/>
      <c r="E873" s="294"/>
      <c r="F873" s="295">
        <f ca="1">'Table 3'!E102</f>
        <v>50732.788498398135</v>
      </c>
      <c r="G873" s="294"/>
      <c r="H873" s="294"/>
      <c r="I873" s="295">
        <f ca="1">F873</f>
        <v>50732.788498398135</v>
      </c>
      <c r="J873" s="51"/>
      <c r="K873" s="294"/>
      <c r="L873" s="294"/>
      <c r="M873" s="295" t="e">
        <f ca="1">$I$873*V876/($V$876+$W$876+$X$876)</f>
        <v>#DIV/0!</v>
      </c>
      <c r="N873" s="51"/>
      <c r="O873" s="294"/>
      <c r="P873" s="294"/>
      <c r="Q873" s="295" t="e">
        <f ca="1">$I$873*W876/($V$876+$W$876+$X$876)</f>
        <v>#DIV/0!</v>
      </c>
      <c r="R873" s="51"/>
      <c r="S873" s="294"/>
      <c r="T873" s="294"/>
      <c r="U873" s="295" t="e">
        <f ca="1">$I$873*X876/($V$876+$W$876+$X$876)</f>
        <v>#DIV/0!</v>
      </c>
      <c r="V873" s="429"/>
      <c r="W873" s="272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thickBot="1">
      <c r="A874" s="1" t="s">
        <v>372</v>
      </c>
      <c r="B874" s="1"/>
      <c r="C874" s="351">
        <f ca="1">SUM(C872:C873)</f>
        <v>48846555.792704932</v>
      </c>
      <c r="D874" s="327"/>
      <c r="E874" s="330"/>
      <c r="F874" s="329">
        <f ca="1">F872+F873</f>
        <v>4102369.7884983979</v>
      </c>
      <c r="G874" s="327"/>
      <c r="H874" s="330"/>
      <c r="I874" s="329">
        <f ca="1">I872+I873</f>
        <v>4171891.7884983979</v>
      </c>
      <c r="J874" s="307"/>
      <c r="K874" s="327"/>
      <c r="L874" s="330"/>
      <c r="M874" s="329" t="e">
        <f ca="1">M872+M873</f>
        <v>#REF!</v>
      </c>
      <c r="N874" s="329"/>
      <c r="O874" s="327"/>
      <c r="P874" s="330"/>
      <c r="Q874" s="329" t="e">
        <f ca="1">Q872+Q873</f>
        <v>#DIV/0!</v>
      </c>
      <c r="R874" s="329"/>
      <c r="S874" s="327"/>
      <c r="T874" s="330"/>
      <c r="U874" s="329" t="e">
        <f ca="1">U872+U873</f>
        <v>#DIV/0!</v>
      </c>
      <c r="V874" s="396"/>
      <c r="W874" s="455"/>
      <c r="X874" s="74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t="16.5" thickTop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1280"/>
      <c r="W875" s="1280"/>
      <c r="X875" s="1280"/>
      <c r="Y875" s="74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>
      <c r="A876" s="1"/>
      <c r="B876" s="1"/>
      <c r="C876" s="26"/>
      <c r="D876" s="336"/>
      <c r="E876" s="23"/>
      <c r="F876" s="307"/>
      <c r="G876" s="336"/>
      <c r="H876" s="23"/>
      <c r="I876" s="307"/>
      <c r="J876" s="307"/>
      <c r="K876" s="336"/>
      <c r="L876" s="23"/>
      <c r="M876" s="307"/>
      <c r="N876" s="307"/>
      <c r="O876" s="336"/>
      <c r="P876" s="23"/>
      <c r="Q876" s="307"/>
      <c r="R876" s="307"/>
      <c r="S876" s="336"/>
      <c r="T876" s="23"/>
      <c r="U876" s="307"/>
      <c r="V876" s="396"/>
      <c r="W876" s="396"/>
      <c r="X876" s="396"/>
      <c r="Y876" s="32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88"/>
      <c r="B877" s="363"/>
      <c r="C877" s="288"/>
      <c r="D877" s="1"/>
      <c r="E877" s="288"/>
      <c r="F877" s="364" t="s">
        <v>31</v>
      </c>
      <c r="G877" s="288"/>
      <c r="H877" s="288"/>
      <c r="I877" s="288"/>
      <c r="J877" s="288"/>
      <c r="K877" s="288"/>
      <c r="L877" s="288"/>
      <c r="M877" s="288"/>
      <c r="N877" s="288"/>
      <c r="O877" s="288"/>
      <c r="P877" s="288"/>
      <c r="Q877" s="288"/>
      <c r="R877" s="288"/>
      <c r="S877" s="288"/>
      <c r="T877" s="288"/>
      <c r="U877" s="288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278" t="s">
        <v>459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294" t="s">
        <v>460</v>
      </c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/>
      <c r="B880" s="1"/>
      <c r="C880" s="1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383</v>
      </c>
      <c r="B881" s="1"/>
      <c r="C881" s="304"/>
      <c r="D881" s="2"/>
      <c r="E881" s="1"/>
      <c r="F881" s="1"/>
      <c r="G881" s="2"/>
      <c r="H881" s="1"/>
      <c r="I881" s="1"/>
      <c r="J881" s="1"/>
      <c r="K881" s="2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20"/>
      <c r="W881" s="74"/>
      <c r="X881" s="74"/>
      <c r="Y881" s="7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461</v>
      </c>
      <c r="B882" s="1"/>
      <c r="C882" s="304">
        <v>12</v>
      </c>
      <c r="D882" s="369">
        <v>1386</v>
      </c>
      <c r="E882" s="306"/>
      <c r="F882" s="2">
        <f>ROUND(D882*C882,0)</f>
        <v>16632</v>
      </c>
      <c r="G882" s="369">
        <f ca="1">G961</f>
        <v>1411</v>
      </c>
      <c r="H882" s="306"/>
      <c r="I882" s="2">
        <f ca="1">ROUND(G882*$C882,0)</f>
        <v>16932</v>
      </c>
      <c r="J882" s="2"/>
      <c r="K882" s="369">
        <f ca="1">K961</f>
        <v>1411</v>
      </c>
      <c r="L882" s="306"/>
      <c r="M882" s="2">
        <f ca="1">ROUND(K882*$C882,0)</f>
        <v>16932</v>
      </c>
      <c r="N882" s="2"/>
      <c r="O882" s="369" t="str">
        <f>O961</f>
        <v xml:space="preserve"> </v>
      </c>
      <c r="P882" s="306"/>
      <c r="Q882" s="2">
        <f>ROUND(O882*$C882,0)</f>
        <v>0</v>
      </c>
      <c r="R882" s="2"/>
      <c r="S882" s="369" t="str">
        <f>S961</f>
        <v xml:space="preserve"> </v>
      </c>
      <c r="T882" s="306"/>
      <c r="U882" s="2">
        <f>ROUND(S882*$C882,0)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462</v>
      </c>
      <c r="B883" s="1"/>
      <c r="C883" s="304">
        <v>0</v>
      </c>
      <c r="D883" s="369">
        <v>1675</v>
      </c>
      <c r="E883" s="309"/>
      <c r="F883" s="2">
        <f>ROUND(D883*C883,0)</f>
        <v>0</v>
      </c>
      <c r="G883" s="369">
        <f ca="1">G962</f>
        <v>1703</v>
      </c>
      <c r="H883" s="309"/>
      <c r="I883" s="2">
        <f ca="1">ROUND(G883*$C883,0)</f>
        <v>0</v>
      </c>
      <c r="J883" s="2"/>
      <c r="K883" s="369">
        <f ca="1">K962</f>
        <v>1703</v>
      </c>
      <c r="L883" s="309"/>
      <c r="M883" s="2">
        <f ca="1">ROUND(K883*$C883,0)</f>
        <v>0</v>
      </c>
      <c r="N883" s="2"/>
      <c r="O883" s="369" t="str">
        <f>O962</f>
        <v xml:space="preserve"> </v>
      </c>
      <c r="P883" s="309"/>
      <c r="Q883" s="2">
        <f>ROUND(O883*$C883,0)</f>
        <v>0</v>
      </c>
      <c r="R883" s="2"/>
      <c r="S883" s="369" t="str">
        <f>S962</f>
        <v xml:space="preserve"> </v>
      </c>
      <c r="T883" s="309"/>
      <c r="U883" s="2">
        <f>ROUND(S883*$C883,0)</f>
        <v>0</v>
      </c>
      <c r="W883" s="14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384</v>
      </c>
      <c r="B884" s="1"/>
      <c r="C884" s="304">
        <f>SUM(C882:C883)</f>
        <v>12</v>
      </c>
      <c r="D884" s="369" t="s">
        <v>31</v>
      </c>
      <c r="E884" s="306"/>
      <c r="F884" s="2" t="s">
        <v>31</v>
      </c>
      <c r="G884" s="369" t="str">
        <f>W925</f>
        <v xml:space="preserve"> </v>
      </c>
      <c r="H884" s="306"/>
      <c r="I884" s="2" t="s">
        <v>31</v>
      </c>
      <c r="J884" s="2"/>
      <c r="K884" s="365" t="s">
        <v>31</v>
      </c>
      <c r="L884" s="306"/>
      <c r="M884" s="2" t="s">
        <v>31</v>
      </c>
      <c r="N884" s="2"/>
      <c r="O884" s="365" t="s">
        <v>31</v>
      </c>
      <c r="P884" s="306"/>
      <c r="Q884" s="2" t="s">
        <v>31</v>
      </c>
      <c r="R884" s="2"/>
      <c r="S884" s="365" t="s">
        <v>31</v>
      </c>
      <c r="T884" s="306"/>
      <c r="U884" s="2" t="s">
        <v>31</v>
      </c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463</v>
      </c>
      <c r="B885" s="1"/>
      <c r="C885" s="304">
        <v>23896</v>
      </c>
      <c r="D885" s="369">
        <v>1.1000000000000001</v>
      </c>
      <c r="E885" s="306"/>
      <c r="F885" s="2">
        <f>ROUND(D885*C885,0)</f>
        <v>26286</v>
      </c>
      <c r="G885" s="369">
        <f ca="1">G964</f>
        <v>1.1200000000000001</v>
      </c>
      <c r="H885" s="306"/>
      <c r="I885" s="2">
        <f ca="1">ROUND(G885*$C885,0)</f>
        <v>26764</v>
      </c>
      <c r="J885" s="2"/>
      <c r="K885" s="369">
        <f ca="1">K964</f>
        <v>1.1200000000000001</v>
      </c>
      <c r="L885" s="306"/>
      <c r="M885" s="2">
        <f ca="1">ROUND(K885*$C885,0)</f>
        <v>26764</v>
      </c>
      <c r="N885" s="2"/>
      <c r="O885" s="369" t="str">
        <f>O964</f>
        <v xml:space="preserve"> </v>
      </c>
      <c r="P885" s="306"/>
      <c r="Q885" s="2">
        <f>ROUND(O885*$C885,0)</f>
        <v>0</v>
      </c>
      <c r="R885" s="2"/>
      <c r="S885" s="369" t="str">
        <f>S964</f>
        <v xml:space="preserve"> </v>
      </c>
      <c r="T885" s="306"/>
      <c r="U885" s="2">
        <f>ROUND(S885*$C885,0)</f>
        <v>0</v>
      </c>
      <c r="W885" s="14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308" t="s">
        <v>464</v>
      </c>
      <c r="B886" s="1"/>
      <c r="C886" s="304">
        <v>0</v>
      </c>
      <c r="D886" s="369">
        <v>0.99</v>
      </c>
      <c r="E886" s="306"/>
      <c r="F886" s="2">
        <f>ROUND(D886*C886,0)</f>
        <v>0</v>
      </c>
      <c r="G886" s="369">
        <f ca="1">G965</f>
        <v>1.01</v>
      </c>
      <c r="H886" s="306"/>
      <c r="I886" s="2">
        <f ca="1">ROUND(G886*$C886,0)</f>
        <v>0</v>
      </c>
      <c r="J886" s="2"/>
      <c r="K886" s="369">
        <f ca="1">K965</f>
        <v>1.01</v>
      </c>
      <c r="L886" s="306"/>
      <c r="M886" s="2">
        <f ca="1">ROUND(K886*$C886,0)</f>
        <v>0</v>
      </c>
      <c r="N886" s="2"/>
      <c r="O886" s="369" t="str">
        <f>O965</f>
        <v xml:space="preserve"> </v>
      </c>
      <c r="P886" s="306"/>
      <c r="Q886" s="2">
        <f>ROUND(O886*$C886,0)</f>
        <v>0</v>
      </c>
      <c r="R886" s="2"/>
      <c r="S886" s="369" t="str">
        <f>S965</f>
        <v xml:space="preserve"> </v>
      </c>
      <c r="T886" s="306"/>
      <c r="U886" s="2">
        <f>ROUND(S886*$C886,0)</f>
        <v>0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294" t="s">
        <v>393</v>
      </c>
      <c r="B887" s="1"/>
      <c r="C887" s="304">
        <v>19015</v>
      </c>
      <c r="D887" s="369">
        <v>7.83</v>
      </c>
      <c r="E887" s="306"/>
      <c r="F887" s="2">
        <f>ROUND(D887*C887,0)</f>
        <v>148887</v>
      </c>
      <c r="G887" s="369">
        <f ca="1">G966</f>
        <v>7.97</v>
      </c>
      <c r="H887" s="306"/>
      <c r="I887" s="2">
        <f ca="1">ROUND(G887*$C887,0)</f>
        <v>151550</v>
      </c>
      <c r="J887" s="2"/>
      <c r="K887" s="369" t="e">
        <f ca="1">K966</f>
        <v>#DIV/0!</v>
      </c>
      <c r="L887" s="306"/>
      <c r="M887" s="2" t="e">
        <f ca="1">ROUND(K887*$C887,0)</f>
        <v>#DIV/0!</v>
      </c>
      <c r="N887" s="2"/>
      <c r="O887" s="369" t="e">
        <f ca="1">O966</f>
        <v>#DIV/0!</v>
      </c>
      <c r="P887" s="306"/>
      <c r="Q887" s="2" t="e">
        <f ca="1">ROUND(O887*$C887,0)</f>
        <v>#DIV/0!</v>
      </c>
      <c r="R887" s="2"/>
      <c r="S887" s="369" t="e">
        <f ca="1">S966</f>
        <v>#DIV/0!</v>
      </c>
      <c r="T887" s="306"/>
      <c r="U887" s="2" t="e">
        <f ca="1">ROUND(S887*$C887,0)</f>
        <v>#DIV/0!</v>
      </c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416</v>
      </c>
      <c r="B888" s="1"/>
      <c r="C888" s="304"/>
      <c r="D888" s="369"/>
      <c r="E888" s="306"/>
      <c r="F888" s="2"/>
      <c r="G888" s="369"/>
      <c r="H888" s="306"/>
      <c r="I888" s="2"/>
      <c r="J888" s="2"/>
      <c r="K888" s="369"/>
      <c r="L888" s="306"/>
      <c r="M888" s="2"/>
      <c r="N888" s="2"/>
      <c r="O888" s="369"/>
      <c r="P888" s="306"/>
      <c r="Q888" s="2"/>
      <c r="R888" s="2"/>
      <c r="S888" s="369"/>
      <c r="T888" s="306"/>
      <c r="U888" s="2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454</v>
      </c>
      <c r="B889" s="1"/>
      <c r="C889" s="304">
        <v>2245825</v>
      </c>
      <c r="D889" s="372">
        <v>4.6630000000000003</v>
      </c>
      <c r="E889" s="306" t="s">
        <v>364</v>
      </c>
      <c r="F889" s="2">
        <f>ROUND(D889/100*C889,0)</f>
        <v>104723</v>
      </c>
      <c r="G889" s="372">
        <f ca="1">G968</f>
        <v>4.7409999999999997</v>
      </c>
      <c r="H889" s="306" t="s">
        <v>364</v>
      </c>
      <c r="I889" s="2">
        <f ca="1">ROUND(G889/100*$C889,0)</f>
        <v>106475</v>
      </c>
      <c r="J889" s="2"/>
      <c r="K889" s="372" t="str">
        <f>K968</f>
        <v xml:space="preserve"> </v>
      </c>
      <c r="L889" s="306" t="s">
        <v>31</v>
      </c>
      <c r="M889" s="2">
        <f>ROUND(K889/100*$C889,0)</f>
        <v>0</v>
      </c>
      <c r="N889" s="2"/>
      <c r="O889" s="372" t="e">
        <f ca="1">O968</f>
        <v>#DIV/0!</v>
      </c>
      <c r="P889" s="306" t="s">
        <v>364</v>
      </c>
      <c r="Q889" s="2" t="e">
        <f ca="1">ROUND(O889/100*$C889,0)</f>
        <v>#DIV/0!</v>
      </c>
      <c r="R889" s="2"/>
      <c r="S889" s="372" t="e">
        <f ca="1">S968</f>
        <v>#DIV/0!</v>
      </c>
      <c r="T889" s="306" t="s">
        <v>364</v>
      </c>
      <c r="U889" s="2" t="e">
        <f ca="1">ROUND(S889/100*$C889,0)</f>
        <v>#DIV/0!</v>
      </c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308" t="s">
        <v>390</v>
      </c>
      <c r="B890" s="1"/>
      <c r="C890" s="304">
        <v>0</v>
      </c>
      <c r="D890" s="369">
        <v>0.55000000000000004</v>
      </c>
      <c r="E890" s="306"/>
      <c r="F890" s="2">
        <f>ROUND(D890*C890,0)</f>
        <v>0</v>
      </c>
      <c r="G890" s="369">
        <f ca="1">G969</f>
        <v>0.56000000000000005</v>
      </c>
      <c r="H890" s="306"/>
      <c r="I890" s="2">
        <f ca="1">ROUND(G890*$C890,0)</f>
        <v>0</v>
      </c>
      <c r="J890" s="2"/>
      <c r="K890" s="369" t="str">
        <f>K969</f>
        <v xml:space="preserve"> </v>
      </c>
      <c r="L890" s="306"/>
      <c r="M890" s="2">
        <f>ROUND(K890*$C890,0)</f>
        <v>0</v>
      </c>
      <c r="N890" s="2"/>
      <c r="O890" s="369" t="e">
        <f ca="1">O969</f>
        <v>#DIV/0!</v>
      </c>
      <c r="P890" s="306"/>
      <c r="Q890" s="2" t="e">
        <f ca="1">ROUND(O890*$C890,0)</f>
        <v>#DIV/0!</v>
      </c>
      <c r="R890" s="2"/>
      <c r="S890" s="369" t="e">
        <f ca="1">S969</f>
        <v>#DIV/0!</v>
      </c>
      <c r="T890" s="306"/>
      <c r="U890" s="2" t="e">
        <f ca="1">ROUND(S890*$C890,0)</f>
        <v>#DIV/0!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418</v>
      </c>
      <c r="B891" s="1"/>
      <c r="C891" s="304">
        <v>0</v>
      </c>
      <c r="D891" s="1407">
        <v>5.9999999999999995E-4</v>
      </c>
      <c r="E891" s="306"/>
      <c r="F891" s="2">
        <f>ROUND(D891*C891,0)</f>
        <v>0</v>
      </c>
      <c r="G891" s="1407">
        <v>5.9999999999999995E-4</v>
      </c>
      <c r="H891" s="306"/>
      <c r="I891" s="2">
        <f>ROUND(G891*$C891,0)</f>
        <v>0</v>
      </c>
      <c r="J891" s="2"/>
      <c r="K891" s="373">
        <v>5.9999999999999995E-4</v>
      </c>
      <c r="L891" s="306"/>
      <c r="M891" s="2">
        <f>ROUND(K891*$C891,0)</f>
        <v>0</v>
      </c>
      <c r="N891" s="2"/>
      <c r="O891" s="373">
        <v>5.9999999999999995E-4</v>
      </c>
      <c r="P891" s="306"/>
      <c r="Q891" s="2">
        <f>ROUND(O891*$C891,0)</f>
        <v>0</v>
      </c>
      <c r="R891" s="2"/>
      <c r="S891" s="373">
        <v>5.9999999999999995E-4</v>
      </c>
      <c r="T891" s="306"/>
      <c r="U891" s="2">
        <f>ROUND(S891*$C891,0)</f>
        <v>0</v>
      </c>
      <c r="V891" s="304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423</v>
      </c>
      <c r="B892" s="1"/>
      <c r="C892" s="304">
        <v>4985</v>
      </c>
      <c r="D892" s="319">
        <v>3.92</v>
      </c>
      <c r="E892" s="306"/>
      <c r="F892" s="306">
        <f>ROUND(D892*$C892,0)</f>
        <v>19541</v>
      </c>
      <c r="G892" s="319">
        <f ca="1">ROUND(G887/2,3)</f>
        <v>3.9849999999999999</v>
      </c>
      <c r="H892" s="306"/>
      <c r="I892" s="306">
        <f ca="1">ROUND($C892*G892,0)</f>
        <v>19865</v>
      </c>
      <c r="J892" s="306"/>
      <c r="K892" s="319" t="e">
        <f ca="1">ROUND(K887/2,3)</f>
        <v>#DIV/0!</v>
      </c>
      <c r="L892" s="306"/>
      <c r="M892" s="306" t="e">
        <f ca="1">ROUND($C892*K892,0)</f>
        <v>#DIV/0!</v>
      </c>
      <c r="N892" s="306"/>
      <c r="O892" s="319" t="e">
        <f ca="1">ROUND(O887/2,3)</f>
        <v>#DIV/0!</v>
      </c>
      <c r="P892" s="306"/>
      <c r="Q892" s="306" t="e">
        <f ca="1">ROUND($C892*O892,0)</f>
        <v>#DIV/0!</v>
      </c>
      <c r="R892" s="306"/>
      <c r="S892" s="319" t="e">
        <f ca="1">ROUND(S887/2,3)</f>
        <v>#DIV/0!</v>
      </c>
      <c r="T892" s="306"/>
      <c r="U892" s="306" t="e">
        <f ca="1">ROUND($C892*S892,0)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294" t="s">
        <v>424</v>
      </c>
      <c r="B893" s="1"/>
      <c r="C893" s="304">
        <v>100</v>
      </c>
      <c r="D893" s="319">
        <v>31.32</v>
      </c>
      <c r="E893" s="306"/>
      <c r="F893" s="306">
        <f>ROUND(D893*$C893,0)</f>
        <v>3132</v>
      </c>
      <c r="G893" s="319">
        <f ca="1">G887*4</f>
        <v>31.88</v>
      </c>
      <c r="H893" s="306"/>
      <c r="I893" s="306">
        <f ca="1">ROUND($C893*G893,0)</f>
        <v>3188</v>
      </c>
      <c r="J893" s="306"/>
      <c r="K893" s="319" t="e">
        <f ca="1">K887*4</f>
        <v>#DIV/0!</v>
      </c>
      <c r="L893" s="306"/>
      <c r="M893" s="306" t="e">
        <f ca="1">ROUND($C893*K893,0)</f>
        <v>#DIV/0!</v>
      </c>
      <c r="N893" s="306"/>
      <c r="O893" s="319" t="e">
        <f ca="1">O887*4</f>
        <v>#DIV/0!</v>
      </c>
      <c r="P893" s="306"/>
      <c r="Q893" s="306" t="e">
        <f ca="1">ROUND($C893*O893,0)</f>
        <v>#DIV/0!</v>
      </c>
      <c r="R893" s="306"/>
      <c r="S893" s="319" t="e">
        <f ca="1">S887*4</f>
        <v>#DIV/0!</v>
      </c>
      <c r="T893" s="306"/>
      <c r="U893" s="306" t="e">
        <f ca="1">ROUND($C893*S893,0)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>
      <c r="A894" s="3" t="s">
        <v>425</v>
      </c>
      <c r="B894" s="288"/>
      <c r="C894" s="304">
        <v>175</v>
      </c>
      <c r="D894" s="377">
        <v>18.652000000000001</v>
      </c>
      <c r="E894" s="306" t="s">
        <v>364</v>
      </c>
      <c r="F894" s="306">
        <f>ROUND($C894*D894/100,0)</f>
        <v>33</v>
      </c>
      <c r="G894" s="377">
        <f ca="1">(G889+G895)*4</f>
        <v>18.963999999999999</v>
      </c>
      <c r="H894" s="306" t="s">
        <v>364</v>
      </c>
      <c r="I894" s="306">
        <f ca="1">ROUND($C894*G894/100,0)</f>
        <v>33</v>
      </c>
      <c r="J894" s="306"/>
      <c r="K894" s="377" t="s">
        <v>31</v>
      </c>
      <c r="L894" s="306" t="s">
        <v>31</v>
      </c>
      <c r="M894" s="306">
        <f>ROUND($C894*K894/100,0)</f>
        <v>0</v>
      </c>
      <c r="N894" s="306"/>
      <c r="O894" s="377" t="e">
        <f ca="1">(O889+O895)*4</f>
        <v>#DIV/0!</v>
      </c>
      <c r="P894" s="306" t="s">
        <v>364</v>
      </c>
      <c r="Q894" s="306" t="e">
        <f ca="1">ROUND($C894*O894/100,0)</f>
        <v>#DIV/0!</v>
      </c>
      <c r="R894" s="306"/>
      <c r="S894" s="377" t="e">
        <f ca="1">(S889+S895)*4</f>
        <v>#DIV/0!</v>
      </c>
      <c r="T894" s="306" t="s">
        <v>364</v>
      </c>
      <c r="U894" s="306" t="e">
        <f ca="1">ROUND($C894*S894/100,0)</f>
        <v>#DIV/0!</v>
      </c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</row>
    <row r="895" spans="1:44" s="1118" customFormat="1" hidden="1">
      <c r="A895" s="968" t="s">
        <v>891</v>
      </c>
      <c r="C895" s="1122">
        <f>C889</f>
        <v>2245825</v>
      </c>
      <c r="D895" s="254">
        <v>0</v>
      </c>
      <c r="E895" s="1119"/>
      <c r="F895" s="1123"/>
      <c r="G895" s="1136">
        <f>G950</f>
        <v>0</v>
      </c>
      <c r="H895" s="1000" t="s">
        <v>364</v>
      </c>
      <c r="I895" s="1123">
        <f>ROUND(G895/100*$C895,0)</f>
        <v>0</v>
      </c>
      <c r="J895" s="1123"/>
      <c r="K895" s="1136" t="str">
        <f>K950</f>
        <v xml:space="preserve"> </v>
      </c>
      <c r="L895" s="1000" t="s">
        <v>31</v>
      </c>
      <c r="M895" s="1123">
        <f>ROUND(K895/100*$C895,0)</f>
        <v>0</v>
      </c>
      <c r="N895" s="1123"/>
      <c r="O895" s="1136" t="str">
        <f>O950</f>
        <v xml:space="preserve"> </v>
      </c>
      <c r="P895" s="1000" t="s">
        <v>31</v>
      </c>
      <c r="Q895" s="1123">
        <f>ROUND(O895/100*$C895,0)</f>
        <v>0</v>
      </c>
      <c r="R895" s="1123"/>
      <c r="S895" s="1136">
        <f>S950</f>
        <v>0</v>
      </c>
      <c r="T895" s="1000" t="s">
        <v>364</v>
      </c>
      <c r="U895" s="1123">
        <f>ROUND(S895/100*$C895,0)</f>
        <v>0</v>
      </c>
      <c r="W895" s="784"/>
      <c r="Z895" s="1125"/>
      <c r="AA895" s="1125"/>
      <c r="AF895" s="1119"/>
      <c r="AG895" s="1119"/>
      <c r="AH895" s="1119"/>
      <c r="AI895" s="1119"/>
      <c r="AJ895" s="1119"/>
      <c r="AK895" s="1119"/>
      <c r="AL895" s="1119"/>
      <c r="AM895" s="1119"/>
      <c r="AN895" s="1119"/>
      <c r="AO895" s="1119"/>
      <c r="AP895" s="1119"/>
      <c r="AR895" s="1124"/>
    </row>
    <row r="896" spans="1:44">
      <c r="A896" s="1" t="s">
        <v>371</v>
      </c>
      <c r="B896" s="1"/>
      <c r="C896" s="304">
        <f>C889</f>
        <v>2245825</v>
      </c>
      <c r="D896" s="315"/>
      <c r="E896" s="1"/>
      <c r="F896" s="2">
        <f>SUM(F882:F894)</f>
        <v>319234</v>
      </c>
      <c r="G896" s="315"/>
      <c r="H896" s="1"/>
      <c r="I896" s="2">
        <f ca="1">SUM(I882:I895)</f>
        <v>324807</v>
      </c>
      <c r="J896" s="2"/>
      <c r="K896" s="315"/>
      <c r="L896" s="1"/>
      <c r="M896" s="2" t="e">
        <f ca="1">SUM(M882:M895)</f>
        <v>#DIV/0!</v>
      </c>
      <c r="N896" s="2"/>
      <c r="O896" s="315"/>
      <c r="P896" s="1"/>
      <c r="Q896" s="2" t="e">
        <f ca="1">SUM(Q882:Q895)</f>
        <v>#DIV/0!</v>
      </c>
      <c r="R896" s="2"/>
      <c r="S896" s="315"/>
      <c r="T896" s="1"/>
      <c r="U896" s="2" t="e">
        <f ca="1">SUM(U882:U895)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>
      <c r="A897" s="1" t="s">
        <v>353</v>
      </c>
      <c r="B897" s="1"/>
      <c r="C897" s="304">
        <f ca="1">'Table 2'!H79</f>
        <v>6982.7291342675553</v>
      </c>
      <c r="D897" s="294"/>
      <c r="E897" s="294"/>
      <c r="F897" s="326">
        <f ca="1">'Table 3'!E79</f>
        <v>1009.9054190115011</v>
      </c>
      <c r="G897" s="294"/>
      <c r="H897" s="294"/>
      <c r="I897" s="326">
        <f ca="1">F897</f>
        <v>1009.9054190115011</v>
      </c>
      <c r="J897" s="307"/>
      <c r="K897" s="294"/>
      <c r="L897" s="294"/>
      <c r="M897" s="738" t="e">
        <f ca="1">$I$897*V955/(V955+$W$955+$X$955)</f>
        <v>#DIV/0!</v>
      </c>
      <c r="N897" s="51"/>
      <c r="O897" s="294"/>
      <c r="P897" s="294"/>
      <c r="Q897" s="738" t="e">
        <f ca="1">$I$897*W955/(V955+$W$955+$X$955)</f>
        <v>#DIV/0!</v>
      </c>
      <c r="R897" s="51"/>
      <c r="S897" s="294"/>
      <c r="T897" s="294"/>
      <c r="U897" s="738" t="e">
        <f ca="1">$I$897*X955/($V$955+$W$955+$X$955)</f>
        <v>#DIV/0!</v>
      </c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Bot="1">
      <c r="A898" s="1" t="s">
        <v>372</v>
      </c>
      <c r="B898" s="1"/>
      <c r="C898" s="378">
        <f ca="1">SUM(C896)+C897</f>
        <v>2252807.7291342677</v>
      </c>
      <c r="D898" s="327"/>
      <c r="E898" s="330"/>
      <c r="F898" s="329">
        <f ca="1">F896+F897</f>
        <v>320243.90541901148</v>
      </c>
      <c r="G898" s="327"/>
      <c r="H898" s="330"/>
      <c r="I898" s="329">
        <f ca="1">I896+I897</f>
        <v>325816.90541901148</v>
      </c>
      <c r="J898" s="329"/>
      <c r="K898" s="327"/>
      <c r="L898" s="330"/>
      <c r="M898" s="329" t="e">
        <f ca="1">M896+M897</f>
        <v>#DIV/0!</v>
      </c>
      <c r="N898" s="329"/>
      <c r="O898" s="327"/>
      <c r="P898" s="330"/>
      <c r="Q898" s="329" t="e">
        <f ca="1">Q896+Q897</f>
        <v>#DIV/0!</v>
      </c>
      <c r="R898" s="329"/>
      <c r="S898" s="327"/>
      <c r="T898" s="330"/>
      <c r="U898" s="329" t="e">
        <f ca="1">U896+U897</f>
        <v>#DIV/0!</v>
      </c>
      <c r="V898" s="757" t="s">
        <v>354</v>
      </c>
      <c r="W898" s="778">
        <f ca="1">'Rate Spread targets'!Q28*1000</f>
        <v>325669.30108519114</v>
      </c>
      <c r="X898" s="1417">
        <f ca="1">'Rate Spread targets'!V28</f>
        <v>1.6941448609556001E-2</v>
      </c>
      <c r="Y898" s="751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 ht="16.5" thickTop="1">
      <c r="A899" s="1"/>
      <c r="B899" s="1"/>
      <c r="C899" s="21"/>
      <c r="D899" s="322"/>
      <c r="E899" s="1"/>
      <c r="F899" s="2"/>
      <c r="G899" s="322"/>
      <c r="H899" s="1"/>
      <c r="I899" s="365"/>
      <c r="J899" s="365"/>
      <c r="K899" s="322"/>
      <c r="L899" s="1"/>
      <c r="M899" s="365"/>
      <c r="N899" s="365"/>
      <c r="O899" s="322"/>
      <c r="P899" s="1"/>
      <c r="Q899" s="365"/>
      <c r="R899" s="365"/>
      <c r="S899" s="322"/>
      <c r="T899" s="1"/>
      <c r="U899" s="365"/>
      <c r="V899" s="112" t="s">
        <v>257</v>
      </c>
      <c r="W899" s="780">
        <f ca="1">W898-I898</f>
        <v>-147.60433382034535</v>
      </c>
      <c r="X899" s="785" t="s">
        <v>31</v>
      </c>
      <c r="Y899" s="795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78" t="s">
        <v>466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294" t="s">
        <v>467</v>
      </c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/>
      <c r="B902" s="1"/>
      <c r="C902" s="1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383</v>
      </c>
      <c r="B903" s="1"/>
      <c r="C903" s="304"/>
      <c r="D903" s="2"/>
      <c r="E903" s="1"/>
      <c r="F903" s="1"/>
      <c r="G903" s="2"/>
      <c r="H903" s="1"/>
      <c r="I903" s="1"/>
      <c r="J903" s="1"/>
      <c r="K903" s="2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20"/>
      <c r="W903" s="74"/>
      <c r="X903" s="74"/>
      <c r="Y903" s="74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</row>
    <row r="904" spans="1:45">
      <c r="A904" s="308" t="s">
        <v>461</v>
      </c>
      <c r="B904" s="1"/>
      <c r="C904" s="304">
        <f t="shared" ref="C904:C909" si="179">C923+C1091</f>
        <v>781.84848484848533</v>
      </c>
      <c r="D904" s="322"/>
      <c r="E904" s="306"/>
      <c r="F904" s="2">
        <f>F923+F1091</f>
        <v>1087943</v>
      </c>
      <c r="G904" s="322"/>
      <c r="H904" s="306"/>
      <c r="I904" s="2">
        <f ca="1">I923+I1091</f>
        <v>1107359</v>
      </c>
      <c r="J904" s="2"/>
      <c r="K904" s="322"/>
      <c r="L904" s="306"/>
      <c r="M904" s="2">
        <f ca="1">M923+M1091</f>
        <v>1107359</v>
      </c>
      <c r="N904" s="2"/>
      <c r="O904" s="322"/>
      <c r="P904" s="306"/>
      <c r="Q904" s="2">
        <f>Q923+Q1091</f>
        <v>0</v>
      </c>
      <c r="R904" s="2"/>
      <c r="S904" s="322"/>
      <c r="T904" s="306"/>
      <c r="U904" s="2">
        <f>U923+U1091</f>
        <v>0</v>
      </c>
      <c r="W904" s="55" t="s">
        <v>31</v>
      </c>
      <c r="X904" s="3"/>
      <c r="Y904" s="3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462</v>
      </c>
      <c r="B905" s="1"/>
      <c r="C905" s="304">
        <f t="shared" si="179"/>
        <v>12.033333333333299</v>
      </c>
      <c r="D905" s="322"/>
      <c r="E905" s="309"/>
      <c r="F905" s="2">
        <f>F924+F1092</f>
        <v>31010</v>
      </c>
      <c r="G905" s="322"/>
      <c r="H905" s="309"/>
      <c r="I905" s="2">
        <f ca="1">I924+I1092</f>
        <v>32237</v>
      </c>
      <c r="J905" s="2"/>
      <c r="K905" s="322"/>
      <c r="L905" s="309"/>
      <c r="M905" s="2">
        <f ca="1">M924+M1092</f>
        <v>32237</v>
      </c>
      <c r="N905" s="2"/>
      <c r="O905" s="322"/>
      <c r="P905" s="309"/>
      <c r="Q905" s="2">
        <f>Q924+Q1092</f>
        <v>0</v>
      </c>
      <c r="R905" s="2"/>
      <c r="S905" s="322"/>
      <c r="T905" s="309"/>
      <c r="U905" s="2">
        <f>U924+U1092</f>
        <v>0</v>
      </c>
      <c r="W905" s="55" t="s">
        <v>31</v>
      </c>
      <c r="X905" s="3"/>
      <c r="Y905" s="3"/>
      <c r="Z905" s="106"/>
      <c r="AA905" s="106"/>
      <c r="AB905" s="106"/>
      <c r="AC905" s="106"/>
      <c r="AD905" s="106"/>
      <c r="AE905" s="106"/>
      <c r="AF905" s="222"/>
      <c r="AG905" s="314"/>
      <c r="AH905" s="314"/>
      <c r="AN905" s="20"/>
      <c r="AO905" s="20"/>
      <c r="AP905" s="20"/>
      <c r="AQ905" s="20"/>
      <c r="AR905" s="20"/>
      <c r="AS905" s="20"/>
    </row>
    <row r="906" spans="1:45">
      <c r="A906" s="308" t="s">
        <v>384</v>
      </c>
      <c r="B906" s="1"/>
      <c r="C906" s="304">
        <f t="shared" si="179"/>
        <v>793.88181818181874</v>
      </c>
      <c r="D906" s="322"/>
      <c r="E906" s="306"/>
      <c r="F906" s="2"/>
      <c r="G906" s="322"/>
      <c r="H906" s="306"/>
      <c r="I906" s="2"/>
      <c r="J906" s="2"/>
      <c r="K906" s="322"/>
      <c r="L906" s="306"/>
      <c r="M906" s="2"/>
      <c r="N906" s="2"/>
      <c r="O906" s="322"/>
      <c r="P906" s="306"/>
      <c r="Q906" s="2"/>
      <c r="R906" s="2"/>
      <c r="S906" s="322"/>
      <c r="T906" s="306"/>
      <c r="U906" s="2"/>
      <c r="W906" s="305"/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463</v>
      </c>
      <c r="B907" s="1"/>
      <c r="C907" s="304">
        <f t="shared" si="179"/>
        <v>1152406.7586206889</v>
      </c>
      <c r="D907" s="322"/>
      <c r="E907" s="306"/>
      <c r="F907" s="2">
        <f>F926+F1094</f>
        <v>1142947</v>
      </c>
      <c r="G907" s="322"/>
      <c r="H907" s="306"/>
      <c r="I907" s="2">
        <f ca="1">I926+I1094</f>
        <v>1163685</v>
      </c>
      <c r="J907" s="2"/>
      <c r="K907" s="322"/>
      <c r="L907" s="306"/>
      <c r="M907" s="2">
        <f ca="1">M926+M1094</f>
        <v>1163685</v>
      </c>
      <c r="N907" s="2"/>
      <c r="O907" s="322"/>
      <c r="P907" s="306"/>
      <c r="Q907" s="2">
        <f>Q926+Q1094</f>
        <v>0</v>
      </c>
      <c r="R907" s="2"/>
      <c r="S907" s="322"/>
      <c r="T907" s="306"/>
      <c r="U907" s="2">
        <f>U926+U1094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308" t="s">
        <v>464</v>
      </c>
      <c r="B908" s="1"/>
      <c r="C908" s="304">
        <f t="shared" si="179"/>
        <v>703485</v>
      </c>
      <c r="D908" s="322"/>
      <c r="E908" s="306"/>
      <c r="F908" s="2">
        <f>F927+F1095</f>
        <v>168836</v>
      </c>
      <c r="G908" s="322"/>
      <c r="H908" s="306"/>
      <c r="I908" s="2">
        <f ca="1">I927+I1095</f>
        <v>175871</v>
      </c>
      <c r="J908" s="2"/>
      <c r="K908" s="322"/>
      <c r="L908" s="306"/>
      <c r="M908" s="2">
        <f ca="1">M927+M1095</f>
        <v>175871</v>
      </c>
      <c r="N908" s="2"/>
      <c r="O908" s="322"/>
      <c r="P908" s="306"/>
      <c r="Q908" s="2">
        <f>Q927+Q1095</f>
        <v>0</v>
      </c>
      <c r="R908" s="2"/>
      <c r="S908" s="322"/>
      <c r="T908" s="306"/>
      <c r="U908" s="2">
        <f>U927+U1095</f>
        <v>0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294" t="s">
        <v>393</v>
      </c>
      <c r="B909" s="1"/>
      <c r="C909" s="304">
        <f t="shared" si="179"/>
        <v>1624150.3448275861</v>
      </c>
      <c r="D909" s="322"/>
      <c r="E909" s="306"/>
      <c r="F909" s="2">
        <f>F928+F1096</f>
        <v>12543409</v>
      </c>
      <c r="G909" s="322"/>
      <c r="H909" s="306"/>
      <c r="I909" s="2">
        <f ca="1">I928+I1096</f>
        <v>12753358</v>
      </c>
      <c r="J909" s="2"/>
      <c r="K909" s="322"/>
      <c r="L909" s="306"/>
      <c r="M909" s="2" t="e">
        <f ca="1">M928+M1096</f>
        <v>#DIV/0!</v>
      </c>
      <c r="N909" s="2"/>
      <c r="O909" s="322"/>
      <c r="P909" s="306"/>
      <c r="Q909" s="2" t="e">
        <f ca="1">Q928+Q1096</f>
        <v>#DIV/0!</v>
      </c>
      <c r="R909" s="2"/>
      <c r="S909" s="322"/>
      <c r="T909" s="306"/>
      <c r="U909" s="2" t="e">
        <f ca="1">U928+U1096</f>
        <v>#DIV/0!</v>
      </c>
      <c r="W909" s="55" t="s">
        <v>31</v>
      </c>
      <c r="X909" s="3"/>
      <c r="Y909" s="3"/>
      <c r="Z909" s="106"/>
      <c r="AA909" s="106"/>
      <c r="AB909" s="106"/>
      <c r="AC909" s="106"/>
      <c r="AD909" s="106"/>
      <c r="AE909" s="106"/>
      <c r="AF909" s="222"/>
      <c r="AN909" s="20"/>
      <c r="AO909" s="20"/>
      <c r="AP909" s="20"/>
      <c r="AQ909" s="20"/>
      <c r="AR909" s="20"/>
      <c r="AS909" s="20"/>
    </row>
    <row r="910" spans="1:45">
      <c r="A910" s="308" t="s">
        <v>416</v>
      </c>
      <c r="B910" s="1"/>
      <c r="C910" s="304"/>
      <c r="D910" s="322"/>
      <c r="E910" s="306"/>
      <c r="F910" s="2"/>
      <c r="G910" s="322"/>
      <c r="H910" s="306"/>
      <c r="I910" s="2"/>
      <c r="J910" s="2"/>
      <c r="K910" s="322"/>
      <c r="L910" s="306"/>
      <c r="M910" s="2"/>
      <c r="N910" s="2"/>
      <c r="O910" s="322"/>
      <c r="P910" s="306"/>
      <c r="Q910" s="2"/>
      <c r="R910" s="2"/>
      <c r="S910" s="322"/>
      <c r="T910" s="306"/>
      <c r="U910" s="2"/>
      <c r="W910" s="305"/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454</v>
      </c>
      <c r="B911" s="1"/>
      <c r="C911" s="304">
        <f>C930+C1098</f>
        <v>869720303.16002488</v>
      </c>
      <c r="D911" s="957"/>
      <c r="E911" s="306"/>
      <c r="F911" s="2">
        <f>F930+F1098</f>
        <v>40092821</v>
      </c>
      <c r="G911" s="380"/>
      <c r="H911" s="306"/>
      <c r="I911" s="2">
        <f ca="1">I930+I1098</f>
        <v>40771202</v>
      </c>
      <c r="J911" s="2"/>
      <c r="K911" s="380"/>
      <c r="L911" s="306"/>
      <c r="M911" s="2">
        <f>M930+M1098</f>
        <v>0</v>
      </c>
      <c r="N911" s="2"/>
      <c r="O911" s="380"/>
      <c r="P911" s="306"/>
      <c r="Q911" s="2" t="e">
        <f ca="1">Q930+Q1098</f>
        <v>#DIV/0!</v>
      </c>
      <c r="R911" s="2"/>
      <c r="S911" s="380"/>
      <c r="T911" s="306"/>
      <c r="U911" s="2" t="e">
        <f ca="1">U930+U1098</f>
        <v>#DIV/0!</v>
      </c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>
      <c r="A912" s="308" t="s">
        <v>390</v>
      </c>
      <c r="B912" s="1"/>
      <c r="C912" s="304">
        <f>C931+C1099</f>
        <v>359083.13939393929</v>
      </c>
      <c r="D912" s="322"/>
      <c r="E912" s="306"/>
      <c r="F912" s="2">
        <f>F931+F1099</f>
        <v>193665</v>
      </c>
      <c r="G912" s="322"/>
      <c r="H912" s="306"/>
      <c r="I912" s="2">
        <f ca="1">I931+I1099</f>
        <v>197256</v>
      </c>
      <c r="J912" s="2"/>
      <c r="K912" s="322"/>
      <c r="L912" s="306"/>
      <c r="M912" s="2">
        <f>M931+M1099</f>
        <v>0</v>
      </c>
      <c r="N912" s="2"/>
      <c r="O912" s="322"/>
      <c r="P912" s="306"/>
      <c r="Q912" s="2" t="e">
        <f ca="1">Q931+Q1099</f>
        <v>#DIV/0!</v>
      </c>
      <c r="R912" s="2"/>
      <c r="S912" s="322"/>
      <c r="T912" s="306"/>
      <c r="U912" s="2" t="e">
        <f ca="1">U931+U1099</f>
        <v>#DIV/0!</v>
      </c>
      <c r="V912" s="305"/>
      <c r="W912" s="55" t="s">
        <v>31</v>
      </c>
      <c r="AI912" s="20"/>
      <c r="AJ912" s="20"/>
      <c r="AK912" s="20"/>
      <c r="AL912" s="20"/>
      <c r="AM912" s="20"/>
      <c r="AN912" s="20"/>
      <c r="AO912" s="20"/>
      <c r="AP912" s="20"/>
    </row>
    <row r="913" spans="1:44" s="1118" customFormat="1" hidden="1">
      <c r="A913" s="968" t="s">
        <v>891</v>
      </c>
      <c r="C913" s="987">
        <f>C933+C1115</f>
        <v>411242303.16002488</v>
      </c>
      <c r="D913" s="254"/>
      <c r="E913" s="1119"/>
      <c r="F913" s="1123"/>
      <c r="G913" s="250"/>
      <c r="H913" s="1119"/>
      <c r="I913" s="1123">
        <f ca="1">I933+I1115</f>
        <v>29280348</v>
      </c>
      <c r="J913" s="1123"/>
      <c r="K913" s="250"/>
      <c r="L913" s="1119"/>
      <c r="M913" s="1123" t="e">
        <f ca="1">M933+M1115</f>
        <v>#DIV/0!</v>
      </c>
      <c r="N913" s="1123"/>
      <c r="O913" s="250"/>
      <c r="P913" s="1119"/>
      <c r="Q913" s="1123" t="e">
        <f ca="1">Q933+Q1115</f>
        <v>#DIV/0!</v>
      </c>
      <c r="R913" s="1123"/>
      <c r="S913" s="250"/>
      <c r="T913" s="1119"/>
      <c r="U913" s="1123" t="e">
        <f ca="1">U933+U1115</f>
        <v>#DIV/0!</v>
      </c>
      <c r="W913" s="784"/>
      <c r="Z913" s="1125"/>
      <c r="AA913" s="1125"/>
      <c r="AF913" s="1119"/>
      <c r="AG913" s="1119"/>
      <c r="AH913" s="1119"/>
      <c r="AI913" s="1119"/>
      <c r="AJ913" s="1119"/>
      <c r="AK913" s="1119"/>
      <c r="AL913" s="1119"/>
      <c r="AM913" s="1119"/>
      <c r="AN913" s="1119"/>
      <c r="AO913" s="1119"/>
      <c r="AP913" s="1119"/>
      <c r="AR913" s="1124"/>
    </row>
    <row r="914" spans="1:44">
      <c r="A914" s="1" t="s">
        <v>371</v>
      </c>
      <c r="B914" s="1"/>
      <c r="C914" s="304">
        <f>C933+C1102</f>
        <v>869720303.16002488</v>
      </c>
      <c r="D914" s="309"/>
      <c r="E914" s="1"/>
      <c r="F914" s="2">
        <f>F933+F1102</f>
        <v>55260631</v>
      </c>
      <c r="G914" s="2"/>
      <c r="H914" s="1"/>
      <c r="I914" s="2">
        <f ca="1">I933+I1102</f>
        <v>56200968</v>
      </c>
      <c r="J914" s="2"/>
      <c r="K914" s="2"/>
      <c r="L914" s="1"/>
      <c r="M914" s="2" t="e">
        <f ca="1">M933+M1102</f>
        <v>#DIV/0!</v>
      </c>
      <c r="N914" s="2"/>
      <c r="O914" s="2"/>
      <c r="P914" s="1"/>
      <c r="Q914" s="2" t="e">
        <f ca="1">Q933+Q1102</f>
        <v>#DIV/0!</v>
      </c>
      <c r="R914" s="2"/>
      <c r="S914" s="2"/>
      <c r="T914" s="1"/>
      <c r="U914" s="2" t="e">
        <f ca="1">U933+U1102</f>
        <v>#DIV/0!</v>
      </c>
      <c r="AI914" s="20"/>
      <c r="AJ914" s="20"/>
      <c r="AK914" s="20"/>
      <c r="AL914" s="20"/>
      <c r="AM914" s="20"/>
      <c r="AN914" s="20"/>
      <c r="AO914" s="20"/>
      <c r="AP914" s="20"/>
    </row>
    <row r="915" spans="1:44">
      <c r="A915" s="1" t="s">
        <v>353</v>
      </c>
      <c r="B915" s="1"/>
      <c r="C915" s="325">
        <f ca="1">C934+C1103</f>
        <v>3474016.6711449809</v>
      </c>
      <c r="D915" s="294"/>
      <c r="E915" s="294"/>
      <c r="F915" s="738">
        <f ca="1">F934+F1103</f>
        <v>239959.44409985474</v>
      </c>
      <c r="G915" s="294"/>
      <c r="H915" s="294"/>
      <c r="I915" s="738">
        <f ca="1">I934+I1103</f>
        <v>239959.44409985474</v>
      </c>
      <c r="J915" s="51"/>
      <c r="K915" s="294"/>
      <c r="L915" s="294"/>
      <c r="M915" s="738" t="e">
        <f ca="1">M934+M1103</f>
        <v>#DIV/0!</v>
      </c>
      <c r="N915" s="51"/>
      <c r="O915" s="294"/>
      <c r="P915" s="294"/>
      <c r="Q915" s="738" t="e">
        <f ca="1">Q934+Q1103</f>
        <v>#DIV/0!</v>
      </c>
      <c r="R915" s="51"/>
      <c r="S915" s="294"/>
      <c r="T915" s="294"/>
      <c r="U915" s="738" t="e">
        <f ca="1">U934+U1103</f>
        <v>#DIV/0!</v>
      </c>
      <c r="Z915" s="261"/>
      <c r="AA915" s="26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Bot="1">
      <c r="A916" s="1" t="s">
        <v>372</v>
      </c>
      <c r="B916" s="1"/>
      <c r="C916" s="741">
        <f ca="1">SUM(C914:C915)</f>
        <v>873194319.83116984</v>
      </c>
      <c r="D916" s="327"/>
      <c r="E916" s="330"/>
      <c r="F916" s="739">
        <f ca="1">F914+F915</f>
        <v>55500590.444099858</v>
      </c>
      <c r="G916" s="327"/>
      <c r="H916" s="330"/>
      <c r="I916" s="739">
        <f ca="1">I914+I915</f>
        <v>56440927.444099858</v>
      </c>
      <c r="J916" s="51"/>
      <c r="K916" s="327"/>
      <c r="L916" s="330"/>
      <c r="M916" s="739" t="e">
        <f ca="1">M914+M915</f>
        <v>#DIV/0!</v>
      </c>
      <c r="N916" s="51"/>
      <c r="O916" s="327"/>
      <c r="P916" s="330"/>
      <c r="Q916" s="739" t="e">
        <f ca="1">Q914+Q915</f>
        <v>#DIV/0!</v>
      </c>
      <c r="R916" s="51"/>
      <c r="S916" s="327"/>
      <c r="T916" s="330"/>
      <c r="U916" s="739" t="e">
        <f ca="1">U914+U915</f>
        <v>#DIV/0!</v>
      </c>
      <c r="V916" s="757" t="s">
        <v>354</v>
      </c>
      <c r="W916" s="778">
        <f ca="1">('Rate Spread targets'!Q28+'Rate Spread targets'!Q29+'Rate Spread targets'!Q30)*1000</f>
        <v>56766520.145993784</v>
      </c>
      <c r="X916" s="1417">
        <f ca="1">'Rate Spread targets'!V29</f>
        <v>1.6941448609556001E-2</v>
      </c>
      <c r="Y916" s="751"/>
      <c r="AI916" s="20"/>
      <c r="AJ916" s="20"/>
      <c r="AK916" s="20"/>
      <c r="AL916" s="20"/>
      <c r="AM916" s="20"/>
      <c r="AN916" s="20"/>
      <c r="AO916" s="20"/>
      <c r="AP916" s="20"/>
    </row>
    <row r="917" spans="1:44" ht="16.5" thickTop="1">
      <c r="A917" s="1"/>
      <c r="B917" s="1"/>
      <c r="C917" s="21"/>
      <c r="D917" s="322" t="s">
        <v>31</v>
      </c>
      <c r="E917" s="1"/>
      <c r="F917" s="2"/>
      <c r="G917" s="338" t="s">
        <v>31</v>
      </c>
      <c r="H917" s="1"/>
      <c r="I917" s="2" t="s">
        <v>31</v>
      </c>
      <c r="J917" s="2"/>
      <c r="K917" s="338" t="s">
        <v>31</v>
      </c>
      <c r="L917" s="1"/>
      <c r="M917" s="2" t="s">
        <v>31</v>
      </c>
      <c r="N917" s="2"/>
      <c r="O917" s="338" t="s">
        <v>31</v>
      </c>
      <c r="P917" s="1"/>
      <c r="Q917" s="2" t="s">
        <v>31</v>
      </c>
      <c r="R917" s="2"/>
      <c r="S917" s="338" t="s">
        <v>31</v>
      </c>
      <c r="T917" s="1"/>
      <c r="U917" s="2" t="s">
        <v>31</v>
      </c>
      <c r="V917" s="112" t="s">
        <v>257</v>
      </c>
      <c r="W917" s="780">
        <f ca="1">W916-I916-I898</f>
        <v>-224.20352508581709</v>
      </c>
      <c r="X917" s="783" t="s">
        <v>31</v>
      </c>
      <c r="Y917" s="794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1"/>
      <c r="B918" s="1"/>
      <c r="C918" s="21"/>
      <c r="D918" s="322"/>
      <c r="E918" s="1"/>
      <c r="F918" s="2" t="s">
        <v>31</v>
      </c>
      <c r="G918" s="322"/>
      <c r="H918" s="1"/>
      <c r="I918" s="365"/>
      <c r="J918" s="365"/>
      <c r="K918" s="322"/>
      <c r="L918" s="1"/>
      <c r="M918" s="365"/>
      <c r="N918" s="365"/>
      <c r="O918" s="322"/>
      <c r="P918" s="1"/>
      <c r="Q918" s="365"/>
      <c r="R918" s="365"/>
      <c r="S918" s="322"/>
      <c r="T918" s="1"/>
      <c r="U918" s="365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78" t="s">
        <v>466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401"/>
      <c r="W919" s="74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294" t="s">
        <v>468</v>
      </c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/>
      <c r="B921" s="1"/>
      <c r="C921" s="1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20"/>
      <c r="W921" s="74"/>
      <c r="X921" s="74"/>
      <c r="Y921" s="74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</row>
    <row r="922" spans="1:44">
      <c r="A922" s="308" t="s">
        <v>383</v>
      </c>
      <c r="B922" s="1"/>
      <c r="C922" s="304"/>
      <c r="D922" s="2"/>
      <c r="E922" s="1"/>
      <c r="F922" s="1"/>
      <c r="G922" s="2"/>
      <c r="H922" s="1"/>
      <c r="I922" s="1"/>
      <c r="J922" s="1"/>
      <c r="K922" s="2"/>
      <c r="L922" s="1"/>
      <c r="M922" s="1"/>
      <c r="N922" s="1"/>
      <c r="O922" s="2"/>
      <c r="P922" s="1"/>
      <c r="Q922" s="1"/>
      <c r="R922" s="1"/>
      <c r="S922" s="2"/>
      <c r="T922" s="1"/>
      <c r="U922" s="1"/>
      <c r="X922" s="20"/>
      <c r="Y922" s="20"/>
      <c r="Z922" s="69" t="s">
        <v>31</v>
      </c>
      <c r="AH922" s="19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461</v>
      </c>
      <c r="B923" s="1"/>
      <c r="C923" s="304">
        <f>C941+C997</f>
        <v>781.84848484848533</v>
      </c>
      <c r="D923" s="398"/>
      <c r="E923" s="306"/>
      <c r="F923" s="306">
        <f>F941+F997</f>
        <v>1087943</v>
      </c>
      <c r="H923" s="306"/>
      <c r="I923" s="306">
        <f ca="1">I941+I997</f>
        <v>1107359</v>
      </c>
      <c r="J923" s="2"/>
      <c r="L923" s="306"/>
      <c r="M923" s="306">
        <f ca="1">M941+M997</f>
        <v>1107359</v>
      </c>
      <c r="N923" s="2"/>
      <c r="P923" s="306"/>
      <c r="Q923" s="306">
        <f>Q941+Q997</f>
        <v>0</v>
      </c>
      <c r="R923" s="2"/>
      <c r="T923" s="306"/>
      <c r="U923" s="306">
        <f>U941+U997</f>
        <v>0</v>
      </c>
      <c r="W923" s="322">
        <f ca="1">G961</f>
        <v>1411</v>
      </c>
      <c r="X923" s="14">
        <f ca="1">(W923-D941)/D941</f>
        <v>1.8037518037518036E-2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462</v>
      </c>
      <c r="B924" s="1"/>
      <c r="C924" s="304">
        <f>C942+C998</f>
        <v>0</v>
      </c>
      <c r="D924" s="398"/>
      <c r="E924" s="309"/>
      <c r="F924" s="306">
        <f>F942+F998</f>
        <v>0</v>
      </c>
      <c r="H924" s="309"/>
      <c r="I924" s="306">
        <f ca="1">I942+I998</f>
        <v>0</v>
      </c>
      <c r="J924" s="2"/>
      <c r="L924" s="309"/>
      <c r="M924" s="306">
        <f ca="1">M942+M998</f>
        <v>0</v>
      </c>
      <c r="N924" s="2"/>
      <c r="P924" s="309"/>
      <c r="Q924" s="306">
        <f>Q942+Q998</f>
        <v>0</v>
      </c>
      <c r="R924" s="2"/>
      <c r="T924" s="309"/>
      <c r="U924" s="306">
        <f>U942+U998</f>
        <v>0</v>
      </c>
      <c r="W924" s="322">
        <f ca="1">G962</f>
        <v>1703</v>
      </c>
      <c r="X924" s="14">
        <f ca="1">(W924-D942)/D942</f>
        <v>1.671641791044776E-2</v>
      </c>
      <c r="Y924" s="14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384</v>
      </c>
      <c r="B925" s="1"/>
      <c r="C925" s="304">
        <f t="shared" ref="C925:C929" si="180">C1056+C1075</f>
        <v>781.84848484848544</v>
      </c>
      <c r="D925" s="398"/>
      <c r="E925" s="306"/>
      <c r="F925" s="306">
        <f t="shared" ref="F925:F929" si="181">F1056+F1075</f>
        <v>0</v>
      </c>
      <c r="H925" s="306"/>
      <c r="I925" s="306">
        <f t="shared" ref="I925:I929" si="182">I1056+I1075</f>
        <v>0</v>
      </c>
      <c r="J925" s="2"/>
      <c r="L925" s="306"/>
      <c r="M925" s="306">
        <f t="shared" ref="M925:M929" si="183">M1056+M1075</f>
        <v>0</v>
      </c>
      <c r="N925" s="2"/>
      <c r="P925" s="306"/>
      <c r="Q925" s="306">
        <f t="shared" ref="Q925:Q929" si="184">Q1056+Q1075</f>
        <v>0</v>
      </c>
      <c r="R925" s="2"/>
      <c r="T925" s="306"/>
      <c r="U925" s="306">
        <f t="shared" ref="U925:U929" si="185">U1056+U1075</f>
        <v>0</v>
      </c>
      <c r="W925" s="322" t="s">
        <v>31</v>
      </c>
      <c r="X925" s="305"/>
      <c r="Y925" s="305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463</v>
      </c>
      <c r="B926" s="1"/>
      <c r="C926" s="304">
        <f>C944+C1000</f>
        <v>1152406.7586206889</v>
      </c>
      <c r="D926" s="398"/>
      <c r="E926" s="306"/>
      <c r="F926" s="306">
        <f>F944+F1000</f>
        <v>1142947</v>
      </c>
      <c r="H926" s="306"/>
      <c r="I926" s="306">
        <f ca="1">I944+I1000</f>
        <v>1163685</v>
      </c>
      <c r="J926" s="2"/>
      <c r="L926" s="306"/>
      <c r="M926" s="306">
        <f ca="1">M944+M1000</f>
        <v>1163685</v>
      </c>
      <c r="N926" s="2"/>
      <c r="P926" s="306"/>
      <c r="Q926" s="306">
        <f>Q944+Q1000</f>
        <v>0</v>
      </c>
      <c r="R926" s="2"/>
      <c r="T926" s="306"/>
      <c r="U926" s="306">
        <f>U944+U1000</f>
        <v>0</v>
      </c>
      <c r="W926" s="322">
        <f ca="1">G964</f>
        <v>1.1200000000000001</v>
      </c>
      <c r="X926" s="14">
        <f ca="1">(W926-D944)/D944</f>
        <v>1.8181818181818195E-2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308" t="s">
        <v>464</v>
      </c>
      <c r="B927" s="1"/>
      <c r="C927" s="304">
        <f t="shared" ref="C927:C928" si="186">C945+C1001</f>
        <v>0</v>
      </c>
      <c r="D927" s="398"/>
      <c r="E927" s="306"/>
      <c r="F927" s="306">
        <f t="shared" ref="F927:F928" si="187">F945+F1001</f>
        <v>0</v>
      </c>
      <c r="H927" s="306"/>
      <c r="I927" s="306">
        <f t="shared" ref="I927:I928" ca="1" si="188">I945+I1001</f>
        <v>0</v>
      </c>
      <c r="J927" s="2"/>
      <c r="L927" s="306"/>
      <c r="M927" s="306">
        <f t="shared" ref="M927:M928" ca="1" si="189">M945+M1001</f>
        <v>0</v>
      </c>
      <c r="N927" s="2"/>
      <c r="P927" s="306"/>
      <c r="Q927" s="306">
        <f t="shared" ref="Q927:Q928" si="190">Q945+Q1001</f>
        <v>0</v>
      </c>
      <c r="R927" s="2"/>
      <c r="T927" s="306"/>
      <c r="U927" s="306">
        <f t="shared" ref="U927:U928" si="191">U945+U1001</f>
        <v>0</v>
      </c>
      <c r="W927" s="322">
        <f ca="1">G965</f>
        <v>1.01</v>
      </c>
      <c r="X927" s="14">
        <f ca="1">(W927-D945)/D945</f>
        <v>2.0202020202020221E-2</v>
      </c>
      <c r="Y927" s="14"/>
      <c r="AB927" s="106"/>
      <c r="AC927" s="222"/>
      <c r="AD927" s="106"/>
      <c r="AE927" s="222"/>
      <c r="AF927" s="106"/>
      <c r="AG927" s="106"/>
      <c r="AH927" s="71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</row>
    <row r="928" spans="1:44">
      <c r="A928" s="294" t="s">
        <v>393</v>
      </c>
      <c r="B928" s="1"/>
      <c r="C928" s="304">
        <f t="shared" si="186"/>
        <v>939556.34482758609</v>
      </c>
      <c r="D928" s="398"/>
      <c r="E928" s="306"/>
      <c r="F928" s="306">
        <f t="shared" si="187"/>
        <v>7326803</v>
      </c>
      <c r="H928" s="306"/>
      <c r="I928" s="306">
        <f t="shared" ca="1" si="188"/>
        <v>7454600</v>
      </c>
      <c r="J928" s="2"/>
      <c r="L928" s="306"/>
      <c r="M928" s="306" t="e">
        <f t="shared" ca="1" si="189"/>
        <v>#DIV/0!</v>
      </c>
      <c r="N928" s="2"/>
      <c r="P928" s="306"/>
      <c r="Q928" s="306" t="e">
        <f t="shared" ca="1" si="190"/>
        <v>#DIV/0!</v>
      </c>
      <c r="R928" s="2"/>
      <c r="T928" s="306"/>
      <c r="U928" s="306" t="e">
        <f t="shared" ca="1" si="191"/>
        <v>#DIV/0!</v>
      </c>
      <c r="W928" s="322">
        <f ca="1">G966</f>
        <v>7.97</v>
      </c>
      <c r="X928" s="14">
        <f ca="1">(W928-D946)/D946</f>
        <v>1.7879948914431631E-2</v>
      </c>
      <c r="Y928" s="14"/>
      <c r="AA928" s="74"/>
      <c r="AB928" s="714"/>
      <c r="AC928" s="710"/>
      <c r="AD928" s="714"/>
      <c r="AE928" s="710"/>
      <c r="AF928" s="714"/>
      <c r="AG928" s="74"/>
      <c r="AH928" s="71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416</v>
      </c>
      <c r="B929" s="1"/>
      <c r="C929" s="304">
        <f t="shared" si="180"/>
        <v>0</v>
      </c>
      <c r="D929" s="398"/>
      <c r="E929" s="306"/>
      <c r="F929" s="306">
        <f t="shared" si="181"/>
        <v>0</v>
      </c>
      <c r="H929" s="306"/>
      <c r="I929" s="306">
        <f t="shared" si="182"/>
        <v>0</v>
      </c>
      <c r="J929" s="2"/>
      <c r="L929" s="306"/>
      <c r="M929" s="306">
        <f t="shared" si="183"/>
        <v>0</v>
      </c>
      <c r="N929" s="2"/>
      <c r="P929" s="306"/>
      <c r="Q929" s="306">
        <f t="shared" si="184"/>
        <v>0</v>
      </c>
      <c r="R929" s="2"/>
      <c r="T929" s="306"/>
      <c r="U929" s="306">
        <f t="shared" si="185"/>
        <v>0</v>
      </c>
      <c r="W929" s="322" t="s">
        <v>31</v>
      </c>
      <c r="X929" s="305"/>
      <c r="Y929" s="305"/>
      <c r="AA929" s="74"/>
      <c r="AB929" s="20"/>
      <c r="AC929" s="20"/>
      <c r="AD929" s="40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454</v>
      </c>
      <c r="B930" s="1"/>
      <c r="C930" s="304">
        <f>C948+C1004</f>
        <v>411242303.16002488</v>
      </c>
      <c r="D930" s="398"/>
      <c r="E930" s="306"/>
      <c r="F930" s="306">
        <f>F948+F1004</f>
        <v>19135792</v>
      </c>
      <c r="H930" s="306"/>
      <c r="I930" s="306">
        <f ca="1">I948+I1004</f>
        <v>19456560</v>
      </c>
      <c r="J930" s="2"/>
      <c r="L930" s="306"/>
      <c r="M930" s="306">
        <f>M948+M1004</f>
        <v>0</v>
      </c>
      <c r="N930" s="2"/>
      <c r="P930" s="306"/>
      <c r="Q930" s="306" t="e">
        <f ca="1">Q948+Q1004</f>
        <v>#DIV/0!</v>
      </c>
      <c r="R930" s="2"/>
      <c r="T930" s="306"/>
      <c r="U930" s="306" t="e">
        <f ca="1">U948+U1004</f>
        <v>#DIV/0!</v>
      </c>
      <c r="W930" s="777" t="s">
        <v>31</v>
      </c>
      <c r="X930" s="55" t="s">
        <v>31</v>
      </c>
      <c r="Y930" s="14"/>
      <c r="AA930" s="74"/>
      <c r="AB930" s="20"/>
      <c r="AC930" s="20"/>
      <c r="AD930" s="714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>
      <c r="A931" s="308" t="s">
        <v>390</v>
      </c>
      <c r="B931" s="1"/>
      <c r="C931" s="304">
        <f>C949+C1005</f>
        <v>175542.2727272723</v>
      </c>
      <c r="D931" s="398"/>
      <c r="E931" s="306"/>
      <c r="F931" s="306">
        <f>F949+F1005</f>
        <v>96388</v>
      </c>
      <c r="H931" s="306"/>
      <c r="I931" s="306">
        <f ca="1">I949+I1005</f>
        <v>98144</v>
      </c>
      <c r="J931" s="2"/>
      <c r="L931" s="306"/>
      <c r="M931" s="306">
        <f>M949+M1005</f>
        <v>0</v>
      </c>
      <c r="N931" s="2"/>
      <c r="P931" s="306"/>
      <c r="Q931" s="306" t="e">
        <f ca="1">Q949+Q1005</f>
        <v>#DIV/0!</v>
      </c>
      <c r="R931" s="2"/>
      <c r="T931" s="306"/>
      <c r="U931" s="306" t="e">
        <f ca="1">U949+U1005</f>
        <v>#DIV/0!</v>
      </c>
      <c r="W931" s="322">
        <f ca="1">G949</f>
        <v>0.56000000000000005</v>
      </c>
      <c r="X931" s="14">
        <f ca="1">(W931-D949)/D949</f>
        <v>1.8181818181818195E-2</v>
      </c>
      <c r="Y931" s="14"/>
      <c r="AA931" s="74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</row>
    <row r="932" spans="1:44" s="1118" customFormat="1" hidden="1">
      <c r="A932" s="968" t="s">
        <v>891</v>
      </c>
      <c r="C932" s="304">
        <f>C950+C1006</f>
        <v>411242303.16002488</v>
      </c>
      <c r="D932" s="254"/>
      <c r="E932" s="1119"/>
      <c r="F932" s="306">
        <f>F950+F1006</f>
        <v>0</v>
      </c>
      <c r="G932" s="250"/>
      <c r="H932" s="1119"/>
      <c r="I932" s="306">
        <f>I950+I1006</f>
        <v>0</v>
      </c>
      <c r="J932" s="1123"/>
      <c r="K932" s="250"/>
      <c r="L932" s="1119"/>
      <c r="M932" s="306">
        <f>M950+M1006</f>
        <v>0</v>
      </c>
      <c r="N932" s="1123"/>
      <c r="O932" s="250"/>
      <c r="P932" s="1119"/>
      <c r="Q932" s="306">
        <f>Q950+Q1006</f>
        <v>0</v>
      </c>
      <c r="R932" s="1123"/>
      <c r="S932" s="250"/>
      <c r="T932" s="1119"/>
      <c r="U932" s="306">
        <f>U950+U1006</f>
        <v>0</v>
      </c>
      <c r="W932" s="784"/>
      <c r="Z932" s="1125"/>
      <c r="AA932" s="1125"/>
      <c r="AF932" s="1119"/>
      <c r="AG932" s="1119"/>
      <c r="AH932" s="1119"/>
      <c r="AI932" s="1119"/>
      <c r="AJ932" s="1119"/>
      <c r="AK932" s="1119"/>
      <c r="AL932" s="1119"/>
      <c r="AM932" s="1119"/>
      <c r="AN932" s="1119"/>
      <c r="AO932" s="1119"/>
      <c r="AP932" s="1119"/>
      <c r="AR932" s="1124"/>
    </row>
    <row r="933" spans="1:44">
      <c r="A933" s="1" t="s">
        <v>371</v>
      </c>
      <c r="B933" s="1"/>
      <c r="C933" s="304">
        <f>C952+C1008</f>
        <v>411242303.16002488</v>
      </c>
      <c r="D933" s="309"/>
      <c r="E933" s="1"/>
      <c r="F933" s="306">
        <f>F952+F1008</f>
        <v>28789873</v>
      </c>
      <c r="G933" s="2"/>
      <c r="H933" s="1"/>
      <c r="I933" s="306">
        <f ca="1">I952+I1008</f>
        <v>29280348</v>
      </c>
      <c r="J933" s="2"/>
      <c r="K933" s="2"/>
      <c r="L933" s="1"/>
      <c r="M933" s="306" t="e">
        <f ca="1">M952+M1008</f>
        <v>#DIV/0!</v>
      </c>
      <c r="N933" s="2"/>
      <c r="O933" s="2"/>
      <c r="P933" s="1"/>
      <c r="Q933" s="306" t="e">
        <f ca="1">Q952+Q1008</f>
        <v>#DIV/0!</v>
      </c>
      <c r="R933" s="2"/>
      <c r="S933" s="2"/>
      <c r="T933" s="1"/>
      <c r="U933" s="306" t="e">
        <f ca="1">U952+U1008</f>
        <v>#DIV/0!</v>
      </c>
      <c r="V933" s="20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>
      <c r="A934" s="1" t="s">
        <v>353</v>
      </c>
      <c r="B934" s="1"/>
      <c r="C934" s="293">
        <f ca="1">C953+C1009</f>
        <v>2048514.8230398428</v>
      </c>
      <c r="D934" s="294"/>
      <c r="E934" s="294"/>
      <c r="F934" s="738">
        <f ca="1">F953+F1009</f>
        <v>156326.57925890732</v>
      </c>
      <c r="G934" s="294"/>
      <c r="H934" s="294"/>
      <c r="I934" s="738">
        <f ca="1">I953+I1009</f>
        <v>156326.57925890732</v>
      </c>
      <c r="J934" s="51"/>
      <c r="K934" s="294"/>
      <c r="L934" s="294"/>
      <c r="M934" s="738" t="e">
        <f ca="1">M953+M1009</f>
        <v>#DIV/0!</v>
      </c>
      <c r="N934" s="51"/>
      <c r="O934" s="294"/>
      <c r="P934" s="294"/>
      <c r="Q934" s="738" t="e">
        <f ca="1">Q953+Q1009</f>
        <v>#DIV/0!</v>
      </c>
      <c r="R934" s="51"/>
      <c r="S934" s="294"/>
      <c r="T934" s="294"/>
      <c r="U934" s="738" t="e">
        <f ca="1">U953+U1009</f>
        <v>#DIV/0!</v>
      </c>
      <c r="V934" s="429"/>
      <c r="W934" s="272"/>
      <c r="X934" s="74"/>
      <c r="Y934" s="74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Bot="1">
      <c r="A935" s="1" t="s">
        <v>372</v>
      </c>
      <c r="B935" s="1"/>
      <c r="C935" s="1287">
        <f ca="1">C954+C1010</f>
        <v>413290817.98306477</v>
      </c>
      <c r="D935" s="327"/>
      <c r="E935" s="330"/>
      <c r="F935" s="740">
        <f ca="1">F954+F1010</f>
        <v>28946199.579258908</v>
      </c>
      <c r="G935" s="327"/>
      <c r="H935" s="330"/>
      <c r="I935" s="740">
        <f ca="1">I954+I1010</f>
        <v>29436674.579258908</v>
      </c>
      <c r="J935" s="51"/>
      <c r="K935" s="327"/>
      <c r="L935" s="330"/>
      <c r="M935" s="740" t="e">
        <f ca="1">M954+M1010</f>
        <v>#DIV/0!</v>
      </c>
      <c r="N935" s="51"/>
      <c r="O935" s="327"/>
      <c r="P935" s="330"/>
      <c r="Q935" s="740" t="e">
        <f ca="1">Q954+Q1010</f>
        <v>#DIV/0!</v>
      </c>
      <c r="R935" s="51"/>
      <c r="S935" s="327"/>
      <c r="T935" s="330"/>
      <c r="U935" s="740" t="e">
        <f ca="1">U954+U1010</f>
        <v>#DIV/0!</v>
      </c>
      <c r="V935" s="757" t="s">
        <v>354</v>
      </c>
      <c r="W935" s="778">
        <f ca="1">('Rate Spread targets'!Q29+'Rate Spread targets'!Q28)*1000</f>
        <v>29762259.432958066</v>
      </c>
      <c r="X935" s="1417">
        <f ca="1">'Rate Spread targets'!V29</f>
        <v>1.6941448609556001E-2</v>
      </c>
      <c r="Y935" s="751"/>
      <c r="Z935" s="69" t="s">
        <v>699</v>
      </c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 ht="16.5" thickTop="1">
      <c r="A936" s="1"/>
      <c r="B936" s="1"/>
      <c r="C936" s="335"/>
      <c r="D936" s="336"/>
      <c r="E936" s="23"/>
      <c r="F936" s="51"/>
      <c r="G936" s="336"/>
      <c r="H936" s="23"/>
      <c r="I936" s="51"/>
      <c r="J936" s="51"/>
      <c r="K936" s="336"/>
      <c r="L936" s="23"/>
      <c r="M936" s="51"/>
      <c r="N936" s="51"/>
      <c r="O936" s="336"/>
      <c r="P936" s="23"/>
      <c r="Q936" s="51"/>
      <c r="R936" s="51"/>
      <c r="S936" s="336"/>
      <c r="T936" s="23"/>
      <c r="U936" s="51"/>
      <c r="V936" s="760" t="s">
        <v>257</v>
      </c>
      <c r="W936" s="1452">
        <f ca="1">W935-I898-I954-I1010</f>
        <v>-232.05171985179186</v>
      </c>
      <c r="X936" s="758"/>
      <c r="Y936" s="74"/>
      <c r="Z936" s="719">
        <f ca="1">'Rate Spread targets'!V29</f>
        <v>1.6941448609556001E-2</v>
      </c>
      <c r="AA936" s="7" t="s">
        <v>893</v>
      </c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78" t="s">
        <v>466</v>
      </c>
      <c r="B937" s="1"/>
      <c r="C937" s="1"/>
      <c r="D937" s="2"/>
      <c r="E937" s="1"/>
      <c r="F937" s="1"/>
      <c r="G937" s="2"/>
      <c r="H937" s="1"/>
      <c r="K937" s="2"/>
      <c r="L937" s="1"/>
      <c r="O937" s="2"/>
      <c r="P937" s="1"/>
      <c r="S937" s="2"/>
      <c r="T937" s="1"/>
      <c r="X937" s="74"/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294" t="s">
        <v>676</v>
      </c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">
        <f ca="1">I898+I954+I1010</f>
        <v>29762491.484677918</v>
      </c>
      <c r="W938" s="32" t="s">
        <v>699</v>
      </c>
      <c r="X938" s="796">
        <f ca="1">(V938-(F935+F898))/(F935+F898)</f>
        <v>1.6949377544275231E-2</v>
      </c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/>
      <c r="B939" s="1"/>
      <c r="C939" s="1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383</v>
      </c>
      <c r="B940" s="1"/>
      <c r="C940" s="304"/>
      <c r="D940" s="2"/>
      <c r="E940" s="1"/>
      <c r="F940" s="1"/>
      <c r="G940" s="2"/>
      <c r="H940" s="1"/>
      <c r="I940" s="1"/>
      <c r="J940" s="1"/>
      <c r="K940" s="2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20"/>
      <c r="W940" s="74"/>
      <c r="X940" s="74"/>
      <c r="Y940" s="74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461</v>
      </c>
      <c r="B941" s="1"/>
      <c r="C941" s="304">
        <f t="shared" ref="C941:C946" si="192">C961+C979</f>
        <v>651.51515151515196</v>
      </c>
      <c r="D941" s="322">
        <v>1386</v>
      </c>
      <c r="E941" s="306"/>
      <c r="F941" s="2">
        <f>ROUND(D941*C941,0)</f>
        <v>903000</v>
      </c>
      <c r="G941" s="311">
        <f ca="1">ROUND(D941*(1+$Z$936),0)+2</f>
        <v>1411</v>
      </c>
      <c r="H941" s="306"/>
      <c r="I941" s="2">
        <f ca="1">ROUND(G941*$C941,0)</f>
        <v>919288</v>
      </c>
      <c r="J941" s="2"/>
      <c r="K941" s="311">
        <f ca="1">G941</f>
        <v>1411</v>
      </c>
      <c r="L941" s="306"/>
      <c r="M941" s="2">
        <f ca="1">ROUND(K941*$C941,0)</f>
        <v>919288</v>
      </c>
      <c r="N941" s="2"/>
      <c r="O941" s="311" t="s">
        <v>31</v>
      </c>
      <c r="P941" s="306"/>
      <c r="Q941" s="2">
        <f>ROUND(O941*$C941,0)</f>
        <v>0</v>
      </c>
      <c r="R941" s="2"/>
      <c r="S941" s="311" t="s">
        <v>31</v>
      </c>
      <c r="T941" s="306"/>
      <c r="U941" s="2">
        <f>ROUND(S941*$C941,0)</f>
        <v>0</v>
      </c>
      <c r="V941" s="20"/>
      <c r="X941" s="796">
        <f ca="1">(G941-D941)/D941</f>
        <v>1.8037518037518036E-2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462</v>
      </c>
      <c r="B942" s="1"/>
      <c r="C942" s="304">
        <f t="shared" si="192"/>
        <v>0</v>
      </c>
      <c r="D942" s="322">
        <v>1675</v>
      </c>
      <c r="E942" s="309"/>
      <c r="F942" s="2">
        <f>ROUND(D942*C942,0)</f>
        <v>0</v>
      </c>
      <c r="G942" s="311">
        <f ca="1">ROUND(D942*(1+$Z$936),0)</f>
        <v>1703</v>
      </c>
      <c r="H942" s="309"/>
      <c r="I942" s="2">
        <f ca="1">ROUND(G942*$C942,0)</f>
        <v>0</v>
      </c>
      <c r="J942" s="2"/>
      <c r="K942" s="311">
        <f ca="1">G942</f>
        <v>1703</v>
      </c>
      <c r="L942" s="1275"/>
      <c r="M942" s="2">
        <f ca="1">I942</f>
        <v>0</v>
      </c>
      <c r="N942" s="2"/>
      <c r="O942" s="311" t="s">
        <v>31</v>
      </c>
      <c r="P942" s="1275"/>
      <c r="Q942" s="2">
        <f>ROUND(O942*$C942,0)</f>
        <v>0</v>
      </c>
      <c r="R942" s="2"/>
      <c r="S942" s="311" t="s">
        <v>31</v>
      </c>
      <c r="T942" s="1275"/>
      <c r="U942" s="2">
        <f>ROUND(S942*$C942,0)</f>
        <v>0</v>
      </c>
      <c r="V942" s="20"/>
      <c r="X942" s="796">
        <f ca="1">(G942-D942)/D942</f>
        <v>1.671641791044776E-2</v>
      </c>
      <c r="Y942" s="751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384</v>
      </c>
      <c r="B943" s="1"/>
      <c r="C943" s="304">
        <f t="shared" si="192"/>
        <v>651.51515151515196</v>
      </c>
      <c r="D943" s="322" t="s">
        <v>31</v>
      </c>
      <c r="E943" s="306"/>
      <c r="F943" s="2" t="s">
        <v>31</v>
      </c>
      <c r="G943" s="311" t="s">
        <v>31</v>
      </c>
      <c r="H943" s="306"/>
      <c r="I943" s="2" t="s">
        <v>31</v>
      </c>
      <c r="J943" s="2"/>
      <c r="K943" s="311" t="s">
        <v>31</v>
      </c>
      <c r="L943" s="306"/>
      <c r="M943" s="2" t="s">
        <v>31</v>
      </c>
      <c r="N943" s="2"/>
      <c r="O943" s="311" t="s">
        <v>31</v>
      </c>
      <c r="P943" s="306"/>
      <c r="Q943" s="2" t="s">
        <v>31</v>
      </c>
      <c r="R943" s="2"/>
      <c r="S943" s="311" t="s">
        <v>31</v>
      </c>
      <c r="T943" s="306"/>
      <c r="U943" s="2" t="s">
        <v>31</v>
      </c>
      <c r="V943" s="20"/>
      <c r="X943" s="1282"/>
      <c r="Y943" s="74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463</v>
      </c>
      <c r="B944" s="1"/>
      <c r="C944" s="304">
        <f t="shared" si="192"/>
        <v>921479.793103448</v>
      </c>
      <c r="D944" s="322">
        <v>1.1000000000000001</v>
      </c>
      <c r="E944" s="306"/>
      <c r="F944" s="2">
        <f>ROUND(D944*C944,0)</f>
        <v>1013628</v>
      </c>
      <c r="G944" s="311">
        <f ca="1">ROUND(D944*(1+$Z$936),2)</f>
        <v>1.1200000000000001</v>
      </c>
      <c r="H944" s="306"/>
      <c r="I944" s="2">
        <f ca="1">ROUND(G944*$C944,0)</f>
        <v>1032057</v>
      </c>
      <c r="J944" s="2"/>
      <c r="K944" s="311">
        <f ca="1">G944</f>
        <v>1.1200000000000001</v>
      </c>
      <c r="L944" s="306"/>
      <c r="M944" s="2">
        <f ca="1">ROUND(K944*$C944,0)</f>
        <v>1032057</v>
      </c>
      <c r="N944" s="2"/>
      <c r="O944" s="311" t="s">
        <v>31</v>
      </c>
      <c r="P944" s="306"/>
      <c r="Q944" s="2">
        <f>ROUND(O944*$C944,0)</f>
        <v>0</v>
      </c>
      <c r="R944" s="2"/>
      <c r="S944" s="311" t="s">
        <v>31</v>
      </c>
      <c r="T944" s="306"/>
      <c r="U944" s="2">
        <f>ROUND(S944*$C944,0)</f>
        <v>0</v>
      </c>
      <c r="V944" s="20"/>
      <c r="X944" s="796">
        <f ca="1">(G944-D944)/D944</f>
        <v>1.8181818181818195E-2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308" t="s">
        <v>464</v>
      </c>
      <c r="B945" s="1"/>
      <c r="C945" s="304">
        <f t="shared" si="192"/>
        <v>0</v>
      </c>
      <c r="D945" s="322">
        <v>0.99</v>
      </c>
      <c r="E945" s="306"/>
      <c r="F945" s="2">
        <f>ROUND(D945*C945,0)</f>
        <v>0</v>
      </c>
      <c r="G945" s="311">
        <f ca="1">ROUND(D945*(1+$Z$936),2)</f>
        <v>1.01</v>
      </c>
      <c r="H945" s="306"/>
      <c r="I945" s="2">
        <f ca="1">ROUND(G945*$C945,0)</f>
        <v>0</v>
      </c>
      <c r="J945" s="2"/>
      <c r="K945" s="311">
        <f ca="1">G945</f>
        <v>1.01</v>
      </c>
      <c r="L945" s="306"/>
      <c r="M945" s="2">
        <f ca="1">I945</f>
        <v>0</v>
      </c>
      <c r="N945" s="2"/>
      <c r="O945" s="311" t="s">
        <v>31</v>
      </c>
      <c r="P945" s="306"/>
      <c r="Q945" s="2">
        <f>ROUND(O945*$C945,0)</f>
        <v>0</v>
      </c>
      <c r="R945" s="2"/>
      <c r="S945" s="311" t="s">
        <v>31</v>
      </c>
      <c r="T945" s="306"/>
      <c r="U945" s="2">
        <f>ROUND(S945*$C945,0)</f>
        <v>0</v>
      </c>
      <c r="V945" s="20"/>
      <c r="X945" s="796">
        <f ca="1">(G945-D945)/D945</f>
        <v>2.0202020202020221E-2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294" t="s">
        <v>393</v>
      </c>
      <c r="B946" s="1"/>
      <c r="C946" s="304">
        <f t="shared" si="192"/>
        <v>752533.72413793101</v>
      </c>
      <c r="D946" s="322">
        <v>7.83</v>
      </c>
      <c r="E946" s="306"/>
      <c r="F946" s="2">
        <f>ROUND(D946*C946,0)</f>
        <v>5892339</v>
      </c>
      <c r="G946" s="311">
        <f ca="1">ROUND(D946*(1+($Z$936)),2)+0.01</f>
        <v>7.97</v>
      </c>
      <c r="H946" s="306"/>
      <c r="I946" s="2">
        <f ca="1">ROUND(G946*$C946,0)</f>
        <v>5997694</v>
      </c>
      <c r="J946" s="2"/>
      <c r="K946" s="311" t="e">
        <f ca="1">ROUND(M946/$C$946,2)</f>
        <v>#DIV/0!</v>
      </c>
      <c r="L946" s="306"/>
      <c r="M946" s="2" t="e">
        <f ca="1">(V956-M941-M942-M953-M945-M944)</f>
        <v>#DIV/0!</v>
      </c>
      <c r="N946" s="2"/>
      <c r="O946" s="311" t="e">
        <f ca="1">ROUND(Q946/$C$946,2)</f>
        <v>#DIV/0!</v>
      </c>
      <c r="P946" s="306"/>
      <c r="Q946" s="2" t="e">
        <f ca="1">($I$946-$M$946)*(W956/($W$956+$X$956))</f>
        <v>#DIV/0!</v>
      </c>
      <c r="R946" s="2"/>
      <c r="S946" s="311" t="e">
        <f ca="1">ROUND(U946/$C$946,2)</f>
        <v>#DIV/0!</v>
      </c>
      <c r="T946" s="306"/>
      <c r="U946" s="2" t="e">
        <f ca="1">($I$946-$M$946)*(X956/($W$956+$X$956))</f>
        <v>#DIV/0!</v>
      </c>
      <c r="V946" s="20"/>
      <c r="X946" s="796">
        <f ca="1">(G946-D946)/D946</f>
        <v>1.7879948914431631E-2</v>
      </c>
      <c r="Y946" s="751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416</v>
      </c>
      <c r="B947" s="1"/>
      <c r="C947" s="304"/>
      <c r="D947" s="322" t="s">
        <v>31</v>
      </c>
      <c r="E947" s="306"/>
      <c r="F947" s="2"/>
      <c r="G947" s="311" t="s">
        <v>31</v>
      </c>
      <c r="H947" s="306"/>
      <c r="I947" s="2"/>
      <c r="J947" s="2"/>
      <c r="K947" s="411" t="s">
        <v>31</v>
      </c>
      <c r="L947" s="306"/>
      <c r="M947" s="2"/>
      <c r="N947" s="2"/>
      <c r="O947" s="411" t="s">
        <v>31</v>
      </c>
      <c r="P947" s="306"/>
      <c r="Q947" s="2"/>
      <c r="R947" s="2"/>
      <c r="S947" s="411" t="s">
        <v>31</v>
      </c>
      <c r="T947" s="306"/>
      <c r="U947" s="2"/>
      <c r="V947" s="20"/>
      <c r="X947" s="1282"/>
      <c r="Y947" s="74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454</v>
      </c>
      <c r="B948" s="1"/>
      <c r="C948" s="304">
        <f>C968+C986</f>
        <v>334945415.26665139</v>
      </c>
      <c r="D948" s="380">
        <v>4.6630000000000003</v>
      </c>
      <c r="E948" s="306" t="s">
        <v>364</v>
      </c>
      <c r="F948" s="2">
        <f>ROUND(D948/100*C948,0)</f>
        <v>15618505</v>
      </c>
      <c r="G948" s="777">
        <f ca="1">ROUND(D948*(1+$Z$936),3)-0.001</f>
        <v>4.7409999999999997</v>
      </c>
      <c r="H948" s="306" t="s">
        <v>364</v>
      </c>
      <c r="I948" s="2">
        <f ca="1">ROUND(G948/100*$C948,0)</f>
        <v>15879762</v>
      </c>
      <c r="J948" s="2"/>
      <c r="K948" s="771" t="s">
        <v>31</v>
      </c>
      <c r="L948" s="850" t="s">
        <v>31</v>
      </c>
      <c r="M948" s="2">
        <v>0</v>
      </c>
      <c r="N948" s="2"/>
      <c r="O948" s="771" t="e">
        <f ca="1">ROUND(Q948/C948*100,3)</f>
        <v>#DIV/0!</v>
      </c>
      <c r="P948" s="306" t="s">
        <v>364</v>
      </c>
      <c r="Q948" s="2" t="e">
        <f ca="1">I948-U948</f>
        <v>#DIV/0!</v>
      </c>
      <c r="R948" s="2"/>
      <c r="S948" s="771" t="e">
        <f ca="1">ROUND(U948/C948*100,3)</f>
        <v>#DIV/0!</v>
      </c>
      <c r="T948" s="306" t="s">
        <v>364</v>
      </c>
      <c r="U948" s="2" t="e">
        <f ca="1">X956-U941-U942-U944-U945-U946-U949-U950-U953</f>
        <v>#DIV/0!</v>
      </c>
      <c r="V948" s="20"/>
      <c r="X948" s="796">
        <f ca="1">((G948+G950)-D948)/D948</f>
        <v>1.6727428693973707E-2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>
      <c r="A949" s="308" t="s">
        <v>390</v>
      </c>
      <c r="B949" s="1"/>
      <c r="C949" s="304">
        <f>C969+C987</f>
        <v>159554.87878787841</v>
      </c>
      <c r="D949" s="322">
        <v>0.55000000000000004</v>
      </c>
      <c r="E949" s="306"/>
      <c r="F949" s="2">
        <f>ROUND(D949*C949,0)</f>
        <v>87755</v>
      </c>
      <c r="G949" s="311">
        <f ca="1">ROUND(D949*(1+$Z$936),2)</f>
        <v>0.56000000000000005</v>
      </c>
      <c r="H949" s="306"/>
      <c r="I949" s="2">
        <f ca="1">ROUND(G949*$C949,0)</f>
        <v>89351</v>
      </c>
      <c r="J949" s="2"/>
      <c r="K949" s="311" t="s">
        <v>31</v>
      </c>
      <c r="L949" s="306"/>
      <c r="M949" s="2">
        <f>ROUND(K949*$C949,0)</f>
        <v>0</v>
      </c>
      <c r="N949" s="2"/>
      <c r="O949" s="311" t="e">
        <f ca="1">ROUND(Q949/$C$949,2)</f>
        <v>#DIV/0!</v>
      </c>
      <c r="P949" s="306"/>
      <c r="Q949" s="2" t="e">
        <f ca="1">$I$949*(W956/(W956+X956))</f>
        <v>#DIV/0!</v>
      </c>
      <c r="R949" s="2"/>
      <c r="S949" s="311" t="e">
        <f ca="1">ROUND(U949/$C$949,2)</f>
        <v>#DIV/0!</v>
      </c>
      <c r="T949" s="306"/>
      <c r="U949" s="2" t="e">
        <f ca="1">$I$949*(X956/(W956+X956))</f>
        <v>#DIV/0!</v>
      </c>
      <c r="V949" s="20"/>
      <c r="X949" s="796">
        <f ca="1">(G949-D949)/D949</f>
        <v>1.8181818181818195E-2</v>
      </c>
      <c r="Y949" s="751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</row>
    <row r="950" spans="1:44" s="1118" customFormat="1" hidden="1">
      <c r="A950" s="968" t="s">
        <v>891</v>
      </c>
      <c r="C950" s="987">
        <f>C971+C988</f>
        <v>334945415.26665139</v>
      </c>
      <c r="D950" s="254">
        <v>0</v>
      </c>
      <c r="E950" s="1119"/>
      <c r="F950" s="1123"/>
      <c r="G950" s="1128">
        <v>0</v>
      </c>
      <c r="H950" s="1000" t="s">
        <v>364</v>
      </c>
      <c r="I950" s="1123">
        <f>ROUND(G950/100*$C950,0)</f>
        <v>0</v>
      </c>
      <c r="J950" s="1123"/>
      <c r="K950" s="1128" t="s">
        <v>31</v>
      </c>
      <c r="L950" s="1000" t="s">
        <v>31</v>
      </c>
      <c r="M950" s="1000">
        <f>ROUND(K950*$C950/100,0)</f>
        <v>0</v>
      </c>
      <c r="N950" s="1000"/>
      <c r="O950" s="1128" t="s">
        <v>31</v>
      </c>
      <c r="P950" s="1000" t="s">
        <v>31</v>
      </c>
      <c r="Q950" s="1000">
        <f>ROUND(O950*$C950/100,0)</f>
        <v>0</v>
      </c>
      <c r="R950" s="1000"/>
      <c r="S950" s="1128">
        <f>G950</f>
        <v>0</v>
      </c>
      <c r="T950" s="1000" t="s">
        <v>364</v>
      </c>
      <c r="U950" s="1000">
        <f>ROUND(S950*$C950/100,0)</f>
        <v>0</v>
      </c>
      <c r="V950" s="1124"/>
      <c r="W950" s="784"/>
      <c r="Z950" s="1125"/>
      <c r="AA950" s="1125"/>
      <c r="AF950" s="1119"/>
      <c r="AG950" s="1119"/>
      <c r="AH950" s="1119"/>
      <c r="AI950" s="1119"/>
      <c r="AJ950" s="1119"/>
      <c r="AK950" s="1119"/>
      <c r="AL950" s="1119"/>
      <c r="AM950" s="1119"/>
      <c r="AN950" s="1119"/>
      <c r="AO950" s="1119"/>
      <c r="AP950" s="1119"/>
      <c r="AR950" s="1124"/>
    </row>
    <row r="951" spans="1:44" s="1256" customFormat="1" hidden="1">
      <c r="A951" s="1255" t="s">
        <v>873</v>
      </c>
      <c r="C951" s="1262"/>
      <c r="D951" s="1268">
        <v>4.6630000000000003</v>
      </c>
      <c r="E951" s="1266" t="s">
        <v>364</v>
      </c>
      <c r="F951" s="1259"/>
      <c r="G951" s="1260">
        <f ca="1">G948+G950</f>
        <v>4.7409999999999997</v>
      </c>
      <c r="H951" s="1266" t="s">
        <v>364</v>
      </c>
      <c r="I951" s="1259"/>
      <c r="J951" s="1259"/>
      <c r="K951" s="1270" t="s">
        <v>31</v>
      </c>
      <c r="L951" s="1266" t="s">
        <v>31</v>
      </c>
      <c r="M951" s="1266"/>
      <c r="N951" s="1266"/>
      <c r="O951" s="1270" t="e">
        <f ca="1">O948+O950</f>
        <v>#DIV/0!</v>
      </c>
      <c r="P951" s="1266" t="s">
        <v>364</v>
      </c>
      <c r="Q951" s="1266"/>
      <c r="R951" s="1266"/>
      <c r="S951" s="1270" t="e">
        <f ca="1">S948+S950</f>
        <v>#DIV/0!</v>
      </c>
      <c r="T951" s="1266" t="s">
        <v>364</v>
      </c>
      <c r="U951" s="1266"/>
      <c r="V951" s="1283"/>
      <c r="W951" s="1284"/>
      <c r="X951" s="1285">
        <f ca="1">(G951-D951)/D951</f>
        <v>1.6727428693973707E-2</v>
      </c>
      <c r="Z951" s="1286"/>
      <c r="AA951" s="1286"/>
      <c r="AF951" s="1258"/>
      <c r="AG951" s="1258"/>
      <c r="AH951" s="1258"/>
      <c r="AI951" s="1258"/>
      <c r="AJ951" s="1258"/>
      <c r="AK951" s="1258"/>
      <c r="AL951" s="1258"/>
      <c r="AM951" s="1258"/>
      <c r="AN951" s="1258"/>
      <c r="AO951" s="1258"/>
      <c r="AP951" s="1258"/>
      <c r="AR951" s="1283"/>
    </row>
    <row r="952" spans="1:44">
      <c r="A952" s="1" t="s">
        <v>371</v>
      </c>
      <c r="B952" s="1"/>
      <c r="C952" s="304">
        <f>C948</f>
        <v>334945415.26665139</v>
      </c>
      <c r="D952" s="315"/>
      <c r="E952" s="1"/>
      <c r="F952" s="2">
        <f>SUM(F941:F949)</f>
        <v>23515227</v>
      </c>
      <c r="G952" s="315"/>
      <c r="H952" s="1"/>
      <c r="I952" s="2">
        <f ca="1">SUM(I941:I951)</f>
        <v>23918152</v>
      </c>
      <c r="J952" s="2"/>
      <c r="K952" s="772"/>
      <c r="L952" s="1"/>
      <c r="M952" s="2" t="e">
        <f ca="1">SUM(M941:M951)</f>
        <v>#DIV/0!</v>
      </c>
      <c r="N952" s="2"/>
      <c r="O952" s="772"/>
      <c r="P952" s="1"/>
      <c r="Q952" s="2" t="e">
        <f ca="1">SUM(Q941:Q951)</f>
        <v>#DIV/0!</v>
      </c>
      <c r="R952" s="2"/>
      <c r="S952" s="772"/>
      <c r="T952" s="1"/>
      <c r="U952" s="2" t="e">
        <f ca="1">SUM(U941:U951)</f>
        <v>#DIV/0!</v>
      </c>
      <c r="V952" s="20"/>
      <c r="W952" s="74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>
      <c r="A953" s="1" t="s">
        <v>353</v>
      </c>
      <c r="B953" s="1"/>
      <c r="C953" s="304">
        <f ca="1">C972+C990</f>
        <v>1536540.0713919159</v>
      </c>
      <c r="D953" s="294"/>
      <c r="E953" s="294"/>
      <c r="F953" s="325">
        <f ca="1">F972+F990</f>
        <v>117141.36886960629</v>
      </c>
      <c r="G953" s="294"/>
      <c r="H953" s="294"/>
      <c r="I953" s="326">
        <f ca="1">F953</f>
        <v>117141.36886960629</v>
      </c>
      <c r="J953" s="307"/>
      <c r="K953" s="294"/>
      <c r="L953" s="294"/>
      <c r="M953" s="738" t="e">
        <f ca="1">$I$953*V956/($V956+$W$956+$X$956)</f>
        <v>#DIV/0!</v>
      </c>
      <c r="N953" s="51"/>
      <c r="O953" s="294"/>
      <c r="P953" s="294"/>
      <c r="Q953" s="738" t="e">
        <f ca="1">$I$953*W956/($V956+$W$956+$X$956)</f>
        <v>#DIV/0!</v>
      </c>
      <c r="R953" s="51"/>
      <c r="S953" s="294"/>
      <c r="T953" s="294"/>
      <c r="U953" s="738" t="e">
        <f ca="1">$I$953*X956/($V956+$W$956+$X$956)</f>
        <v>#DIV/0!</v>
      </c>
      <c r="V953" s="429"/>
      <c r="W953" s="272"/>
      <c r="X953" s="74"/>
      <c r="Y953" s="74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8" customHeight="1" thickBot="1">
      <c r="A954" s="1" t="s">
        <v>372</v>
      </c>
      <c r="B954" s="1"/>
      <c r="C954" s="378">
        <f ca="1">SUM(C952)+C953</f>
        <v>336481955.33804333</v>
      </c>
      <c r="D954" s="327"/>
      <c r="E954" s="330"/>
      <c r="F954" s="329">
        <f ca="1">F952+F953</f>
        <v>23632368.368869606</v>
      </c>
      <c r="G954" s="327"/>
      <c r="H954" s="330"/>
      <c r="I954" s="329">
        <f ca="1">I952+I953</f>
        <v>24035293.368869606</v>
      </c>
      <c r="J954" s="307"/>
      <c r="K954" s="327"/>
      <c r="L954" s="330"/>
      <c r="M954" s="329" t="e">
        <f ca="1">M952+M953</f>
        <v>#DIV/0!</v>
      </c>
      <c r="N954" s="329"/>
      <c r="O954" s="327"/>
      <c r="P954" s="330"/>
      <c r="Q954" s="329" t="e">
        <f ca="1">Q952+Q953</f>
        <v>#DIV/0!</v>
      </c>
      <c r="R954" s="329"/>
      <c r="S954" s="327"/>
      <c r="T954" s="330"/>
      <c r="U954" s="329" t="e">
        <f ca="1">U952+U953</f>
        <v>#DIV/0!</v>
      </c>
      <c r="V954" s="7" t="s">
        <v>31</v>
      </c>
      <c r="W954" s="32" t="s">
        <v>31</v>
      </c>
      <c r="X954" s="74"/>
      <c r="Y954" s="74"/>
      <c r="Z954" s="770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t="16.5" thickTop="1">
      <c r="A955" s="1"/>
      <c r="B955" s="1"/>
      <c r="C955" s="21"/>
      <c r="D955" s="322"/>
      <c r="E955" s="1"/>
      <c r="F955" s="2" t="s">
        <v>31</v>
      </c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1274"/>
      <c r="W955" s="1274"/>
      <c r="X955" s="1274"/>
      <c r="Y955" s="74"/>
      <c r="Z955" s="7" t="s">
        <v>31</v>
      </c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>
      <c r="A956" s="1"/>
      <c r="B956" s="1"/>
      <c r="C956" s="21"/>
      <c r="D956" s="322"/>
      <c r="E956" s="1"/>
      <c r="F956" s="2"/>
      <c r="G956" s="322"/>
      <c r="H956" s="1"/>
      <c r="I956" s="365"/>
      <c r="J956" s="365"/>
      <c r="K956" s="322"/>
      <c r="L956" s="1"/>
      <c r="M956" s="365"/>
      <c r="N956" s="365"/>
      <c r="O956" s="322"/>
      <c r="P956" s="1"/>
      <c r="Q956" s="365"/>
      <c r="R956" s="365"/>
      <c r="S956" s="322"/>
      <c r="T956" s="1"/>
      <c r="U956" s="365"/>
      <c r="V956" s="396"/>
      <c r="W956" s="396"/>
      <c r="X956" s="396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>
      <c r="A957" s="278" t="s">
        <v>466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>
      <c r="A958" s="294" t="s">
        <v>675</v>
      </c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>
      <c r="A959" s="308"/>
      <c r="B959" s="1"/>
      <c r="C959" s="1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/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>
      <c r="A960" s="308" t="s">
        <v>383</v>
      </c>
      <c r="B960" s="1"/>
      <c r="C960" s="304"/>
      <c r="D960" s="2"/>
      <c r="E960" s="1"/>
      <c r="F960" s="1"/>
      <c r="G960" s="2"/>
      <c r="H960" s="1"/>
      <c r="I960" s="1"/>
      <c r="J960" s="1"/>
      <c r="K960" s="2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20"/>
      <c r="W960" s="74" t="s">
        <v>31</v>
      </c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>
      <c r="A961" s="308" t="s">
        <v>461</v>
      </c>
      <c r="B961" s="1"/>
      <c r="C961" s="304">
        <v>318.69696969696997</v>
      </c>
      <c r="D961" s="322">
        <v>1386</v>
      </c>
      <c r="E961" s="306"/>
      <c r="F961" s="2">
        <f>ROUND(D961*C961,0)</f>
        <v>441714</v>
      </c>
      <c r="G961" s="322">
        <f ca="1">G941</f>
        <v>1411</v>
      </c>
      <c r="H961" s="306"/>
      <c r="I961" s="2">
        <f ca="1">ROUND(G961*$C961,0)</f>
        <v>449681</v>
      </c>
      <c r="J961" s="2"/>
      <c r="K961" s="322">
        <f ca="1">K941</f>
        <v>1411</v>
      </c>
      <c r="L961" s="306"/>
      <c r="M961" s="2">
        <f ca="1">ROUND(K961*$C961,0)</f>
        <v>449681</v>
      </c>
      <c r="N961" s="2"/>
      <c r="O961" s="322" t="str">
        <f>O941</f>
        <v xml:space="preserve"> </v>
      </c>
      <c r="P961" s="306"/>
      <c r="Q961" s="2">
        <f>ROUND(O961*$C961,0)</f>
        <v>0</v>
      </c>
      <c r="R961" s="2"/>
      <c r="S961" s="322" t="str">
        <f>S941</f>
        <v xml:space="preserve"> </v>
      </c>
      <c r="T961" s="306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>
      <c r="A962" s="308" t="s">
        <v>462</v>
      </c>
      <c r="B962" s="1"/>
      <c r="C962" s="304">
        <v>0</v>
      </c>
      <c r="D962" s="322">
        <v>1675</v>
      </c>
      <c r="E962" s="309"/>
      <c r="F962" s="2">
        <f>ROUND(D962*C962,0)</f>
        <v>0</v>
      </c>
      <c r="G962" s="322">
        <f ca="1">G942</f>
        <v>1703</v>
      </c>
      <c r="H962" s="309"/>
      <c r="I962" s="2">
        <f ca="1">ROUND(G962*$C962,0)</f>
        <v>0</v>
      </c>
      <c r="J962" s="2"/>
      <c r="K962" s="322">
        <f ca="1">K942</f>
        <v>1703</v>
      </c>
      <c r="L962" s="309"/>
      <c r="M962" s="2">
        <f ca="1">ROUND(K962*$C962,0)</f>
        <v>0</v>
      </c>
      <c r="N962" s="2"/>
      <c r="O962" s="322" t="str">
        <f>O942</f>
        <v xml:space="preserve"> </v>
      </c>
      <c r="P962" s="309"/>
      <c r="Q962" s="2">
        <f>ROUND(O962*$C962,0)</f>
        <v>0</v>
      </c>
      <c r="R962" s="2"/>
      <c r="S962" s="322" t="str">
        <f>S942</f>
        <v xml:space="preserve"> </v>
      </c>
      <c r="T962" s="309"/>
      <c r="U962" s="2">
        <f>ROUND(S962*$C962,0)</f>
        <v>0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>
      <c r="A963" s="308" t="s">
        <v>384</v>
      </c>
      <c r="B963" s="1"/>
      <c r="C963" s="304">
        <f>SUM(C961:C962)</f>
        <v>318.69696969696997</v>
      </c>
      <c r="D963" s="322" t="s">
        <v>31</v>
      </c>
      <c r="E963" s="306"/>
      <c r="F963" s="2" t="s">
        <v>31</v>
      </c>
      <c r="G963" s="322" t="s">
        <v>31</v>
      </c>
      <c r="H963" s="306"/>
      <c r="I963" s="2" t="s">
        <v>31</v>
      </c>
      <c r="J963" s="2"/>
      <c r="K963" s="322" t="s">
        <v>31</v>
      </c>
      <c r="L963" s="306"/>
      <c r="M963" s="2" t="s">
        <v>31</v>
      </c>
      <c r="N963" s="2"/>
      <c r="O963" s="322" t="s">
        <v>31</v>
      </c>
      <c r="P963" s="306"/>
      <c r="Q963" s="2" t="s">
        <v>31</v>
      </c>
      <c r="R963" s="2"/>
      <c r="S963" s="322" t="s">
        <v>31</v>
      </c>
      <c r="T963" s="306"/>
      <c r="U963" s="2" t="s">
        <v>31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>
      <c r="A964" s="308" t="s">
        <v>463</v>
      </c>
      <c r="B964" s="1"/>
      <c r="C964" s="304">
        <v>384073</v>
      </c>
      <c r="D964" s="322">
        <v>1.1000000000000001</v>
      </c>
      <c r="E964" s="306"/>
      <c r="F964" s="2">
        <f>ROUND(D964*C964,0)</f>
        <v>422480</v>
      </c>
      <c r="G964" s="322">
        <f ca="1">G944</f>
        <v>1.1200000000000001</v>
      </c>
      <c r="H964" s="306"/>
      <c r="I964" s="2">
        <f ca="1">ROUND(G964*$C964,0)</f>
        <v>430162</v>
      </c>
      <c r="J964" s="2"/>
      <c r="K964" s="322">
        <f ca="1">K944</f>
        <v>1.1200000000000001</v>
      </c>
      <c r="L964" s="306"/>
      <c r="M964" s="2">
        <f ca="1">ROUND(K964*$C964,0)</f>
        <v>430162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>
      <c r="A965" s="308" t="s">
        <v>464</v>
      </c>
      <c r="B965" s="1"/>
      <c r="C965" s="304">
        <v>0</v>
      </c>
      <c r="D965" s="322">
        <v>0.99</v>
      </c>
      <c r="E965" s="306"/>
      <c r="F965" s="2">
        <f>ROUND(D965*C965,0)</f>
        <v>0</v>
      </c>
      <c r="G965" s="322">
        <f ca="1">G945</f>
        <v>1.01</v>
      </c>
      <c r="H965" s="306"/>
      <c r="I965" s="2">
        <f ca="1">ROUND(G965*$C965,0)</f>
        <v>0</v>
      </c>
      <c r="J965" s="2"/>
      <c r="K965" s="322">
        <f ca="1">K945</f>
        <v>1.01</v>
      </c>
      <c r="L965" s="306"/>
      <c r="M965" s="2">
        <f ca="1">ROUND(K965*$C965,0)</f>
        <v>0</v>
      </c>
      <c r="N965" s="2"/>
      <c r="O965" s="322" t="str">
        <f>O945</f>
        <v xml:space="preserve"> </v>
      </c>
      <c r="P965" s="306"/>
      <c r="Q965" s="2">
        <f>ROUND(O965*$C965,0)</f>
        <v>0</v>
      </c>
      <c r="R965" s="2"/>
      <c r="S965" s="322" t="str">
        <f>S945</f>
        <v xml:space="preserve"> </v>
      </c>
      <c r="T965" s="306"/>
      <c r="U965" s="2">
        <f>ROUND(S965*$C965,0)</f>
        <v>0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>
      <c r="A966" s="294" t="s">
        <v>393</v>
      </c>
      <c r="B966" s="1"/>
      <c r="C966" s="304">
        <v>287401.24137931003</v>
      </c>
      <c r="D966" s="322">
        <v>7.83</v>
      </c>
      <c r="E966" s="306"/>
      <c r="F966" s="2">
        <f>ROUND(D966*C966,0)</f>
        <v>2250352</v>
      </c>
      <c r="G966" s="322">
        <f ca="1">G946</f>
        <v>7.97</v>
      </c>
      <c r="H966" s="306"/>
      <c r="I966" s="2">
        <f ca="1">ROUND(G966*$C966,0)</f>
        <v>2290588</v>
      </c>
      <c r="J966" s="2"/>
      <c r="K966" s="322" t="e">
        <f ca="1">K946</f>
        <v>#DIV/0!</v>
      </c>
      <c r="L966" s="306"/>
      <c r="M966" s="2" t="e">
        <f ca="1">ROUND(K966*$C966,0)</f>
        <v>#DIV/0!</v>
      </c>
      <c r="N966" s="2"/>
      <c r="O966" s="322" t="e">
        <f ca="1">O946</f>
        <v>#DIV/0!</v>
      </c>
      <c r="P966" s="306"/>
      <c r="Q966" s="2" t="e">
        <f ca="1">ROUND(O966*$C966,0)</f>
        <v>#DIV/0!</v>
      </c>
      <c r="R966" s="2"/>
      <c r="S966" s="322" t="e">
        <f ca="1">S946</f>
        <v>#DIV/0!</v>
      </c>
      <c r="T966" s="306"/>
      <c r="U966" s="2" t="e">
        <f ca="1">ROUND(S966*$C966,0)</f>
        <v>#DIV/0!</v>
      </c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>
      <c r="A967" s="308" t="s">
        <v>416</v>
      </c>
      <c r="B967" s="1"/>
      <c r="C967" s="304"/>
      <c r="D967" s="322" t="s">
        <v>31</v>
      </c>
      <c r="E967" s="306"/>
      <c r="F967" s="2"/>
      <c r="G967" s="322" t="s">
        <v>31</v>
      </c>
      <c r="H967" s="306"/>
      <c r="I967" s="2"/>
      <c r="J967" s="2"/>
      <c r="K967" s="322" t="s">
        <v>31</v>
      </c>
      <c r="L967" s="306"/>
      <c r="M967" s="2"/>
      <c r="N967" s="2"/>
      <c r="O967" s="322" t="s">
        <v>31</v>
      </c>
      <c r="P967" s="306"/>
      <c r="Q967" s="2"/>
      <c r="R967" s="2"/>
      <c r="S967" s="322" t="s">
        <v>31</v>
      </c>
      <c r="T967" s="306"/>
      <c r="U967" s="2"/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>
      <c r="A968" s="308" t="s">
        <v>454</v>
      </c>
      <c r="B968" s="1"/>
      <c r="C968" s="304">
        <v>125244965.26665136</v>
      </c>
      <c r="D968" s="380">
        <v>4.6630000000000003</v>
      </c>
      <c r="E968" s="306" t="s">
        <v>364</v>
      </c>
      <c r="F968" s="2">
        <f>ROUND(D968/100*C968,0)</f>
        <v>5840173</v>
      </c>
      <c r="G968" s="380">
        <f ca="1">G948</f>
        <v>4.7409999999999997</v>
      </c>
      <c r="H968" s="306" t="s">
        <v>364</v>
      </c>
      <c r="I968" s="2">
        <f ca="1">ROUND(G968/100*$C968,0)</f>
        <v>5937864</v>
      </c>
      <c r="J968" s="2"/>
      <c r="K968" s="380" t="str">
        <f>K948</f>
        <v xml:space="preserve"> </v>
      </c>
      <c r="L968" s="306" t="s">
        <v>364</v>
      </c>
      <c r="M968" s="2">
        <f>ROUND(K968/100*$C968,0)</f>
        <v>0</v>
      </c>
      <c r="N968" s="2"/>
      <c r="O968" s="380" t="e">
        <f ca="1">O948</f>
        <v>#DIV/0!</v>
      </c>
      <c r="P968" s="306" t="s">
        <v>364</v>
      </c>
      <c r="Q968" s="2" t="e">
        <f ca="1">ROUND(O968/100*$C968,0)</f>
        <v>#DIV/0!</v>
      </c>
      <c r="R968" s="2"/>
      <c r="S968" s="380" t="e">
        <f ca="1">S948</f>
        <v>#DIV/0!</v>
      </c>
      <c r="T968" s="306" t="s">
        <v>364</v>
      </c>
      <c r="U968" s="2" t="e">
        <f ca="1">ROUND(S968/100*$C968,0)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>
      <c r="A969" s="308" t="s">
        <v>390</v>
      </c>
      <c r="B969" s="1"/>
      <c r="C969" s="304">
        <v>30465.6363636364</v>
      </c>
      <c r="D969" s="322">
        <v>0.55000000000000004</v>
      </c>
      <c r="E969" s="306"/>
      <c r="F969" s="2">
        <f>ROUND(D969*C969,0)</f>
        <v>16756</v>
      </c>
      <c r="G969" s="322">
        <f ca="1">G949</f>
        <v>0.56000000000000005</v>
      </c>
      <c r="H969" s="306"/>
      <c r="I969" s="2">
        <f ca="1">ROUND(G969*$C969,0)</f>
        <v>17061</v>
      </c>
      <c r="J969" s="2"/>
      <c r="K969" s="322" t="str">
        <f>K949</f>
        <v xml:space="preserve"> </v>
      </c>
      <c r="L969" s="306"/>
      <c r="M969" s="2">
        <f>ROUND(K969*$C969,0)</f>
        <v>0</v>
      </c>
      <c r="N969" s="2"/>
      <c r="O969" s="322" t="e">
        <f ca="1">O949</f>
        <v>#DIV/0!</v>
      </c>
      <c r="P969" s="306"/>
      <c r="Q969" s="2" t="e">
        <f ca="1">ROUND(O969*$C969,0)</f>
        <v>#DIV/0!</v>
      </c>
      <c r="R969" s="2"/>
      <c r="S969" s="322" t="e">
        <f ca="1">S949</f>
        <v>#DIV/0!</v>
      </c>
      <c r="T969" s="306"/>
      <c r="U969" s="2" t="e">
        <f ca="1">ROUND(S969*$C969,0)</f>
        <v>#DIV/0!</v>
      </c>
      <c r="V969" s="20"/>
      <c r="W969" s="74"/>
      <c r="X969" s="74"/>
      <c r="Y969" s="74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</row>
    <row r="970" spans="1:44" s="1118" customFormat="1" hidden="1">
      <c r="A970" s="968" t="s">
        <v>872</v>
      </c>
      <c r="C970" s="1122">
        <f>C968</f>
        <v>125244965.26665136</v>
      </c>
      <c r="D970" s="254">
        <v>0</v>
      </c>
      <c r="E970" s="1119"/>
      <c r="F970" s="1123"/>
      <c r="G970" s="1128">
        <f>G950</f>
        <v>0</v>
      </c>
      <c r="H970" s="1000" t="s">
        <v>364</v>
      </c>
      <c r="I970" s="1123">
        <f>ROUND(G970*$C970/100,0)</f>
        <v>0</v>
      </c>
      <c r="J970" s="1123"/>
      <c r="K970" s="1128" t="str">
        <f>K950</f>
        <v xml:space="preserve"> </v>
      </c>
      <c r="L970" s="1000" t="s">
        <v>364</v>
      </c>
      <c r="M970" s="1123">
        <f>ROUND(K970*$C970/100,0)</f>
        <v>0</v>
      </c>
      <c r="N970" s="1123"/>
      <c r="O970" s="1128" t="str">
        <f>O950</f>
        <v xml:space="preserve"> </v>
      </c>
      <c r="P970" s="1000" t="s">
        <v>364</v>
      </c>
      <c r="Q970" s="1123">
        <f>ROUND(O970*$C970/100,0)</f>
        <v>0</v>
      </c>
      <c r="R970" s="1123"/>
      <c r="S970" s="1128">
        <f>S950</f>
        <v>0</v>
      </c>
      <c r="T970" s="1000" t="s">
        <v>364</v>
      </c>
      <c r="U970" s="1123">
        <f>ROUND(S970*$C970/100,0)</f>
        <v>0</v>
      </c>
      <c r="W970" s="784"/>
      <c r="Z970" s="1125"/>
      <c r="AA970" s="1125"/>
      <c r="AF970" s="1119"/>
      <c r="AG970" s="1119"/>
      <c r="AH970" s="1119"/>
      <c r="AI970" s="1119"/>
      <c r="AJ970" s="1119"/>
      <c r="AK970" s="1119"/>
      <c r="AL970" s="1119"/>
      <c r="AM970" s="1119"/>
      <c r="AN970" s="1119"/>
      <c r="AO970" s="1119"/>
      <c r="AP970" s="1119"/>
      <c r="AR970" s="1124"/>
    </row>
    <row r="971" spans="1:44">
      <c r="A971" s="1" t="s">
        <v>371</v>
      </c>
      <c r="B971" s="1"/>
      <c r="C971" s="304">
        <f>C968</f>
        <v>125244965.26665136</v>
      </c>
      <c r="D971" s="315"/>
      <c r="E971" s="1"/>
      <c r="F971" s="2">
        <f>SUM(F961:F969)</f>
        <v>8971475</v>
      </c>
      <c r="G971" s="315"/>
      <c r="H971" s="1"/>
      <c r="I971" s="2">
        <f ca="1">SUM(I961:I970)</f>
        <v>9125356</v>
      </c>
      <c r="J971" s="2"/>
      <c r="K971" s="315"/>
      <c r="L971" s="1"/>
      <c r="M971" s="2" t="e">
        <f ca="1">SUM(M961:M970)</f>
        <v>#DIV/0!</v>
      </c>
      <c r="N971" s="2"/>
      <c r="O971" s="315"/>
      <c r="P971" s="1"/>
      <c r="Q971" s="2" t="e">
        <f ca="1">SUM(Q961:Q970)</f>
        <v>#DIV/0!</v>
      </c>
      <c r="R971" s="2"/>
      <c r="S971" s="315"/>
      <c r="T971" s="1"/>
      <c r="U971" s="2" t="e">
        <f ca="1">SUM(U961:U970)</f>
        <v>#DIV/0!</v>
      </c>
      <c r="V971" s="20"/>
      <c r="W971" s="74"/>
      <c r="X971" s="751"/>
      <c r="Y971" s="751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>
      <c r="A972" s="1" t="s">
        <v>353</v>
      </c>
      <c r="B972" s="1"/>
      <c r="C972" s="304">
        <f>C971/($C$971+$C$1028)*$C$1065</f>
        <v>884538.49438390473</v>
      </c>
      <c r="D972" s="294"/>
      <c r="E972" s="294"/>
      <c r="F972" s="325">
        <f>F971/($F$971+$F$1028)*$F$1065</f>
        <v>71136.637092439516</v>
      </c>
      <c r="G972" s="294"/>
      <c r="H972" s="294"/>
      <c r="I972" s="326">
        <f>F972</f>
        <v>71136.637092439516</v>
      </c>
      <c r="J972" s="307"/>
      <c r="K972" s="294"/>
      <c r="L972" s="294"/>
      <c r="M972" s="326" t="e">
        <f>$I$972*V956/($V956+$W$956+$X$956)</f>
        <v>#DIV/0!</v>
      </c>
      <c r="N972" s="51"/>
      <c r="O972" s="294"/>
      <c r="P972" s="294"/>
      <c r="Q972" s="326" t="e">
        <f>$I$972*W956/($V956+$W$956+$X$956)</f>
        <v>#DIV/0!</v>
      </c>
      <c r="R972" s="51"/>
      <c r="S972" s="294"/>
      <c r="T972" s="294"/>
      <c r="U972" s="326" t="e">
        <f>$I$972*X956/($V956+$W$956+$X$956)</f>
        <v>#DIV/0!</v>
      </c>
      <c r="V972" s="429"/>
      <c r="W972" s="751" t="s">
        <v>31</v>
      </c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thickBot="1">
      <c r="A973" s="1" t="s">
        <v>372</v>
      </c>
      <c r="B973" s="1"/>
      <c r="C973" s="378">
        <f>SUM(C971)+C972</f>
        <v>126129503.76103526</v>
      </c>
      <c r="D973" s="327"/>
      <c r="E973" s="330"/>
      <c r="F973" s="329">
        <f>F971+F972</f>
        <v>9042611.6370924395</v>
      </c>
      <c r="G973" s="327"/>
      <c r="H973" s="330"/>
      <c r="I973" s="329">
        <f ca="1">I971+I972</f>
        <v>9196492.6370924395</v>
      </c>
      <c r="J973" s="307"/>
      <c r="K973" s="327"/>
      <c r="L973" s="330"/>
      <c r="M973" s="329" t="e">
        <f ca="1">M971+M972</f>
        <v>#DIV/0!</v>
      </c>
      <c r="N973" s="329"/>
      <c r="O973" s="327"/>
      <c r="P973" s="330"/>
      <c r="Q973" s="329" t="e">
        <f ca="1">Q971+Q972</f>
        <v>#DIV/0!</v>
      </c>
      <c r="R973" s="329"/>
      <c r="S973" s="327"/>
      <c r="T973" s="330"/>
      <c r="U973" s="329" t="e">
        <f ca="1">U971+U972</f>
        <v>#DIV/0!</v>
      </c>
      <c r="V973" s="396"/>
      <c r="W973" s="751" t="s">
        <v>31</v>
      </c>
      <c r="X973" s="74"/>
      <c r="Y973" s="74"/>
      <c r="Z973" s="770" t="s">
        <v>31</v>
      </c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t="16.5" thickTop="1">
      <c r="A974" s="1"/>
      <c r="B974" s="1"/>
      <c r="C974" s="21"/>
      <c r="D974" s="322"/>
      <c r="E974" s="1"/>
      <c r="F974" s="2"/>
      <c r="G974" s="322"/>
      <c r="H974" s="1"/>
      <c r="I974" s="365"/>
      <c r="J974" s="365"/>
      <c r="K974" s="322"/>
      <c r="L974" s="1"/>
      <c r="M974" s="365"/>
      <c r="N974" s="365"/>
      <c r="O974" s="322"/>
      <c r="P974" s="1"/>
      <c r="Q974" s="365"/>
      <c r="R974" s="365"/>
      <c r="S974" s="322"/>
      <c r="T974" s="1"/>
      <c r="U974" s="365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>
      <c r="A975" s="278" t="s">
        <v>466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>
      <c r="A976" s="294" t="s">
        <v>674</v>
      </c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>
      <c r="A977" s="308"/>
      <c r="B977" s="1"/>
      <c r="C977" s="1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>
      <c r="A978" s="308" t="s">
        <v>383</v>
      </c>
      <c r="B978" s="1"/>
      <c r="C978" s="304"/>
      <c r="D978" s="2"/>
      <c r="E978" s="1"/>
      <c r="F978" s="1"/>
      <c r="G978" s="2"/>
      <c r="H978" s="1"/>
      <c r="I978" s="1"/>
      <c r="J978" s="1"/>
      <c r="K978" s="2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>
      <c r="A979" s="308" t="s">
        <v>461</v>
      </c>
      <c r="B979" s="1"/>
      <c r="C979" s="304">
        <v>332.81818181818198</v>
      </c>
      <c r="D979" s="322">
        <v>1386</v>
      </c>
      <c r="E979" s="306"/>
      <c r="F979" s="2">
        <f>ROUND(D979*C979,0)</f>
        <v>461286</v>
      </c>
      <c r="G979" s="322">
        <f ca="1">G941</f>
        <v>1411</v>
      </c>
      <c r="H979" s="306"/>
      <c r="I979" s="2">
        <f ca="1">ROUND(G979*$C979,0)</f>
        <v>469606</v>
      </c>
      <c r="J979" s="2"/>
      <c r="K979" s="322">
        <f ca="1">K941</f>
        <v>1411</v>
      </c>
      <c r="L979" s="306"/>
      <c r="M979" s="2">
        <f ca="1">ROUND(K979*$C979,0)</f>
        <v>469606</v>
      </c>
      <c r="N979" s="2"/>
      <c r="O979" s="322" t="str">
        <f>O941</f>
        <v xml:space="preserve"> </v>
      </c>
      <c r="P979" s="306"/>
      <c r="Q979" s="2">
        <f>ROUND(O979*$C979,0)</f>
        <v>0</v>
      </c>
      <c r="R979" s="2"/>
      <c r="S979" s="322" t="str">
        <f>S941</f>
        <v xml:space="preserve"> </v>
      </c>
      <c r="T979" s="306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>
      <c r="A980" s="308" t="s">
        <v>462</v>
      </c>
      <c r="B980" s="1"/>
      <c r="C980" s="304">
        <v>0</v>
      </c>
      <c r="D980" s="322">
        <v>1675</v>
      </c>
      <c r="E980" s="309"/>
      <c r="F980" s="2">
        <f>ROUND(D980*C980,0)</f>
        <v>0</v>
      </c>
      <c r="G980" s="322">
        <f ca="1">G942</f>
        <v>1703</v>
      </c>
      <c r="H980" s="309"/>
      <c r="I980" s="2">
        <f ca="1">ROUND(G980*$C980,0)</f>
        <v>0</v>
      </c>
      <c r="J980" s="2"/>
      <c r="K980" s="322">
        <f ca="1">K942</f>
        <v>1703</v>
      </c>
      <c r="L980" s="309"/>
      <c r="M980" s="2">
        <f ca="1">ROUND(K980*$C980,0)</f>
        <v>0</v>
      </c>
      <c r="N980" s="2"/>
      <c r="O980" s="322" t="str">
        <f>O942</f>
        <v xml:space="preserve"> </v>
      </c>
      <c r="P980" s="309"/>
      <c r="Q980" s="2">
        <f>ROUND(O980*$C980,0)</f>
        <v>0</v>
      </c>
      <c r="R980" s="2"/>
      <c r="S980" s="322" t="str">
        <f>S942</f>
        <v xml:space="preserve"> </v>
      </c>
      <c r="T980" s="309"/>
      <c r="U980" s="2">
        <f>ROUND(S980*$C980,0)</f>
        <v>0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>
      <c r="A981" s="308" t="s">
        <v>384</v>
      </c>
      <c r="B981" s="1"/>
      <c r="C981" s="304">
        <f>SUM(C979:C980)</f>
        <v>332.81818181818198</v>
      </c>
      <c r="D981" s="322" t="s">
        <v>31</v>
      </c>
      <c r="E981" s="306"/>
      <c r="F981" s="2" t="s">
        <v>31</v>
      </c>
      <c r="G981" s="322" t="s">
        <v>31</v>
      </c>
      <c r="H981" s="306"/>
      <c r="I981" s="2" t="s">
        <v>31</v>
      </c>
      <c r="J981" s="2"/>
      <c r="K981" s="322" t="s">
        <v>31</v>
      </c>
      <c r="L981" s="306"/>
      <c r="M981" s="2" t="s">
        <v>31</v>
      </c>
      <c r="N981" s="2"/>
      <c r="O981" s="322" t="s">
        <v>31</v>
      </c>
      <c r="P981" s="306"/>
      <c r="Q981" s="2" t="s">
        <v>31</v>
      </c>
      <c r="R981" s="2"/>
      <c r="S981" s="322" t="s">
        <v>31</v>
      </c>
      <c r="T981" s="306"/>
      <c r="U981" s="2" t="s">
        <v>31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>
      <c r="A982" s="308" t="s">
        <v>463</v>
      </c>
      <c r="B982" s="1"/>
      <c r="C982" s="304">
        <v>537406.793103448</v>
      </c>
      <c r="D982" s="322">
        <v>1.1000000000000001</v>
      </c>
      <c r="E982" s="306"/>
      <c r="F982" s="2">
        <f>ROUND(D982*C982,0)</f>
        <v>591147</v>
      </c>
      <c r="G982" s="322">
        <f ca="1">G944</f>
        <v>1.1200000000000001</v>
      </c>
      <c r="H982" s="306"/>
      <c r="I982" s="2">
        <f ca="1">ROUND(G982*$C982,0)</f>
        <v>601896</v>
      </c>
      <c r="J982" s="2"/>
      <c r="K982" s="322">
        <f ca="1">K944</f>
        <v>1.1200000000000001</v>
      </c>
      <c r="L982" s="306"/>
      <c r="M982" s="2">
        <f ca="1">ROUND(K982*$C982,0)</f>
        <v>601896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>
      <c r="A983" s="308" t="s">
        <v>464</v>
      </c>
      <c r="B983" s="1"/>
      <c r="C983" s="304">
        <v>0</v>
      </c>
      <c r="D983" s="322">
        <v>0.99</v>
      </c>
      <c r="E983" s="306"/>
      <c r="F983" s="2">
        <f>ROUND(D983*C983,0)</f>
        <v>0</v>
      </c>
      <c r="G983" s="322">
        <f ca="1">G945</f>
        <v>1.01</v>
      </c>
      <c r="H983" s="306"/>
      <c r="I983" s="2">
        <f ca="1">ROUND(G983*$C983,0)</f>
        <v>0</v>
      </c>
      <c r="J983" s="2"/>
      <c r="K983" s="322">
        <f ca="1">K945</f>
        <v>1.01</v>
      </c>
      <c r="L983" s="306"/>
      <c r="M983" s="2">
        <f ca="1">ROUND(K983*$C983,0)</f>
        <v>0</v>
      </c>
      <c r="N983" s="2"/>
      <c r="O983" s="322" t="str">
        <f>O945</f>
        <v xml:space="preserve"> </v>
      </c>
      <c r="P983" s="306"/>
      <c r="Q983" s="2">
        <f>ROUND(O983*$C983,0)</f>
        <v>0</v>
      </c>
      <c r="R983" s="2"/>
      <c r="S983" s="322" t="str">
        <f>S945</f>
        <v xml:space="preserve"> </v>
      </c>
      <c r="T983" s="306"/>
      <c r="U983" s="2">
        <f>ROUND(S983*$C983,0)</f>
        <v>0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>
      <c r="A984" s="294" t="s">
        <v>393</v>
      </c>
      <c r="B984" s="1"/>
      <c r="C984" s="304">
        <v>465132.48275862099</v>
      </c>
      <c r="D984" s="322">
        <v>7.83</v>
      </c>
      <c r="E984" s="306"/>
      <c r="F984" s="2">
        <f>ROUND(D984*C984,0)</f>
        <v>3641987</v>
      </c>
      <c r="G984" s="322">
        <f ca="1">G946</f>
        <v>7.97</v>
      </c>
      <c r="H984" s="306"/>
      <c r="I984" s="2">
        <f ca="1">ROUND(G984*$C984,0)</f>
        <v>3707106</v>
      </c>
      <c r="J984" s="2"/>
      <c r="K984" s="322" t="e">
        <f ca="1">K946</f>
        <v>#DIV/0!</v>
      </c>
      <c r="L984" s="306"/>
      <c r="M984" s="2" t="e">
        <f ca="1">ROUND(K984*$C984,0)</f>
        <v>#DIV/0!</v>
      </c>
      <c r="N984" s="2"/>
      <c r="O984" s="322" t="e">
        <f ca="1">O946</f>
        <v>#DIV/0!</v>
      </c>
      <c r="P984" s="306"/>
      <c r="Q984" s="2" t="e">
        <f ca="1">ROUND(O984*$C984,0)</f>
        <v>#DIV/0!</v>
      </c>
      <c r="R984" s="2"/>
      <c r="S984" s="322" t="e">
        <f ca="1">S946</f>
        <v>#DIV/0!</v>
      </c>
      <c r="T984" s="306"/>
      <c r="U984" s="2" t="e">
        <f ca="1">ROUND(S984*$C984,0)</f>
        <v>#DIV/0!</v>
      </c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>
      <c r="A985" s="308" t="s">
        <v>416</v>
      </c>
      <c r="B985" s="1"/>
      <c r="C985" s="304"/>
      <c r="D985" s="322" t="s">
        <v>31</v>
      </c>
      <c r="E985" s="306"/>
      <c r="F985" s="2"/>
      <c r="G985" s="322" t="s">
        <v>31</v>
      </c>
      <c r="H985" s="306"/>
      <c r="I985" s="2"/>
      <c r="J985" s="2"/>
      <c r="K985" s="322" t="s">
        <v>31</v>
      </c>
      <c r="L985" s="306"/>
      <c r="M985" s="2"/>
      <c r="N985" s="2"/>
      <c r="O985" s="322" t="s">
        <v>31</v>
      </c>
      <c r="P985" s="306"/>
      <c r="Q985" s="2"/>
      <c r="R985" s="2"/>
      <c r="S985" s="322" t="s">
        <v>31</v>
      </c>
      <c r="T985" s="306"/>
      <c r="U985" s="2"/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>
      <c r="A986" s="308" t="s">
        <v>454</v>
      </c>
      <c r="B986" s="1"/>
      <c r="C986" s="304">
        <v>209700450</v>
      </c>
      <c r="D986" s="380">
        <v>4.6630000000000003</v>
      </c>
      <c r="E986" s="306" t="s">
        <v>364</v>
      </c>
      <c r="F986" s="2">
        <f>ROUND(D986/100*C986,0)</f>
        <v>9778332</v>
      </c>
      <c r="G986" s="380">
        <f ca="1">G948</f>
        <v>4.7409999999999997</v>
      </c>
      <c r="H986" s="306" t="s">
        <v>364</v>
      </c>
      <c r="I986" s="2">
        <f ca="1">ROUND(G986/100*$C986,0)</f>
        <v>9941898</v>
      </c>
      <c r="J986" s="2"/>
      <c r="K986" s="380" t="str">
        <f>K948</f>
        <v xml:space="preserve"> </v>
      </c>
      <c r="L986" s="306" t="s">
        <v>364</v>
      </c>
      <c r="M986" s="2">
        <f>ROUND(K986/100*$C986,0)</f>
        <v>0</v>
      </c>
      <c r="N986" s="2"/>
      <c r="O986" s="380" t="e">
        <f ca="1">O948</f>
        <v>#DIV/0!</v>
      </c>
      <c r="P986" s="306" t="s">
        <v>364</v>
      </c>
      <c r="Q986" s="2" t="e">
        <f ca="1">ROUND(O986/100*$C986,0)</f>
        <v>#DIV/0!</v>
      </c>
      <c r="R986" s="2"/>
      <c r="S986" s="380" t="e">
        <f ca="1">S948</f>
        <v>#DIV/0!</v>
      </c>
      <c r="T986" s="306" t="s">
        <v>364</v>
      </c>
      <c r="U986" s="2" t="e">
        <f ca="1">ROUND(S986/100*$C986,0)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>
      <c r="A987" s="308" t="s">
        <v>390</v>
      </c>
      <c r="B987" s="1"/>
      <c r="C987" s="304">
        <v>129089.24242424199</v>
      </c>
      <c r="D987" s="322">
        <v>0.55000000000000004</v>
      </c>
      <c r="E987" s="306"/>
      <c r="F987" s="2">
        <f>ROUND(D987*C987,0)</f>
        <v>70999</v>
      </c>
      <c r="G987" s="322">
        <f ca="1">G949</f>
        <v>0.56000000000000005</v>
      </c>
      <c r="H987" s="306"/>
      <c r="I987" s="2">
        <f ca="1">ROUND(G987*$C987,0)</f>
        <v>72290</v>
      </c>
      <c r="J987" s="2"/>
      <c r="K987" s="322" t="str">
        <f>K949</f>
        <v xml:space="preserve"> </v>
      </c>
      <c r="L987" s="306"/>
      <c r="M987" s="2">
        <f>ROUND(K987*$C987,0)</f>
        <v>0</v>
      </c>
      <c r="N987" s="2"/>
      <c r="O987" s="322" t="e">
        <f ca="1">O949</f>
        <v>#DIV/0!</v>
      </c>
      <c r="P987" s="306"/>
      <c r="Q987" s="2" t="e">
        <f ca="1">ROUND(O987*$C987,0)</f>
        <v>#DIV/0!</v>
      </c>
      <c r="R987" s="2"/>
      <c r="S987" s="322" t="e">
        <f ca="1">S949</f>
        <v>#DIV/0!</v>
      </c>
      <c r="T987" s="306"/>
      <c r="U987" s="2" t="e">
        <f ca="1">ROUND(S987*$C987,0)</f>
        <v>#DIV/0!</v>
      </c>
      <c r="V987" s="20"/>
      <c r="W987" s="74"/>
      <c r="X987" s="74"/>
      <c r="Y987" s="74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</row>
    <row r="988" spans="1:44" s="1118" customFormat="1" hidden="1">
      <c r="A988" s="968" t="s">
        <v>872</v>
      </c>
      <c r="C988" s="1122">
        <f>C986</f>
        <v>209700450</v>
      </c>
      <c r="D988" s="254">
        <v>0</v>
      </c>
      <c r="E988" s="1119"/>
      <c r="F988" s="1123"/>
      <c r="G988" s="1128">
        <f>G950</f>
        <v>0</v>
      </c>
      <c r="H988" s="1000" t="s">
        <v>364</v>
      </c>
      <c r="I988" s="1123">
        <f>ROUND(G988*$C988/100,0)</f>
        <v>0</v>
      </c>
      <c r="J988" s="1123"/>
      <c r="K988" s="1128" t="str">
        <f>K950</f>
        <v xml:space="preserve"> </v>
      </c>
      <c r="L988" s="1000" t="s">
        <v>364</v>
      </c>
      <c r="M988" s="1123">
        <f>ROUND(K988*$C988/100,0)</f>
        <v>0</v>
      </c>
      <c r="N988" s="1123"/>
      <c r="O988" s="1128" t="str">
        <f>O950</f>
        <v xml:space="preserve"> </v>
      </c>
      <c r="P988" s="1000" t="s">
        <v>364</v>
      </c>
      <c r="Q988" s="1123">
        <f>ROUND(O988*$C988/100,0)</f>
        <v>0</v>
      </c>
      <c r="R988" s="1123"/>
      <c r="S988" s="1128">
        <f>S950</f>
        <v>0</v>
      </c>
      <c r="T988" s="1000" t="s">
        <v>364</v>
      </c>
      <c r="U988" s="1123">
        <f>ROUND(S988*$C988/100,0)</f>
        <v>0</v>
      </c>
      <c r="W988" s="784"/>
      <c r="Z988" s="1125"/>
      <c r="AA988" s="1125"/>
      <c r="AF988" s="1119"/>
      <c r="AG988" s="1119"/>
      <c r="AH988" s="1119"/>
      <c r="AI988" s="1119"/>
      <c r="AJ988" s="1119"/>
      <c r="AK988" s="1119"/>
      <c r="AL988" s="1119"/>
      <c r="AM988" s="1119"/>
      <c r="AN988" s="1119"/>
      <c r="AO988" s="1119"/>
      <c r="AP988" s="1119"/>
      <c r="AR988" s="1124"/>
    </row>
    <row r="989" spans="1:44">
      <c r="A989" s="1" t="s">
        <v>371</v>
      </c>
      <c r="B989" s="1"/>
      <c r="C989" s="304">
        <f>C986</f>
        <v>209700450</v>
      </c>
      <c r="D989" s="315"/>
      <c r="E989" s="1"/>
      <c r="F989" s="2">
        <f>SUM(F979:F987)</f>
        <v>14543751</v>
      </c>
      <c r="G989" s="315"/>
      <c r="H989" s="1"/>
      <c r="I989" s="2">
        <f ca="1">SUM(I979:I988)</f>
        <v>14792796</v>
      </c>
      <c r="J989" s="2"/>
      <c r="K989" s="315"/>
      <c r="L989" s="1"/>
      <c r="M989" s="2" t="e">
        <f ca="1">SUM(M979:M988)</f>
        <v>#DIV/0!</v>
      </c>
      <c r="N989" s="2"/>
      <c r="O989" s="315"/>
      <c r="P989" s="1"/>
      <c r="Q989" s="2" t="e">
        <f ca="1">SUM(Q979:Q988)</f>
        <v>#DIV/0!</v>
      </c>
      <c r="R989" s="2"/>
      <c r="S989" s="315"/>
      <c r="T989" s="1"/>
      <c r="U989" s="2" t="e">
        <f ca="1">SUM(U979:U988)</f>
        <v>#DIV/0!</v>
      </c>
      <c r="V989" s="7" t="s">
        <v>31</v>
      </c>
      <c r="W989" s="74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>
      <c r="A990" s="1" t="s">
        <v>353</v>
      </c>
      <c r="B990" s="1"/>
      <c r="C990" s="304">
        <f ca="1">C989/($C$989+$C$1046)*$C$1084</f>
        <v>652001.57700801117</v>
      </c>
      <c r="D990" s="294"/>
      <c r="E990" s="294"/>
      <c r="F990" s="325">
        <f ca="1">F989/($F$989+$F$1046)*$F$1084</f>
        <v>46004.73177716678</v>
      </c>
      <c r="G990" s="294"/>
      <c r="H990" s="294"/>
      <c r="I990" s="326">
        <f ca="1">F990</f>
        <v>46004.73177716678</v>
      </c>
      <c r="J990" s="307"/>
      <c r="K990" s="294"/>
      <c r="L990" s="294"/>
      <c r="M990" s="326" t="e">
        <f ca="1">$I$990*V956/($V956+$W$956+$X$956)</f>
        <v>#DIV/0!</v>
      </c>
      <c r="N990" s="51"/>
      <c r="O990" s="294"/>
      <c r="P990" s="294"/>
      <c r="Q990" s="326" t="e">
        <f ca="1">$I$990*W956/($V956+$W$956+$X$956)</f>
        <v>#DIV/0!</v>
      </c>
      <c r="R990" s="51"/>
      <c r="S990" s="294"/>
      <c r="T990" s="294"/>
      <c r="U990" s="326" t="e">
        <f ca="1">$I$990*X956/($V956+$W$956+$X$956)</f>
        <v>#DIV/0!</v>
      </c>
      <c r="V990" s="429"/>
      <c r="W990" s="272"/>
      <c r="X990" s="74"/>
      <c r="Y990" s="74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thickBot="1">
      <c r="A991" s="1" t="s">
        <v>372</v>
      </c>
      <c r="B991" s="1"/>
      <c r="C991" s="378">
        <f ca="1">SUM(C989)+C990</f>
        <v>210352451.57700801</v>
      </c>
      <c r="D991" s="327"/>
      <c r="E991" s="330"/>
      <c r="F991" s="329">
        <f ca="1">F989+F990</f>
        <v>14589755.731777167</v>
      </c>
      <c r="G991" s="327"/>
      <c r="H991" s="330"/>
      <c r="I991" s="329">
        <f ca="1">I989+I990</f>
        <v>14838800.731777167</v>
      </c>
      <c r="J991" s="307"/>
      <c r="K991" s="327"/>
      <c r="L991" s="330"/>
      <c r="M991" s="329" t="e">
        <f ca="1">M989+M990</f>
        <v>#DIV/0!</v>
      </c>
      <c r="N991" s="329"/>
      <c r="O991" s="327"/>
      <c r="P991" s="330"/>
      <c r="Q991" s="329" t="e">
        <f ca="1">Q989+Q990</f>
        <v>#DIV/0!</v>
      </c>
      <c r="R991" s="329"/>
      <c r="S991" s="327"/>
      <c r="T991" s="330"/>
      <c r="U991" s="329" t="e">
        <f ca="1">U989+U990</f>
        <v>#DIV/0!</v>
      </c>
      <c r="V991" s="396"/>
      <c r="W991" s="455"/>
      <c r="X991" s="74"/>
      <c r="Y991" s="74"/>
      <c r="Z991" s="770" t="s">
        <v>31</v>
      </c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t="16.5" thickTop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 t="s">
        <v>31</v>
      </c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93">C1018+C1036</f>
        <v>130.3333333333334</v>
      </c>
      <c r="D997" s="322">
        <v>1419</v>
      </c>
      <c r="E997" s="306"/>
      <c r="F997" s="2">
        <f>ROUND(D997*C997,0)</f>
        <v>184943</v>
      </c>
      <c r="G997" s="311">
        <f ca="1">ROUND(D997*(1+$Z$936),0)</f>
        <v>1443</v>
      </c>
      <c r="H997" s="306"/>
      <c r="I997" s="2">
        <f ca="1">ROUND(G997*$C997,0)</f>
        <v>188071</v>
      </c>
      <c r="J997" s="2"/>
      <c r="K997" s="311">
        <f ca="1">G997</f>
        <v>1443</v>
      </c>
      <c r="L997" s="306"/>
      <c r="M997" s="2">
        <f ca="1">ROUND(K997*$C997,0)</f>
        <v>188071</v>
      </c>
      <c r="N997" s="2"/>
      <c r="O997" s="311" t="s">
        <v>31</v>
      </c>
      <c r="P997" s="306"/>
      <c r="Q997" s="2">
        <f>ROUND(O997*$C997,0)</f>
        <v>0</v>
      </c>
      <c r="R997" s="2"/>
      <c r="S997" s="311" t="s">
        <v>31</v>
      </c>
      <c r="T997" s="306"/>
      <c r="U997" s="2">
        <f>ROUND(S997*$C997,0)</f>
        <v>0</v>
      </c>
      <c r="V997" s="20"/>
      <c r="X997" s="796">
        <f ca="1">(G997-D997)/D997</f>
        <v>1.6913319238900635E-2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93"/>
        <v>0</v>
      </c>
      <c r="D998" s="322">
        <v>1707</v>
      </c>
      <c r="E998" s="309"/>
      <c r="F998" s="2">
        <f>ROUND(D998*C998,0)</f>
        <v>0</v>
      </c>
      <c r="G998" s="311">
        <f ca="1">ROUND(D998*(1+$Z$936),0)</f>
        <v>1736</v>
      </c>
      <c r="H998" s="309"/>
      <c r="I998" s="2">
        <f ca="1">ROUND(G998*$C998,0)</f>
        <v>0</v>
      </c>
      <c r="J998" s="2"/>
      <c r="K998" s="311">
        <f ca="1">G998</f>
        <v>1736</v>
      </c>
      <c r="L998" s="1275"/>
      <c r="M998" s="2">
        <f ca="1">I998</f>
        <v>0</v>
      </c>
      <c r="N998" s="2"/>
      <c r="O998" s="311" t="s">
        <v>31</v>
      </c>
      <c r="P998" s="1275"/>
      <c r="Q998" s="2">
        <f>ROUND(O998*$C998,0)</f>
        <v>0</v>
      </c>
      <c r="R998" s="2"/>
      <c r="S998" s="311" t="s">
        <v>31</v>
      </c>
      <c r="T998" s="1275"/>
      <c r="U998" s="2">
        <f>ROUND(S998*$C998,0)</f>
        <v>0</v>
      </c>
      <c r="V998" s="20"/>
      <c r="X998" s="796">
        <f ca="1">(G998-D998)/D998</f>
        <v>1.698886936145284E-2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93"/>
        <v>130.3333333333334</v>
      </c>
      <c r="D999" s="322" t="s">
        <v>31</v>
      </c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93"/>
        <v>230926.96551724101</v>
      </c>
      <c r="D1000" s="322">
        <v>0.56000000000000005</v>
      </c>
      <c r="E1000" s="306"/>
      <c r="F1000" s="2">
        <f>ROUND(D1000*C1000,0)</f>
        <v>129319</v>
      </c>
      <c r="G1000" s="311">
        <f ca="1">ROUND(D1000*(1+$Z$936),2)</f>
        <v>0.56999999999999995</v>
      </c>
      <c r="H1000" s="306"/>
      <c r="I1000" s="2">
        <f ca="1">ROUND(G1000*$C1000,0)</f>
        <v>131628</v>
      </c>
      <c r="J1000" s="2"/>
      <c r="K1000" s="311">
        <f ca="1">G1000</f>
        <v>0.56999999999999995</v>
      </c>
      <c r="L1000" s="306"/>
      <c r="M1000" s="2">
        <f ca="1">ROUND(K1000*$C1000,0)</f>
        <v>131628</v>
      </c>
      <c r="N1000" s="2"/>
      <c r="O1000" s="311" t="s">
        <v>31</v>
      </c>
      <c r="P1000" s="306"/>
      <c r="Q1000" s="2">
        <f>ROUND(O1000*$C1000,0)</f>
        <v>0</v>
      </c>
      <c r="R1000" s="2"/>
      <c r="S1000" s="311" t="s">
        <v>31</v>
      </c>
      <c r="T1000" s="306"/>
      <c r="U1000" s="2">
        <f>ROUND(S1000*$C1000,0)</f>
        <v>0</v>
      </c>
      <c r="X1000" s="796">
        <f ca="1">(G1000-D1000)/D1000</f>
        <v>1.7857142857142672E-2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93"/>
        <v>0</v>
      </c>
      <c r="D1001" s="322">
        <v>0.45</v>
      </c>
      <c r="E1001" s="306"/>
      <c r="F1001" s="2">
        <f>ROUND(D1001*C1001,0)</f>
        <v>0</v>
      </c>
      <c r="G1001" s="311">
        <f ca="1">ROUND(D1001*(1+$Z$936),2)</f>
        <v>0.46</v>
      </c>
      <c r="H1001" s="306"/>
      <c r="I1001" s="2">
        <f ca="1">ROUND(G1001*$C1001,0)</f>
        <v>0</v>
      </c>
      <c r="J1001" s="2"/>
      <c r="K1001" s="311">
        <f ca="1">G1001</f>
        <v>0.46</v>
      </c>
      <c r="L1001" s="306"/>
      <c r="M1001" s="2">
        <f ca="1">I1001</f>
        <v>0</v>
      </c>
      <c r="N1001" s="2"/>
      <c r="O1001" s="311" t="s">
        <v>31</v>
      </c>
      <c r="P1001" s="306"/>
      <c r="Q1001" s="2">
        <f>ROUND(O1001*$C1001,0)</f>
        <v>0</v>
      </c>
      <c r="R1001" s="2"/>
      <c r="S1001" s="311" t="s">
        <v>31</v>
      </c>
      <c r="T1001" s="306"/>
      <c r="U1001" s="2">
        <f>ROUND(S1001*$C1001,0)</f>
        <v>0</v>
      </c>
      <c r="V1001" s="20"/>
      <c r="X1001" s="796">
        <f ca="1">(G1001-D1001)/D1001</f>
        <v>2.222222222222224E-2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93"/>
        <v>187022.62068965501</v>
      </c>
      <c r="D1002" s="322">
        <v>7.67</v>
      </c>
      <c r="E1002" s="306"/>
      <c r="F1002" s="2">
        <f>ROUND(D1002*C1002,0)</f>
        <v>1434464</v>
      </c>
      <c r="G1002" s="311">
        <f ca="1">ROUND(D1002*(1+$Z$936),2)-0.01</f>
        <v>7.79</v>
      </c>
      <c r="H1002" s="306"/>
      <c r="I1002" s="2">
        <f ca="1">ROUND(G1002*$C1002,0)</f>
        <v>1456906</v>
      </c>
      <c r="J1002" s="2"/>
      <c r="K1002" s="311" t="e">
        <f ca="1">M1002/$C$1002</f>
        <v>#DIV/0!</v>
      </c>
      <c r="L1002" s="306"/>
      <c r="M1002" s="2" t="e">
        <f ca="1">(V1012-M997-M998-M1009-M1001-M1000)</f>
        <v>#DIV/0!</v>
      </c>
      <c r="N1002" s="2"/>
      <c r="O1002" s="311" t="e">
        <f ca="1">Q1002/$C$1002</f>
        <v>#DIV/0!</v>
      </c>
      <c r="P1002" s="306"/>
      <c r="Q1002" s="2" t="e">
        <f ca="1">($I$1002-$M$1002)*(W1012/($W$1012+$X$1012))</f>
        <v>#DIV/0!</v>
      </c>
      <c r="R1002" s="2"/>
      <c r="S1002" s="311" t="e">
        <f ca="1">U1002/$C$1002-0.01</f>
        <v>#DIV/0!</v>
      </c>
      <c r="T1002" s="306"/>
      <c r="U1002" s="2" t="e">
        <f ca="1">($I$1002-$M$1002)*(X1012/($W$1012+$X$1012))</f>
        <v>#DIV/0!</v>
      </c>
      <c r="V1002" s="20"/>
      <c r="X1002" s="796">
        <f ca="1">(G1002-D1002)/D1002</f>
        <v>1.5645371577574983E-2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 t="s">
        <v>31</v>
      </c>
      <c r="E1003" s="306"/>
      <c r="F1003" s="2"/>
      <c r="G1003" s="311" t="s">
        <v>31</v>
      </c>
      <c r="H1003" s="306"/>
      <c r="I1003" s="2"/>
      <c r="J1003" s="2"/>
      <c r="K1003" s="411" t="s">
        <v>31</v>
      </c>
      <c r="L1003" s="306"/>
      <c r="M1003" s="2"/>
      <c r="N1003" s="2"/>
      <c r="O1003" s="411" t="s">
        <v>31</v>
      </c>
      <c r="P1003" s="306"/>
      <c r="Q1003" s="2"/>
      <c r="R1003" s="2"/>
      <c r="S1003" s="4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v>4.6099999999999994</v>
      </c>
      <c r="E1004" s="306" t="s">
        <v>364</v>
      </c>
      <c r="F1004" s="2">
        <f>ROUND(D1004/100*C1004,0)</f>
        <v>3517287</v>
      </c>
      <c r="G1004" s="777">
        <f ca="1">ROUND(D1004*(1+$Z$936),3)</f>
        <v>4.6879999999999997</v>
      </c>
      <c r="H1004" s="306" t="s">
        <v>364</v>
      </c>
      <c r="I1004" s="2">
        <f ca="1">ROUND(G1004/100*$C1004,0)</f>
        <v>3576798</v>
      </c>
      <c r="J1004" s="2"/>
      <c r="K1004" s="771" t="s">
        <v>31</v>
      </c>
      <c r="L1004" s="850" t="s">
        <v>31</v>
      </c>
      <c r="M1004" s="2">
        <v>0</v>
      </c>
      <c r="N1004" s="2"/>
      <c r="O1004" s="771" t="e">
        <f ca="1">ROUND(Q1004/C1004*100,3)</f>
        <v>#DIV/0!</v>
      </c>
      <c r="P1004" s="306" t="s">
        <v>364</v>
      </c>
      <c r="Q1004" s="2" t="e">
        <f ca="1">I1004-U1004</f>
        <v>#DIV/0!</v>
      </c>
      <c r="R1004" s="2"/>
      <c r="S1004" s="771" t="e">
        <f ca="1">ROUND(U1004/C1004*100,3)</f>
        <v>#DIV/0!</v>
      </c>
      <c r="T1004" s="306" t="s">
        <v>364</v>
      </c>
      <c r="U1004" s="2" t="e">
        <f ca="1">X1012-U997-U998-U1000-U1001-U1002-U1005-U1006-U1009</f>
        <v>#DIV/0!</v>
      </c>
      <c r="V1004" s="20"/>
      <c r="X1004" s="796">
        <f ca="1">(G1004-D1004)/D1004</f>
        <v>1.6919739696312431E-2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v>0.54</v>
      </c>
      <c r="E1005" s="306"/>
      <c r="F1005" s="2">
        <f>ROUND(D1005*C1005,0)</f>
        <v>8633</v>
      </c>
      <c r="G1005" s="311">
        <f ca="1">ROUND(D1005*(1+$Z$936),2)</f>
        <v>0.55000000000000004</v>
      </c>
      <c r="H1005" s="306"/>
      <c r="I1005" s="2">
        <f ca="1">ROUND(G1005*$C1005,0)</f>
        <v>8793</v>
      </c>
      <c r="J1005" s="2"/>
      <c r="K1005" s="311" t="s">
        <v>31</v>
      </c>
      <c r="L1005" s="306"/>
      <c r="M1005" s="2">
        <f>ROUND(K1005*$C1005,0)</f>
        <v>0</v>
      </c>
      <c r="N1005" s="2"/>
      <c r="O1005" s="311" t="e">
        <f ca="1">ROUND(Q1005/$C$1005,2)</f>
        <v>#DIV/0!</v>
      </c>
      <c r="P1005" s="306"/>
      <c r="Q1005" s="2" t="e">
        <f ca="1">$I$1005*(W1012/(W1012+X1012))</f>
        <v>#DIV/0!</v>
      </c>
      <c r="R1005" s="2"/>
      <c r="S1005" s="311" t="e">
        <f ca="1">ROUND(U1005/$C$1005,2)</f>
        <v>#DIV/0!</v>
      </c>
      <c r="T1005" s="306"/>
      <c r="U1005" s="2" t="e">
        <f ca="1">$I$1005*(X1012/(W1012+X1012))</f>
        <v>#DIV/0!</v>
      </c>
      <c r="V1005" s="20"/>
      <c r="X1005" s="796">
        <f ca="1">(G1005-D1005)/D1005</f>
        <v>1.8518518518518535E-2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v>0</v>
      </c>
      <c r="E1006" s="1119"/>
      <c r="F1006" s="1123"/>
      <c r="G1006" s="1128">
        <v>0</v>
      </c>
      <c r="H1006" s="1000" t="s">
        <v>364</v>
      </c>
      <c r="I1006" s="1123">
        <f>ROUND(G1006/100*$C1006,0)</f>
        <v>0</v>
      </c>
      <c r="J1006" s="1123"/>
      <c r="K1006" s="1128" t="s">
        <v>31</v>
      </c>
      <c r="L1006" s="1000" t="s">
        <v>31</v>
      </c>
      <c r="M1006" s="1000">
        <f>ROUND(K1006*$C1006/100,0)</f>
        <v>0</v>
      </c>
      <c r="N1006" s="1000"/>
      <c r="O1006" s="1128" t="s">
        <v>31</v>
      </c>
      <c r="P1006" s="1000" t="s">
        <v>31</v>
      </c>
      <c r="Q1006" s="1000">
        <f>ROUND(O1006*$C1006/100,0)</f>
        <v>0</v>
      </c>
      <c r="R1006" s="1000"/>
      <c r="S1006" s="1128">
        <f>G1006</f>
        <v>0</v>
      </c>
      <c r="T1006" s="1000" t="s">
        <v>364</v>
      </c>
      <c r="U1006" s="1000">
        <f>ROUND(S1006*$C1006/100,0)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v>4.6099999999999994</v>
      </c>
      <c r="E1007" s="1266" t="s">
        <v>364</v>
      </c>
      <c r="F1007" s="1259"/>
      <c r="G1007" s="1260">
        <f ca="1">G1004+G1006</f>
        <v>4.6879999999999997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1.6919739696312431E-2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5274646</v>
      </c>
      <c r="G1008" s="315"/>
      <c r="H1008" s="1"/>
      <c r="I1008" s="2">
        <f ca="1">SUM(I997:I1007)</f>
        <v>5362196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5">
        <f ca="1">F1029+F1047</f>
        <v>39185.210389301043</v>
      </c>
      <c r="G1009" s="294"/>
      <c r="H1009" s="294"/>
      <c r="I1009" s="326">
        <f ca="1">F1009</f>
        <v>39185.210389301043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5313831.2103893012</v>
      </c>
      <c r="G1010" s="327"/>
      <c r="H1010" s="330"/>
      <c r="I1010" s="329">
        <f ca="1">I1008+I1009</f>
        <v>5401381.2103893012</v>
      </c>
      <c r="J1010" s="307"/>
      <c r="K1010" s="327"/>
      <c r="L1010" s="330"/>
      <c r="M1010" s="329" t="e">
        <f ca="1">M1008+M1009</f>
        <v>#DIV/0!</v>
      </c>
      <c r="N1010" s="329"/>
      <c r="O1010" s="327"/>
      <c r="P1010" s="330"/>
      <c r="Q1010" s="329" t="e">
        <f ca="1">Q1008+Q1009</f>
        <v>#DIV/0!</v>
      </c>
      <c r="R1010" s="329"/>
      <c r="S1010" s="327"/>
      <c r="T1010" s="330"/>
      <c r="U1010" s="329" t="e">
        <f ca="1">U1008+U1009</f>
        <v>#DIV/0!</v>
      </c>
      <c r="V1010" s="396" t="s">
        <v>31</v>
      </c>
      <c r="W1010" s="751" t="s">
        <v>31</v>
      </c>
      <c r="X1010" s="703">
        <f ca="1">(I1010-F1010)/F1010</f>
        <v>1.6475871463291346E-2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>
      <c r="A1018" s="308" t="s">
        <v>461</v>
      </c>
      <c r="B1018" s="1"/>
      <c r="C1018" s="304">
        <v>106.57575757575761</v>
      </c>
      <c r="D1018" s="322">
        <v>1419</v>
      </c>
      <c r="E1018" s="306"/>
      <c r="F1018" s="2">
        <f>ROUND(D1018*C1018,0)</f>
        <v>151231</v>
      </c>
      <c r="G1018" s="322">
        <f ca="1">G997</f>
        <v>1443</v>
      </c>
      <c r="H1018" s="306"/>
      <c r="I1018" s="2">
        <f ca="1">ROUND(G1018*$C1018,0)</f>
        <v>153789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>
      <c r="A1019" s="308" t="s">
        <v>462</v>
      </c>
      <c r="B1019" s="1"/>
      <c r="C1019" s="304">
        <v>0</v>
      </c>
      <c r="D1019" s="322">
        <v>1707</v>
      </c>
      <c r="E1019" s="309"/>
      <c r="F1019" s="2">
        <f>ROUND(D1019*C1019,0)</f>
        <v>0</v>
      </c>
      <c r="G1019" s="322">
        <f ca="1">G998</f>
        <v>1736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>
      <c r="A1020" s="308" t="s">
        <v>384</v>
      </c>
      <c r="B1020" s="1"/>
      <c r="C1020" s="304">
        <f>SUM(C1018:C1019)</f>
        <v>106.57575757575761</v>
      </c>
      <c r="D1020" s="322" t="s">
        <v>31</v>
      </c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>
      <c r="A1021" s="308" t="s">
        <v>463</v>
      </c>
      <c r="B1021" s="1"/>
      <c r="C1021" s="304">
        <v>201387.96551724101</v>
      </c>
      <c r="D1021" s="322">
        <v>0.56000000000000005</v>
      </c>
      <c r="E1021" s="306"/>
      <c r="F1021" s="2">
        <f>ROUND(D1021*C1021,0)</f>
        <v>112777</v>
      </c>
      <c r="G1021" s="322">
        <f ca="1">G1000</f>
        <v>0.56999999999999995</v>
      </c>
      <c r="H1021" s="306"/>
      <c r="I1021" s="2">
        <f ca="1">ROUND(G1021*$C1021,0)</f>
        <v>114791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>
      <c r="A1022" s="308" t="s">
        <v>464</v>
      </c>
      <c r="B1022" s="1"/>
      <c r="C1022" s="304">
        <v>0</v>
      </c>
      <c r="D1022" s="322">
        <v>0.45</v>
      </c>
      <c r="E1022" s="306"/>
      <c r="F1022" s="2">
        <f>ROUND(D1022*C1022,0)</f>
        <v>0</v>
      </c>
      <c r="G1022" s="322">
        <f ca="1">G1001</f>
        <v>0.46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>
      <c r="A1023" s="294" t="s">
        <v>393</v>
      </c>
      <c r="B1023" s="1"/>
      <c r="C1023" s="304">
        <v>162363.62068965501</v>
      </c>
      <c r="D1023" s="322">
        <v>7.67</v>
      </c>
      <c r="E1023" s="306"/>
      <c r="F1023" s="2">
        <f>ROUND(D1023*C1023,0)</f>
        <v>1245329</v>
      </c>
      <c r="G1023" s="322">
        <f ca="1">G1002</f>
        <v>7.79</v>
      </c>
      <c r="H1023" s="306"/>
      <c r="I1023" s="2">
        <f ca="1">ROUND(G1023*$C1023,0)</f>
        <v>1264813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>
      <c r="A1024" s="308" t="s">
        <v>416</v>
      </c>
      <c r="B1024" s="1"/>
      <c r="C1024" s="304"/>
      <c r="D1024" s="322" t="s">
        <v>31</v>
      </c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>
      <c r="A1025" s="308" t="s">
        <v>454</v>
      </c>
      <c r="B1025" s="1"/>
      <c r="C1025" s="304">
        <v>69500087.893373474</v>
      </c>
      <c r="D1025" s="380">
        <v>4.6099999999999994</v>
      </c>
      <c r="E1025" s="306" t="s">
        <v>364</v>
      </c>
      <c r="F1025" s="2">
        <f>ROUND(D1025/100*C1025,0)</f>
        <v>3203954</v>
      </c>
      <c r="G1025" s="380">
        <f ca="1">G1004</f>
        <v>4.6879999999999997</v>
      </c>
      <c r="H1025" s="306" t="s">
        <v>364</v>
      </c>
      <c r="I1025" s="2">
        <f ca="1">ROUND(G1025/100*$C1025,0)</f>
        <v>3258164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>
      <c r="A1026" s="308" t="s">
        <v>390</v>
      </c>
      <c r="B1026" s="1"/>
      <c r="C1026" s="304">
        <v>14336.3939393939</v>
      </c>
      <c r="D1026" s="322">
        <v>0.54</v>
      </c>
      <c r="E1026" s="306"/>
      <c r="F1026" s="2">
        <f>ROUND(D1026*C1026,0)</f>
        <v>7742</v>
      </c>
      <c r="G1026" s="322">
        <f ca="1">G1005</f>
        <v>0.55000000000000004</v>
      </c>
      <c r="H1026" s="306"/>
      <c r="I1026" s="2">
        <f ca="1">ROUND(G1026*$C1026,0)</f>
        <v>7885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872</v>
      </c>
      <c r="C1027" s="1122">
        <f>C1025</f>
        <v>69500087.893373474</v>
      </c>
      <c r="D1027" s="254"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4721033</v>
      </c>
      <c r="G1028" s="315"/>
      <c r="H1028" s="1"/>
      <c r="I1028" s="2">
        <f ca="1">SUM(I1018:I1027)</f>
        <v>4799442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>
      <c r="A1029" s="1" t="s">
        <v>353</v>
      </c>
      <c r="B1029" s="1"/>
      <c r="C1029" s="304">
        <f>C1028/($C$971+$C$1028)*$C$1065</f>
        <v>490842.11068979814</v>
      </c>
      <c r="D1029" s="294"/>
      <c r="E1029" s="294"/>
      <c r="F1029" s="325">
        <f>F1028/($F$971+$F$1028)*$F$1065</f>
        <v>37434.024084381999</v>
      </c>
      <c r="G1029" s="294"/>
      <c r="H1029" s="294"/>
      <c r="I1029" s="326">
        <f>F1029</f>
        <v>37434.024084381999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4758467.0240843818</v>
      </c>
      <c r="G1030" s="327"/>
      <c r="H1030" s="330"/>
      <c r="I1030" s="329">
        <f ca="1">I1028+I1029</f>
        <v>4836876.0240843818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>
      <c r="A1036" s="308" t="s">
        <v>461</v>
      </c>
      <c r="B1036" s="1"/>
      <c r="C1036" s="304">
        <v>23.7575757575758</v>
      </c>
      <c r="D1036" s="322">
        <v>1419</v>
      </c>
      <c r="E1036" s="306"/>
      <c r="F1036" s="2">
        <f>ROUND(D1036*C1036,0)</f>
        <v>33712</v>
      </c>
      <c r="G1036" s="322">
        <f ca="1">G997</f>
        <v>1443</v>
      </c>
      <c r="H1036" s="306"/>
      <c r="I1036" s="2">
        <f ca="1">ROUND(G1036*$C1036,0)</f>
        <v>34282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>
      <c r="A1037" s="308" t="s">
        <v>462</v>
      </c>
      <c r="B1037" s="1"/>
      <c r="C1037" s="304">
        <v>0</v>
      </c>
      <c r="D1037" s="322">
        <v>1707</v>
      </c>
      <c r="E1037" s="309"/>
      <c r="F1037" s="2">
        <f>ROUND(D1037*C1037,0)</f>
        <v>0</v>
      </c>
      <c r="G1037" s="322">
        <f ca="1">G998</f>
        <v>1736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>
      <c r="A1038" s="308" t="s">
        <v>384</v>
      </c>
      <c r="B1038" s="1"/>
      <c r="C1038" s="304">
        <f>SUM(C1036:C1037)</f>
        <v>23.7575757575758</v>
      </c>
      <c r="D1038" s="322" t="s">
        <v>31</v>
      </c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>
      <c r="A1039" s="308" t="s">
        <v>463</v>
      </c>
      <c r="B1039" s="1"/>
      <c r="C1039" s="304">
        <v>29539</v>
      </c>
      <c r="D1039" s="322">
        <v>0.56000000000000005</v>
      </c>
      <c r="E1039" s="306"/>
      <c r="F1039" s="2">
        <f>ROUND(D1039*C1039,0)</f>
        <v>16542</v>
      </c>
      <c r="G1039" s="322">
        <f ca="1">G1000</f>
        <v>0.56999999999999995</v>
      </c>
      <c r="H1039" s="306"/>
      <c r="I1039" s="2">
        <f ca="1">ROUND(G1039*$C1039,0)</f>
        <v>16837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>
      <c r="A1040" s="308" t="s">
        <v>464</v>
      </c>
      <c r="B1040" s="1"/>
      <c r="C1040" s="304">
        <v>0</v>
      </c>
      <c r="D1040" s="322">
        <v>0.45</v>
      </c>
      <c r="E1040" s="306"/>
      <c r="F1040" s="2">
        <f>ROUND(D1040*C1040,0)</f>
        <v>0</v>
      </c>
      <c r="G1040" s="322">
        <f ca="1">G1001</f>
        <v>0.46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>
      <c r="A1041" s="294" t="s">
        <v>393</v>
      </c>
      <c r="B1041" s="1"/>
      <c r="C1041" s="304">
        <v>24659</v>
      </c>
      <c r="D1041" s="322">
        <v>7.67</v>
      </c>
      <c r="E1041" s="306"/>
      <c r="F1041" s="2">
        <f>ROUND(D1041*C1041,0)</f>
        <v>189135</v>
      </c>
      <c r="G1041" s="322">
        <f ca="1">G1002</f>
        <v>7.79</v>
      </c>
      <c r="H1041" s="306"/>
      <c r="I1041" s="2">
        <f ca="1">ROUND(G1041*$C1041,0)</f>
        <v>192094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>
      <c r="A1042" s="308" t="s">
        <v>416</v>
      </c>
      <c r="B1042" s="1"/>
      <c r="C1042" s="304"/>
      <c r="D1042" s="322" t="s">
        <v>31</v>
      </c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>
      <c r="A1043" s="308" t="s">
        <v>454</v>
      </c>
      <c r="B1043" s="1"/>
      <c r="C1043" s="304">
        <v>6796800</v>
      </c>
      <c r="D1043" s="380">
        <v>4.6099999999999994</v>
      </c>
      <c r="E1043" s="306" t="s">
        <v>364</v>
      </c>
      <c r="F1043" s="2">
        <f>ROUND(D1043/100*C1043,0)</f>
        <v>313332</v>
      </c>
      <c r="G1043" s="380">
        <f ca="1">G1004</f>
        <v>4.6879999999999997</v>
      </c>
      <c r="H1043" s="306" t="s">
        <v>364</v>
      </c>
      <c r="I1043" s="2">
        <f ca="1">ROUND(G1043/100*$C1043,0)</f>
        <v>318634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>
      <c r="A1044" s="308" t="s">
        <v>390</v>
      </c>
      <c r="B1044" s="1"/>
      <c r="C1044" s="304">
        <v>1651</v>
      </c>
      <c r="D1044" s="322">
        <v>0.54</v>
      </c>
      <c r="E1044" s="306"/>
      <c r="F1044" s="2">
        <f>ROUND(D1044*C1044,0)</f>
        <v>892</v>
      </c>
      <c r="G1044" s="322">
        <f ca="1">G1005</f>
        <v>0.55000000000000004</v>
      </c>
      <c r="H1044" s="306"/>
      <c r="I1044" s="2">
        <f ca="1">ROUND(G1044*$C1044,0)</f>
        <v>908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872</v>
      </c>
      <c r="C1045" s="1122">
        <f>C1043</f>
        <v>6796800</v>
      </c>
      <c r="D1045" s="254"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553613</v>
      </c>
      <c r="G1046" s="315"/>
      <c r="H1046" s="1"/>
      <c r="I1046" s="2">
        <f ca="1">SUM(I1036:I1045)</f>
        <v>562755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>
      <c r="A1047" s="1" t="s">
        <v>353</v>
      </c>
      <c r="B1047" s="1"/>
      <c r="C1047" s="304">
        <f ca="1">C1046/($C$989+$C$1046)*$C$1084</f>
        <v>21132.640958128846</v>
      </c>
      <c r="D1047" s="294"/>
      <c r="E1047" s="294"/>
      <c r="F1047" s="325">
        <f ca="1">F1046/($F$989+$F$1046)*$F$1084</f>
        <v>1751.1863049190426</v>
      </c>
      <c r="G1047" s="294"/>
      <c r="H1047" s="294"/>
      <c r="I1047" s="326">
        <f ca="1">F1047</f>
        <v>1751.1863049190426</v>
      </c>
      <c r="J1047" s="307"/>
      <c r="K1047" s="294"/>
      <c r="L1047" s="294"/>
      <c r="M1047" s="326" t="e">
        <f ca="1">$I$1047*V1012/($V$1012+$W$1012+$X$1012)</f>
        <v>#DIV/0!</v>
      </c>
      <c r="N1047" s="51"/>
      <c r="O1047" s="294"/>
      <c r="P1047" s="294"/>
      <c r="Q1047" s="326" t="e">
        <f ca="1">$I$1047*W1012/($V$1012+$W$1012+$X$1012)</f>
        <v>#DIV/0!</v>
      </c>
      <c r="R1047" s="51"/>
      <c r="S1047" s="294"/>
      <c r="T1047" s="294"/>
      <c r="U1047" s="326" t="e">
        <f ca="1">$I$1047*X1012/($V$1012+$W$1012+$X$1012)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555364.18630491907</v>
      </c>
      <c r="G1048" s="327"/>
      <c r="H1048" s="330"/>
      <c r="I1048" s="329">
        <f ca="1">I1046+I1047</f>
        <v>564506.18630491907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>
      <c r="A1054" s="308" t="s">
        <v>461</v>
      </c>
      <c r="B1054" s="1"/>
      <c r="C1054" s="304">
        <f t="shared" ref="C1054:C1059" si="194">C1018+C961</f>
        <v>425.27272727272759</v>
      </c>
      <c r="D1054" s="322"/>
      <c r="E1054" s="306"/>
      <c r="F1054" s="2">
        <f>F1018+F961</f>
        <v>592945</v>
      </c>
      <c r="G1054" s="322"/>
      <c r="H1054" s="306"/>
      <c r="I1054" s="2">
        <f ca="1">I1018+I961</f>
        <v>603470</v>
      </c>
      <c r="J1054" s="2"/>
      <c r="K1054" s="322"/>
      <c r="L1054" s="306"/>
      <c r="M1054" s="2">
        <f ca="1">M1018+M961</f>
        <v>603470</v>
      </c>
      <c r="N1054" s="2"/>
      <c r="O1054" s="322"/>
      <c r="P1054" s="306"/>
      <c r="Q1054" s="2">
        <f>Q1018+Q961</f>
        <v>0</v>
      </c>
      <c r="R1054" s="2"/>
      <c r="S1054" s="322"/>
      <c r="T1054" s="306"/>
      <c r="U1054" s="2">
        <f>U1018+U961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>
      <c r="A1055" s="308" t="s">
        <v>462</v>
      </c>
      <c r="B1055" s="1"/>
      <c r="C1055" s="304">
        <f t="shared" si="194"/>
        <v>0</v>
      </c>
      <c r="D1055" s="322"/>
      <c r="E1055" s="309"/>
      <c r="F1055" s="2">
        <f>F1019+F962</f>
        <v>0</v>
      </c>
      <c r="G1055" s="322"/>
      <c r="H1055" s="309"/>
      <c r="I1055" s="2">
        <f ca="1">I1019+I962</f>
        <v>0</v>
      </c>
      <c r="J1055" s="2"/>
      <c r="K1055" s="322"/>
      <c r="L1055" s="309"/>
      <c r="M1055" s="2">
        <f ca="1">M1019+M962</f>
        <v>0</v>
      </c>
      <c r="N1055" s="2"/>
      <c r="O1055" s="322"/>
      <c r="P1055" s="309"/>
      <c r="Q1055" s="2">
        <f>Q1019+Q962</f>
        <v>0</v>
      </c>
      <c r="R1055" s="2"/>
      <c r="S1055" s="322"/>
      <c r="T1055" s="309"/>
      <c r="U1055" s="2">
        <f>U1019+U962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>
      <c r="A1056" s="308" t="s">
        <v>384</v>
      </c>
      <c r="B1056" s="1"/>
      <c r="C1056" s="304">
        <f t="shared" si="194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>
      <c r="A1057" s="308" t="s">
        <v>463</v>
      </c>
      <c r="B1057" s="1"/>
      <c r="C1057" s="304">
        <f t="shared" si="194"/>
        <v>585460.96551724104</v>
      </c>
      <c r="D1057" s="322"/>
      <c r="E1057" s="306"/>
      <c r="F1057" s="2">
        <f>F1021+F964</f>
        <v>535257</v>
      </c>
      <c r="G1057" s="322"/>
      <c r="H1057" s="306"/>
      <c r="I1057" s="2">
        <f ca="1">I1021+I964</f>
        <v>544953</v>
      </c>
      <c r="J1057" s="2"/>
      <c r="K1057" s="322"/>
      <c r="L1057" s="306"/>
      <c r="M1057" s="2">
        <f ca="1">M1021+M964</f>
        <v>544953</v>
      </c>
      <c r="N1057" s="2"/>
      <c r="O1057" s="322"/>
      <c r="P1057" s="306"/>
      <c r="Q1057" s="2">
        <f>Q1021+Q964</f>
        <v>0</v>
      </c>
      <c r="R1057" s="2"/>
      <c r="S1057" s="322"/>
      <c r="T1057" s="306"/>
      <c r="U1057" s="2">
        <f>U1021+U964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>
      <c r="A1058" s="308" t="s">
        <v>464</v>
      </c>
      <c r="B1058" s="1"/>
      <c r="C1058" s="304">
        <f t="shared" si="194"/>
        <v>0</v>
      </c>
      <c r="D1058" s="322"/>
      <c r="E1058" s="306"/>
      <c r="F1058" s="2">
        <f>F1022+F965</f>
        <v>0</v>
      </c>
      <c r="G1058" s="322"/>
      <c r="H1058" s="306"/>
      <c r="I1058" s="2">
        <f ca="1">I1022+I965</f>
        <v>0</v>
      </c>
      <c r="J1058" s="2"/>
      <c r="K1058" s="322"/>
      <c r="L1058" s="306"/>
      <c r="M1058" s="2">
        <f ca="1">M1022+M965</f>
        <v>0</v>
      </c>
      <c r="N1058" s="2"/>
      <c r="O1058" s="322"/>
      <c r="P1058" s="306"/>
      <c r="Q1058" s="2">
        <f>Q1022+Q965</f>
        <v>0</v>
      </c>
      <c r="R1058" s="2"/>
      <c r="S1058" s="322"/>
      <c r="T1058" s="306"/>
      <c r="U1058" s="2">
        <f>U1022+U965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>
      <c r="A1059" s="294" t="s">
        <v>393</v>
      </c>
      <c r="B1059" s="1"/>
      <c r="C1059" s="304">
        <f t="shared" si="194"/>
        <v>449764.86206896504</v>
      </c>
      <c r="D1059" s="322"/>
      <c r="E1059" s="306"/>
      <c r="F1059" s="2">
        <f>F1023+F966</f>
        <v>3495681</v>
      </c>
      <c r="G1059" s="322"/>
      <c r="H1059" s="306"/>
      <c r="I1059" s="2">
        <f ca="1">I1023+I966</f>
        <v>3555401</v>
      </c>
      <c r="J1059" s="2"/>
      <c r="K1059" s="322"/>
      <c r="L1059" s="306"/>
      <c r="M1059" s="2" t="e">
        <f ca="1">M1023+M966</f>
        <v>#DIV/0!</v>
      </c>
      <c r="N1059" s="2"/>
      <c r="O1059" s="322"/>
      <c r="P1059" s="306"/>
      <c r="Q1059" s="2" t="e">
        <f ca="1">Q1023+Q966</f>
        <v>#DIV/0!</v>
      </c>
      <c r="R1059" s="2"/>
      <c r="S1059" s="322"/>
      <c r="T1059" s="306"/>
      <c r="U1059" s="2" t="e">
        <f ca="1">U1023+U966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>
      <c r="A1061" s="308" t="s">
        <v>454</v>
      </c>
      <c r="B1061" s="1"/>
      <c r="C1061" s="304">
        <f>C1025+C968</f>
        <v>194745053.16002482</v>
      </c>
      <c r="D1061" s="380"/>
      <c r="E1061" s="306"/>
      <c r="F1061" s="2">
        <f>F1025+F968</f>
        <v>9044127</v>
      </c>
      <c r="G1061" s="380"/>
      <c r="H1061" s="306"/>
      <c r="I1061" s="2">
        <f ca="1">I1025+I968</f>
        <v>9196028</v>
      </c>
      <c r="J1061" s="2"/>
      <c r="K1061" s="380"/>
      <c r="L1061" s="306"/>
      <c r="M1061" s="2">
        <f>M1025+M968</f>
        <v>0</v>
      </c>
      <c r="N1061" s="2"/>
      <c r="O1061" s="380"/>
      <c r="P1061" s="306"/>
      <c r="Q1061" s="2" t="e">
        <f ca="1">Q1025+Q968</f>
        <v>#DIV/0!</v>
      </c>
      <c r="R1061" s="2"/>
      <c r="S1061" s="380"/>
      <c r="T1061" s="306"/>
      <c r="U1061" s="2" t="e">
        <f ca="1">U1025+U968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>
      <c r="A1062" s="308" t="s">
        <v>390</v>
      </c>
      <c r="B1062" s="1"/>
      <c r="C1062" s="304">
        <f>C1026+C969</f>
        <v>44802.030303030304</v>
      </c>
      <c r="D1062" s="322"/>
      <c r="E1062" s="306"/>
      <c r="F1062" s="2">
        <f>F1026+F969</f>
        <v>24498</v>
      </c>
      <c r="G1062" s="322"/>
      <c r="H1062" s="306"/>
      <c r="I1062" s="2">
        <f ca="1">I1026+I969</f>
        <v>24946</v>
      </c>
      <c r="J1062" s="2"/>
      <c r="K1062" s="322"/>
      <c r="L1062" s="306"/>
      <c r="M1062" s="2">
        <f>M1026+M969</f>
        <v>0</v>
      </c>
      <c r="N1062" s="2"/>
      <c r="O1062" s="322"/>
      <c r="P1062" s="306"/>
      <c r="Q1062" s="2" t="e">
        <f ca="1">Q1026+Q969</f>
        <v>#DIV/0!</v>
      </c>
      <c r="R1062" s="2"/>
      <c r="S1062" s="322"/>
      <c r="T1062" s="306"/>
      <c r="U1062" s="2" t="e">
        <f ca="1">U1026+U969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872</v>
      </c>
      <c r="C1063" s="987">
        <f>C1027+C970</f>
        <v>194745053.16002482</v>
      </c>
      <c r="D1063" s="254"/>
      <c r="E1063" s="1119"/>
      <c r="F1063" s="1123"/>
      <c r="G1063" s="250"/>
      <c r="H1063" s="1119"/>
      <c r="I1063" s="1123">
        <f>I1027+I970</f>
        <v>0</v>
      </c>
      <c r="J1063" s="1123"/>
      <c r="K1063" s="250"/>
      <c r="L1063" s="1119"/>
      <c r="M1063" s="1123">
        <f>M1027+M970</f>
        <v>0</v>
      </c>
      <c r="N1063" s="1123"/>
      <c r="O1063" s="250"/>
      <c r="P1063" s="1119"/>
      <c r="Q1063" s="1123">
        <f>Q1027+Q970</f>
        <v>0</v>
      </c>
      <c r="R1063" s="1123"/>
      <c r="S1063" s="250"/>
      <c r="T1063" s="1119"/>
      <c r="U1063" s="1123">
        <f>U1027+U970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>
      <c r="A1064" s="1" t="s">
        <v>371</v>
      </c>
      <c r="B1064" s="1"/>
      <c r="C1064" s="304">
        <f>C1028+C971</f>
        <v>194745053.16002482</v>
      </c>
      <c r="D1064" s="315"/>
      <c r="E1064" s="1"/>
      <c r="F1064" s="2">
        <f>F1028+F971</f>
        <v>13692508</v>
      </c>
      <c r="G1064" s="315"/>
      <c r="H1064" s="1"/>
      <c r="I1064" s="2">
        <f ca="1">I1028+I971</f>
        <v>13924798</v>
      </c>
      <c r="J1064" s="2"/>
      <c r="K1064" s="315"/>
      <c r="L1064" s="1"/>
      <c r="M1064" s="2" t="e">
        <f ca="1">M1028+M971</f>
        <v>#DIV/0!</v>
      </c>
      <c r="N1064" s="2"/>
      <c r="O1064" s="315"/>
      <c r="P1064" s="1"/>
      <c r="Q1064" s="2" t="e">
        <f ca="1">Q1028+Q971</f>
        <v>#DIV/0!</v>
      </c>
      <c r="R1064" s="2"/>
      <c r="S1064" s="315"/>
      <c r="T1064" s="1"/>
      <c r="U1064" s="2" t="e">
        <f ca="1">U1028+U971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$I$1065*V1012/($V$1012+$W$1012+$X$1012)</f>
        <v>#DIV/0!</v>
      </c>
      <c r="N1065" s="51"/>
      <c r="O1065" s="294"/>
      <c r="P1065" s="294"/>
      <c r="Q1065" s="738" t="e">
        <f>$I$1065*W1012/($V$1012+$W$1012+$X$1012)</f>
        <v>#DIV/0!</v>
      </c>
      <c r="R1065" s="51"/>
      <c r="S1065" s="294"/>
      <c r="T1065" s="294"/>
      <c r="U1065" s="738" t="e">
        <f>$I$1065*X1012/($V$1012+$W$1012+$X$1012)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13801078.661176821</v>
      </c>
      <c r="G1066" s="327"/>
      <c r="H1066" s="330"/>
      <c r="I1066" s="740">
        <f ca="1">I1064+I1065</f>
        <v>14033368.661176821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>
      <c r="A1073" s="308" t="s">
        <v>461</v>
      </c>
      <c r="B1073" s="1"/>
      <c r="C1073" s="304">
        <f t="shared" ref="C1073:C1078" si="195">C1036+C979</f>
        <v>356.57575757575779</v>
      </c>
      <c r="D1073" s="322"/>
      <c r="E1073" s="306"/>
      <c r="F1073" s="2">
        <f>F1036+F979</f>
        <v>494998</v>
      </c>
      <c r="G1073" s="322"/>
      <c r="H1073" s="306"/>
      <c r="I1073" s="2">
        <f ca="1">I1036+I979</f>
        <v>503888</v>
      </c>
      <c r="J1073" s="2"/>
      <c r="K1073" s="322"/>
      <c r="L1073" s="306"/>
      <c r="M1073" s="2">
        <f ca="1">M1036+M979</f>
        <v>503888</v>
      </c>
      <c r="N1073" s="2"/>
      <c r="O1073" s="322"/>
      <c r="P1073" s="306"/>
      <c r="Q1073" s="2">
        <f>Q1036+Q979</f>
        <v>0</v>
      </c>
      <c r="R1073" s="2"/>
      <c r="S1073" s="322"/>
      <c r="T1073" s="306"/>
      <c r="U1073" s="2">
        <f>U1036+U979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>
      <c r="A1074" s="308" t="s">
        <v>462</v>
      </c>
      <c r="B1074" s="1"/>
      <c r="C1074" s="304">
        <f t="shared" si="195"/>
        <v>0</v>
      </c>
      <c r="D1074" s="322"/>
      <c r="E1074" s="309"/>
      <c r="F1074" s="2">
        <f>F1037+F980</f>
        <v>0</v>
      </c>
      <c r="G1074" s="322"/>
      <c r="H1074" s="309"/>
      <c r="I1074" s="2">
        <f ca="1">I1037+I980</f>
        <v>0</v>
      </c>
      <c r="J1074" s="2"/>
      <c r="K1074" s="322"/>
      <c r="L1074" s="309"/>
      <c r="M1074" s="2">
        <f ca="1">M1037+M980</f>
        <v>0</v>
      </c>
      <c r="N1074" s="2"/>
      <c r="O1074" s="322"/>
      <c r="P1074" s="309"/>
      <c r="Q1074" s="2">
        <f>Q1037+Q980</f>
        <v>0</v>
      </c>
      <c r="R1074" s="2"/>
      <c r="S1074" s="322"/>
      <c r="T1074" s="309"/>
      <c r="U1074" s="2">
        <f>U1037+U980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>
      <c r="A1075" s="308" t="s">
        <v>384</v>
      </c>
      <c r="B1075" s="1"/>
      <c r="C1075" s="304">
        <f t="shared" si="195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>
      <c r="A1076" s="308" t="s">
        <v>463</v>
      </c>
      <c r="B1076" s="1"/>
      <c r="C1076" s="304">
        <f t="shared" si="195"/>
        <v>566945.793103448</v>
      </c>
      <c r="D1076" s="322"/>
      <c r="E1076" s="306"/>
      <c r="F1076" s="2">
        <f>F1039+F982</f>
        <v>607689</v>
      </c>
      <c r="G1076" s="322"/>
      <c r="H1076" s="306"/>
      <c r="I1076" s="2">
        <f ca="1">I1039+I982</f>
        <v>618733</v>
      </c>
      <c r="J1076" s="2"/>
      <c r="K1076" s="322"/>
      <c r="L1076" s="306"/>
      <c r="M1076" s="2">
        <f ca="1">M1039+M982</f>
        <v>618733</v>
      </c>
      <c r="N1076" s="2"/>
      <c r="O1076" s="322"/>
      <c r="P1076" s="306"/>
      <c r="Q1076" s="2">
        <f>Q1039+Q982</f>
        <v>0</v>
      </c>
      <c r="R1076" s="2"/>
      <c r="S1076" s="322"/>
      <c r="T1076" s="306"/>
      <c r="U1076" s="2">
        <f>U1039+U982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>
      <c r="A1077" s="308" t="s">
        <v>464</v>
      </c>
      <c r="B1077" s="1"/>
      <c r="C1077" s="304">
        <f t="shared" si="195"/>
        <v>0</v>
      </c>
      <c r="D1077" s="322"/>
      <c r="E1077" s="306"/>
      <c r="F1077" s="2">
        <f>F1040+F983</f>
        <v>0</v>
      </c>
      <c r="G1077" s="322"/>
      <c r="H1077" s="306"/>
      <c r="I1077" s="2">
        <f ca="1">I1040+I983</f>
        <v>0</v>
      </c>
      <c r="J1077" s="2"/>
      <c r="K1077" s="322"/>
      <c r="L1077" s="306"/>
      <c r="M1077" s="2">
        <f ca="1">M1040+M983</f>
        <v>0</v>
      </c>
      <c r="N1077" s="2"/>
      <c r="O1077" s="322"/>
      <c r="P1077" s="306"/>
      <c r="Q1077" s="2">
        <f>Q1040+Q983</f>
        <v>0</v>
      </c>
      <c r="R1077" s="2"/>
      <c r="S1077" s="322"/>
      <c r="T1077" s="306"/>
      <c r="U1077" s="2">
        <f>U1040+U983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>
      <c r="A1078" s="294" t="s">
        <v>393</v>
      </c>
      <c r="B1078" s="1"/>
      <c r="C1078" s="304">
        <f t="shared" si="195"/>
        <v>489791.48275862099</v>
      </c>
      <c r="D1078" s="322"/>
      <c r="E1078" s="306"/>
      <c r="F1078" s="2">
        <f>F1041+F984</f>
        <v>3831122</v>
      </c>
      <c r="G1078" s="322"/>
      <c r="H1078" s="306"/>
      <c r="I1078" s="2">
        <f ca="1">I1041+I984</f>
        <v>3899200</v>
      </c>
      <c r="J1078" s="2"/>
      <c r="K1078" s="322"/>
      <c r="L1078" s="306"/>
      <c r="M1078" s="2" t="e">
        <f ca="1">M1041+M984</f>
        <v>#DIV/0!</v>
      </c>
      <c r="N1078" s="2"/>
      <c r="O1078" s="322"/>
      <c r="P1078" s="306"/>
      <c r="Q1078" s="2" t="e">
        <f ca="1">Q1041+Q984</f>
        <v>#DIV/0!</v>
      </c>
      <c r="R1078" s="2"/>
      <c r="S1078" s="322"/>
      <c r="T1078" s="306"/>
      <c r="U1078" s="2" t="e">
        <f ca="1">U1041+U984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>
      <c r="A1080" s="308" t="s">
        <v>454</v>
      </c>
      <c r="B1080" s="1"/>
      <c r="C1080" s="304">
        <f>C1043+C986</f>
        <v>216497250</v>
      </c>
      <c r="D1080" s="380"/>
      <c r="E1080" s="306"/>
      <c r="F1080" s="2">
        <f>F1043+F986</f>
        <v>10091664</v>
      </c>
      <c r="G1080" s="380"/>
      <c r="H1080" s="306"/>
      <c r="I1080" s="2">
        <f ca="1">I1043+I986</f>
        <v>10260532</v>
      </c>
      <c r="J1080" s="2"/>
      <c r="K1080" s="380"/>
      <c r="L1080" s="306"/>
      <c r="M1080" s="2">
        <f>M1043+M986</f>
        <v>0</v>
      </c>
      <c r="N1080" s="2"/>
      <c r="O1080" s="380"/>
      <c r="P1080" s="306"/>
      <c r="Q1080" s="2" t="e">
        <f ca="1">Q1043+Q986</f>
        <v>#DIV/0!</v>
      </c>
      <c r="R1080" s="2"/>
      <c r="S1080" s="380"/>
      <c r="T1080" s="306"/>
      <c r="U1080" s="2" t="e">
        <f ca="1">U1043+U986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>
      <c r="A1081" s="308" t="s">
        <v>390</v>
      </c>
      <c r="B1081" s="1"/>
      <c r="C1081" s="304">
        <f>C1044+C987</f>
        <v>130740.24242424199</v>
      </c>
      <c r="D1081" s="322"/>
      <c r="E1081" s="306"/>
      <c r="F1081" s="2">
        <f>F1044+F987</f>
        <v>71891</v>
      </c>
      <c r="G1081" s="322"/>
      <c r="H1081" s="306"/>
      <c r="I1081" s="2">
        <f ca="1">I1044+I987</f>
        <v>73198</v>
      </c>
      <c r="J1081" s="2"/>
      <c r="K1081" s="322"/>
      <c r="L1081" s="306"/>
      <c r="M1081" s="2">
        <f>M1044+M987</f>
        <v>0</v>
      </c>
      <c r="N1081" s="2"/>
      <c r="O1081" s="322"/>
      <c r="P1081" s="306"/>
      <c r="Q1081" s="2" t="e">
        <f ca="1">Q1044+Q987</f>
        <v>#DIV/0!</v>
      </c>
      <c r="R1081" s="2"/>
      <c r="S1081" s="322"/>
      <c r="T1081" s="306"/>
      <c r="U1081" s="2" t="e">
        <f ca="1">U1044+U987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872</v>
      </c>
      <c r="C1082" s="987">
        <f>C1045+C988</f>
        <v>216497250</v>
      </c>
      <c r="D1082" s="254"/>
      <c r="E1082" s="1119"/>
      <c r="F1082" s="1123"/>
      <c r="G1082" s="250"/>
      <c r="H1082" s="1119"/>
      <c r="I1082" s="1123">
        <f>I1045+I988</f>
        <v>0</v>
      </c>
      <c r="J1082" s="1123"/>
      <c r="K1082" s="250"/>
      <c r="L1082" s="1119"/>
      <c r="M1082" s="1123">
        <f>M1045+M988</f>
        <v>0</v>
      </c>
      <c r="N1082" s="1123"/>
      <c r="O1082" s="250"/>
      <c r="P1082" s="1119"/>
      <c r="Q1082" s="1123">
        <f>Q1045+Q988</f>
        <v>0</v>
      </c>
      <c r="R1082" s="1123"/>
      <c r="S1082" s="250"/>
      <c r="T1082" s="1119"/>
      <c r="U1082" s="1123">
        <f>U1045+U988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>
      <c r="A1083" s="1" t="s">
        <v>371</v>
      </c>
      <c r="B1083" s="1"/>
      <c r="C1083" s="335">
        <f>C1046+C989</f>
        <v>216497250</v>
      </c>
      <c r="D1083" s="315"/>
      <c r="E1083" s="1"/>
      <c r="F1083" s="51">
        <f>F1046+F989</f>
        <v>15097364</v>
      </c>
      <c r="G1083" s="315"/>
      <c r="H1083" s="1"/>
      <c r="I1083" s="51">
        <f ca="1">I1046+I989</f>
        <v>15355551</v>
      </c>
      <c r="J1083" s="51"/>
      <c r="K1083" s="315"/>
      <c r="L1083" s="1"/>
      <c r="M1083" s="51" t="e">
        <f ca="1">M1046+M989</f>
        <v>#DIV/0!</v>
      </c>
      <c r="N1083" s="51"/>
      <c r="O1083" s="315"/>
      <c r="P1083" s="1"/>
      <c r="Q1083" s="51" t="e">
        <f ca="1">Q1046+Q989</f>
        <v>#DIV/0!</v>
      </c>
      <c r="R1083" s="51"/>
      <c r="S1083" s="315"/>
      <c r="T1083" s="1"/>
      <c r="U1083" s="51" t="e">
        <f ca="1">U1046+U989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$I$1084*V1012/($V$1012+$W$1012+$X$1012)</f>
        <v>#DIV/0!</v>
      </c>
      <c r="N1084" s="51"/>
      <c r="O1084" s="294"/>
      <c r="P1084" s="294"/>
      <c r="Q1084" s="738" t="e">
        <f ca="1">$I$1084*W1012/($V$1012+$W$1012+$X$1012)</f>
        <v>#DIV/0!</v>
      </c>
      <c r="R1084" s="51"/>
      <c r="S1084" s="294"/>
      <c r="T1084" s="294"/>
      <c r="U1084" s="738" t="e">
        <f ca="1">$I$1084*X1012/($V$1012+$W$1012+$X$1012)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15145119.918082086</v>
      </c>
      <c r="G1085" s="327"/>
      <c r="H1085" s="330"/>
      <c r="I1085" s="739">
        <f ca="1">I1083+I1084</f>
        <v>15403306.918082086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ROUND(K1091*$C1091,0)</f>
        <v>0</v>
      </c>
      <c r="N1091" s="2"/>
      <c r="O1091" s="311" t="s">
        <v>31</v>
      </c>
      <c r="P1091" s="306"/>
      <c r="Q1091" s="2">
        <f>ROUND(O1091*$C1091,0)</f>
        <v>0</v>
      </c>
      <c r="R1091" s="2"/>
      <c r="S1091" s="311" t="s">
        <v>31</v>
      </c>
      <c r="T1091" s="306"/>
      <c r="U1091" s="2">
        <f>ROUND(S1091*$C1091,0)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v>12.033333333333299</v>
      </c>
      <c r="D1092" s="322">
        <v>2577</v>
      </c>
      <c r="E1092" s="309"/>
      <c r="F1092" s="2">
        <f>ROUND(C1092*D1092,0)</f>
        <v>31010</v>
      </c>
      <c r="G1092" s="311">
        <f ca="1">ROUND(D1092*(1+$Z$1104),0)+58</f>
        <v>2679</v>
      </c>
      <c r="H1092" s="309"/>
      <c r="I1092" s="2">
        <f ca="1">ROUND(G1092*$C1092,0)</f>
        <v>32237</v>
      </c>
      <c r="J1092" s="2"/>
      <c r="K1092" s="311">
        <f ca="1">G1092</f>
        <v>2679</v>
      </c>
      <c r="L1092" s="1275"/>
      <c r="M1092" s="2">
        <f ca="1">I1092</f>
        <v>32237</v>
      </c>
      <c r="N1092" s="2"/>
      <c r="O1092" s="311" t="s">
        <v>31</v>
      </c>
      <c r="P1092" s="1275"/>
      <c r="Q1092" s="2">
        <f>ROUND(O1092*$C1092,0)</f>
        <v>0</v>
      </c>
      <c r="R1092" s="2"/>
      <c r="S1092" s="311" t="s">
        <v>31</v>
      </c>
      <c r="T1092" s="1275"/>
      <c r="U1092" s="2">
        <f>ROUND(S1092*$C1092,0)</f>
        <v>0</v>
      </c>
      <c r="V1092" s="20"/>
      <c r="X1092" s="796">
        <f ca="1">(G1092-D1092)/D1092</f>
        <v>3.9580908032596042E-2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 t="s">
        <v>31</v>
      </c>
      <c r="E1093" s="306"/>
      <c r="F1093" s="2" t="s">
        <v>31</v>
      </c>
      <c r="G1093" s="311" t="s">
        <v>31</v>
      </c>
      <c r="H1093" s="306"/>
      <c r="I1093" s="2" t="s">
        <v>31</v>
      </c>
      <c r="J1093" s="2"/>
      <c r="K1093" s="311" t="s">
        <v>31</v>
      </c>
      <c r="L1093" s="306"/>
      <c r="M1093" s="2" t="s">
        <v>31</v>
      </c>
      <c r="N1093" s="2"/>
      <c r="O1093" s="311" t="s">
        <v>31</v>
      </c>
      <c r="P1093" s="306"/>
      <c r="Q1093" s="2" t="s">
        <v>31</v>
      </c>
      <c r="R1093" s="2"/>
      <c r="S1093" s="311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 t="s">
        <v>31</v>
      </c>
      <c r="E1094" s="306"/>
      <c r="F1094" s="2">
        <f>ROUND(C1094*D1094,0)</f>
        <v>0</v>
      </c>
      <c r="G1094" s="311" t="s">
        <v>31</v>
      </c>
      <c r="H1094" s="306"/>
      <c r="I1094" s="2">
        <f>ROUND(G1094*$C1094,0)</f>
        <v>0</v>
      </c>
      <c r="J1094" s="2"/>
      <c r="K1094" s="311" t="s">
        <v>31</v>
      </c>
      <c r="L1094" s="306"/>
      <c r="M1094" s="2">
        <f>ROUND(K1094*$C1094,0)</f>
        <v>0</v>
      </c>
      <c r="N1094" s="2"/>
      <c r="O1094" s="311" t="s">
        <v>31</v>
      </c>
      <c r="P1094" s="306"/>
      <c r="Q1094" s="2">
        <f>ROUND(O1094*$C1094,0)</f>
        <v>0</v>
      </c>
      <c r="R1094" s="2"/>
      <c r="S1094" s="311" t="s">
        <v>31</v>
      </c>
      <c r="T1094" s="306"/>
      <c r="U1094" s="2">
        <f>ROUND(S1094*$C1094,0)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v>703485</v>
      </c>
      <c r="D1095" s="322">
        <v>0.24</v>
      </c>
      <c r="E1095" s="306"/>
      <c r="F1095" s="2">
        <f>ROUND(C1095*D1095,0)</f>
        <v>168836</v>
      </c>
      <c r="G1095" s="311">
        <f ca="1">ROUND(D1095*(1+$Z$1104),2)+0.01</f>
        <v>0.25</v>
      </c>
      <c r="H1095" s="306"/>
      <c r="I1095" s="2">
        <f ca="1">ROUND(G1095*$C1095,0)</f>
        <v>175871</v>
      </c>
      <c r="J1095" s="2"/>
      <c r="K1095" s="311">
        <f ca="1">ROUND(M1095/$C$1095,2)</f>
        <v>0.25</v>
      </c>
      <c r="L1095" s="306"/>
      <c r="M1095" s="2">
        <f ca="1">I1095</f>
        <v>175871</v>
      </c>
      <c r="N1095" s="2"/>
      <c r="O1095" s="311" t="s">
        <v>31</v>
      </c>
      <c r="P1095" s="306"/>
      <c r="Q1095" s="2">
        <f>ROUND(O1095*$C1095,0)</f>
        <v>0</v>
      </c>
      <c r="R1095" s="2"/>
      <c r="S1095" s="311" t="s">
        <v>31</v>
      </c>
      <c r="T1095" s="306"/>
      <c r="U1095" s="2">
        <f>ROUND(S1095*$C1095,0)</f>
        <v>0</v>
      </c>
      <c r="V1095" s="20"/>
      <c r="X1095" s="796">
        <f ca="1">(G1095-D1095)/D1095</f>
        <v>4.1666666666666706E-2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v>684594</v>
      </c>
      <c r="D1096" s="322">
        <v>7.62</v>
      </c>
      <c r="E1096" s="306"/>
      <c r="F1096" s="2">
        <f>ROUND(C1096*D1096,0)</f>
        <v>5216606</v>
      </c>
      <c r="G1096" s="311">
        <f ca="1">ROUND(D1096*(1+($Z$1104*1.1)),2)-0.02</f>
        <v>7.74</v>
      </c>
      <c r="H1096" s="306"/>
      <c r="I1096" s="2">
        <f ca="1">ROUND(G1096*$C1096,0)</f>
        <v>5298758</v>
      </c>
      <c r="J1096" s="2"/>
      <c r="K1096" s="311" t="e">
        <f ca="1">M1096/$C$1096</f>
        <v>#DIV/0!</v>
      </c>
      <c r="L1096" s="306"/>
      <c r="M1096" s="2" t="e">
        <f ca="1">(V1107-M1092-M1103-M1095-M1098)</f>
        <v>#DIV/0!</v>
      </c>
      <c r="N1096" s="2"/>
      <c r="O1096" s="311" t="e">
        <f ca="1">Q1096/$C$1096</f>
        <v>#DIV/0!</v>
      </c>
      <c r="P1096" s="306"/>
      <c r="Q1096" s="2" t="e">
        <f ca="1">($I$1096-M1096)*(W1107/(W1107+X1107))</f>
        <v>#DIV/0!</v>
      </c>
      <c r="R1096" s="2"/>
      <c r="S1096" s="311" t="e">
        <f ca="1">U1096/$C$1096</f>
        <v>#DIV/0!</v>
      </c>
      <c r="T1096" s="306"/>
      <c r="U1096" s="2" t="e">
        <f ca="1">($I$1096-M1096)*(X1107/(W1107+X1107))</f>
        <v>#DIV/0!</v>
      </c>
      <c r="V1096" s="20"/>
      <c r="X1096" s="796">
        <f ca="1">(G1096-D1096)/D1096</f>
        <v>1.5748031496063006E-2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 t="s">
        <v>31</v>
      </c>
      <c r="E1097" s="306"/>
      <c r="F1097" s="2"/>
      <c r="G1097" s="411" t="s">
        <v>31</v>
      </c>
      <c r="H1097" s="306"/>
      <c r="I1097" s="2"/>
      <c r="J1097" s="2"/>
      <c r="K1097" s="411" t="s">
        <v>31</v>
      </c>
      <c r="L1097" s="306"/>
      <c r="M1097" s="2"/>
      <c r="N1097" s="2"/>
      <c r="O1097" s="411" t="s">
        <v>31</v>
      </c>
      <c r="P1097" s="306"/>
      <c r="Q1097" s="2"/>
      <c r="R1097" s="2"/>
      <c r="S1097" s="411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v>458478000</v>
      </c>
      <c r="D1098" s="367">
        <v>4.5709999999999997</v>
      </c>
      <c r="E1098" s="306" t="s">
        <v>364</v>
      </c>
      <c r="F1098" s="2">
        <f>ROUND(C1098/100*D1098,0)</f>
        <v>20957029</v>
      </c>
      <c r="G1098" s="799">
        <f ca="1">ROUND(D1098*(1+$X$1104)-G1100,3)+0.001</f>
        <v>4.649</v>
      </c>
      <c r="H1098" s="306" t="s">
        <v>364</v>
      </c>
      <c r="I1098" s="2">
        <f ca="1">ROUND(G1098/100*$C1098,0)</f>
        <v>21314642</v>
      </c>
      <c r="J1098" s="2"/>
      <c r="K1098" s="771" t="s">
        <v>31</v>
      </c>
      <c r="L1098" s="850" t="s">
        <v>31</v>
      </c>
      <c r="M1098" s="2">
        <v>0</v>
      </c>
      <c r="N1098" s="2"/>
      <c r="O1098" s="771" t="e">
        <f ca="1">ROUND(Q1098/C1098*100,3)</f>
        <v>#DIV/0!</v>
      </c>
      <c r="P1098" s="306" t="s">
        <v>364</v>
      </c>
      <c r="Q1098" s="2" t="e">
        <f ca="1">W1107-Q1091-Q1092-Q1094-Q1095-Q1096-Q1099-Q1103</f>
        <v>#DIV/0!</v>
      </c>
      <c r="R1098" s="2"/>
      <c r="S1098" s="771" t="e">
        <f ca="1">ROUND(U1098/C1098*100,3)</f>
        <v>#DIV/0!</v>
      </c>
      <c r="T1098" s="306" t="s">
        <v>364</v>
      </c>
      <c r="U1098" s="2" t="e">
        <f ca="1">X1107-U1091-U1092-U1094-U1095-U1096-U1099-U1100-U1103</f>
        <v>#DIV/0!</v>
      </c>
      <c r="V1098" s="20"/>
      <c r="X1098" s="796">
        <f ca="1">((G1098+G1100)-D1098)/D1098</f>
        <v>1.7064099759352504E-2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v>183540.86666666699</v>
      </c>
      <c r="D1099" s="322">
        <v>0.53</v>
      </c>
      <c r="E1099" s="306"/>
      <c r="F1099" s="2">
        <f>ROUND(C1099*D1099,0)</f>
        <v>97277</v>
      </c>
      <c r="G1099" s="311">
        <f ca="1">ROUND(D1099*(1+$Z$1104),2)</f>
        <v>0.54</v>
      </c>
      <c r="H1099" s="306"/>
      <c r="I1099" s="2">
        <f ca="1">ROUND(G1099*$C1099,0)</f>
        <v>99112</v>
      </c>
      <c r="J1099" s="2"/>
      <c r="K1099" s="311" t="s">
        <v>31</v>
      </c>
      <c r="L1099" s="306"/>
      <c r="M1099" s="2">
        <f>ROUND(K1099*$C1099,0)</f>
        <v>0</v>
      </c>
      <c r="N1099" s="2"/>
      <c r="O1099" s="311" t="e">
        <f ca="1">ROUND(Q1099/$C$1099,2)</f>
        <v>#DIV/0!</v>
      </c>
      <c r="P1099" s="306"/>
      <c r="Q1099" s="2" t="e">
        <f ca="1">$I$1099*(W1107/(W1107+X1107))</f>
        <v>#DIV/0!</v>
      </c>
      <c r="R1099" s="2"/>
      <c r="S1099" s="311" t="e">
        <f ca="1">ROUND(U1099/$C$1099,2)</f>
        <v>#DIV/0!</v>
      </c>
      <c r="T1099" s="306"/>
      <c r="U1099" s="2" t="e">
        <f ca="1">$I$1099*(X1107/(W1107+X1107))</f>
        <v>#DIV/0!</v>
      </c>
      <c r="V1099" s="20"/>
      <c r="X1099" s="796">
        <f ca="1">(G1099-D1099)/D1099</f>
        <v>1.8867924528301903E-2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v>0</v>
      </c>
      <c r="E1100" s="1119"/>
      <c r="F1100" s="1123"/>
      <c r="G1100" s="1128">
        <v>0</v>
      </c>
      <c r="H1100" s="1000" t="s">
        <v>364</v>
      </c>
      <c r="I1100" s="1000">
        <f>ROUND(G1100*$C1100/100,0)</f>
        <v>0</v>
      </c>
      <c r="J1100" s="1000"/>
      <c r="K1100" s="1128" t="s">
        <v>31</v>
      </c>
      <c r="L1100" s="1000" t="s">
        <v>31</v>
      </c>
      <c r="M1100" s="1000">
        <f>ROUND(K1100*$C1100/100,0)</f>
        <v>0</v>
      </c>
      <c r="N1100" s="1000"/>
      <c r="O1100" s="1128" t="s">
        <v>31</v>
      </c>
      <c r="P1100" s="1000" t="s">
        <v>31</v>
      </c>
      <c r="Q1100" s="1000">
        <f>ROUND(O1100*$C1100/100,0)</f>
        <v>0</v>
      </c>
      <c r="R1100" s="1000"/>
      <c r="S1100" s="1128">
        <f>G1100</f>
        <v>0</v>
      </c>
      <c r="T1100" s="1000" t="s">
        <v>364</v>
      </c>
      <c r="U1100" s="1000">
        <f>ROUND(S1100*$C1100/100,0)</f>
        <v>0</v>
      </c>
      <c r="V1100" s="1124"/>
      <c r="W1100" s="784"/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v>4.5709999999999997</v>
      </c>
      <c r="E1101" s="1266" t="s">
        <v>364</v>
      </c>
      <c r="F1101" s="1259"/>
      <c r="G1101" s="1270">
        <f ca="1">G1098+G1100</f>
        <v>4.649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1.7064099759352504E-2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26470758</v>
      </c>
      <c r="G1102" s="315"/>
      <c r="H1102" s="1"/>
      <c r="I1102" s="2">
        <f ca="1">SUM(I1091:I1101)</f>
        <v>26920620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26554390.864840947</v>
      </c>
      <c r="G1104" s="327"/>
      <c r="H1104" s="330"/>
      <c r="I1104" s="329">
        <f ca="1">I1102+I1103</f>
        <v>27004252.864840947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targets'!Q30*1000</f>
        <v>27004260.713035714</v>
      </c>
      <c r="X1104" s="1417">
        <f ca="1">'Rate Spread targets'!V30</f>
        <v>1.6941448609556001E-2</v>
      </c>
      <c r="Y1104" s="751"/>
      <c r="Z1104" s="770">
        <f ca="1">'Rate Spread targets'!V30</f>
        <v>1.6941448609556001E-2</v>
      </c>
      <c r="AA1104" s="7" t="s">
        <v>893</v>
      </c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1452">
        <f ca="1">W1104-I1104</f>
        <v>7.8481947667896748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v>13549.416232977699</v>
      </c>
      <c r="D1112" s="250">
        <v>8.57</v>
      </c>
      <c r="F1112" s="2">
        <f t="shared" ref="F1112:F1121" si="196">ROUND(C1112*D1112,0)</f>
        <v>116118</v>
      </c>
      <c r="G1112" s="250">
        <f t="shared" ref="G1112:G1121" si="197">ROUND(D1112+(D1112*$X$1140),2)</f>
        <v>8.7200000000000006</v>
      </c>
      <c r="I1112" s="2">
        <f>ROUND(G1112*$C1112,0)</f>
        <v>118151</v>
      </c>
      <c r="J1112" s="2"/>
      <c r="K1112" s="250" t="e">
        <f>ROUND(M1112/C1112,2)</f>
        <v>#DIV/0!</v>
      </c>
      <c r="M1112" s="2" t="e">
        <f t="shared" ref="M1112:M1121" si="198">($V$1142-$M$1136-$M$1138)*(I1112/($I$1112+$I$1113+$I$1114+$I$1115+$I$1116+$I$1117+$I$1118+$I$1119+$I$1120+$I$1121+$I$1128+$I$1129+I$1130+$I$1131+$I$1132+$I$1133+$I$1134))</f>
        <v>#DIV/0!</v>
      </c>
      <c r="N1112" s="2"/>
      <c r="O1112" s="250" t="e">
        <f>ROUND(Q1112/C1112,2)</f>
        <v>#DIV/0!</v>
      </c>
      <c r="Q1112" s="2" t="e">
        <f>($W$1142-$Q$1136-$Q$1138)*(I1112/($I$1112+$I$1113+$I$1114+$I$1115+$I$1116+$I$1117+$I$1118+$I$1119+$I$1120+$I$1121+$I$1128+$I$1129+I$1130+$I$1131+$I$1132+$I$1133+$I$1134))</f>
        <v>#DIV/0!</v>
      </c>
      <c r="R1112" s="2"/>
      <c r="S1112" s="250" t="e">
        <f>ROUND(U1112/C1112,2)+0.01</f>
        <v>#DIV/0!</v>
      </c>
      <c r="U1112" s="2" t="e">
        <f>($X$1142-$U$1136-$U$1138)*(I1112/($I$1112+$I$1113+$I$1114+$I$1115+$I$1116+$I$1117+$I$1118+$I$1119+$I$1120+$I$1121+$I$1128+$I$1129+I$1130+$I$1131+$I$1132+$I$1133+$I$1134))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v>19571.021805529799</v>
      </c>
      <c r="D1113" s="250">
        <v>10.29</v>
      </c>
      <c r="F1113" s="2">
        <f t="shared" si="196"/>
        <v>201386</v>
      </c>
      <c r="G1113" s="250">
        <f t="shared" si="197"/>
        <v>10.47</v>
      </c>
      <c r="I1113" s="2">
        <f t="shared" ref="I1113:I1131" si="199">ROUND(G1113*$C1113,0)</f>
        <v>204909</v>
      </c>
      <c r="J1113" s="2"/>
      <c r="K1113" s="250" t="e">
        <f>ROUND(M1113/C1113,2)</f>
        <v>#DIV/0!</v>
      </c>
      <c r="M1113" s="2" t="e">
        <f t="shared" si="198"/>
        <v>#DIV/0!</v>
      </c>
      <c r="N1113" s="2"/>
      <c r="O1113" s="250" t="e">
        <f>ROUND(Q1113/C1113,2)</f>
        <v>#DIV/0!</v>
      </c>
      <c r="Q1113" s="2" t="e">
        <f t="shared" ref="Q1113:Q1121" si="200">($W$1142-$Q$1136-$Q$1138)*(I1113/($I$1112+$I$1113+$I$1114+$I$1115+$I$1116+$I$1117+$I$1118+$I$1119+$I$1120+$I$1121+$I$1128+$I$1129+M$1130+$I$1131+$I$1132+$I$1133+$I$1134))</f>
        <v>#DIV/0!</v>
      </c>
      <c r="R1113" s="2"/>
      <c r="S1113" s="250" t="e">
        <f>ROUND(U1113/C1113,2)</f>
        <v>#DIV/0!</v>
      </c>
      <c r="U1113" s="2" t="e">
        <f t="shared" ref="U1113:U1121" si="201">($X$1142-$U$1136-$U$1138)*(I1113/($I$1112+$I$1113+$I$1114+$I$1115+$I$1116+$I$1117+$I$1118+$I$1119+$I$1120+$I$1121+$I$1128+$I$1129+Q$1130+$I$1131+$I$1132+$I$1133+$I$1134))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v>0</v>
      </c>
      <c r="D1114" s="250">
        <v>32.68</v>
      </c>
      <c r="F1114" s="2">
        <f t="shared" si="196"/>
        <v>0</v>
      </c>
      <c r="G1114" s="250">
        <f t="shared" si="197"/>
        <v>33.24</v>
      </c>
      <c r="I1114" s="2">
        <f t="shared" si="199"/>
        <v>0</v>
      </c>
      <c r="J1114" s="2"/>
      <c r="K1114" s="250" t="e">
        <f>ROUND(SUM($M$1112:$M$1121)/SUM($I$1112:$I$1121)*G1114,2)</f>
        <v>#DIV/0!</v>
      </c>
      <c r="M1114" s="2" t="e">
        <f t="shared" si="198"/>
        <v>#DIV/0!</v>
      </c>
      <c r="N1114" s="2"/>
      <c r="O1114" s="250" t="e">
        <f t="shared" ref="O1114:O1118" si="202">ROUND(SUM($Q$1112:$Q$1121)/SUM($I$1112:$I$1121)*G1114,2)</f>
        <v>#DIV/0!</v>
      </c>
      <c r="Q1114" s="2" t="e">
        <f t="shared" si="200"/>
        <v>#DIV/0!</v>
      </c>
      <c r="R1114" s="2"/>
      <c r="S1114" s="250" t="e">
        <f t="shared" ref="S1114" si="203">ROUND(SUM($U$1112:$U$1121)/SUM($I$1112:$I$1121)*G1114,2)</f>
        <v>#DIV/0!</v>
      </c>
      <c r="U1114" s="2" t="e">
        <f t="shared" si="201"/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v>0</v>
      </c>
      <c r="D1115" s="250">
        <v>25.41</v>
      </c>
      <c r="F1115" s="2">
        <f t="shared" si="196"/>
        <v>0</v>
      </c>
      <c r="G1115" s="250">
        <f t="shared" si="197"/>
        <v>25.84</v>
      </c>
      <c r="I1115" s="2">
        <f t="shared" si="199"/>
        <v>0</v>
      </c>
      <c r="J1115" s="2"/>
      <c r="K1115" s="250" t="e">
        <f>ROUND(SUM($M$1112:$M$1121)/SUM($I$1112:$I$1121)*G1115,2)</f>
        <v>#DIV/0!</v>
      </c>
      <c r="M1115" s="2" t="e">
        <f t="shared" si="198"/>
        <v>#DIV/0!</v>
      </c>
      <c r="N1115" s="2"/>
      <c r="O1115" s="250" t="e">
        <f t="shared" si="202"/>
        <v>#DIV/0!</v>
      </c>
      <c r="Q1115" s="2" t="e">
        <f t="shared" si="200"/>
        <v>#DIV/0!</v>
      </c>
      <c r="R1115" s="2"/>
      <c r="S1115" s="250" t="e">
        <f>ROUND(SUM($U$1112:$U$1121)/SUM($I$1112:$I$1121)*G1115,2)</f>
        <v>#DIV/0!</v>
      </c>
      <c r="U1115" s="2" t="e">
        <f t="shared" si="201"/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v>936.93671211539902</v>
      </c>
      <c r="D1116" s="250">
        <v>13.15</v>
      </c>
      <c r="F1116" s="2">
        <f t="shared" si="196"/>
        <v>12321</v>
      </c>
      <c r="G1116" s="250">
        <f t="shared" si="197"/>
        <v>13.37</v>
      </c>
      <c r="I1116" s="2">
        <f t="shared" si="199"/>
        <v>12527</v>
      </c>
      <c r="J1116" s="2"/>
      <c r="K1116" s="250" t="e">
        <f>ROUND(M1116/C1116,2)</f>
        <v>#DIV/0!</v>
      </c>
      <c r="M1116" s="2" t="e">
        <f t="shared" si="198"/>
        <v>#DIV/0!</v>
      </c>
      <c r="N1116" s="2"/>
      <c r="O1116" s="250" t="e">
        <f>ROUND(Q1116/C1116,2)</f>
        <v>#DIV/0!</v>
      </c>
      <c r="Q1116" s="2" t="e">
        <f t="shared" si="200"/>
        <v>#DIV/0!</v>
      </c>
      <c r="R1116" s="2"/>
      <c r="S1116" s="250" t="e">
        <f>ROUND(U1116/C1116,2)</f>
        <v>#DIV/0!</v>
      </c>
      <c r="U1116" s="2" t="e">
        <f t="shared" si="201"/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v>0</v>
      </c>
      <c r="D1117" s="250">
        <v>33.85</v>
      </c>
      <c r="F1117" s="2">
        <f t="shared" si="196"/>
        <v>0</v>
      </c>
      <c r="G1117" s="250">
        <f t="shared" si="197"/>
        <v>34.43</v>
      </c>
      <c r="I1117" s="2">
        <f t="shared" si="199"/>
        <v>0</v>
      </c>
      <c r="J1117" s="2"/>
      <c r="K1117" s="250" t="e">
        <f t="shared" ref="K1117:K1118" si="204">ROUND(SUM($M$1112:$M$1121)/SUM($I$1112:$I$1121)*G1117,2)</f>
        <v>#DIV/0!</v>
      </c>
      <c r="M1117" s="2" t="e">
        <f t="shared" si="198"/>
        <v>#DIV/0!</v>
      </c>
      <c r="N1117" s="2"/>
      <c r="O1117" s="250" t="e">
        <f t="shared" si="202"/>
        <v>#DIV/0!</v>
      </c>
      <c r="Q1117" s="2" t="e">
        <f t="shared" si="200"/>
        <v>#DIV/0!</v>
      </c>
      <c r="R1117" s="2"/>
      <c r="S1117" s="250" t="e">
        <f t="shared" ref="S1117:S1118" si="205">ROUND(SUM($U$1112:$U$1121)/SUM($I$1112:$I$1121)*G1117,2)</f>
        <v>#DIV/0!</v>
      </c>
      <c r="U1117" s="2" t="e">
        <f t="shared" si="201"/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v>0</v>
      </c>
      <c r="D1118" s="250">
        <v>26.62</v>
      </c>
      <c r="F1118" s="2">
        <f t="shared" si="196"/>
        <v>0</v>
      </c>
      <c r="G1118" s="250">
        <f t="shared" si="197"/>
        <v>27.07</v>
      </c>
      <c r="I1118" s="2">
        <f t="shared" si="199"/>
        <v>0</v>
      </c>
      <c r="J1118" s="2"/>
      <c r="K1118" s="250" t="e">
        <f t="shared" si="204"/>
        <v>#DIV/0!</v>
      </c>
      <c r="M1118" s="2" t="e">
        <f t="shared" si="198"/>
        <v>#DIV/0!</v>
      </c>
      <c r="N1118" s="2"/>
      <c r="O1118" s="250" t="e">
        <f t="shared" si="202"/>
        <v>#DIV/0!</v>
      </c>
      <c r="Q1118" s="2" t="e">
        <f t="shared" si="200"/>
        <v>#DIV/0!</v>
      </c>
      <c r="R1118" s="2"/>
      <c r="S1118" s="250" t="e">
        <f t="shared" si="205"/>
        <v>#DIV/0!</v>
      </c>
      <c r="U1118" s="2" t="e">
        <f t="shared" si="201"/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v>19952.514273228699</v>
      </c>
      <c r="D1119" s="250">
        <v>15.01</v>
      </c>
      <c r="F1119" s="2">
        <f t="shared" si="196"/>
        <v>299487</v>
      </c>
      <c r="G1119" s="250">
        <f t="shared" si="197"/>
        <v>15.27</v>
      </c>
      <c r="I1119" s="2">
        <f t="shared" si="199"/>
        <v>304675</v>
      </c>
      <c r="J1119" s="2"/>
      <c r="K1119" s="250" t="e">
        <f>ROUND(M1119/C1119,2)</f>
        <v>#DIV/0!</v>
      </c>
      <c r="M1119" s="2" t="e">
        <f t="shared" si="198"/>
        <v>#DIV/0!</v>
      </c>
      <c r="N1119" s="2"/>
      <c r="O1119" s="250" t="e">
        <f>ROUND(Q1119/C1119,2)</f>
        <v>#DIV/0!</v>
      </c>
      <c r="Q1119" s="2" t="e">
        <f t="shared" si="200"/>
        <v>#DIV/0!</v>
      </c>
      <c r="R1119" s="2"/>
      <c r="S1119" s="250" t="e">
        <f>ROUND(U1119/C1119,2)</f>
        <v>#DIV/0!</v>
      </c>
      <c r="U1119" s="2" t="e">
        <f t="shared" si="201"/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v>1982.0024720791801</v>
      </c>
      <c r="D1120" s="250">
        <v>19.04</v>
      </c>
      <c r="F1120" s="2">
        <f t="shared" si="196"/>
        <v>37737</v>
      </c>
      <c r="G1120" s="250">
        <f t="shared" si="197"/>
        <v>19.36</v>
      </c>
      <c r="I1120" s="2">
        <f t="shared" si="199"/>
        <v>38372</v>
      </c>
      <c r="J1120" s="2"/>
      <c r="K1120" s="250" t="e">
        <f>ROUND(M1120/C1120,2)</f>
        <v>#DIV/0!</v>
      </c>
      <c r="M1120" s="2" t="e">
        <f t="shared" si="198"/>
        <v>#DIV/0!</v>
      </c>
      <c r="N1120" s="2"/>
      <c r="O1120" s="250" t="e">
        <f>ROUND(Q1120/C1120,2)</f>
        <v>#DIV/0!</v>
      </c>
      <c r="Q1120" s="2" t="e">
        <f t="shared" si="200"/>
        <v>#DIV/0!</v>
      </c>
      <c r="R1120" s="2"/>
      <c r="S1120" s="250" t="e">
        <f>ROUND(U1120/C1120,2)</f>
        <v>#DIV/0!</v>
      </c>
      <c r="U1120" s="2" t="e">
        <f t="shared" si="201"/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v>3479.9991629691299</v>
      </c>
      <c r="D1121" s="250">
        <v>25.13</v>
      </c>
      <c r="F1121" s="2">
        <f t="shared" si="196"/>
        <v>87452</v>
      </c>
      <c r="G1121" s="250">
        <f t="shared" si="197"/>
        <v>25.56</v>
      </c>
      <c r="I1121" s="2">
        <f>ROUND(G1121*$C1121,0)</f>
        <v>88949</v>
      </c>
      <c r="J1121" s="2"/>
      <c r="K1121" s="250" t="e">
        <f>ROUND(M1121/C1121,2)</f>
        <v>#DIV/0!</v>
      </c>
      <c r="M1121" s="2" t="e">
        <f t="shared" si="198"/>
        <v>#DIV/0!</v>
      </c>
      <c r="N1121" s="2"/>
      <c r="O1121" s="250" t="e">
        <f>ROUND(Q1121/C1121,2)</f>
        <v>#DIV/0!</v>
      </c>
      <c r="Q1121" s="2" t="e">
        <f t="shared" si="200"/>
        <v>#DIV/0!</v>
      </c>
      <c r="R1121" s="2"/>
      <c r="S1121" s="250" t="e">
        <f>ROUND(U1121/C1121,2)</f>
        <v>#DIV/0!</v>
      </c>
      <c r="U1121" s="2" t="e">
        <f t="shared" si="201"/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v>26.521225423076601</v>
      </c>
      <c r="D1123" s="250">
        <v>9.48</v>
      </c>
      <c r="F1123" s="2">
        <f>ROUND(C1123*D1123,0)</f>
        <v>251</v>
      </c>
      <c r="G1123" s="250">
        <f>ROUND(D1123+(D1123*$X$1140),2)</f>
        <v>9.64</v>
      </c>
      <c r="I1123" s="2">
        <f>ROUND(G1123*$C1123,0)</f>
        <v>256</v>
      </c>
      <c r="J1123" s="2"/>
      <c r="K1123" s="250" t="e">
        <f t="shared" ref="K1123:K1126" si="206">ROUND(SUM($M$1112:$M$1121)/SUM($I$1112:$I$1121)*G1123,2)</f>
        <v>#DIV/0!</v>
      </c>
      <c r="M1123" s="2" t="e">
        <f>ROUND(K1123*$C1123,0)</f>
        <v>#DIV/0!</v>
      </c>
      <c r="N1123" s="2"/>
      <c r="O1123" s="250" t="e">
        <f t="shared" ref="O1123:O1126" si="207">ROUND(SUM($Q$1112:$Q$1121)/SUM($I$1112:$I$1121)*G1123,2)</f>
        <v>#DIV/0!</v>
      </c>
      <c r="Q1123" s="2" t="e">
        <f>ROUND(O1123*$C1123,0)</f>
        <v>#DIV/0!</v>
      </c>
      <c r="R1123" s="2"/>
      <c r="S1123" s="250" t="e">
        <f>ROUND(SUM($U$1112:$U$1121)/SUM($I$1112:$I$1121)*G1123,2)</f>
        <v>#DIV/0!</v>
      </c>
      <c r="U1123" s="2" t="e">
        <f>ROUND(S1123*$C1123,0)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v>27.733736654054098</v>
      </c>
      <c r="D1124" s="250">
        <v>11.95</v>
      </c>
      <c r="F1124" s="2">
        <f>ROUND(C1124*D1124,0)</f>
        <v>331</v>
      </c>
      <c r="G1124" s="250">
        <f t="shared" ref="G1124:G1126" si="208">ROUND(D1124+(D1124*$X$1140),2)</f>
        <v>12.15</v>
      </c>
      <c r="I1124" s="2">
        <f>ROUND(G1124*$C1124,0)</f>
        <v>337</v>
      </c>
      <c r="J1124" s="2"/>
      <c r="K1124" s="250" t="e">
        <f t="shared" si="206"/>
        <v>#DIV/0!</v>
      </c>
      <c r="M1124" s="2" t="e">
        <f>ROUND(K1124*$C1124,0)</f>
        <v>#DIV/0!</v>
      </c>
      <c r="N1124" s="2"/>
      <c r="O1124" s="250" t="e">
        <f t="shared" si="207"/>
        <v>#DIV/0!</v>
      </c>
      <c r="Q1124" s="2" t="e">
        <f>ROUND(O1124*$C1124,0)</f>
        <v>#DIV/0!</v>
      </c>
      <c r="R1124" s="2"/>
      <c r="S1124" s="250" t="e">
        <f>ROUND(SUM($U$1112:$U$1121)/SUM($I$1112:$I$1121)*G1124,2)</f>
        <v>#DIV/0!</v>
      </c>
      <c r="U1124" s="2" t="e">
        <f>ROUND(S1124*$C1124,0)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v>55.638368302961503</v>
      </c>
      <c r="D1125" s="250">
        <v>19.86</v>
      </c>
      <c r="F1125" s="2">
        <f>ROUND(C1125*D1125,0)</f>
        <v>1105</v>
      </c>
      <c r="G1125" s="250">
        <f t="shared" si="208"/>
        <v>20.2</v>
      </c>
      <c r="I1125" s="2">
        <f>ROUND(G1125*$C1125,0)</f>
        <v>1124</v>
      </c>
      <c r="J1125" s="2"/>
      <c r="K1125" s="250" t="e">
        <f t="shared" si="206"/>
        <v>#DIV/0!</v>
      </c>
      <c r="M1125" s="2" t="e">
        <f>ROUND(K1125*$C1125,0)</f>
        <v>#DIV/0!</v>
      </c>
      <c r="N1125" s="2"/>
      <c r="O1125" s="250" t="e">
        <f t="shared" si="207"/>
        <v>#DIV/0!</v>
      </c>
      <c r="Q1125" s="2" t="e">
        <f>ROUND(O1125*$C1125,0)</f>
        <v>#DIV/0!</v>
      </c>
      <c r="R1125" s="2"/>
      <c r="S1125" s="250" t="e">
        <f>ROUND(SUM($U$1112:$U$1121)/SUM($I$1112:$I$1121)*G1125,2)</f>
        <v>#DIV/0!</v>
      </c>
      <c r="U1125" s="2" t="e">
        <f>ROUND(S1125*$C1125,0)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v>33.215584669332003</v>
      </c>
      <c r="D1126" s="250">
        <v>25.06</v>
      </c>
      <c r="F1126" s="2">
        <f>ROUND(C1126*D1126,0)</f>
        <v>832</v>
      </c>
      <c r="G1126" s="250">
        <f t="shared" si="208"/>
        <v>25.49</v>
      </c>
      <c r="I1126" s="2">
        <f>ROUND(G1126*$C1126,0)</f>
        <v>847</v>
      </c>
      <c r="J1126" s="2"/>
      <c r="K1126" s="250" t="e">
        <f t="shared" si="206"/>
        <v>#DIV/0!</v>
      </c>
      <c r="M1126" s="2" t="e">
        <f>ROUND(K1126*$C1126,0)</f>
        <v>#DIV/0!</v>
      </c>
      <c r="N1126" s="2"/>
      <c r="O1126" s="250" t="e">
        <f t="shared" si="207"/>
        <v>#DIV/0!</v>
      </c>
      <c r="Q1126" s="2" t="e">
        <f>ROUND(O1126*$C1126,0)</f>
        <v>#DIV/0!</v>
      </c>
      <c r="R1126" s="2"/>
      <c r="S1126" s="250" t="e">
        <f>ROUND(SUM($U$1112:$U$1121)/SUM($I$1112:$I$1121)*G1126,2)</f>
        <v>#DIV/0!</v>
      </c>
      <c r="U1126" s="2" t="e">
        <f>ROUND(S1126*$C1126,0)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v>0</v>
      </c>
      <c r="D1128" s="250">
        <v>31.34</v>
      </c>
      <c r="F1128" s="2">
        <f t="shared" ref="F1128:F1134" si="209">ROUND(C1128*D1128,0)</f>
        <v>0</v>
      </c>
      <c r="G1128" s="250">
        <f t="shared" ref="G1128:G1134" si="210">ROUND(D1128+(D1128*$X$1140),2)</f>
        <v>31.87</v>
      </c>
      <c r="I1128" s="2">
        <f>ROUND(G1128*$C1128,0)</f>
        <v>0</v>
      </c>
      <c r="J1128" s="2"/>
      <c r="K1128" s="250" t="e">
        <f t="shared" ref="K1128:K1134" si="211">ROUND(SUM($M$1112:$M$1121)/SUM($I$1112:$I$1121)*G1128,2)</f>
        <v>#DIV/0!</v>
      </c>
      <c r="M1128" s="2" t="e">
        <f t="shared" ref="M1128:M1134" si="212">($V$1142-$M$1136-$M$1138)*(I1128/($I$1112+$I$1113+$I$1114+$I$1115+$I$1116+$I$1117+$I$1118+$I$1119+$I$1120+$I$1121+$I$1128+$I$1129+I$1130+$I$1131+$I$1132+$I$1133+$I$1134))</f>
        <v>#DIV/0!</v>
      </c>
      <c r="N1128" s="2"/>
      <c r="O1128" s="250" t="e">
        <f t="shared" ref="O1128:O1134" si="213">ROUND(SUM($Q$1112:$Q$1121)/SUM($I$1112:$I$1121)*G1128,2)</f>
        <v>#DIV/0!</v>
      </c>
      <c r="Q1128" s="2" t="e">
        <f t="shared" ref="Q1128:Q1134" si="214">($W$1142-$Q$1136-$Q$1138)*(I1128/($I$1112+$I$1113+$I$1114+$I$1115+$I$1116+$I$1117+$I$1118+$I$1119+$I$1120+$I$1121+$I$1128+$I$1129+M$1130+$I$1131+$I$1132+$I$1133+$I$1134))</f>
        <v>#DIV/0!</v>
      </c>
      <c r="R1128" s="2"/>
      <c r="S1128" s="250" t="e">
        <f>ROUND(SUM($U$1112:$U$1121)/SUM($I$1112:$I$1121)*G1128,2)</f>
        <v>#DIV/0!</v>
      </c>
      <c r="U1128" s="2" t="e">
        <f t="shared" ref="U1128:U1134" si="215">($X$1142-$U$1136-$U$1138)*(I1128/($I$1112+$I$1113+$I$1114+$I$1115+$I$1116+$I$1117+$I$1118+$I$1119+$I$1120+$I$1121+$I$1128+$I$1129+Q$1130+$I$1131+$I$1132+$I$1133+$I$1134))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v>0</v>
      </c>
      <c r="D1129" s="250">
        <v>26.14</v>
      </c>
      <c r="F1129" s="2">
        <f t="shared" si="209"/>
        <v>0</v>
      </c>
      <c r="G1129" s="250">
        <f t="shared" si="210"/>
        <v>26.58</v>
      </c>
      <c r="I1129" s="2">
        <f t="shared" si="199"/>
        <v>0</v>
      </c>
      <c r="J1129" s="2"/>
      <c r="K1129" s="250" t="e">
        <f t="shared" si="211"/>
        <v>#DIV/0!</v>
      </c>
      <c r="M1129" s="2" t="e">
        <f t="shared" si="212"/>
        <v>#DIV/0!</v>
      </c>
      <c r="N1129" s="2"/>
      <c r="O1129" s="250" t="e">
        <f t="shared" si="213"/>
        <v>#DIV/0!</v>
      </c>
      <c r="Q1129" s="2" t="e">
        <f t="shared" si="214"/>
        <v>#DIV/0!</v>
      </c>
      <c r="R1129" s="2"/>
      <c r="S1129" s="250" t="e">
        <f>ROUND(SUM($U$1112:$U$1121)/SUM($I$1112:$I$1121)*G1129,2)</f>
        <v>#DIV/0!</v>
      </c>
      <c r="U1129" s="2" t="e">
        <f t="shared" si="215"/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v>0</v>
      </c>
      <c r="D1130" s="250">
        <v>24.09</v>
      </c>
      <c r="F1130" s="2">
        <f t="shared" si="209"/>
        <v>0</v>
      </c>
      <c r="G1130" s="250">
        <f t="shared" si="210"/>
        <v>24.5</v>
      </c>
      <c r="I1130" s="2">
        <f>ROUND(G1130*$C1130,0)</f>
        <v>0</v>
      </c>
      <c r="J1130" s="2"/>
      <c r="K1130" s="250" t="e">
        <f t="shared" si="211"/>
        <v>#DIV/0!</v>
      </c>
      <c r="M1130" s="2" t="e">
        <f t="shared" si="212"/>
        <v>#DIV/0!</v>
      </c>
      <c r="N1130" s="2"/>
      <c r="O1130" s="250" t="e">
        <f t="shared" si="213"/>
        <v>#DIV/0!</v>
      </c>
      <c r="Q1130" s="2" t="e">
        <f t="shared" si="214"/>
        <v>#DIV/0!</v>
      </c>
      <c r="R1130" s="2"/>
      <c r="S1130" s="250" t="e">
        <f t="shared" ref="S1130:S1133" si="216">ROUND(SUM($U$1112:$U$1121)/SUM($I$1112:$I$1121)*G1130,2)</f>
        <v>#DIV/0!</v>
      </c>
      <c r="U1130" s="2" t="e">
        <f t="shared" si="215"/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v>0</v>
      </c>
      <c r="D1131" s="250">
        <v>35.21</v>
      </c>
      <c r="F1131" s="2">
        <f t="shared" si="209"/>
        <v>0</v>
      </c>
      <c r="G1131" s="250">
        <f t="shared" si="210"/>
        <v>35.81</v>
      </c>
      <c r="I1131" s="2">
        <f t="shared" si="199"/>
        <v>0</v>
      </c>
      <c r="J1131" s="2"/>
      <c r="K1131" s="250" t="e">
        <f t="shared" si="211"/>
        <v>#DIV/0!</v>
      </c>
      <c r="M1131" s="2" t="e">
        <f t="shared" si="212"/>
        <v>#DIV/0!</v>
      </c>
      <c r="N1131" s="2"/>
      <c r="O1131" s="250" t="e">
        <f t="shared" si="213"/>
        <v>#DIV/0!</v>
      </c>
      <c r="Q1131" s="2" t="e">
        <f t="shared" si="214"/>
        <v>#DIV/0!</v>
      </c>
      <c r="R1131" s="2"/>
      <c r="S1131" s="250" t="e">
        <f>ROUND(SUM($U$1112:$U$1121)/SUM($I$1112:$I$1121)*G1131,2)-0.01</f>
        <v>#DIV/0!</v>
      </c>
      <c r="U1131" s="2" t="e">
        <f t="shared" si="215"/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v>0</v>
      </c>
      <c r="D1132" s="250">
        <v>28.35</v>
      </c>
      <c r="F1132" s="2">
        <f t="shared" si="209"/>
        <v>0</v>
      </c>
      <c r="G1132" s="250">
        <f t="shared" si="210"/>
        <v>28.83</v>
      </c>
      <c r="I1132" s="2">
        <f>ROUND(G1132*$C1132,0)</f>
        <v>0</v>
      </c>
      <c r="J1132" s="2"/>
      <c r="K1132" s="250" t="e">
        <f t="shared" si="211"/>
        <v>#DIV/0!</v>
      </c>
      <c r="M1132" s="2" t="e">
        <f t="shared" si="212"/>
        <v>#DIV/0!</v>
      </c>
      <c r="N1132" s="2"/>
      <c r="O1132" s="250" t="e">
        <f t="shared" si="213"/>
        <v>#DIV/0!</v>
      </c>
      <c r="Q1132" s="2" t="e">
        <f t="shared" si="214"/>
        <v>#DIV/0!</v>
      </c>
      <c r="R1132" s="2"/>
      <c r="S1132" s="250" t="e">
        <f t="shared" si="216"/>
        <v>#DIV/0!</v>
      </c>
      <c r="U1132" s="2" t="e">
        <f t="shared" si="215"/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v>0</v>
      </c>
      <c r="D1133" s="250">
        <v>27.86</v>
      </c>
      <c r="F1133" s="2">
        <f t="shared" si="209"/>
        <v>0</v>
      </c>
      <c r="G1133" s="250">
        <f t="shared" si="210"/>
        <v>28.33</v>
      </c>
      <c r="I1133" s="2">
        <f>ROUND(G1133*$C1133,0)</f>
        <v>0</v>
      </c>
      <c r="J1133" s="2"/>
      <c r="K1133" s="250" t="e">
        <f t="shared" si="211"/>
        <v>#DIV/0!</v>
      </c>
      <c r="M1133" s="2" t="e">
        <f t="shared" si="212"/>
        <v>#DIV/0!</v>
      </c>
      <c r="N1133" s="2"/>
      <c r="O1133" s="250" t="e">
        <f t="shared" si="213"/>
        <v>#DIV/0!</v>
      </c>
      <c r="Q1133" s="2" t="e">
        <f t="shared" si="214"/>
        <v>#DIV/0!</v>
      </c>
      <c r="R1133" s="2"/>
      <c r="S1133" s="250" t="e">
        <f t="shared" si="216"/>
        <v>#DIV/0!</v>
      </c>
      <c r="U1133" s="2" t="e">
        <f t="shared" si="215"/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v>0</v>
      </c>
      <c r="D1134" s="250">
        <v>30.33</v>
      </c>
      <c r="F1134" s="2">
        <f t="shared" si="209"/>
        <v>0</v>
      </c>
      <c r="G1134" s="250">
        <f t="shared" si="210"/>
        <v>30.85</v>
      </c>
      <c r="I1134" s="2">
        <f>ROUND(G1134*$C1134,0)</f>
        <v>0</v>
      </c>
      <c r="J1134" s="2"/>
      <c r="K1134" s="250" t="e">
        <f t="shared" si="211"/>
        <v>#DIV/0!</v>
      </c>
      <c r="M1134" s="2" t="e">
        <f t="shared" si="212"/>
        <v>#DIV/0!</v>
      </c>
      <c r="N1134" s="2"/>
      <c r="O1134" s="250" t="e">
        <f t="shared" si="213"/>
        <v>#DIV/0!</v>
      </c>
      <c r="Q1134" s="2" t="e">
        <f t="shared" si="214"/>
        <v>#DIV/0!</v>
      </c>
      <c r="R1134" s="2"/>
      <c r="S1134" s="250" t="e">
        <f>ROUND(SUM($U$1112:$U$1121)/SUM($I$1112:$I$1121)*G1134,2)+0.01</f>
        <v>#DIV/0!</v>
      </c>
      <c r="U1134" s="2" t="e">
        <f t="shared" si="215"/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891</v>
      </c>
      <c r="C1136" s="1122">
        <f>C1137</f>
        <v>3883379.6674147383</v>
      </c>
      <c r="D1136" s="254">
        <v>0</v>
      </c>
      <c r="E1136" s="1119"/>
      <c r="F1136" s="1123"/>
      <c r="G1136" s="1128">
        <v>0</v>
      </c>
      <c r="H1136" s="1000" t="s">
        <v>364</v>
      </c>
      <c r="I1136" s="1000">
        <f>ROUND(G1136*$C1136/100,0)</f>
        <v>0</v>
      </c>
      <c r="J1136" s="1000"/>
      <c r="K1136" s="1128" t="s">
        <v>31</v>
      </c>
      <c r="L1136" s="1126" t="s">
        <v>31</v>
      </c>
      <c r="M1136" s="1123">
        <f>K1136*C1136</f>
        <v>0</v>
      </c>
      <c r="N1136" s="1123"/>
      <c r="O1136" s="1128" t="s">
        <v>31</v>
      </c>
      <c r="P1136" s="1126" t="s">
        <v>31</v>
      </c>
      <c r="Q1136" s="1123">
        <f>O1136*C1136</f>
        <v>0</v>
      </c>
      <c r="R1136" s="1123"/>
      <c r="S1136" s="1128">
        <f>G1136</f>
        <v>0</v>
      </c>
      <c r="T1136" s="1126" t="s">
        <v>364</v>
      </c>
      <c r="U1136" s="1123">
        <f>I1136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757020</v>
      </c>
      <c r="G1137" s="254"/>
      <c r="H1137" s="20"/>
      <c r="I1137" s="257">
        <f>SUM(I1112:I1136)</f>
        <v>770147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$I$1138*V1142/($V$1142+$W$1142+$X$1142)</f>
        <v>#DIV/0!</v>
      </c>
      <c r="N1138" s="51"/>
      <c r="O1138" s="294"/>
      <c r="P1138" s="294"/>
      <c r="Q1138" s="257" t="e">
        <f>$I$1138*W1142/($V$1142+$W$1142+$X$1142)</f>
        <v>#DIV/0!</v>
      </c>
      <c r="R1138" s="51"/>
      <c r="S1138" s="294"/>
      <c r="T1138" s="294"/>
      <c r="U1138" s="257" t="e">
        <f>$I$1138*X1142/($V$1142+$W$1142+$X$1142)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768973.20538016257</v>
      </c>
      <c r="G1139" s="297"/>
      <c r="H1139" s="297"/>
      <c r="I1139" s="259">
        <f>I1137+I1138</f>
        <v>782100.20538016257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1453">
        <f ca="1">'Rate Spread targets'!Q38*1000</f>
        <v>782000.72542123613</v>
      </c>
      <c r="X1139" s="1440">
        <f>(I1139-F1139)/F1139</f>
        <v>1.7070815872589885E-2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762" t="s">
        <v>257</v>
      </c>
      <c r="W1140" s="1452">
        <f ca="1">W1139-I1139</f>
        <v>-99.479958926443942</v>
      </c>
      <c r="X1140" s="1087">
        <v>1.7010000000000001E-2</v>
      </c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719"/>
      <c r="W1141" s="719"/>
      <c r="X1141" s="719"/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401"/>
      <c r="W1142" s="401"/>
      <c r="X1142" s="401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A1143" s="1"/>
      <c r="B1143" s="1"/>
      <c r="C1143" s="21"/>
      <c r="D1143" s="21" t="s">
        <v>31</v>
      </c>
      <c r="E1143" s="21"/>
      <c r="F1143" s="2"/>
      <c r="G1143" s="21" t="s">
        <v>31</v>
      </c>
      <c r="H1143" s="21"/>
      <c r="I1143" s="2" t="s">
        <v>31</v>
      </c>
      <c r="J1143" s="2"/>
      <c r="K1143" s="21" t="s">
        <v>31</v>
      </c>
      <c r="L1143" s="21"/>
      <c r="M1143" s="2" t="s">
        <v>31</v>
      </c>
      <c r="N1143" s="2"/>
      <c r="O1143" s="21" t="s">
        <v>31</v>
      </c>
      <c r="P1143" s="21"/>
      <c r="Q1143" s="2" t="s">
        <v>31</v>
      </c>
      <c r="R1143" s="2"/>
      <c r="S1143" s="21" t="s">
        <v>31</v>
      </c>
      <c r="T1143" s="21"/>
      <c r="U1143" s="2" t="s">
        <v>31</v>
      </c>
      <c r="W1143" s="3"/>
      <c r="X1143" s="3"/>
      <c r="Y1143" s="226"/>
      <c r="AA1143" s="262"/>
      <c r="AB1143" s="262"/>
      <c r="AC1143" s="262"/>
      <c r="AD1143" s="262"/>
      <c r="AE1143" s="262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A1144" s="278" t="s">
        <v>476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263"/>
      <c r="W1144" s="272"/>
      <c r="X1144" s="263"/>
      <c r="Y1144" s="263"/>
      <c r="Z1144" s="20"/>
      <c r="AA1144" s="20"/>
      <c r="AB1144" s="20"/>
      <c r="AC1144" s="20"/>
      <c r="AD1144" s="20"/>
      <c r="AE1144" s="20"/>
      <c r="AF1144" s="20"/>
      <c r="AG1144" s="263"/>
      <c r="AH1144" s="263"/>
      <c r="AI1144" s="263"/>
      <c r="AJ1144" s="263"/>
      <c r="AK1144" s="263"/>
      <c r="AL1144" s="20"/>
      <c r="AM1144" s="20"/>
      <c r="AN1144" s="20"/>
      <c r="AO1144" s="20"/>
      <c r="AP1144" s="20"/>
    </row>
    <row r="1145" spans="1:44">
      <c r="A1145" s="1" t="s">
        <v>477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0"/>
      <c r="W1145" s="74"/>
      <c r="X1145" s="74"/>
      <c r="Y1145" s="74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 t="s">
        <v>31</v>
      </c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 t="s">
        <v>478</v>
      </c>
      <c r="B1147" s="1"/>
      <c r="C1147" s="21"/>
      <c r="D1147" s="283"/>
      <c r="E1147" s="1"/>
      <c r="F1147" s="397">
        <v>19085.726609179299</v>
      </c>
      <c r="G1147" s="283"/>
      <c r="H1147" s="1"/>
      <c r="I1147" s="2">
        <f>F1147</f>
        <v>19085.726609179299</v>
      </c>
      <c r="J1147" s="2"/>
      <c r="K1147" s="283"/>
      <c r="L1147" s="1"/>
      <c r="M1147" s="2">
        <f>I1147</f>
        <v>19085.726609179299</v>
      </c>
      <c r="N1147" s="2"/>
      <c r="O1147" s="283"/>
      <c r="P1147" s="1"/>
      <c r="Q1147" s="2" t="s">
        <v>31</v>
      </c>
      <c r="R1147" s="2"/>
      <c r="S1147" s="283"/>
      <c r="T1147" s="1"/>
      <c r="U1147" s="2" t="str">
        <f>Q1147</f>
        <v xml:space="preserve"> </v>
      </c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</row>
    <row r="1148" spans="1:44">
      <c r="A1148" s="1" t="s">
        <v>479</v>
      </c>
      <c r="B1148" s="1"/>
      <c r="C1148" s="249">
        <v>209541.66875847799</v>
      </c>
      <c r="D1148" s="367">
        <v>8.0410000000000004</v>
      </c>
      <c r="E1148" s="1" t="s">
        <v>364</v>
      </c>
      <c r="F1148" s="399">
        <f>ROUND(D1148*C1148/100,0)</f>
        <v>16849</v>
      </c>
      <c r="G1148" s="367">
        <v>8.3360000000000003</v>
      </c>
      <c r="H1148" s="1" t="s">
        <v>364</v>
      </c>
      <c r="I1148" s="2">
        <f>ROUND(G1148*$C1148/100,0)</f>
        <v>17467</v>
      </c>
      <c r="J1148" s="2"/>
      <c r="K1148" s="367" t="e">
        <f>M1148/C1148*100</f>
        <v>#DIV/0!</v>
      </c>
      <c r="L1148" s="1" t="s">
        <v>364</v>
      </c>
      <c r="M1148" s="2" t="e">
        <f>V1158-M1147-M1151-M1154</f>
        <v>#DIV/0!</v>
      </c>
      <c r="N1148" s="2"/>
      <c r="O1148" s="367" t="e">
        <f>Q1148/C1148*100</f>
        <v>#DIV/0!</v>
      </c>
      <c r="P1148" s="1" t="s">
        <v>364</v>
      </c>
      <c r="Q1148" s="2" t="e">
        <f>W1158-Q1151-Q1154</f>
        <v>#DIV/0!</v>
      </c>
      <c r="R1148" s="2"/>
      <c r="S1148" s="367" t="e">
        <f>U1148/C1148*100+0.001</f>
        <v>#DIV/0!</v>
      </c>
      <c r="T1148" s="1" t="s">
        <v>364</v>
      </c>
      <c r="U1148" s="2" t="e">
        <f>X1158-U1151-U1154</f>
        <v>#DIV/0!</v>
      </c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480</v>
      </c>
      <c r="B1149" s="1"/>
      <c r="C1149" s="249">
        <v>0</v>
      </c>
      <c r="D1149" s="367">
        <v>8.9979999999999993</v>
      </c>
      <c r="E1149" s="1" t="s">
        <v>364</v>
      </c>
      <c r="F1149" s="399">
        <f>ROUND(D1149*C1149/100,0)</f>
        <v>0</v>
      </c>
      <c r="G1149" s="367">
        <f>ROUND(D1149/D1148*G1148,3)</f>
        <v>9.3279999999999994</v>
      </c>
      <c r="H1149" s="1" t="s">
        <v>364</v>
      </c>
      <c r="I1149" s="2">
        <f>ROUND(G1149*$C1149/100,0)</f>
        <v>0</v>
      </c>
      <c r="J1149" s="2"/>
      <c r="K1149" s="367" t="e">
        <f>G1149/G1148*K1148</f>
        <v>#DIV/0!</v>
      </c>
      <c r="L1149" s="1" t="s">
        <v>364</v>
      </c>
      <c r="M1149" s="2" t="e">
        <f>ROUND(K1149*$C1149/100,0)</f>
        <v>#DIV/0!</v>
      </c>
      <c r="N1149" s="2"/>
      <c r="O1149" s="367" t="e">
        <f>K1149/K1148*O1148</f>
        <v>#DIV/0!</v>
      </c>
      <c r="P1149" s="1" t="s">
        <v>364</v>
      </c>
      <c r="Q1149" s="2" t="e">
        <f>ROUND(O1149*$C1149/100,0)</f>
        <v>#DIV/0!</v>
      </c>
      <c r="R1149" s="2"/>
      <c r="S1149" s="367" t="e">
        <f>O1149/O1148*S1148-0.001</f>
        <v>#DIV/0!</v>
      </c>
      <c r="T1149" s="1" t="s">
        <v>364</v>
      </c>
      <c r="U1149" s="2" t="e">
        <f>ROUND(S1149*$C1149/100,0)</f>
        <v>#DIV/0!</v>
      </c>
      <c r="V1149" s="20"/>
      <c r="W1149" s="74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352</v>
      </c>
      <c r="B1150" s="1"/>
      <c r="C1150" s="249">
        <v>14</v>
      </c>
      <c r="D1150" s="400"/>
      <c r="E1150" s="1"/>
      <c r="F1150" s="2"/>
      <c r="G1150" s="400"/>
      <c r="H1150" s="1"/>
      <c r="I1150" s="2"/>
      <c r="J1150" s="2"/>
      <c r="K1150" s="400"/>
      <c r="L1150" s="1"/>
      <c r="M1150" s="2"/>
      <c r="N1150" s="2"/>
      <c r="O1150" s="400"/>
      <c r="P1150" s="1"/>
      <c r="Q1150" s="2"/>
      <c r="R1150" s="2"/>
      <c r="S1150" s="400"/>
      <c r="T1150" s="1"/>
      <c r="U1150" s="2"/>
      <c r="V1150" s="20"/>
      <c r="W1150" s="74"/>
      <c r="X1150" s="74"/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 s="1118" customFormat="1" hidden="1">
      <c r="A1151" s="968" t="s">
        <v>891</v>
      </c>
      <c r="C1151" s="1122">
        <f>C1153</f>
        <v>209541.66875847799</v>
      </c>
      <c r="D1151" s="254">
        <v>0</v>
      </c>
      <c r="E1151" s="1119"/>
      <c r="F1151" s="1123"/>
      <c r="G1151" s="1128">
        <v>0</v>
      </c>
      <c r="H1151" s="1000" t="s">
        <v>364</v>
      </c>
      <c r="I1151" s="1000">
        <f>ROUND(G1151*$C1151/100,0)</f>
        <v>0</v>
      </c>
      <c r="J1151" s="1000"/>
      <c r="K1151" s="1128" t="s">
        <v>31</v>
      </c>
      <c r="L1151" s="1126" t="s">
        <v>31</v>
      </c>
      <c r="M1151" s="1123">
        <f>K1151*C1151</f>
        <v>0</v>
      </c>
      <c r="N1151" s="1123"/>
      <c r="O1151" s="1128" t="s">
        <v>31</v>
      </c>
      <c r="P1151" s="1126" t="s">
        <v>31</v>
      </c>
      <c r="Q1151" s="1123">
        <f>O1151*C1151</f>
        <v>0</v>
      </c>
      <c r="R1151" s="1123"/>
      <c r="S1151" s="1128">
        <f>G1151</f>
        <v>0</v>
      </c>
      <c r="T1151" s="1126" t="s">
        <v>364</v>
      </c>
      <c r="U1151" s="1123">
        <f>I1151</f>
        <v>0</v>
      </c>
      <c r="V1151" s="1124"/>
      <c r="W1151" s="784"/>
      <c r="Z1151" s="1125"/>
      <c r="AA1151" s="1125"/>
      <c r="AF1151" s="1119"/>
      <c r="AG1151" s="1119"/>
      <c r="AH1151" s="1119"/>
      <c r="AI1151" s="1119"/>
      <c r="AJ1151" s="1119"/>
      <c r="AK1151" s="1119"/>
      <c r="AL1151" s="1119"/>
      <c r="AM1151" s="1119"/>
      <c r="AN1151" s="1119"/>
      <c r="AO1151" s="1119"/>
      <c r="AP1151" s="1119"/>
      <c r="AR1151" s="1124"/>
    </row>
    <row r="1152" spans="1:44" s="1118" customFormat="1" hidden="1">
      <c r="A1152" s="1255" t="s">
        <v>874</v>
      </c>
      <c r="B1152" s="1256"/>
      <c r="C1152" s="1269"/>
      <c r="D1152" s="1270">
        <v>8.0410000000000004</v>
      </c>
      <c r="E1152" s="1261" t="s">
        <v>364</v>
      </c>
      <c r="F1152" s="1259"/>
      <c r="G1152" s="1270">
        <f>G1148+G1151</f>
        <v>8.3360000000000003</v>
      </c>
      <c r="H1152" s="1261" t="s">
        <v>364</v>
      </c>
      <c r="I1152" s="1266"/>
      <c r="J1152" s="1266"/>
      <c r="K1152" s="1270" t="e">
        <f>K1148+K1151</f>
        <v>#DIV/0!</v>
      </c>
      <c r="L1152" s="1261" t="s">
        <v>364</v>
      </c>
      <c r="M1152" s="1266"/>
      <c r="N1152" s="1266"/>
      <c r="O1152" s="1270" t="e">
        <f>O1148+O1151</f>
        <v>#DIV/0!</v>
      </c>
      <c r="P1152" s="1261" t="s">
        <v>364</v>
      </c>
      <c r="Q1152" s="1266"/>
      <c r="R1152" s="1266"/>
      <c r="S1152" s="1270" t="e">
        <f>S1148+S1151</f>
        <v>#DIV/0!</v>
      </c>
      <c r="T1152" s="1261" t="s">
        <v>364</v>
      </c>
      <c r="U1152" s="1266"/>
      <c r="V1152" s="1124"/>
      <c r="W1152" s="784"/>
      <c r="X1152" s="795" t="s">
        <v>31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>
      <c r="A1153" s="3" t="s">
        <v>481</v>
      </c>
      <c r="C1153" s="249">
        <f>SUM(C1148:C1149)</f>
        <v>209541.66875847799</v>
      </c>
      <c r="D1153" s="254"/>
      <c r="E1153" s="20"/>
      <c r="F1153" s="257">
        <f>SUM(F1147:F1149)</f>
        <v>35934.726609179299</v>
      </c>
      <c r="G1153" s="254"/>
      <c r="H1153" s="20"/>
      <c r="I1153" s="257">
        <f>SUM(I1147:I1152)</f>
        <v>36552.726609179299</v>
      </c>
      <c r="J1153" s="257"/>
      <c r="K1153" s="254"/>
      <c r="L1153" s="20"/>
      <c r="M1153" s="257" t="e">
        <f>SUM(M1147:M1152)</f>
        <v>#DIV/0!</v>
      </c>
      <c r="N1153" s="257"/>
      <c r="O1153" s="254"/>
      <c r="P1153" s="20"/>
      <c r="Q1153" s="257" t="e">
        <f>SUM(Q1147:Q1152)</f>
        <v>#DIV/0!</v>
      </c>
      <c r="R1153" s="257"/>
      <c r="S1153" s="254"/>
      <c r="T1153" s="20"/>
      <c r="U1153" s="257" t="e">
        <f>SUM(U1147:U1152)</f>
        <v>#DIV/0!</v>
      </c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>
      <c r="A1154" s="3" t="s">
        <v>482</v>
      </c>
      <c r="C1154" s="249">
        <f ca="1">'Table 2'!H121</f>
        <v>2653.5816237928889</v>
      </c>
      <c r="D1154" s="254"/>
      <c r="E1154" s="20"/>
      <c r="F1154" s="257">
        <f>'Table 3'!E121</f>
        <v>567.41534451217819</v>
      </c>
      <c r="G1154" s="254"/>
      <c r="H1154" s="20"/>
      <c r="I1154" s="257">
        <f>F1154</f>
        <v>567.41534451217819</v>
      </c>
      <c r="J1154" s="257"/>
      <c r="K1154" s="254"/>
      <c r="L1154" s="20"/>
      <c r="M1154" s="257" t="e">
        <f>$I$1154*V1158/($V$1158+$W$1158+$X$1158)</f>
        <v>#DIV/0!</v>
      </c>
      <c r="N1154" s="51"/>
      <c r="O1154" s="294"/>
      <c r="P1154" s="294"/>
      <c r="Q1154" s="257" t="e">
        <f>$I$1154*W1158/($V$1158+$W$1158+$X$1158)</f>
        <v>#DIV/0!</v>
      </c>
      <c r="R1154" s="51"/>
      <c r="S1154" s="294"/>
      <c r="T1154" s="294"/>
      <c r="U1154" s="257" t="e">
        <f>$I$1154*X1158/($V$1158+$W$1158+$X$1158)</f>
        <v>#DIV/0!</v>
      </c>
      <c r="V1154" s="274"/>
      <c r="W1154" s="275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 ht="16.5" thickBot="1">
      <c r="A1155" s="1" t="s">
        <v>9</v>
      </c>
      <c r="B1155" s="1"/>
      <c r="C1155" s="378">
        <f ca="1">C1153+C1154</f>
        <v>212195.25038227087</v>
      </c>
      <c r="D1155" s="962"/>
      <c r="E1155" s="330"/>
      <c r="F1155" s="259">
        <f>F1153+F1154</f>
        <v>36502.141953691476</v>
      </c>
      <c r="G1155" s="962"/>
      <c r="H1155" s="330"/>
      <c r="I1155" s="259">
        <f>I1153+I1154</f>
        <v>37120.141953691476</v>
      </c>
      <c r="J1155" s="297"/>
      <c r="K1155" s="962"/>
      <c r="L1155" s="330"/>
      <c r="M1155" s="259" t="e">
        <f>M1153+M1154</f>
        <v>#DIV/0!</v>
      </c>
      <c r="N1155" s="297"/>
      <c r="O1155" s="962"/>
      <c r="P1155" s="330"/>
      <c r="Q1155" s="259" t="e">
        <f>Q1153+Q1154</f>
        <v>#DIV/0!</v>
      </c>
      <c r="R1155" s="297"/>
      <c r="S1155" s="962"/>
      <c r="T1155" s="330"/>
      <c r="U1155" s="259" t="e">
        <f>U1153+U1154</f>
        <v>#DIV/0!</v>
      </c>
      <c r="V1155" s="761" t="s">
        <v>399</v>
      </c>
      <c r="W1155" s="778">
        <f ca="1">'Rate Spread targets'!Q39*1000</f>
        <v>37120.541115738662</v>
      </c>
      <c r="X1155" s="1440">
        <f>(I1155-F1155)/F1155</f>
        <v>1.6930513304781597E-2</v>
      </c>
      <c r="Y1155" s="796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Top="1">
      <c r="A1156" s="1"/>
      <c r="B1156" s="1"/>
      <c r="C1156" s="1"/>
      <c r="D1156" s="404" t="s">
        <v>31</v>
      </c>
      <c r="E1156" s="1"/>
      <c r="F1156" s="1"/>
      <c r="G1156" s="404" t="s">
        <v>31</v>
      </c>
      <c r="H1156" s="1"/>
      <c r="I1156" s="2" t="s">
        <v>31</v>
      </c>
      <c r="J1156" s="2"/>
      <c r="K1156" s="404" t="s">
        <v>31</v>
      </c>
      <c r="L1156" s="1"/>
      <c r="M1156" s="2" t="s">
        <v>31</v>
      </c>
      <c r="N1156" s="2"/>
      <c r="O1156" s="404" t="s">
        <v>31</v>
      </c>
      <c r="P1156" s="1"/>
      <c r="Q1156" s="2" t="s">
        <v>31</v>
      </c>
      <c r="R1156" s="2"/>
      <c r="S1156" s="404" t="s">
        <v>31</v>
      </c>
      <c r="T1156" s="1"/>
      <c r="U1156" s="2" t="s">
        <v>31</v>
      </c>
      <c r="V1156" s="762" t="s">
        <v>257</v>
      </c>
      <c r="W1156" s="780">
        <f ca="1">W1155-I1155</f>
        <v>0.3991620471861097</v>
      </c>
      <c r="X1156" s="779" t="s">
        <v>31</v>
      </c>
      <c r="Y1156" s="22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1"/>
      <c r="B1157" s="1"/>
      <c r="C1157" s="1"/>
      <c r="D1157" s="404"/>
      <c r="E1157" s="1"/>
      <c r="F1157" s="1"/>
      <c r="G1157" s="404"/>
      <c r="H1157" s="1"/>
      <c r="I1157" s="2"/>
      <c r="J1157" s="2"/>
      <c r="K1157" s="404"/>
      <c r="L1157" s="1"/>
      <c r="M1157" s="2"/>
      <c r="N1157" s="2"/>
      <c r="O1157" s="404"/>
      <c r="P1157" s="1"/>
      <c r="Q1157" s="2"/>
      <c r="R1157" s="2"/>
      <c r="S1157" s="404"/>
      <c r="T1157" s="1"/>
      <c r="U1157" s="2"/>
      <c r="V1157" s="719"/>
      <c r="W1157" s="719"/>
      <c r="X1157" s="719"/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401"/>
      <c r="W1158" s="401"/>
      <c r="X1158" s="401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>
      <c r="A1159" s="278" t="s">
        <v>483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20"/>
      <c r="W1159" s="74"/>
      <c r="X1159" s="74"/>
      <c r="Y1159" s="74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1" t="s">
        <v>484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/>
      <c r="B1161" s="1"/>
      <c r="C1161" s="1"/>
      <c r="D1161" s="404"/>
      <c r="E1161" s="1"/>
      <c r="F1161" s="1"/>
      <c r="G1161" s="404"/>
      <c r="H1161" s="1"/>
      <c r="I1161" s="1"/>
      <c r="J1161" s="1"/>
      <c r="K1161" s="404"/>
      <c r="L1161" s="1"/>
      <c r="M1161" s="1"/>
      <c r="N1161" s="1"/>
      <c r="O1161" s="404"/>
      <c r="P1161" s="1"/>
      <c r="Q1161" s="1"/>
      <c r="R1161" s="1"/>
      <c r="S1161" s="404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 t="s">
        <v>478</v>
      </c>
      <c r="B1162" s="1"/>
      <c r="C1162" s="21"/>
      <c r="D1162" s="283"/>
      <c r="E1162" s="1"/>
      <c r="F1162" s="397">
        <f>F1176+F1204</f>
        <v>2258.3938334562231</v>
      </c>
      <c r="G1162" s="283"/>
      <c r="H1162" s="1"/>
      <c r="I1162" s="2">
        <f>I1176+I1204</f>
        <v>2258.3938334562231</v>
      </c>
      <c r="J1162" s="2"/>
      <c r="K1162" s="283"/>
      <c r="L1162" s="1"/>
      <c r="M1162" s="2">
        <f>M1176+M1204</f>
        <v>2258.3938334562231</v>
      </c>
      <c r="N1162" s="2"/>
      <c r="O1162" s="283"/>
      <c r="P1162" s="1"/>
      <c r="Q1162" s="2">
        <f>Q1176+Q1204</f>
        <v>0</v>
      </c>
      <c r="R1162" s="2"/>
      <c r="S1162" s="283"/>
      <c r="T1162" s="1"/>
      <c r="U1162" s="2">
        <f>U1176+U1204</f>
        <v>0</v>
      </c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600</v>
      </c>
      <c r="B1163" s="1"/>
      <c r="C1163" s="249">
        <f>C1192+C1205+C1206</f>
        <v>2331237.4144894434</v>
      </c>
      <c r="D1163" s="799" t="s">
        <v>31</v>
      </c>
      <c r="E1163" s="1" t="s">
        <v>31</v>
      </c>
      <c r="F1163" s="399">
        <f>F1192+F1206</f>
        <v>161462</v>
      </c>
      <c r="G1163" s="799" t="s">
        <v>31</v>
      </c>
      <c r="H1163" s="1" t="s">
        <v>31</v>
      </c>
      <c r="I1163" s="2">
        <f>I1192+I1206</f>
        <v>164236</v>
      </c>
      <c r="J1163" s="2"/>
      <c r="K1163" s="799" t="s">
        <v>31</v>
      </c>
      <c r="L1163" s="1" t="s">
        <v>31</v>
      </c>
      <c r="M1163" s="2" t="e">
        <f>M1192+M1206</f>
        <v>#DIV/0!</v>
      </c>
      <c r="N1163" s="2"/>
      <c r="O1163" s="799" t="s">
        <v>31</v>
      </c>
      <c r="P1163" s="1" t="s">
        <v>31</v>
      </c>
      <c r="Q1163" s="2" t="e">
        <f>Q1192+Q1206</f>
        <v>#DIV/0!</v>
      </c>
      <c r="R1163" s="2"/>
      <c r="S1163" s="799" t="s">
        <v>31</v>
      </c>
      <c r="T1163" s="1" t="s">
        <v>31</v>
      </c>
      <c r="U1163" s="2" t="e">
        <f>U1192+U1206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602</v>
      </c>
      <c r="B1164" s="1"/>
      <c r="C1164" s="249">
        <f>C1193</f>
        <v>2267439.2993954606</v>
      </c>
      <c r="D1164" s="409" t="s">
        <v>31</v>
      </c>
      <c r="E1164" s="1" t="s">
        <v>31</v>
      </c>
      <c r="F1164" s="2">
        <f>F1178+F1179+F1180+F1181+F1182+F1183+F1186+F1187+F1188+F1189+F1190</f>
        <v>157006.87577060485</v>
      </c>
      <c r="G1164" s="409" t="s">
        <v>31</v>
      </c>
      <c r="H1164" s="1" t="s">
        <v>31</v>
      </c>
      <c r="I1164" s="2">
        <f>I1178+I1179+I1180+I1181+I1182+I1183+I1186+I1187+I1188+I1189+I1190</f>
        <v>159739.89404560489</v>
      </c>
      <c r="J1164" s="2"/>
      <c r="K1164" s="409" t="s">
        <v>31</v>
      </c>
      <c r="L1164" s="1" t="s">
        <v>31</v>
      </c>
      <c r="M1164" s="2" t="e">
        <f>M1178+M1179+M1180+M1181+M1182+M1183+M1186+M1187+M1188+M1189+M1190</f>
        <v>#DIV/0!</v>
      </c>
      <c r="N1164" s="2"/>
      <c r="O1164" s="409" t="s">
        <v>31</v>
      </c>
      <c r="P1164" s="1" t="s">
        <v>31</v>
      </c>
      <c r="Q1164" s="2" t="e">
        <f>Q1178+Q1179+Q1180+Q1181+Q1182+Q1183+Q1186+Q1187+Q1188+Q1189+Q1190</f>
        <v>#DIV/0!</v>
      </c>
      <c r="R1164" s="2"/>
      <c r="S1164" s="409" t="s">
        <v>31</v>
      </c>
      <c r="T1164" s="1" t="s">
        <v>31</v>
      </c>
      <c r="U1164" s="2" t="e">
        <f>U1178+U1179+U1180+U1181+U1182+U1183+U1186+U1187+U1188+U1189+U1190</f>
        <v>#DIV/0!</v>
      </c>
      <c r="V1164" s="20"/>
      <c r="W1164" s="74"/>
      <c r="X1164" s="32" t="s">
        <v>31</v>
      </c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352</v>
      </c>
      <c r="B1165" s="1"/>
      <c r="C1165" s="249">
        <f>C1194+C1207</f>
        <v>81.416666666666671</v>
      </c>
      <c r="D1165" s="400"/>
      <c r="E1165" s="1"/>
      <c r="F1165" s="2"/>
      <c r="G1165" s="400"/>
      <c r="H1165" s="1"/>
      <c r="I1165" s="2"/>
      <c r="J1165" s="2"/>
      <c r="K1165" s="400"/>
      <c r="L1165" s="1"/>
      <c r="M1165" s="2"/>
      <c r="N1165" s="2"/>
      <c r="O1165" s="400"/>
      <c r="P1165" s="1"/>
      <c r="Q1165" s="2"/>
      <c r="R1165" s="2"/>
      <c r="S1165" s="400"/>
      <c r="T1165" s="1"/>
      <c r="U1165" s="2"/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 s="1118" customFormat="1" hidden="1">
      <c r="A1166" s="968" t="s">
        <v>891</v>
      </c>
      <c r="C1166" s="1122">
        <f>C1167</f>
        <v>4598676.713884904</v>
      </c>
      <c r="D1166" s="254">
        <v>0</v>
      </c>
      <c r="E1166" s="1119"/>
      <c r="F1166" s="1123"/>
      <c r="G1166" s="1128">
        <v>0</v>
      </c>
      <c r="H1166" s="1000" t="s">
        <v>364</v>
      </c>
      <c r="I1166" s="1000">
        <f>ROUND(G1166*$C1166/100,0)</f>
        <v>0</v>
      </c>
      <c r="J1166" s="1000"/>
      <c r="K1166" s="1128" t="s">
        <v>31</v>
      </c>
      <c r="L1166" s="1126" t="s">
        <v>31</v>
      </c>
      <c r="M1166" s="1123">
        <f>K1166*C1166</f>
        <v>0</v>
      </c>
      <c r="N1166" s="1123"/>
      <c r="O1166" s="1128" t="s">
        <v>31</v>
      </c>
      <c r="P1166" s="1126" t="s">
        <v>31</v>
      </c>
      <c r="Q1166" s="1123">
        <f>O1166*C1166</f>
        <v>0</v>
      </c>
      <c r="R1166" s="1123"/>
      <c r="S1166" s="1128">
        <f>G1166</f>
        <v>0</v>
      </c>
      <c r="T1166" s="1126" t="s">
        <v>364</v>
      </c>
      <c r="U1166" s="1123">
        <f>I1166</f>
        <v>0</v>
      </c>
      <c r="V1166" s="1130">
        <f>'NPC Spread'!J53</f>
        <v>105993.44624000302</v>
      </c>
      <c r="W1166" s="1137" t="s">
        <v>857</v>
      </c>
      <c r="Z1166" s="1125"/>
      <c r="AA1166" s="1125"/>
      <c r="AF1166" s="1119"/>
      <c r="AG1166" s="1119"/>
      <c r="AH1166" s="1119"/>
      <c r="AI1166" s="1119"/>
      <c r="AJ1166" s="1119"/>
      <c r="AK1166" s="1119"/>
      <c r="AL1166" s="1119"/>
      <c r="AM1166" s="1119"/>
      <c r="AN1166" s="1119"/>
      <c r="AO1166" s="1119"/>
      <c r="AP1166" s="1119"/>
      <c r="AR1166" s="1124"/>
    </row>
    <row r="1167" spans="1:44">
      <c r="A1167" s="3" t="s">
        <v>481</v>
      </c>
      <c r="C1167" s="249">
        <f>C1197+C1209</f>
        <v>4598676.713884904</v>
      </c>
      <c r="D1167" s="254"/>
      <c r="E1167" s="20"/>
      <c r="F1167" s="257">
        <f>F1197+F1209</f>
        <v>320727.26960406103</v>
      </c>
      <c r="G1167" s="254"/>
      <c r="H1167" s="20"/>
      <c r="I1167" s="257">
        <f>I1197+I1209</f>
        <v>326234.28787906107</v>
      </c>
      <c r="J1167" s="257"/>
      <c r="K1167" s="254"/>
      <c r="L1167" s="20"/>
      <c r="M1167" s="257" t="e">
        <f>M1197+M1209</f>
        <v>#DIV/0!</v>
      </c>
      <c r="N1167" s="257"/>
      <c r="O1167" s="254"/>
      <c r="P1167" s="20"/>
      <c r="Q1167" s="257" t="e">
        <f>Q1197+Q1209</f>
        <v>#DIV/0!</v>
      </c>
      <c r="R1167" s="257"/>
      <c r="S1167" s="254"/>
      <c r="T1167" s="20"/>
      <c r="U1167" s="257" t="e">
        <f>U1197+U1209</f>
        <v>#DIV/0!</v>
      </c>
      <c r="X1167" s="74"/>
      <c r="Y1167" s="74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3" t="s">
        <v>482</v>
      </c>
      <c r="C1168" s="249">
        <f ca="1">C1198+C1210</f>
        <v>58236.455278948066</v>
      </c>
      <c r="D1168" s="254"/>
      <c r="E1168" s="20"/>
      <c r="F1168" s="257">
        <f>F1198+F1210</f>
        <v>5063.9173543015222</v>
      </c>
      <c r="G1168" s="254"/>
      <c r="H1168" s="20"/>
      <c r="I1168" s="257">
        <f>F1168</f>
        <v>5063.9173543015222</v>
      </c>
      <c r="J1168" s="257"/>
      <c r="K1168" s="254"/>
      <c r="L1168" s="20"/>
      <c r="M1168" s="257" t="e">
        <f>M1198+M1210</f>
        <v>#DIV/0!</v>
      </c>
      <c r="N1168" s="257"/>
      <c r="O1168" s="254"/>
      <c r="P1168" s="20"/>
      <c r="Q1168" s="257" t="e">
        <f>Q1198+Q1210</f>
        <v>#DIV/0!</v>
      </c>
      <c r="R1168" s="257"/>
      <c r="S1168" s="254"/>
      <c r="T1168" s="20"/>
      <c r="U1168" s="257" t="e">
        <f>U1198+U1210</f>
        <v>#DIV/0!</v>
      </c>
      <c r="V1168" s="274"/>
      <c r="W1168" s="275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 ht="16.5" thickBot="1">
      <c r="A1169" s="1" t="s">
        <v>9</v>
      </c>
      <c r="B1169" s="1"/>
      <c r="C1169" s="378">
        <f ca="1">C1167+C1168</f>
        <v>4656913.169163852</v>
      </c>
      <c r="D1169" s="962"/>
      <c r="E1169" s="330"/>
      <c r="F1169" s="259">
        <f>F1167+F1168</f>
        <v>325791.18695836258</v>
      </c>
      <c r="G1169" s="962"/>
      <c r="H1169" s="330"/>
      <c r="I1169" s="259">
        <f>I1167+I1168</f>
        <v>331298.20523336262</v>
      </c>
      <c r="J1169" s="297"/>
      <c r="K1169" s="962"/>
      <c r="L1169" s="330"/>
      <c r="M1169" s="259" t="e">
        <f>M1167+M1168</f>
        <v>#DIV/0!</v>
      </c>
      <c r="N1169" s="297"/>
      <c r="O1169" s="962"/>
      <c r="P1169" s="330"/>
      <c r="Q1169" s="259" t="e">
        <f>Q1167+Q1168</f>
        <v>#DIV/0!</v>
      </c>
      <c r="R1169" s="297"/>
      <c r="S1169" s="962"/>
      <c r="T1169" s="330"/>
      <c r="U1169" s="259" t="e">
        <f>U1167+U1168</f>
        <v>#DIV/0!</v>
      </c>
      <c r="V1169" s="761" t="s">
        <v>399</v>
      </c>
      <c r="W1169" s="778">
        <f ca="1">'Rate Spread targets'!Q40*1000</f>
        <v>331310.56160966394</v>
      </c>
      <c r="X1169" s="1440">
        <f>(I1169-F1169)/F1169</f>
        <v>1.6903521321170231E-2</v>
      </c>
      <c r="Y1169" s="796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Top="1">
      <c r="A1170" s="1"/>
      <c r="B1170" s="1"/>
      <c r="C1170" s="26"/>
      <c r="D1170" s="407"/>
      <c r="E1170" s="23"/>
      <c r="F1170" s="51"/>
      <c r="G1170" s="407"/>
      <c r="H1170" s="23"/>
      <c r="I1170" s="51"/>
      <c r="J1170" s="51"/>
      <c r="K1170" s="407"/>
      <c r="L1170" s="23"/>
      <c r="M1170" s="51"/>
      <c r="N1170" s="51"/>
      <c r="O1170" s="407"/>
      <c r="P1170" s="23"/>
      <c r="Q1170" s="51"/>
      <c r="R1170" s="51"/>
      <c r="S1170" s="407"/>
      <c r="T1170" s="23"/>
      <c r="U1170" s="51"/>
      <c r="V1170" s="762" t="s">
        <v>257</v>
      </c>
      <c r="W1170" s="780">
        <f ca="1">W1169-I1169</f>
        <v>12.356376301322598</v>
      </c>
      <c r="X1170" s="758"/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>
      <c r="A1171" s="1"/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719"/>
      <c r="W1171" s="719"/>
      <c r="X1171" s="719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 t="s">
        <v>31</v>
      </c>
      <c r="E1172" s="23"/>
      <c r="F1172" s="51"/>
      <c r="G1172" s="407" t="s">
        <v>31</v>
      </c>
      <c r="H1172" s="23"/>
      <c r="I1172" s="51" t="s">
        <v>31</v>
      </c>
      <c r="J1172" s="51"/>
      <c r="K1172" s="407" t="s">
        <v>31</v>
      </c>
      <c r="L1172" s="23"/>
      <c r="M1172" s="51" t="s">
        <v>31</v>
      </c>
      <c r="N1172" s="51"/>
      <c r="O1172" s="407" t="s">
        <v>31</v>
      </c>
      <c r="P1172" s="23"/>
      <c r="Q1172" s="51" t="s">
        <v>31</v>
      </c>
      <c r="R1172" s="51"/>
      <c r="S1172" s="407" t="s">
        <v>31</v>
      </c>
      <c r="T1172" s="23"/>
      <c r="U1172" s="51" t="s">
        <v>31</v>
      </c>
      <c r="V1172" s="401"/>
      <c r="W1172" s="401"/>
      <c r="X1172" s="401"/>
      <c r="Y1172" s="74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>
      <c r="A1173" s="278" t="s">
        <v>487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401"/>
      <c r="W1173" s="74"/>
      <c r="X1173" s="74"/>
      <c r="Y1173" s="74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>
      <c r="A1174" s="1" t="s">
        <v>488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20"/>
      <c r="W1174" s="74"/>
      <c r="X1174" s="74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1"/>
      <c r="B1175" s="1"/>
      <c r="C1175" s="1"/>
      <c r="D1175" s="404"/>
      <c r="E1175" s="1"/>
      <c r="F1175" s="1"/>
      <c r="G1175" s="404"/>
      <c r="H1175" s="1"/>
      <c r="I1175" s="1"/>
      <c r="J1175" s="1"/>
      <c r="K1175" s="404"/>
      <c r="L1175" s="1"/>
      <c r="M1175" s="1"/>
      <c r="N1175" s="1"/>
      <c r="O1175" s="404"/>
      <c r="P1175" s="1"/>
      <c r="Q1175" s="1"/>
      <c r="R1175" s="1"/>
      <c r="S1175" s="404"/>
      <c r="T1175" s="1"/>
      <c r="U1175" s="1"/>
      <c r="V1175" s="20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478</v>
      </c>
      <c r="B1176" s="1"/>
      <c r="C1176" s="21"/>
      <c r="D1176" s="283"/>
      <c r="E1176" s="1"/>
      <c r="F1176" s="397">
        <v>2258.3938334562231</v>
      </c>
      <c r="G1176" s="283"/>
      <c r="H1176" s="1"/>
      <c r="I1176" s="2">
        <f>F1176</f>
        <v>2258.3938334562231</v>
      </c>
      <c r="J1176" s="2"/>
      <c r="K1176" s="283"/>
      <c r="L1176" s="1"/>
      <c r="M1176" s="2">
        <f>I1176</f>
        <v>2258.3938334562231</v>
      </c>
      <c r="N1176" s="2"/>
      <c r="O1176" s="283"/>
      <c r="P1176" s="1"/>
      <c r="Q1176" s="2" t="s">
        <v>31</v>
      </c>
      <c r="R1176" s="2"/>
      <c r="S1176" s="283"/>
      <c r="T1176" s="1"/>
      <c r="U1176" s="2" t="str">
        <f>Q1176</f>
        <v xml:space="preserve"> </v>
      </c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 t="s">
        <v>576</v>
      </c>
      <c r="B1177" s="1"/>
      <c r="C1177" s="21"/>
      <c r="D1177" s="283"/>
      <c r="E1177" s="1"/>
      <c r="F1177" s="397"/>
      <c r="G1177" s="283"/>
      <c r="H1177" s="1"/>
      <c r="I1177" s="2"/>
      <c r="J1177" s="2"/>
      <c r="K1177" s="283"/>
      <c r="L1177" s="1"/>
      <c r="M1177" s="2"/>
      <c r="N1177" s="2"/>
      <c r="O1177" s="283"/>
      <c r="P1177" s="1"/>
      <c r="Q1177" s="2"/>
      <c r="R1177" s="2"/>
      <c r="S1177" s="283"/>
      <c r="T1177" s="1"/>
      <c r="U1177" s="2"/>
      <c r="V1177" s="20"/>
      <c r="Z1177" s="443" t="s">
        <v>31</v>
      </c>
      <c r="AA1177" s="74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3" t="s">
        <v>589</v>
      </c>
      <c r="B1178" s="1"/>
      <c r="C1178" s="21">
        <v>4296.0202493777233</v>
      </c>
      <c r="D1178" s="283">
        <v>2.15</v>
      </c>
      <c r="E1178" s="1"/>
      <c r="F1178" s="397">
        <f t="shared" ref="F1178:F1183" si="217">C1178*D1178</f>
        <v>9236.4435361621054</v>
      </c>
      <c r="G1178" s="283">
        <f t="shared" ref="G1178:G1183" si="218">ROUND(Z1178*$G$1192/100,2)</f>
        <v>2.1800000000000002</v>
      </c>
      <c r="H1178" s="1"/>
      <c r="I1178" s="2">
        <f t="shared" ref="I1178:I1183" si="219">G1178*$C1178</f>
        <v>9365.3241436434382</v>
      </c>
      <c r="J1178" s="2"/>
      <c r="K1178" s="283" t="e">
        <f t="shared" ref="K1178:K1183" si="220">ROUND(M1178/C1178,2)</f>
        <v>#DIV/0!</v>
      </c>
      <c r="L1178" s="1"/>
      <c r="M1178" s="2" t="e">
        <f>($V$1201-$M$1176-$M$1192-$M$1195-$M$1198)*(I1178/($I$1178+$I$1179+$I$1180+$I$1181+$I$1182+$I$1183+$I$1186+$I$1187+$I$1188+$I$1189+$I$1190))</f>
        <v>#DIV/0!</v>
      </c>
      <c r="N1178" s="2"/>
      <c r="O1178" s="283" t="e">
        <f t="shared" ref="O1178:O1183" si="221">ROUND(Q1178/C1178,2)</f>
        <v>#DIV/0!</v>
      </c>
      <c r="P1178" s="1"/>
      <c r="Q1178" s="2" t="e">
        <f>($W$1201-$Q$1176-$Q$1192-$Q$1195-$Q$1198)*(I1178/($I$1178+$I$1179+$I$1180+$I$1181+$I$1182+$I$1183+$I$1186+$I$1187+$I$1188+$I$1189+$I$1190))</f>
        <v>#DIV/0!</v>
      </c>
      <c r="R1178" s="2"/>
      <c r="S1178" s="283" t="e">
        <f>ROUND(U1178/C1178,2)</f>
        <v>#DIV/0!</v>
      </c>
      <c r="T1178" s="1"/>
      <c r="U1178" s="2" t="e">
        <f>($X$1201-$U$1176-$U$1192-$U$1195-$U$1198)*(I1178/($I$1178+$I$1179+$I$1180+$I$1181+$I$1182+$I$1183+$I$1186+$I$1187+$I$1188+$I$1189+$I$1190))</f>
        <v>#DIV/0!</v>
      </c>
      <c r="V1178" s="20"/>
      <c r="Z1178" s="74">
        <v>31</v>
      </c>
      <c r="AA1178" s="1439" t="s">
        <v>31</v>
      </c>
      <c r="AB1178" s="20"/>
      <c r="AC1178" s="20"/>
      <c r="AD1178" s="7" t="s">
        <v>31</v>
      </c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3" t="s">
        <v>590</v>
      </c>
      <c r="B1179" s="1"/>
      <c r="C1179" s="21">
        <v>8160.0336742749596</v>
      </c>
      <c r="D1179" s="283">
        <v>3.04</v>
      </c>
      <c r="E1179" s="1"/>
      <c r="F1179" s="397">
        <f t="shared" si="217"/>
        <v>24806.502369795879</v>
      </c>
      <c r="G1179" s="283">
        <f t="shared" si="218"/>
        <v>3.1</v>
      </c>
      <c r="H1179" s="1"/>
      <c r="I1179" s="2">
        <f t="shared" si="219"/>
        <v>25296.104390252374</v>
      </c>
      <c r="J1179" s="2"/>
      <c r="K1179" s="283" t="e">
        <f t="shared" si="220"/>
        <v>#DIV/0!</v>
      </c>
      <c r="L1179" s="1"/>
      <c r="M1179" s="2" t="e">
        <f t="shared" ref="M1179:M1183" si="222">($V$1201-$M$1176-$M$1192-$M$1195-$M$1198)*(I1179/($I$1178+$I$1179+$I$1180+$I$1181+$I$1182+$I$1183+$I$1186+$I$1187+$I$1188+$I$1189+$I$1190))</f>
        <v>#DIV/0!</v>
      </c>
      <c r="N1179" s="2"/>
      <c r="O1179" s="283" t="e">
        <f t="shared" si="221"/>
        <v>#DIV/0!</v>
      </c>
      <c r="P1179" s="1"/>
      <c r="Q1179" s="2" t="e">
        <f t="shared" ref="Q1179:Q1183" si="223">($W$1201-$Q$1176-$Q$1192-$Q$1195-$Q$1198)*(I1179/($I$1178+$I$1179+$I$1180+$I$1181+$I$1182+$I$1183+$I$1186+$I$1187+$I$1188+$I$1189+$I$1190))</f>
        <v>#DIV/0!</v>
      </c>
      <c r="R1179" s="2"/>
      <c r="S1179" s="283" t="e">
        <f>ROUND(U1179/C1179,2)</f>
        <v>#DIV/0!</v>
      </c>
      <c r="T1179" s="1"/>
      <c r="U1179" s="2" t="e">
        <f t="shared" ref="U1179:U1183" si="224">($X$1201-$U$1176-$U$1192-$U$1195-$U$1198)*(I1179/($I$1178+$I$1179+$I$1180+$I$1181+$I$1182+$I$1183+$I$1186+$I$1187+$I$1188+$I$1189+$I$1190))</f>
        <v>#DIV/0!</v>
      </c>
      <c r="V1179" s="20"/>
      <c r="Z1179" s="74">
        <v>44</v>
      </c>
      <c r="AA1179" s="1439" t="s">
        <v>31</v>
      </c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591</v>
      </c>
      <c r="B1180" s="1"/>
      <c r="C1180" s="21">
        <v>60.009361129530397</v>
      </c>
      <c r="D1180" s="283">
        <v>4.42</v>
      </c>
      <c r="E1180" s="1"/>
      <c r="F1180" s="397">
        <f t="shared" si="217"/>
        <v>265.24137619252434</v>
      </c>
      <c r="G1180" s="283">
        <f t="shared" si="218"/>
        <v>4.51</v>
      </c>
      <c r="H1180" s="1"/>
      <c r="I1180" s="2">
        <f t="shared" si="219"/>
        <v>270.64221869418208</v>
      </c>
      <c r="J1180" s="2"/>
      <c r="K1180" s="283" t="e">
        <f t="shared" si="220"/>
        <v>#DIV/0!</v>
      </c>
      <c r="L1180" s="1"/>
      <c r="M1180" s="2" t="e">
        <f t="shared" si="222"/>
        <v>#DIV/0!</v>
      </c>
      <c r="N1180" s="2"/>
      <c r="O1180" s="283" t="e">
        <f t="shared" si="221"/>
        <v>#DIV/0!</v>
      </c>
      <c r="P1180" s="1"/>
      <c r="Q1180" s="2" t="e">
        <f t="shared" si="223"/>
        <v>#DIV/0!</v>
      </c>
      <c r="R1180" s="2"/>
      <c r="S1180" s="283" t="e">
        <f>ROUND(U1180/C1180,2)</f>
        <v>#DIV/0!</v>
      </c>
      <c r="T1180" s="1"/>
      <c r="U1180" s="2" t="e">
        <f t="shared" si="224"/>
        <v>#DIV/0!</v>
      </c>
      <c r="V1180" s="20"/>
      <c r="Z1180" s="74">
        <v>64</v>
      </c>
      <c r="AA1180" s="1439" t="s">
        <v>31</v>
      </c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592</v>
      </c>
      <c r="B1181" s="1"/>
      <c r="C1181" s="21">
        <v>11666.5444855351</v>
      </c>
      <c r="D1181" s="283">
        <v>5.89</v>
      </c>
      <c r="E1181" s="1"/>
      <c r="F1181" s="397">
        <f t="shared" si="217"/>
        <v>68715.947019801737</v>
      </c>
      <c r="G1181" s="283">
        <f t="shared" si="218"/>
        <v>5.99</v>
      </c>
      <c r="H1181" s="1"/>
      <c r="I1181" s="2">
        <f t="shared" si="219"/>
        <v>69882.601468355249</v>
      </c>
      <c r="J1181" s="2"/>
      <c r="K1181" s="283" t="e">
        <f t="shared" si="220"/>
        <v>#DIV/0!</v>
      </c>
      <c r="L1181" s="1"/>
      <c r="M1181" s="2" t="e">
        <f t="shared" si="222"/>
        <v>#DIV/0!</v>
      </c>
      <c r="N1181" s="2"/>
      <c r="O1181" s="283" t="e">
        <f t="shared" si="221"/>
        <v>#DIV/0!</v>
      </c>
      <c r="P1181" s="1"/>
      <c r="Q1181" s="2" t="e">
        <f t="shared" si="223"/>
        <v>#DIV/0!</v>
      </c>
      <c r="R1181" s="2"/>
      <c r="S1181" s="283" t="e">
        <f>ROUND(U1181/C1181,2)</f>
        <v>#DIV/0!</v>
      </c>
      <c r="T1181" s="1"/>
      <c r="U1181" s="2" t="e">
        <f t="shared" si="224"/>
        <v>#DIV/0!</v>
      </c>
      <c r="V1181" s="20"/>
      <c r="Z1181" s="74">
        <v>85</v>
      </c>
      <c r="AA1181" s="1439" t="s">
        <v>31</v>
      </c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593</v>
      </c>
      <c r="B1182" s="1"/>
      <c r="C1182" s="21">
        <v>4355.9951802476999</v>
      </c>
      <c r="D1182" s="283">
        <v>7.96</v>
      </c>
      <c r="E1182" s="1"/>
      <c r="F1182" s="397">
        <f t="shared" si="217"/>
        <v>34673.721634771689</v>
      </c>
      <c r="G1182" s="283">
        <f t="shared" si="218"/>
        <v>8.1</v>
      </c>
      <c r="H1182" s="1"/>
      <c r="I1182" s="2">
        <f t="shared" si="219"/>
        <v>35283.560960006369</v>
      </c>
      <c r="J1182" s="2"/>
      <c r="K1182" s="283" t="e">
        <f t="shared" si="220"/>
        <v>#DIV/0!</v>
      </c>
      <c r="L1182" s="1"/>
      <c r="M1182" s="2" t="e">
        <f t="shared" si="222"/>
        <v>#DIV/0!</v>
      </c>
      <c r="N1182" s="2"/>
      <c r="O1182" s="283" t="e">
        <f t="shared" si="221"/>
        <v>#DIV/0!</v>
      </c>
      <c r="P1182" s="1"/>
      <c r="Q1182" s="2" t="e">
        <f t="shared" si="223"/>
        <v>#DIV/0!</v>
      </c>
      <c r="R1182" s="2"/>
      <c r="S1182" s="283" t="e">
        <f>ROUND(U1182/C1182,2)+0.01</f>
        <v>#DIV/0!</v>
      </c>
      <c r="T1182" s="1"/>
      <c r="U1182" s="2" t="e">
        <f t="shared" si="224"/>
        <v>#DIV/0!</v>
      </c>
      <c r="V1182" s="20"/>
      <c r="Z1182" s="74">
        <v>115</v>
      </c>
      <c r="AA1182" s="1439" t="s">
        <v>31</v>
      </c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594</v>
      </c>
      <c r="B1183" s="1"/>
      <c r="C1183" s="21">
        <v>1584.0049084397799</v>
      </c>
      <c r="D1183" s="283">
        <v>12.19</v>
      </c>
      <c r="E1183" s="1"/>
      <c r="F1183" s="397">
        <f t="shared" si="217"/>
        <v>19309.019833880917</v>
      </c>
      <c r="G1183" s="283">
        <f t="shared" si="218"/>
        <v>12.4</v>
      </c>
      <c r="H1183" s="1"/>
      <c r="I1183" s="2">
        <f t="shared" si="219"/>
        <v>19641.660864653273</v>
      </c>
      <c r="J1183" s="2"/>
      <c r="K1183" s="283" t="e">
        <f t="shared" si="220"/>
        <v>#DIV/0!</v>
      </c>
      <c r="L1183" s="1"/>
      <c r="M1183" s="2" t="e">
        <f t="shared" si="222"/>
        <v>#DIV/0!</v>
      </c>
      <c r="N1183" s="2"/>
      <c r="O1183" s="283" t="e">
        <f t="shared" si="221"/>
        <v>#DIV/0!</v>
      </c>
      <c r="P1183" s="1"/>
      <c r="Q1183" s="2" t="e">
        <f t="shared" si="223"/>
        <v>#DIV/0!</v>
      </c>
      <c r="R1183" s="2"/>
      <c r="S1183" s="283" t="e">
        <f>ROUND(U1183/C1183,2)-0.01</f>
        <v>#DIV/0!</v>
      </c>
      <c r="T1183" s="1"/>
      <c r="U1183" s="2" t="e">
        <f t="shared" si="224"/>
        <v>#DIV/0!</v>
      </c>
      <c r="X1183" s="796" t="s">
        <v>31</v>
      </c>
      <c r="Y1183" s="751"/>
      <c r="Z1183" s="74">
        <v>176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B1184" s="1"/>
      <c r="C1184" s="21"/>
      <c r="D1184" s="283"/>
      <c r="E1184" s="1"/>
      <c r="F1184" s="397"/>
      <c r="G1184" s="283"/>
      <c r="H1184" s="1"/>
      <c r="I1184" s="2"/>
      <c r="J1184" s="2"/>
      <c r="K1184" s="283"/>
      <c r="L1184" s="1"/>
      <c r="M1184" s="2"/>
      <c r="N1184" s="2"/>
      <c r="O1184" s="283"/>
      <c r="P1184" s="1"/>
      <c r="Q1184" s="2"/>
      <c r="R1184" s="2"/>
      <c r="S1184" s="283"/>
      <c r="T1184" s="1"/>
      <c r="U1184" s="2"/>
      <c r="V1184" s="20"/>
      <c r="W1184" s="88" t="s">
        <v>74</v>
      </c>
      <c r="Z1184" s="74"/>
      <c r="AA1184" s="74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577</v>
      </c>
      <c r="B1185" s="1"/>
      <c r="C1185" s="21"/>
      <c r="D1185" s="283" t="s">
        <v>31</v>
      </c>
      <c r="E1185" s="1"/>
      <c r="F1185" s="397"/>
      <c r="G1185" s="283" t="s">
        <v>31</v>
      </c>
      <c r="H1185" s="1"/>
      <c r="I1185" s="2"/>
      <c r="J1185" s="2"/>
      <c r="K1185" s="283" t="s">
        <v>31</v>
      </c>
      <c r="L1185" s="1"/>
      <c r="M1185" s="2"/>
      <c r="N1185" s="2"/>
      <c r="O1185" s="283" t="s">
        <v>31</v>
      </c>
      <c r="P1185" s="1"/>
      <c r="Q1185" s="2"/>
      <c r="R1185" s="2"/>
      <c r="S1185" s="283" t="s">
        <v>31</v>
      </c>
      <c r="T1185" s="1"/>
      <c r="U1185" s="2"/>
      <c r="V1185" s="20"/>
      <c r="Z1185" s="74"/>
      <c r="AA1185" s="74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595</v>
      </c>
      <c r="B1186" s="1"/>
      <c r="C1186" s="21">
        <v>0</v>
      </c>
      <c r="D1186" s="283">
        <v>2.71</v>
      </c>
      <c r="E1186" s="1"/>
      <c r="F1186" s="397">
        <f>C1186*D1186</f>
        <v>0</v>
      </c>
      <c r="G1186" s="283">
        <f>ROUND(Z1186*$G$1192/100,2)</f>
        <v>2.75</v>
      </c>
      <c r="H1186" s="1"/>
      <c r="I1186" s="2">
        <f>G1186*$C1186</f>
        <v>0</v>
      </c>
      <c r="J1186" s="2"/>
      <c r="K1186" s="283" t="e">
        <f>ROUND(SUM($M$1178:$M$1183)/SUM($I$1178:$I$1183)*G1186,2)</f>
        <v>#DIV/0!</v>
      </c>
      <c r="L1186" s="1"/>
      <c r="M1186" s="2" t="e">
        <f t="shared" ref="M1186:M1190" si="225">(V1209-$M$1176-$M$1195-$M$1198)*(I1186/($I$1178+$I$1179+$I$1180+$I$1181+$I$1182+$I$1183+$I$1186+$I$1187+$I$1188+$I$1189+$I$1190))</f>
        <v>#DIV/0!</v>
      </c>
      <c r="N1186" s="2"/>
      <c r="O1186" s="283" t="e">
        <f>ROUND(SUM($Q$1178:$Q$1183)/SUM($I$1178:$I$1183)*G1186,2)</f>
        <v>#DIV/0!</v>
      </c>
      <c r="P1186" s="1"/>
      <c r="Q1186" s="2" t="e">
        <f t="shared" ref="Q1186:Q1190" si="226">($W$1201-$Q$1176-$Q$1192-$Q$1195-$Q$1198)*(I1186/($I$1178+$I$1179+$I$1180+$I$1181+$I$1182+$I$1183+$I$1186+$I$1187+$I$1188+$I$1189+$I$1190))</f>
        <v>#DIV/0!</v>
      </c>
      <c r="R1186" s="2"/>
      <c r="S1186" s="283" t="e">
        <f>ROUND(SUM($U$1178:$U$1183)/SUM($I$1178:$I$1183)*G1186,2)</f>
        <v>#DIV/0!</v>
      </c>
      <c r="T1186" s="1"/>
      <c r="U1186" s="2" t="e">
        <f t="shared" ref="U1186:U1190" si="227">($X$1201-$U$1176-$U$1192-$U$1195-$U$1198)*(I1186/($I$1178+$I$1179+$I$1180+$I$1181+$I$1182+$I$1183+$I$1186+$I$1187+$I$1188+$I$1189+$I$1190))</f>
        <v>#DIV/0!</v>
      </c>
      <c r="V1186" s="20"/>
      <c r="Z1186" s="74">
        <v>39</v>
      </c>
      <c r="AA1186" s="1439" t="s">
        <v>31</v>
      </c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596</v>
      </c>
      <c r="B1187" s="1"/>
      <c r="C1187" s="21">
        <v>0</v>
      </c>
      <c r="D1187" s="283">
        <v>4.71</v>
      </c>
      <c r="E1187" s="1"/>
      <c r="F1187" s="397">
        <f>C1187*D1187</f>
        <v>0</v>
      </c>
      <c r="G1187" s="283">
        <f>ROUND(Z1187*$G$1192/100,2)</f>
        <v>4.79</v>
      </c>
      <c r="H1187" s="1"/>
      <c r="I1187" s="2">
        <f>G1187*$C1187</f>
        <v>0</v>
      </c>
      <c r="J1187" s="2"/>
      <c r="K1187" s="283" t="e">
        <f t="shared" ref="K1187:K1190" si="228">ROUND(SUM($M$1178:$M$1183)/SUM($I$1178:$I$1183)*G1187,2)</f>
        <v>#DIV/0!</v>
      </c>
      <c r="L1187" s="1"/>
      <c r="M1187" s="2" t="e">
        <f t="shared" si="225"/>
        <v>#DIV/0!</v>
      </c>
      <c r="N1187" s="2"/>
      <c r="O1187" s="283" t="e">
        <f t="shared" ref="O1187:O1190" si="229">ROUND(SUM($Q$1178:$Q$1183)/SUM($I$1178:$I$1183)*G1187,2)</f>
        <v>#DIV/0!</v>
      </c>
      <c r="P1187" s="1"/>
      <c r="Q1187" s="2" t="e">
        <f t="shared" si="226"/>
        <v>#DIV/0!</v>
      </c>
      <c r="R1187" s="2"/>
      <c r="S1187" s="283" t="e">
        <f t="shared" ref="S1187:S1190" si="230">ROUND(SUM($U$1178:$U$1183)/SUM($I$1178:$I$1183)*G1187,2)</f>
        <v>#DIV/0!</v>
      </c>
      <c r="T1187" s="1"/>
      <c r="U1187" s="2" t="e">
        <f t="shared" si="227"/>
        <v>#DIV/0!</v>
      </c>
      <c r="V1187" s="20"/>
      <c r="Z1187" s="74">
        <v>68</v>
      </c>
      <c r="AA1187" s="1439" t="s">
        <v>31</v>
      </c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597</v>
      </c>
      <c r="B1188" s="1"/>
      <c r="C1188" s="21">
        <v>0</v>
      </c>
      <c r="D1188" s="283">
        <v>6.52</v>
      </c>
      <c r="E1188" s="1"/>
      <c r="F1188" s="397">
        <f>C1188*D1188</f>
        <v>0</v>
      </c>
      <c r="G1188" s="283">
        <f>ROUND(Z1188*$G$1192/100,2)</f>
        <v>6.62</v>
      </c>
      <c r="H1188" s="1"/>
      <c r="I1188" s="2">
        <f>G1188*$C1188</f>
        <v>0</v>
      </c>
      <c r="J1188" s="2"/>
      <c r="K1188" s="283" t="e">
        <f t="shared" si="228"/>
        <v>#DIV/0!</v>
      </c>
      <c r="L1188" s="1"/>
      <c r="M1188" s="2" t="e">
        <f t="shared" si="225"/>
        <v>#DIV/0!</v>
      </c>
      <c r="N1188" s="2"/>
      <c r="O1188" s="283" t="e">
        <f t="shared" si="229"/>
        <v>#DIV/0!</v>
      </c>
      <c r="P1188" s="1"/>
      <c r="Q1188" s="2" t="e">
        <f t="shared" si="226"/>
        <v>#DIV/0!</v>
      </c>
      <c r="R1188" s="2"/>
      <c r="S1188" s="283" t="e">
        <f t="shared" si="230"/>
        <v>#DIV/0!</v>
      </c>
      <c r="T1188" s="1"/>
      <c r="U1188" s="2" t="e">
        <f t="shared" si="227"/>
        <v>#DIV/0!</v>
      </c>
      <c r="V1188" s="20" t="s">
        <v>31</v>
      </c>
      <c r="Z1188" s="74">
        <v>94</v>
      </c>
      <c r="AA1188" s="1439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598</v>
      </c>
      <c r="B1189" s="1"/>
      <c r="C1189" s="21">
        <v>0</v>
      </c>
      <c r="D1189" s="283">
        <v>10.32</v>
      </c>
      <c r="E1189" s="1"/>
      <c r="F1189" s="397">
        <f>C1189*D1189</f>
        <v>0</v>
      </c>
      <c r="G1189" s="283">
        <f>ROUND(Z1189*$G$1192/100,2)</f>
        <v>10.5</v>
      </c>
      <c r="H1189" s="1"/>
      <c r="I1189" s="2">
        <f>G1189*$C1189</f>
        <v>0</v>
      </c>
      <c r="J1189" s="2"/>
      <c r="K1189" s="283" t="e">
        <f t="shared" si="228"/>
        <v>#DIV/0!</v>
      </c>
      <c r="L1189" s="1"/>
      <c r="M1189" s="2" t="e">
        <f t="shared" si="225"/>
        <v>#DIV/0!</v>
      </c>
      <c r="N1189" s="2"/>
      <c r="O1189" s="283" t="e">
        <f t="shared" si="229"/>
        <v>#DIV/0!</v>
      </c>
      <c r="P1189" s="1"/>
      <c r="Q1189" s="2" t="e">
        <f t="shared" si="226"/>
        <v>#DIV/0!</v>
      </c>
      <c r="R1189" s="2"/>
      <c r="S1189" s="283" t="e">
        <f t="shared" si="230"/>
        <v>#DIV/0!</v>
      </c>
      <c r="T1189" s="1"/>
      <c r="U1189" s="2" t="e">
        <f t="shared" si="227"/>
        <v>#DIV/0!</v>
      </c>
      <c r="V1189" s="20"/>
      <c r="Z1189" s="74">
        <v>149</v>
      </c>
      <c r="AA1189" s="1439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599</v>
      </c>
      <c r="B1190" s="1"/>
      <c r="C1190" s="21">
        <v>0</v>
      </c>
      <c r="D1190" s="283">
        <v>24.52</v>
      </c>
      <c r="E1190" s="1"/>
      <c r="F1190" s="397">
        <f>C1190*D1190</f>
        <v>0</v>
      </c>
      <c r="G1190" s="283">
        <f>ROUND(Z1190*$G$1192/100,2)</f>
        <v>24.94</v>
      </c>
      <c r="H1190" s="1"/>
      <c r="I1190" s="2">
        <f>G1190*$C1190</f>
        <v>0</v>
      </c>
      <c r="J1190" s="2"/>
      <c r="K1190" s="283" t="e">
        <f t="shared" si="228"/>
        <v>#DIV/0!</v>
      </c>
      <c r="L1190" s="1"/>
      <c r="M1190" s="2" t="e">
        <f t="shared" si="225"/>
        <v>#DIV/0!</v>
      </c>
      <c r="N1190" s="2"/>
      <c r="O1190" s="283" t="e">
        <f t="shared" si="229"/>
        <v>#DIV/0!</v>
      </c>
      <c r="P1190" s="1"/>
      <c r="Q1190" s="2" t="e">
        <f t="shared" si="226"/>
        <v>#DIV/0!</v>
      </c>
      <c r="R1190" s="2"/>
      <c r="S1190" s="283" t="e">
        <f t="shared" si="230"/>
        <v>#DIV/0!</v>
      </c>
      <c r="T1190" s="1"/>
      <c r="U1190" s="2" t="e">
        <f t="shared" si="227"/>
        <v>#DIV/0!</v>
      </c>
      <c r="V1190" s="20"/>
      <c r="Z1190" s="74">
        <v>354</v>
      </c>
      <c r="AA1190" s="1439" t="s">
        <v>31</v>
      </c>
      <c r="AB1190" s="20" t="s">
        <v>31</v>
      </c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1"/>
      <c r="B1191" s="1"/>
      <c r="C1191" s="21"/>
      <c r="D1191" s="283"/>
      <c r="E1191" s="1"/>
      <c r="F1191" s="397"/>
      <c r="G1191" s="283"/>
      <c r="H1191" s="1"/>
      <c r="I1191" s="2"/>
      <c r="J1191" s="2"/>
      <c r="K1191" s="283"/>
      <c r="L1191" s="1"/>
      <c r="M1191" s="2"/>
      <c r="N1191" s="2"/>
      <c r="O1191" s="283"/>
      <c r="P1191" s="1"/>
      <c r="Q1191" s="2"/>
      <c r="R1191" s="2"/>
      <c r="S1191" s="283"/>
      <c r="T1191" s="1"/>
      <c r="U1191" s="2"/>
      <c r="V1191" s="20"/>
      <c r="Z1191" s="74"/>
      <c r="AA1191" s="74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1" t="s">
        <v>600</v>
      </c>
      <c r="B1192" s="1"/>
      <c r="C1192" s="249">
        <v>1180029.4144894434</v>
      </c>
      <c r="D1192" s="367">
        <v>6.9260000000000002</v>
      </c>
      <c r="E1192" s="1" t="s">
        <v>364</v>
      </c>
      <c r="F1192" s="399">
        <f>ROUND(D1192*C1192/100,0)</f>
        <v>81729</v>
      </c>
      <c r="G1192" s="367">
        <v>7.0449999999999999</v>
      </c>
      <c r="H1192" s="1" t="s">
        <v>364</v>
      </c>
      <c r="I1192" s="2">
        <f>ROUND(G1192*C1192/100,0)</f>
        <v>83133</v>
      </c>
      <c r="J1192" s="2"/>
      <c r="K1192" s="367" t="e">
        <f>K1206</f>
        <v>#DIV/0!</v>
      </c>
      <c r="L1192" s="1" t="s">
        <v>364</v>
      </c>
      <c r="M1192" s="2" t="e">
        <f>ROUND(K1192*C1192/100,0)</f>
        <v>#DIV/0!</v>
      </c>
      <c r="N1192" s="2"/>
      <c r="O1192" s="367" t="e">
        <f>O1206</f>
        <v>#DIV/0!</v>
      </c>
      <c r="P1192" s="1" t="s">
        <v>364</v>
      </c>
      <c r="Q1192" s="2" t="e">
        <f>ROUND(O1192*C1192/100,0)</f>
        <v>#DIV/0!</v>
      </c>
      <c r="R1192" s="2"/>
      <c r="S1192" s="367" t="e">
        <f>S1206</f>
        <v>#DIV/0!</v>
      </c>
      <c r="T1192" s="1" t="s">
        <v>364</v>
      </c>
      <c r="U1192" s="2" t="e">
        <f>ROUND(S1192*C1192/100,0)</f>
        <v>#DIV/0!</v>
      </c>
      <c r="V1192" s="20"/>
      <c r="Z1192" s="74"/>
      <c r="AA1192" s="74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 t="s">
        <v>601</v>
      </c>
      <c r="B1193" s="1"/>
      <c r="C1193" s="249">
        <v>2267439.2993954606</v>
      </c>
      <c r="D1193" s="406">
        <v>0</v>
      </c>
      <c r="E1193" s="1" t="s">
        <v>364</v>
      </c>
      <c r="F1193" s="399">
        <f>ROUND(D1193*C1193/100,0)</f>
        <v>0</v>
      </c>
      <c r="G1193" s="406">
        <v>0</v>
      </c>
      <c r="H1193" s="1" t="s">
        <v>364</v>
      </c>
      <c r="I1193" s="2">
        <v>0</v>
      </c>
      <c r="J1193" s="2"/>
      <c r="K1193" s="406">
        <v>0</v>
      </c>
      <c r="L1193" s="1" t="s">
        <v>364</v>
      </c>
      <c r="M1193" s="2">
        <v>0</v>
      </c>
      <c r="N1193" s="2"/>
      <c r="O1193" s="406">
        <v>0</v>
      </c>
      <c r="P1193" s="1" t="s">
        <v>364</v>
      </c>
      <c r="Q1193" s="2">
        <v>0</v>
      </c>
      <c r="R1193" s="2"/>
      <c r="S1193" s="406">
        <v>0</v>
      </c>
      <c r="T1193" s="1" t="s">
        <v>364</v>
      </c>
      <c r="U1193" s="2">
        <v>0</v>
      </c>
      <c r="V1193" s="20"/>
      <c r="Z1193" s="74"/>
      <c r="AA1193" s="32" t="s">
        <v>31</v>
      </c>
      <c r="AB1193" s="2" t="s">
        <v>31</v>
      </c>
      <c r="AC1193" s="2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352</v>
      </c>
      <c r="B1194" s="1"/>
      <c r="C1194" s="249">
        <v>59.249999999999972</v>
      </c>
      <c r="D1194" s="400"/>
      <c r="E1194" s="1"/>
      <c r="F1194" s="2"/>
      <c r="G1194" s="400"/>
      <c r="H1194" s="1"/>
      <c r="I1194" s="2"/>
      <c r="J1194" s="2"/>
      <c r="K1194" s="400"/>
      <c r="L1194" s="1"/>
      <c r="M1194" s="2"/>
      <c r="N1194" s="2"/>
      <c r="O1194" s="400"/>
      <c r="P1194" s="1"/>
      <c r="Q1194" s="2"/>
      <c r="R1194" s="2"/>
      <c r="S1194" s="400"/>
      <c r="T1194" s="1"/>
      <c r="U1194" s="2"/>
      <c r="V1194" s="20"/>
      <c r="W1194" s="74"/>
      <c r="X1194" s="74"/>
      <c r="Y1194" s="74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 s="1118" customFormat="1" hidden="1">
      <c r="A1195" s="968" t="s">
        <v>891</v>
      </c>
      <c r="C1195" s="1122">
        <f>C1197</f>
        <v>3447468.713884904</v>
      </c>
      <c r="D1195" s="254">
        <v>0</v>
      </c>
      <c r="E1195" s="1119"/>
      <c r="F1195" s="1123"/>
      <c r="G1195" s="1128">
        <v>0</v>
      </c>
      <c r="H1195" s="1126" t="s">
        <v>364</v>
      </c>
      <c r="I1195" s="1000">
        <f>ROUND(G1195*$C1195/100,0)</f>
        <v>0</v>
      </c>
      <c r="J1195" s="1000"/>
      <c r="K1195" s="1128" t="str">
        <f>K1166</f>
        <v xml:space="preserve"> </v>
      </c>
      <c r="L1195" s="1126" t="s">
        <v>364</v>
      </c>
      <c r="M1195" s="1000">
        <f>ROUND(K1195*$C1195/100,0)</f>
        <v>0</v>
      </c>
      <c r="N1195" s="1000"/>
      <c r="O1195" s="1128" t="str">
        <f>O1166</f>
        <v xml:space="preserve"> </v>
      </c>
      <c r="P1195" s="1126" t="s">
        <v>364</v>
      </c>
      <c r="Q1195" s="1000">
        <f>ROUND(O1195*$C1195/100,0)</f>
        <v>0</v>
      </c>
      <c r="R1195" s="1000"/>
      <c r="S1195" s="1128">
        <f>S1166</f>
        <v>0</v>
      </c>
      <c r="T1195" s="1126" t="s">
        <v>364</v>
      </c>
      <c r="U1195" s="1000">
        <f>ROUND(S1195*$C1195/100,0)</f>
        <v>0</v>
      </c>
      <c r="W1195" s="784"/>
      <c r="Z1195" s="1125"/>
      <c r="AA1195" s="1125"/>
      <c r="AF1195" s="1119"/>
      <c r="AG1195" s="1119"/>
      <c r="AH1195" s="1119"/>
      <c r="AI1195" s="1119"/>
      <c r="AJ1195" s="1119"/>
      <c r="AK1195" s="1119"/>
      <c r="AL1195" s="1119"/>
      <c r="AM1195" s="1119"/>
      <c r="AN1195" s="1119"/>
      <c r="AO1195" s="1119"/>
      <c r="AP1195" s="1119"/>
      <c r="AR1195" s="1124"/>
    </row>
    <row r="1196" spans="1:44" s="1118" customFormat="1" hidden="1">
      <c r="A1196" s="1255" t="s">
        <v>875</v>
      </c>
      <c r="B1196" s="1256"/>
      <c r="C1196" s="1269"/>
      <c r="D1196" s="1270">
        <v>6.9260000000000002</v>
      </c>
      <c r="E1196" s="1261" t="s">
        <v>364</v>
      </c>
      <c r="F1196" s="1259"/>
      <c r="G1196" s="1270">
        <f>G1192+G1195</f>
        <v>7.0449999999999999</v>
      </c>
      <c r="H1196" s="1261" t="s">
        <v>364</v>
      </c>
      <c r="I1196" s="1266"/>
      <c r="J1196" s="1266"/>
      <c r="K1196" s="1270" t="e">
        <f>K1192+K1195</f>
        <v>#DIV/0!</v>
      </c>
      <c r="L1196" s="1261" t="s">
        <v>364</v>
      </c>
      <c r="M1196" s="1266"/>
      <c r="N1196" s="1266"/>
      <c r="O1196" s="1270" t="e">
        <f>O1192+O1195</f>
        <v>#DIV/0!</v>
      </c>
      <c r="P1196" s="1261" t="s">
        <v>364</v>
      </c>
      <c r="Q1196" s="1266"/>
      <c r="R1196" s="1266"/>
      <c r="S1196" s="1270" t="e">
        <f>S1192+S1195</f>
        <v>#DIV/0!</v>
      </c>
      <c r="T1196" s="1261" t="s">
        <v>364</v>
      </c>
      <c r="U1196" s="1266"/>
      <c r="W1196" s="784"/>
      <c r="X1196" s="795" t="s">
        <v>31</v>
      </c>
      <c r="Z1196" s="1125"/>
      <c r="AA1196" s="1125"/>
      <c r="AF1196" s="1119"/>
      <c r="AG1196" s="1119"/>
      <c r="AH1196" s="1119"/>
      <c r="AI1196" s="1119"/>
      <c r="AJ1196" s="1119"/>
      <c r="AK1196" s="1119"/>
      <c r="AL1196" s="1119"/>
      <c r="AM1196" s="1119"/>
      <c r="AN1196" s="1119"/>
      <c r="AO1196" s="1119"/>
      <c r="AP1196" s="1119"/>
      <c r="AR1196" s="1124"/>
    </row>
    <row r="1197" spans="1:44">
      <c r="A1197" s="3" t="s">
        <v>481</v>
      </c>
      <c r="C1197" s="249">
        <f>C1192+C1193</f>
        <v>3447468.713884904</v>
      </c>
      <c r="D1197" s="254"/>
      <c r="E1197" s="20"/>
      <c r="F1197" s="257">
        <f>SUM(F1176:F1193)</f>
        <v>240994.26960406106</v>
      </c>
      <c r="G1197" s="254"/>
      <c r="H1197" s="20"/>
      <c r="I1197" s="257">
        <f>SUM(I1176:I1196)</f>
        <v>245131.2878790611</v>
      </c>
      <c r="J1197" s="257"/>
      <c r="K1197" s="254"/>
      <c r="L1197" s="20"/>
      <c r="M1197" s="257" t="e">
        <f>SUM(M1176:M1195)</f>
        <v>#DIV/0!</v>
      </c>
      <c r="N1197" s="257"/>
      <c r="O1197" s="254"/>
      <c r="P1197" s="20"/>
      <c r="Q1197" s="257" t="e">
        <f>SUM(Q1176:Q1196)</f>
        <v>#DIV/0!</v>
      </c>
      <c r="R1197" s="257"/>
      <c r="S1197" s="254"/>
      <c r="T1197" s="20"/>
      <c r="U1197" s="257" t="e">
        <f>SUM(U1176:U1196)</f>
        <v>#DIV/0!</v>
      </c>
      <c r="V1197" s="20"/>
      <c r="W1197" s="74"/>
      <c r="X1197" s="74"/>
      <c r="Y1197" s="74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3" t="s">
        <v>482</v>
      </c>
      <c r="C1198" s="249">
        <f ca="1">'Table 2'!H122</f>
        <v>43657.854220442547</v>
      </c>
      <c r="D1198" s="254"/>
      <c r="E1198" s="20"/>
      <c r="F1198" s="257">
        <f>'Table 3'!E122</f>
        <v>3805.7819926921766</v>
      </c>
      <c r="G1198" s="254"/>
      <c r="H1198" s="20"/>
      <c r="I1198" s="257">
        <f>F1198</f>
        <v>3805.7819926921766</v>
      </c>
      <c r="J1198" s="257"/>
      <c r="K1198" s="254"/>
      <c r="L1198" s="20"/>
      <c r="M1198" s="257" t="e">
        <f>$I$1198*V1172/($V$1172+$W$1172+$X$1172)</f>
        <v>#DIV/0!</v>
      </c>
      <c r="N1198" s="51"/>
      <c r="O1198" s="294"/>
      <c r="P1198" s="294"/>
      <c r="Q1198" s="257" t="e">
        <f>$I$1198*W1172/($V$1172+$W$1172+$X$1172)</f>
        <v>#DIV/0!</v>
      </c>
      <c r="R1198" s="51"/>
      <c r="S1198" s="294"/>
      <c r="T1198" s="294"/>
      <c r="U1198" s="257" t="e">
        <f>$I$1198*X1172/($V$1172+$W$1172+$X$1172)</f>
        <v>#DIV/0!</v>
      </c>
      <c r="V1198" s="429"/>
      <c r="W1198" s="272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ht="16.5" thickBot="1">
      <c r="A1199" s="1" t="s">
        <v>9</v>
      </c>
      <c r="B1199" s="1"/>
      <c r="C1199" s="378">
        <f ca="1">C1197+C1198</f>
        <v>3491126.5681053465</v>
      </c>
      <c r="D1199" s="962"/>
      <c r="E1199" s="330"/>
      <c r="F1199" s="259">
        <f>F1197+F1198</f>
        <v>244800.05159675324</v>
      </c>
      <c r="G1199" s="962"/>
      <c r="H1199" s="330"/>
      <c r="I1199" s="259">
        <f>I1197+I1198</f>
        <v>248937.06987175328</v>
      </c>
      <c r="J1199" s="51"/>
      <c r="K1199" s="962"/>
      <c r="L1199" s="330"/>
      <c r="M1199" s="259" t="e">
        <f>M1197+M1198</f>
        <v>#DIV/0!</v>
      </c>
      <c r="N1199" s="297"/>
      <c r="O1199" s="962"/>
      <c r="P1199" s="330"/>
      <c r="Q1199" s="259" t="e">
        <f>Q1197+Q1198</f>
        <v>#DIV/0!</v>
      </c>
      <c r="R1199" s="297"/>
      <c r="S1199" s="962"/>
      <c r="T1199" s="330"/>
      <c r="U1199" s="259" t="e">
        <f>U1197+U1198</f>
        <v>#DIV/0!</v>
      </c>
      <c r="V1199" s="396"/>
      <c r="W1199" s="455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 ht="16.5" thickTop="1">
      <c r="A1200" s="1"/>
      <c r="B1200" s="1"/>
      <c r="C1200" s="26"/>
      <c r="D1200" s="407" t="s">
        <v>31</v>
      </c>
      <c r="E1200" s="23"/>
      <c r="F1200" s="51"/>
      <c r="G1200" s="407" t="s">
        <v>31</v>
      </c>
      <c r="H1200" s="23"/>
      <c r="I1200" s="51" t="s">
        <v>31</v>
      </c>
      <c r="J1200" s="51"/>
      <c r="K1200" s="407" t="s">
        <v>31</v>
      </c>
      <c r="L1200" s="23"/>
      <c r="M1200" s="51" t="s">
        <v>31</v>
      </c>
      <c r="N1200" s="51"/>
      <c r="O1200" s="407" t="s">
        <v>31</v>
      </c>
      <c r="P1200" s="23"/>
      <c r="Q1200" s="51" t="s">
        <v>31</v>
      </c>
      <c r="R1200" s="51"/>
      <c r="S1200" s="407" t="s">
        <v>31</v>
      </c>
      <c r="T1200" s="23"/>
      <c r="U1200" s="51" t="s">
        <v>31</v>
      </c>
      <c r="V1200" s="719"/>
      <c r="W1200" s="719"/>
      <c r="X1200" s="719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>
      <c r="A1201" s="278" t="s">
        <v>489</v>
      </c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401"/>
      <c r="W1201" s="401"/>
      <c r="X1201" s="401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1" t="s">
        <v>490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20"/>
      <c r="W1202" s="74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1"/>
      <c r="D1203" s="404"/>
      <c r="E1203" s="1"/>
      <c r="F1203" s="1"/>
      <c r="G1203" s="404"/>
      <c r="H1203" s="1"/>
      <c r="I1203" s="1"/>
      <c r="J1203" s="1"/>
      <c r="K1203" s="404"/>
      <c r="L1203" s="1"/>
      <c r="M1203" s="1"/>
      <c r="N1203" s="1"/>
      <c r="O1203" s="404"/>
      <c r="P1203" s="1"/>
      <c r="Q1203" s="1"/>
      <c r="R1203" s="1"/>
      <c r="S1203" s="404"/>
      <c r="T1203" s="1"/>
      <c r="U1203" s="1"/>
      <c r="V1203" s="20"/>
      <c r="W1203" s="74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1" t="s">
        <v>478</v>
      </c>
      <c r="B1204" s="1"/>
      <c r="C1204" s="21"/>
      <c r="D1204" s="283"/>
      <c r="E1204" s="1"/>
      <c r="F1204" s="397">
        <v>0</v>
      </c>
      <c r="G1204" s="283"/>
      <c r="H1204" s="1"/>
      <c r="I1204" s="2">
        <f>F1204</f>
        <v>0</v>
      </c>
      <c r="J1204" s="2"/>
      <c r="K1204" s="283"/>
      <c r="L1204" s="1"/>
      <c r="M1204" s="2">
        <f>I1204</f>
        <v>0</v>
      </c>
      <c r="N1204" s="2"/>
      <c r="O1204" s="283"/>
      <c r="P1204" s="1"/>
      <c r="Q1204" s="2">
        <f>M1204</f>
        <v>0</v>
      </c>
      <c r="R1204" s="2"/>
      <c r="S1204" s="283"/>
      <c r="T1204" s="1"/>
      <c r="U1204" s="2">
        <f>Q1204</f>
        <v>0</v>
      </c>
      <c r="V1204" s="20"/>
      <c r="W1204" s="74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485</v>
      </c>
      <c r="B1205" s="1"/>
      <c r="C1205" s="249">
        <v>0</v>
      </c>
      <c r="D1205" s="367">
        <v>6.9260000000000002</v>
      </c>
      <c r="E1205" s="1" t="s">
        <v>364</v>
      </c>
      <c r="F1205" s="399">
        <f>ROUND(D1205*C1205/100,0)</f>
        <v>0</v>
      </c>
      <c r="G1205" s="367">
        <f>G1192</f>
        <v>7.0449999999999999</v>
      </c>
      <c r="H1205" s="1" t="s">
        <v>364</v>
      </c>
      <c r="I1205" s="2">
        <f>ROUND(C1205*G1205/100,0)</f>
        <v>0</v>
      </c>
      <c r="J1205" s="2"/>
      <c r="K1205" s="367" t="e">
        <f>K1206</f>
        <v>#DIV/0!</v>
      </c>
      <c r="L1205" s="1" t="s">
        <v>364</v>
      </c>
      <c r="M1205" s="2" t="e">
        <f>ROUND(#REF!*K1205/100,0)</f>
        <v>#REF!</v>
      </c>
      <c r="N1205" s="2"/>
      <c r="O1205" s="367" t="e">
        <f>O1206</f>
        <v>#DIV/0!</v>
      </c>
      <c r="P1205" s="1" t="s">
        <v>364</v>
      </c>
      <c r="Q1205" s="2" t="e">
        <f>ROUND(G1205*O1205/100,0)</f>
        <v>#DIV/0!</v>
      </c>
      <c r="R1205" s="2"/>
      <c r="S1205" s="367" t="e">
        <f>S1206</f>
        <v>#DIV/0!</v>
      </c>
      <c r="T1205" s="1" t="s">
        <v>364</v>
      </c>
      <c r="U1205" s="2" t="e">
        <f>ROUND(K1205*S1205/100,0)</f>
        <v>#DIV/0!</v>
      </c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 t="s">
        <v>486</v>
      </c>
      <c r="B1206" s="1"/>
      <c r="C1206" s="249">
        <v>1151208</v>
      </c>
      <c r="D1206" s="409">
        <v>6.9260000000000002</v>
      </c>
      <c r="E1206" s="1" t="s">
        <v>364</v>
      </c>
      <c r="F1206" s="399">
        <f>ROUND(D1206*C1206/100,0)</f>
        <v>79733</v>
      </c>
      <c r="G1206" s="409">
        <f>G1205</f>
        <v>7.0449999999999999</v>
      </c>
      <c r="H1206" s="1" t="s">
        <v>364</v>
      </c>
      <c r="I1206" s="2">
        <f>ROUND(G1206*$C1206/100,0)</f>
        <v>81103</v>
      </c>
      <c r="J1206" s="2"/>
      <c r="K1206" s="409" t="e">
        <f>M1206/C1206*100</f>
        <v>#DIV/0!</v>
      </c>
      <c r="L1206" s="1" t="s">
        <v>364</v>
      </c>
      <c r="M1206" s="2" t="e">
        <f>V1213-M1208-M1210</f>
        <v>#DIV/0!</v>
      </c>
      <c r="N1206" s="2"/>
      <c r="O1206" s="409" t="e">
        <f>Q1206/C1206*100</f>
        <v>#DIV/0!</v>
      </c>
      <c r="P1206" s="1" t="s">
        <v>364</v>
      </c>
      <c r="Q1206" s="2" t="e">
        <f>W1213-Q1208-Q1210</f>
        <v>#DIV/0!</v>
      </c>
      <c r="R1206" s="2"/>
      <c r="S1206" s="409" t="e">
        <f>U1206/C1206*100-0.001</f>
        <v>#DIV/0!</v>
      </c>
      <c r="T1206" s="1" t="s">
        <v>364</v>
      </c>
      <c r="U1206" s="2" t="e">
        <f>X1213-U1208-U1210</f>
        <v>#DIV/0!</v>
      </c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352</v>
      </c>
      <c r="B1207" s="1"/>
      <c r="C1207" s="249">
        <v>22.1666666666667</v>
      </c>
      <c r="D1207" s="400"/>
      <c r="E1207" s="1"/>
      <c r="F1207" s="2"/>
      <c r="G1207" s="400"/>
      <c r="H1207" s="1"/>
      <c r="I1207" s="2"/>
      <c r="J1207" s="2"/>
      <c r="K1207" s="400"/>
      <c r="L1207" s="1"/>
      <c r="M1207" s="2"/>
      <c r="N1207" s="2"/>
      <c r="O1207" s="400"/>
      <c r="P1207" s="1"/>
      <c r="Q1207" s="2"/>
      <c r="R1207" s="2"/>
      <c r="S1207" s="400"/>
      <c r="T1207" s="1"/>
      <c r="U1207" s="2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 s="1118" customFormat="1">
      <c r="A1208" s="968" t="s">
        <v>891</v>
      </c>
      <c r="C1208" s="1122">
        <f>C1209</f>
        <v>1151208</v>
      </c>
      <c r="D1208" s="254">
        <v>0</v>
      </c>
      <c r="E1208" s="1119"/>
      <c r="F1208" s="1123"/>
      <c r="G1208" s="1128">
        <f>G1166</f>
        <v>0</v>
      </c>
      <c r="H1208" s="1126" t="s">
        <v>364</v>
      </c>
      <c r="I1208" s="1000">
        <f>ROUND(G1208*$C1208/100,0)</f>
        <v>0</v>
      </c>
      <c r="J1208" s="1000"/>
      <c r="K1208" s="1128" t="str">
        <f>K1166</f>
        <v xml:space="preserve"> </v>
      </c>
      <c r="L1208" s="1126" t="s">
        <v>31</v>
      </c>
      <c r="M1208" s="1000">
        <f>ROUND(K1208*$C1208/100,0)</f>
        <v>0</v>
      </c>
      <c r="N1208" s="1000"/>
      <c r="O1208" s="1128" t="str">
        <f>O1166</f>
        <v xml:space="preserve"> </v>
      </c>
      <c r="P1208" s="1126" t="s">
        <v>31</v>
      </c>
      <c r="Q1208" s="1000">
        <f>ROUND(O1208*$C1208/100,0)</f>
        <v>0</v>
      </c>
      <c r="R1208" s="1000"/>
      <c r="S1208" s="1128">
        <f>S1166</f>
        <v>0</v>
      </c>
      <c r="T1208" s="1126" t="s">
        <v>364</v>
      </c>
      <c r="U1208" s="1000">
        <f>ROUND(S1208*$C1208/100,0)</f>
        <v>0</v>
      </c>
      <c r="W1208" s="784"/>
      <c r="Z1208" s="1125"/>
      <c r="AA1208" s="1125"/>
      <c r="AF1208" s="1119"/>
      <c r="AG1208" s="1119"/>
      <c r="AH1208" s="1119"/>
      <c r="AI1208" s="1119"/>
      <c r="AJ1208" s="1119"/>
      <c r="AK1208" s="1119"/>
      <c r="AL1208" s="1119"/>
      <c r="AM1208" s="1119"/>
      <c r="AN1208" s="1119"/>
      <c r="AO1208" s="1119"/>
      <c r="AP1208" s="1119"/>
      <c r="AR1208" s="1124"/>
    </row>
    <row r="1209" spans="1:44">
      <c r="A1209" s="3" t="s">
        <v>481</v>
      </c>
      <c r="C1209" s="249">
        <f>C1205+C1206</f>
        <v>1151208</v>
      </c>
      <c r="D1209" s="254"/>
      <c r="E1209" s="20"/>
      <c r="F1209" s="257">
        <f>SUM(F1204:F1206)</f>
        <v>79733</v>
      </c>
      <c r="G1209" s="254"/>
      <c r="H1209" s="20"/>
      <c r="I1209" s="257">
        <f>SUM(I1204:I1208)</f>
        <v>81103</v>
      </c>
      <c r="J1209" s="257"/>
      <c r="K1209" s="254"/>
      <c r="L1209" s="20"/>
      <c r="M1209" s="257" t="e">
        <f>SUM(M1204:M1208)</f>
        <v>#REF!</v>
      </c>
      <c r="N1209" s="257"/>
      <c r="O1209" s="254"/>
      <c r="P1209" s="20"/>
      <c r="Q1209" s="257" t="e">
        <f>SUM(Q1204:Q1208)</f>
        <v>#DIV/0!</v>
      </c>
      <c r="R1209" s="257"/>
      <c r="S1209" s="254"/>
      <c r="T1209" s="20"/>
      <c r="U1209" s="257" t="e">
        <f>SUM(U1204:U1208)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3" t="s">
        <v>482</v>
      </c>
      <c r="C1210" s="249">
        <f ca="1">'Table 2'!H123</f>
        <v>14578.601058505523</v>
      </c>
      <c r="D1210" s="254"/>
      <c r="E1210" s="20"/>
      <c r="F1210" s="257">
        <f>'Table 3'!E123</f>
        <v>1258.1353616093459</v>
      </c>
      <c r="G1210" s="254"/>
      <c r="H1210" s="20"/>
      <c r="I1210" s="257">
        <f>F1210</f>
        <v>1258.1353616093459</v>
      </c>
      <c r="J1210" s="257"/>
      <c r="K1210" s="254"/>
      <c r="L1210" s="20"/>
      <c r="M1210" s="257" t="e">
        <f>$I$1210*V1172/($V$1172+$W$1172+$X$1172)</f>
        <v>#DIV/0!</v>
      </c>
      <c r="N1210" s="51"/>
      <c r="O1210" s="294"/>
      <c r="P1210" s="294"/>
      <c r="Q1210" s="257" t="e">
        <f>$I$1210*W1172/($V$1172+$W$1172+$X$1172)</f>
        <v>#DIV/0!</v>
      </c>
      <c r="R1210" s="51"/>
      <c r="S1210" s="294"/>
      <c r="T1210" s="294"/>
      <c r="U1210" s="257" t="e">
        <f>$I$1210*X1172/($V$1172+$W$1172+$X$1172)</f>
        <v>#DIV/0!</v>
      </c>
      <c r="V1210" s="429"/>
      <c r="W1210" s="272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ht="16.5" thickBot="1">
      <c r="A1211" s="1" t="s">
        <v>9</v>
      </c>
      <c r="B1211" s="1"/>
      <c r="C1211" s="378">
        <f ca="1">C1209+C1210</f>
        <v>1165786.6010585055</v>
      </c>
      <c r="D1211" s="962"/>
      <c r="E1211" s="330"/>
      <c r="F1211" s="259">
        <f>F1209+F1210</f>
        <v>80991.13536160934</v>
      </c>
      <c r="G1211" s="962"/>
      <c r="H1211" s="330"/>
      <c r="I1211" s="259">
        <f>I1209+I1210</f>
        <v>82361.13536160934</v>
      </c>
      <c r="J1211" s="51"/>
      <c r="K1211" s="962"/>
      <c r="L1211" s="330"/>
      <c r="M1211" s="259" t="e">
        <f>M1209+M1210</f>
        <v>#REF!</v>
      </c>
      <c r="N1211" s="297"/>
      <c r="O1211" s="962"/>
      <c r="P1211" s="330"/>
      <c r="Q1211" s="259" t="e">
        <f>Q1209+Q1210</f>
        <v>#DIV/0!</v>
      </c>
      <c r="R1211" s="297"/>
      <c r="S1211" s="962"/>
      <c r="T1211" s="330"/>
      <c r="U1211" s="259" t="e">
        <f>U1209+U1210</f>
        <v>#DIV/0!</v>
      </c>
      <c r="V1211" s="396"/>
      <c r="W1211" s="455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 ht="16.5" thickTop="1">
      <c r="A1212" s="1"/>
      <c r="B1212" s="1"/>
      <c r="C1212" s="26"/>
      <c r="D1212" s="407"/>
      <c r="E1212" s="23"/>
      <c r="F1212" s="51"/>
      <c r="G1212" s="407"/>
      <c r="H1212" s="23"/>
      <c r="I1212" s="51"/>
      <c r="J1212" s="51"/>
      <c r="K1212" s="407"/>
      <c r="L1212" s="23"/>
      <c r="M1212" s="51"/>
      <c r="N1212" s="51"/>
      <c r="O1212" s="407"/>
      <c r="P1212" s="23"/>
      <c r="Q1212" s="51"/>
      <c r="R1212" s="51"/>
      <c r="S1212" s="407"/>
      <c r="T1212" s="23"/>
      <c r="U1212" s="51"/>
      <c r="V1212" s="719"/>
      <c r="W1212" s="719"/>
      <c r="X1212" s="719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1"/>
      <c r="B1213" s="1"/>
      <c r="C1213" s="26"/>
      <c r="D1213" s="407"/>
      <c r="E1213" s="23"/>
      <c r="F1213" s="51"/>
      <c r="G1213" s="407"/>
      <c r="H1213" s="23"/>
      <c r="I1213" s="51"/>
      <c r="J1213" s="51"/>
      <c r="K1213" s="407"/>
      <c r="L1213" s="23"/>
      <c r="M1213" s="51"/>
      <c r="N1213" s="51"/>
      <c r="O1213" s="407"/>
      <c r="P1213" s="23"/>
      <c r="Q1213" s="51"/>
      <c r="R1213" s="51"/>
      <c r="S1213" s="407"/>
      <c r="T1213" s="23"/>
      <c r="U1213" s="51"/>
      <c r="V1213" s="401"/>
      <c r="W1213" s="401"/>
      <c r="X1213" s="401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>
      <c r="A1214" s="1"/>
      <c r="B1214" s="1"/>
      <c r="C1214" s="26"/>
      <c r="D1214" s="407" t="s">
        <v>31</v>
      </c>
      <c r="E1214" s="23"/>
      <c r="F1214" s="51"/>
      <c r="G1214" s="407" t="s">
        <v>31</v>
      </c>
      <c r="H1214" s="23"/>
      <c r="I1214" s="51" t="s">
        <v>31</v>
      </c>
      <c r="J1214" s="51"/>
      <c r="K1214" s="407" t="s">
        <v>31</v>
      </c>
      <c r="L1214" s="23"/>
      <c r="M1214" s="51" t="s">
        <v>31</v>
      </c>
      <c r="N1214" s="51"/>
      <c r="O1214" s="407" t="s">
        <v>31</v>
      </c>
      <c r="P1214" s="23"/>
      <c r="Q1214" s="51" t="s">
        <v>31</v>
      </c>
      <c r="R1214" s="51"/>
      <c r="S1214" s="407" t="s">
        <v>31</v>
      </c>
      <c r="T1214" s="23"/>
      <c r="U1214" s="51" t="s">
        <v>31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278" t="s">
        <v>491</v>
      </c>
      <c r="B1215" s="1"/>
      <c r="C1215" s="1"/>
      <c r="D1215" s="1"/>
      <c r="E1215" s="1"/>
      <c r="F1215" s="1"/>
      <c r="G1215" s="1"/>
      <c r="H1215" s="1"/>
      <c r="I1215" s="1" t="s">
        <v>31</v>
      </c>
      <c r="J1215" s="1"/>
      <c r="K1215" s="1"/>
      <c r="L1215" s="1"/>
      <c r="M1215" s="1" t="s">
        <v>31</v>
      </c>
      <c r="N1215" s="1"/>
      <c r="O1215" s="1"/>
      <c r="P1215" s="1"/>
      <c r="Q1215" s="1" t="s">
        <v>31</v>
      </c>
      <c r="R1215" s="1"/>
      <c r="S1215" s="1"/>
      <c r="T1215" s="1"/>
      <c r="U1215" s="1" t="s">
        <v>31</v>
      </c>
      <c r="V1215" s="20"/>
      <c r="W1215" s="74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 t="s">
        <v>186</v>
      </c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20"/>
      <c r="W1216" s="74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20"/>
      <c r="W1217" s="74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 t="s">
        <v>492</v>
      </c>
      <c r="B1218" s="1"/>
      <c r="C1218" s="21">
        <v>169.46666666666701</v>
      </c>
      <c r="D1218" s="283">
        <v>3.75</v>
      </c>
      <c r="E1218" s="1"/>
      <c r="F1218" s="2">
        <f>ROUND(C1218*D1218,0)</f>
        <v>636</v>
      </c>
      <c r="G1218" s="283">
        <v>3.8</v>
      </c>
      <c r="H1218" s="1"/>
      <c r="I1218" s="2">
        <f>ROUND(G1218*$C1218,0)</f>
        <v>644</v>
      </c>
      <c r="J1218" s="2"/>
      <c r="K1218" s="283">
        <v>3.75</v>
      </c>
      <c r="L1218" s="1"/>
      <c r="M1218" s="2">
        <f>ROUND(K1218*$C1218,0)</f>
        <v>636</v>
      </c>
      <c r="N1218" s="2"/>
      <c r="O1218" s="286" t="s">
        <v>31</v>
      </c>
      <c r="P1218" s="1"/>
      <c r="Q1218" s="2">
        <f>ROUND(O1218*$C1218,0)</f>
        <v>0</v>
      </c>
      <c r="R1218" s="2"/>
      <c r="S1218" s="286" t="s">
        <v>31</v>
      </c>
      <c r="T1218" s="1"/>
      <c r="U1218" s="2">
        <f>ROUND(S1218*$C1218,0)</f>
        <v>0</v>
      </c>
      <c r="V1218" s="20"/>
      <c r="W1218" s="410"/>
      <c r="X1218" s="226">
        <f>(G1218-D1218)/D1218</f>
        <v>1.3333333333333286E-2</v>
      </c>
      <c r="Y1218" s="41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1" t="s">
        <v>493</v>
      </c>
      <c r="B1219" s="1"/>
      <c r="C1219" s="21">
        <v>180</v>
      </c>
      <c r="D1219" s="283">
        <v>6.75</v>
      </c>
      <c r="E1219" s="1"/>
      <c r="F1219" s="2">
        <f>ROUND(C1219*D1219,0)</f>
        <v>1215</v>
      </c>
      <c r="G1219" s="283">
        <v>6.85</v>
      </c>
      <c r="H1219" s="1"/>
      <c r="I1219" s="2">
        <f>ROUND(G1219*$C1219,0)</f>
        <v>1233</v>
      </c>
      <c r="J1219" s="2"/>
      <c r="K1219" s="283">
        <v>6.75</v>
      </c>
      <c r="L1219" s="1"/>
      <c r="M1219" s="2">
        <f>ROUND(K1219*$C1219,0)</f>
        <v>1215</v>
      </c>
      <c r="N1219" s="2"/>
      <c r="O1219" s="286" t="s">
        <v>31</v>
      </c>
      <c r="P1219" s="1"/>
      <c r="Q1219" s="2">
        <f>ROUND(O1219*$C1219,0)</f>
        <v>0</v>
      </c>
      <c r="R1219" s="2"/>
      <c r="S1219" s="286" t="s">
        <v>31</v>
      </c>
      <c r="T1219" s="1"/>
      <c r="U1219" s="2">
        <f>ROUND(S1219*$C1219,0)</f>
        <v>0</v>
      </c>
      <c r="V1219" s="20"/>
      <c r="W1219" s="410"/>
      <c r="X1219" s="226">
        <f>(G1219-D1219)/D1219</f>
        <v>1.4814814814814762E-2</v>
      </c>
      <c r="Y1219" s="41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494</v>
      </c>
      <c r="B1220" s="1"/>
      <c r="C1220" s="21">
        <f>SUM(C1218:C1219)</f>
        <v>349.46666666666704</v>
      </c>
      <c r="D1220" s="359"/>
      <c r="E1220" s="1"/>
      <c r="F1220" s="399"/>
      <c r="G1220" s="359"/>
      <c r="H1220" s="1"/>
      <c r="I1220" s="2"/>
      <c r="J1220" s="2"/>
      <c r="K1220" s="359"/>
      <c r="L1220" s="1"/>
      <c r="M1220" s="2"/>
      <c r="N1220" s="2"/>
      <c r="O1220" s="359"/>
      <c r="P1220" s="1"/>
      <c r="Q1220" s="2"/>
      <c r="R1220" s="2"/>
      <c r="S1220" s="359"/>
      <c r="T1220" s="1"/>
      <c r="U1220" s="2"/>
      <c r="V1220" s="20"/>
      <c r="W1220" s="410"/>
      <c r="X1220" s="410"/>
      <c r="Y1220" s="41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 t="s">
        <v>454</v>
      </c>
      <c r="B1221" s="1"/>
      <c r="C1221" s="21">
        <v>267781</v>
      </c>
      <c r="D1221" s="312">
        <v>8.2409999999999997</v>
      </c>
      <c r="E1221" s="2" t="s">
        <v>364</v>
      </c>
      <c r="F1221" s="399">
        <f>ROUND(D1221*C1221/100,0)</f>
        <v>22068</v>
      </c>
      <c r="G1221" s="312">
        <v>8.3840000000000003</v>
      </c>
      <c r="H1221" s="2" t="s">
        <v>364</v>
      </c>
      <c r="I1221" s="2">
        <f>ROUND(G1221*$C1221/100,0)</f>
        <v>22451</v>
      </c>
      <c r="J1221" s="2"/>
      <c r="K1221" s="312" t="e">
        <f>M1221/C1221*100</f>
        <v>#DIV/0!</v>
      </c>
      <c r="L1221" s="2" t="s">
        <v>364</v>
      </c>
      <c r="M1221" s="2" t="e">
        <f>V1229-M1218-M1219-M1225</f>
        <v>#DIV/0!</v>
      </c>
      <c r="N1221" s="2"/>
      <c r="O1221" s="312" t="e">
        <f>Q1221/C1221*100</f>
        <v>#DIV/0!</v>
      </c>
      <c r="P1221" s="2" t="s">
        <v>364</v>
      </c>
      <c r="Q1221" s="2" t="e">
        <f>W1229-Q1218-Q1219-Q1222-Q1225</f>
        <v>#DIV/0!</v>
      </c>
      <c r="R1221" s="2"/>
      <c r="S1221" s="312" t="e">
        <f>U1221/C1221*100</f>
        <v>#DIV/0!</v>
      </c>
      <c r="T1221" s="2" t="s">
        <v>364</v>
      </c>
      <c r="U1221" s="2" t="e">
        <f>X1229-U1218-U1219-U1222-U1225</f>
        <v>#DIV/0!</v>
      </c>
      <c r="V1221" s="20"/>
      <c r="W1221" s="410"/>
      <c r="X1221" s="226">
        <f>(G1221-D1221)/D1221</f>
        <v>1.7352263074869638E-2</v>
      </c>
      <c r="Y1221" s="41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 s="1118" customFormat="1" hidden="1">
      <c r="A1222" s="968" t="s">
        <v>891</v>
      </c>
      <c r="C1222" s="1122">
        <f>C1224</f>
        <v>267781</v>
      </c>
      <c r="D1222" s="254">
        <v>0</v>
      </c>
      <c r="E1222" s="1119"/>
      <c r="F1222" s="1123"/>
      <c r="G1222" s="1128">
        <v>0</v>
      </c>
      <c r="H1222" s="1000" t="s">
        <v>364</v>
      </c>
      <c r="I1222" s="1000">
        <f>ROUND(G1222*$C1222/100,0)</f>
        <v>0</v>
      </c>
      <c r="J1222" s="1000"/>
      <c r="K1222" s="1128" t="s">
        <v>31</v>
      </c>
      <c r="L1222" s="1126" t="s">
        <v>31</v>
      </c>
      <c r="M1222" s="1123">
        <f>K1222*C1222</f>
        <v>0</v>
      </c>
      <c r="N1222" s="1123"/>
      <c r="O1222" s="1128" t="s">
        <v>31</v>
      </c>
      <c r="P1222" s="1126" t="s">
        <v>31</v>
      </c>
      <c r="Q1222" s="1123">
        <f>O1222*C1222</f>
        <v>0</v>
      </c>
      <c r="R1222" s="1123"/>
      <c r="S1222" s="1128">
        <f>G1222</f>
        <v>0</v>
      </c>
      <c r="T1222" s="1126" t="s">
        <v>364</v>
      </c>
      <c r="U1222" s="1123">
        <f>I1222</f>
        <v>0</v>
      </c>
      <c r="V1222" s="1124"/>
      <c r="W1222" s="784"/>
      <c r="Z1222" s="1125"/>
      <c r="AA1222" s="1125"/>
      <c r="AF1222" s="1119"/>
      <c r="AG1222" s="1119"/>
      <c r="AH1222" s="1119"/>
      <c r="AI1222" s="1119"/>
      <c r="AJ1222" s="1119"/>
      <c r="AK1222" s="1119"/>
      <c r="AL1222" s="1119"/>
      <c r="AM1222" s="1119"/>
      <c r="AN1222" s="1119"/>
      <c r="AO1222" s="1119"/>
      <c r="AP1222" s="1119"/>
      <c r="AR1222" s="1124"/>
    </row>
    <row r="1223" spans="1:44" s="1118" customFormat="1" hidden="1">
      <c r="A1223" s="1255" t="s">
        <v>874</v>
      </c>
      <c r="B1223" s="1256"/>
      <c r="C1223" s="1269"/>
      <c r="D1223" s="1265">
        <v>8.2409999999999997</v>
      </c>
      <c r="E1223" s="1259" t="s">
        <v>364</v>
      </c>
      <c r="F1223" s="1259"/>
      <c r="G1223" s="1265">
        <f>G1221+G1222</f>
        <v>8.3840000000000003</v>
      </c>
      <c r="H1223" s="1259" t="s">
        <v>364</v>
      </c>
      <c r="I1223" s="1266"/>
      <c r="J1223" s="1266"/>
      <c r="K1223" s="1265" t="e">
        <f>K1221+K1222</f>
        <v>#DIV/0!</v>
      </c>
      <c r="L1223" s="1259" t="s">
        <v>364</v>
      </c>
      <c r="M1223" s="1266"/>
      <c r="N1223" s="1266"/>
      <c r="O1223" s="1265" t="e">
        <f>O1221+O1222</f>
        <v>#DIV/0!</v>
      </c>
      <c r="P1223" s="1259" t="s">
        <v>364</v>
      </c>
      <c r="Q1223" s="1266"/>
      <c r="R1223" s="1266"/>
      <c r="S1223" s="1265" t="e">
        <f>S1221+S1222</f>
        <v>#DIV/0!</v>
      </c>
      <c r="T1223" s="1259" t="s">
        <v>364</v>
      </c>
      <c r="U1223" s="1266"/>
      <c r="V1223" s="1124"/>
      <c r="W1223" s="784"/>
      <c r="X1223" s="1121"/>
      <c r="Z1223" s="1125"/>
      <c r="AA1223" s="1125"/>
      <c r="AF1223" s="1119"/>
      <c r="AG1223" s="1119"/>
      <c r="AH1223" s="1119"/>
      <c r="AI1223" s="1119"/>
      <c r="AJ1223" s="1119"/>
      <c r="AK1223" s="1119"/>
      <c r="AL1223" s="1119"/>
      <c r="AM1223" s="1119"/>
      <c r="AN1223" s="1119"/>
      <c r="AO1223" s="1119"/>
      <c r="AP1223" s="1119"/>
      <c r="AR1223" s="1124"/>
    </row>
    <row r="1224" spans="1:44">
      <c r="A1224" s="1" t="s">
        <v>371</v>
      </c>
      <c r="B1224" s="1"/>
      <c r="C1224" s="304">
        <f>SUM(C1221)</f>
        <v>267781</v>
      </c>
      <c r="D1224" s="21"/>
      <c r="E1224" s="2"/>
      <c r="F1224" s="399">
        <f>SUM(F1218:F1221)</f>
        <v>23919</v>
      </c>
      <c r="G1224" s="21"/>
      <c r="H1224" s="2"/>
      <c r="I1224" s="399">
        <f>SUM(I1218:I1223)</f>
        <v>24328</v>
      </c>
      <c r="J1224" s="399"/>
      <c r="K1224" s="21"/>
      <c r="L1224" s="2"/>
      <c r="M1224" s="399" t="e">
        <f>SUM(M1218:M1223)</f>
        <v>#DIV/0!</v>
      </c>
      <c r="N1224" s="399"/>
      <c r="O1224" s="21"/>
      <c r="P1224" s="2"/>
      <c r="Q1224" s="399" t="e">
        <f>SUM(Q1218:Q1223)</f>
        <v>#DIV/0!</v>
      </c>
      <c r="R1224" s="399"/>
      <c r="S1224" s="21"/>
      <c r="T1224" s="2"/>
      <c r="U1224" s="399" t="e">
        <f>SUM(U1218:U1223)</f>
        <v>#DIV/0!</v>
      </c>
      <c r="V1224" s="20"/>
      <c r="W1224" s="74"/>
      <c r="X1224" s="74"/>
      <c r="Y1224" s="74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353</v>
      </c>
      <c r="B1225" s="1"/>
      <c r="C1225" s="334">
        <f>'Table 2'!H53</f>
        <v>1846.9158017184013</v>
      </c>
      <c r="D1225" s="963"/>
      <c r="E1225" s="963"/>
      <c r="F1225" s="413">
        <f>'Table 3'!E53</f>
        <v>189.2729477693606</v>
      </c>
      <c r="G1225" s="963"/>
      <c r="H1225" s="963"/>
      <c r="I1225" s="413">
        <f>F1225</f>
        <v>189.2729477693606</v>
      </c>
      <c r="J1225" s="1273"/>
      <c r="K1225" s="963"/>
      <c r="L1225" s="963"/>
      <c r="M1225" s="413" t="e">
        <f>$I$1225*V1229/($V$1229+$W$1229+$X$1229)</f>
        <v>#DIV/0!</v>
      </c>
      <c r="N1225" s="51"/>
      <c r="O1225" s="294"/>
      <c r="P1225" s="294"/>
      <c r="Q1225" s="413" t="e">
        <f>$I$1225*W1229/($V$1229+$W$1229+$X$1229)</f>
        <v>#DIV/0!</v>
      </c>
      <c r="R1225" s="51"/>
      <c r="S1225" s="294"/>
      <c r="T1225" s="294"/>
      <c r="U1225" s="413" t="e">
        <f>$I$1225*X1229/($V$1229+$W$1229+$X$1229)</f>
        <v>#DIV/0!</v>
      </c>
      <c r="V1225" s="274"/>
      <c r="W1225" s="275"/>
      <c r="X1225" s="74"/>
      <c r="Y1225" s="74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ht="16.5" thickBot="1">
      <c r="A1226" s="1" t="s">
        <v>372</v>
      </c>
      <c r="B1226" s="1"/>
      <c r="C1226" s="351">
        <f>C1224+C1225</f>
        <v>269627.91580171842</v>
      </c>
      <c r="D1226" s="330"/>
      <c r="E1226" s="330"/>
      <c r="F1226" s="297">
        <f>F1224+F1225</f>
        <v>24108.272947769361</v>
      </c>
      <c r="G1226" s="330"/>
      <c r="H1226" s="330"/>
      <c r="I1226" s="297">
        <f>I1224+I1225</f>
        <v>24517.272947769361</v>
      </c>
      <c r="J1226" s="297"/>
      <c r="K1226" s="330"/>
      <c r="L1226" s="330"/>
      <c r="M1226" s="297" t="e">
        <f>M1224+M1225</f>
        <v>#DIV/0!</v>
      </c>
      <c r="N1226" s="297"/>
      <c r="O1226" s="330"/>
      <c r="P1226" s="330"/>
      <c r="Q1226" s="297" t="e">
        <f>Q1224+Q1225</f>
        <v>#DIV/0!</v>
      </c>
      <c r="R1226" s="297"/>
      <c r="S1226" s="330"/>
      <c r="T1226" s="330"/>
      <c r="U1226" s="297" t="e">
        <f>U1224+U1225</f>
        <v>#DIV/0!</v>
      </c>
      <c r="V1226" s="761" t="s">
        <v>399</v>
      </c>
      <c r="W1226" s="778">
        <f ca="1">'Rate Spread targets'!Q31*1000</f>
        <v>24516.702014979146</v>
      </c>
      <c r="X1226" s="1417">
        <f>(I1226-F1226)/F1226</f>
        <v>1.6965130637358373E-2</v>
      </c>
      <c r="Y1226" s="74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 ht="16.5" thickTop="1">
      <c r="A1227" s="1"/>
      <c r="B1227" s="298"/>
      <c r="C1227" s="1"/>
      <c r="D1227" s="1" t="s">
        <v>31</v>
      </c>
      <c r="E1227" s="1"/>
      <c r="F1227" s="1"/>
      <c r="G1227" s="1" t="s">
        <v>31</v>
      </c>
      <c r="H1227" s="1"/>
      <c r="I1227" s="2" t="s">
        <v>31</v>
      </c>
      <c r="J1227" s="2"/>
      <c r="K1227" s="1" t="s">
        <v>31</v>
      </c>
      <c r="L1227" s="1"/>
      <c r="M1227" s="2" t="s">
        <v>31</v>
      </c>
      <c r="N1227" s="2"/>
      <c r="O1227" s="1" t="s">
        <v>31</v>
      </c>
      <c r="P1227" s="1"/>
      <c r="Q1227" s="2" t="s">
        <v>31</v>
      </c>
      <c r="R1227" s="2"/>
      <c r="S1227" s="1" t="s">
        <v>31</v>
      </c>
      <c r="T1227" s="1"/>
      <c r="U1227" s="2" t="s">
        <v>31</v>
      </c>
      <c r="V1227" s="762" t="s">
        <v>257</v>
      </c>
      <c r="W1227" s="780">
        <f ca="1">W1226-I1226</f>
        <v>-0.57093279021501075</v>
      </c>
      <c r="X1227" s="783" t="s">
        <v>31</v>
      </c>
      <c r="Y1227" s="261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>
      <c r="A1228" s="1"/>
      <c r="B1228" s="298"/>
      <c r="C1228" s="1"/>
      <c r="D1228" s="1"/>
      <c r="E1228" s="1"/>
      <c r="F1228" s="1"/>
      <c r="G1228" s="1"/>
      <c r="H1228" s="1"/>
      <c r="I1228" s="2"/>
      <c r="J1228" s="2"/>
      <c r="K1228" s="1"/>
      <c r="L1228" s="1"/>
      <c r="M1228" s="2"/>
      <c r="N1228" s="2"/>
      <c r="O1228" s="1"/>
      <c r="P1228" s="1"/>
      <c r="Q1228" s="2"/>
      <c r="R1228" s="2"/>
      <c r="S1228" s="1"/>
      <c r="T1228" s="1"/>
      <c r="U1228" s="2"/>
      <c r="V1228" s="719"/>
      <c r="W1228" s="719"/>
      <c r="X1228" s="719"/>
      <c r="Y1228" s="261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/>
      <c r="B1229" s="298"/>
      <c r="C1229" s="1"/>
      <c r="D1229" s="1"/>
      <c r="E1229" s="1"/>
      <c r="F1229" s="1"/>
      <c r="G1229" s="1"/>
      <c r="H1229" s="1"/>
      <c r="I1229" s="2"/>
      <c r="J1229" s="2"/>
      <c r="K1229" s="1"/>
      <c r="L1229" s="1"/>
      <c r="M1229" s="2"/>
      <c r="N1229" s="2"/>
      <c r="O1229" s="1"/>
      <c r="P1229" s="1"/>
      <c r="Q1229" s="2"/>
      <c r="R1229" s="2"/>
      <c r="S1229" s="1"/>
      <c r="T1229" s="1"/>
      <c r="U1229" s="2"/>
      <c r="V1229" s="401"/>
      <c r="W1229" s="401"/>
      <c r="X1229" s="401"/>
      <c r="Y1229" s="261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>
      <c r="A1230" s="247" t="s">
        <v>495</v>
      </c>
      <c r="B1230" s="288"/>
      <c r="C1230" s="288"/>
      <c r="D1230" s="288"/>
      <c r="E1230" s="288"/>
      <c r="F1230" s="288"/>
      <c r="G1230" s="288"/>
      <c r="H1230" s="288"/>
      <c r="I1230" s="288"/>
      <c r="J1230" s="288"/>
      <c r="K1230" s="288"/>
      <c r="L1230" s="288"/>
      <c r="M1230" s="288"/>
      <c r="N1230" s="288"/>
      <c r="O1230" s="288"/>
      <c r="P1230" s="288"/>
      <c r="Q1230" s="288"/>
      <c r="R1230" s="288"/>
      <c r="S1230" s="288"/>
      <c r="T1230" s="288"/>
      <c r="U1230" s="288"/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288" t="s">
        <v>496</v>
      </c>
      <c r="B1231" s="288"/>
      <c r="C1231" s="288"/>
      <c r="D1231" s="288"/>
      <c r="E1231" s="288"/>
      <c r="F1231" s="288"/>
      <c r="G1231" s="288"/>
      <c r="H1231" s="288"/>
      <c r="I1231" s="288"/>
      <c r="J1231" s="288"/>
      <c r="K1231" s="288"/>
      <c r="L1231" s="288"/>
      <c r="M1231" s="288"/>
      <c r="N1231" s="288"/>
      <c r="O1231" s="288"/>
      <c r="P1231" s="288"/>
      <c r="Q1231" s="288"/>
      <c r="R1231" s="288"/>
      <c r="S1231" s="288"/>
      <c r="T1231" s="288"/>
      <c r="U1231" s="288"/>
      <c r="V1231" s="263"/>
      <c r="W1231" s="263"/>
      <c r="X1231" s="263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0"/>
      <c r="AM1231" s="20"/>
      <c r="AN1231" s="20"/>
      <c r="AO1231" s="20"/>
      <c r="AP1231" s="20"/>
    </row>
    <row r="1232" spans="1:44">
      <c r="A1232" s="415" t="s">
        <v>497</v>
      </c>
      <c r="B1232" s="288"/>
      <c r="C1232" s="288"/>
      <c r="D1232" s="288"/>
      <c r="E1232" s="288"/>
      <c r="F1232" s="288"/>
      <c r="G1232" s="288"/>
      <c r="H1232" s="288"/>
      <c r="I1232" s="288"/>
      <c r="J1232" s="288"/>
      <c r="K1232" s="288"/>
      <c r="L1232" s="288"/>
      <c r="M1232" s="288"/>
      <c r="N1232" s="288"/>
      <c r="O1232" s="288"/>
      <c r="P1232" s="288"/>
      <c r="Q1232" s="288"/>
      <c r="R1232" s="288"/>
      <c r="S1232" s="288"/>
      <c r="T1232" s="288"/>
      <c r="U1232" s="288"/>
      <c r="V1232" s="263"/>
      <c r="W1232" s="263"/>
      <c r="X1232" s="263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0"/>
      <c r="AM1232" s="20"/>
      <c r="AN1232" s="20"/>
      <c r="AO1232" s="20"/>
      <c r="AP1232" s="20"/>
    </row>
    <row r="1233" spans="1:42">
      <c r="A1233" s="3" t="s">
        <v>498</v>
      </c>
      <c r="F1233" s="248"/>
      <c r="V1233" s="263"/>
      <c r="W1233" s="263"/>
      <c r="X1233" s="74"/>
      <c r="Y1233" s="74"/>
      <c r="Z1233" s="264"/>
      <c r="AA1233" s="264"/>
      <c r="AB1233" s="265"/>
      <c r="AC1233" s="265"/>
      <c r="AD1233" s="265"/>
      <c r="AE1233" s="265"/>
      <c r="AF1233" s="416"/>
      <c r="AG1233" s="267"/>
      <c r="AH1233" s="263"/>
      <c r="AI1233" s="263"/>
      <c r="AJ1233" s="263"/>
      <c r="AK1233" s="263"/>
      <c r="AL1233" s="20"/>
      <c r="AM1233" s="20"/>
      <c r="AN1233" s="20"/>
      <c r="AO1233" s="20"/>
      <c r="AP1233" s="20"/>
    </row>
    <row r="1234" spans="1:42">
      <c r="A1234" s="3" t="s">
        <v>344</v>
      </c>
      <c r="C1234" s="249">
        <v>12717.7343365056</v>
      </c>
      <c r="D1234" s="250">
        <v>9.8800000000000008</v>
      </c>
      <c r="F1234" s="2">
        <f>ROUND(C1234*D1234,0)</f>
        <v>125651</v>
      </c>
      <c r="G1234" s="250">
        <f>ROUND(D1234+(D1234*$X$1267),2)</f>
        <v>10.050000000000001</v>
      </c>
      <c r="I1234" s="2">
        <f>ROUND(G1234*$C1234,0)</f>
        <v>127813</v>
      </c>
      <c r="J1234" s="2"/>
      <c r="K1234" s="250" t="e">
        <f>ROUND(M1234/C1234,2)</f>
        <v>#DIV/0!</v>
      </c>
      <c r="M1234" s="2" t="e">
        <f>($V$1269-$M$1263-$M$1265)*(I1234/($I$1234+$I$1235+$I$1236+$I$1238+$I$1239+$I$1242+$I$1243+$I$1244+$I$1246+$I$1247+$I$1250+$I$1251+I$1252+$I$1254+$I$1255+$I$1257+$I$1258+$I$1259+$I$1261))</f>
        <v>#DIV/0!</v>
      </c>
      <c r="N1234" s="2"/>
      <c r="O1234" s="250" t="e">
        <f>ROUND(Q1234/C1234,2)</f>
        <v>#DIV/0!</v>
      </c>
      <c r="Q1234" s="2" t="e">
        <f>($W$1269-$Q$1263-$Q$1265)*(I1234/($I$1234+$I$1235+$I$1236+$I$1238+$I$1239+$I$1242+$I$1243+$I$1244+$I$1246+$I$1247+$I$1250+$I$1251+I$1252+$I$1254+$I$1255+$I$1257+$I$1258+$I$1259+$I$1261))</f>
        <v>#DIV/0!</v>
      </c>
      <c r="R1234" s="2"/>
      <c r="S1234" s="250" t="e">
        <f>ROUND(U1234/C1234,2)</f>
        <v>#DIV/0!</v>
      </c>
      <c r="U1234" s="2" t="e">
        <f>($X$1269-$U$1263-$U$1265)*(I1234/($I$1234+$I$1235+$I$1236+$I$1238+$I$1239+$I$1242+$I$1243+$I$1244+$I$1246+$I$1247+$I$1250+$I$1251+I$1252+$I$1254+$I$1255+$I$1257+$I$1258+$I$1259+$I$1261))</f>
        <v>#DIV/0!</v>
      </c>
      <c r="V1234" s="20"/>
      <c r="W1234" s="266"/>
      <c r="X1234" s="74"/>
      <c r="Y1234" s="74"/>
      <c r="Z1234" s="388"/>
      <c r="AA1234" s="388"/>
      <c r="AB1234" s="268"/>
      <c r="AC1234" s="268"/>
      <c r="AD1234" s="268"/>
      <c r="AE1234" s="268"/>
      <c r="AF1234" s="269"/>
      <c r="AG1234" s="263"/>
      <c r="AH1234" s="266"/>
      <c r="AI1234" s="266"/>
      <c r="AJ1234" s="417"/>
      <c r="AK1234" s="266"/>
      <c r="AL1234" s="20"/>
      <c r="AM1234" s="20"/>
      <c r="AN1234" s="20"/>
      <c r="AO1234" s="20"/>
      <c r="AP1234" s="20"/>
    </row>
    <row r="1235" spans="1:42">
      <c r="A1235" s="3" t="s">
        <v>345</v>
      </c>
      <c r="C1235" s="249">
        <v>1066.00041589388</v>
      </c>
      <c r="D1235" s="250">
        <v>18.09</v>
      </c>
      <c r="F1235" s="2">
        <f>ROUND(C1235*D1235,0)</f>
        <v>19284</v>
      </c>
      <c r="G1235" s="250">
        <f t="shared" ref="G1235:G1239" si="231">ROUND(D1235+(D1235*$X$1267),2)</f>
        <v>18.399999999999999</v>
      </c>
      <c r="I1235" s="2">
        <f>ROUND(G1235*$C1235,0)</f>
        <v>19614</v>
      </c>
      <c r="J1235" s="2"/>
      <c r="K1235" s="250" t="e">
        <f>ROUND(M1235/C1235,2)</f>
        <v>#DIV/0!</v>
      </c>
      <c r="M1235" s="2" t="e">
        <f t="shared" ref="M1235:M1239" si="232">($V$1269-$M$1263-$M$1265)*(I1235/($I$1234+$I$1235+$I$1236+$I$1238+$I$1239+$I$1242+$I$1243+$I$1244+$I$1246+$I$1247+$I$1250+$I$1251+I$1252+$I$1254+$I$1255+$I$1257+$I$1258+$I$1259+$I$1261))</f>
        <v>#DIV/0!</v>
      </c>
      <c r="N1235" s="2"/>
      <c r="O1235" s="250" t="e">
        <f>ROUND(Q1235/C1235,2)</f>
        <v>#DIV/0!</v>
      </c>
      <c r="Q1235" s="2" t="e">
        <f t="shared" ref="Q1235:Q1239" si="233">($W$1269-$Q$1263-$Q$1265)*(I1235/($I$1234+$I$1235+$I$1236+$I$1238+$I$1239+$I$1242+$I$1243+$I$1244+$I$1246+$I$1247+$I$1250+$I$1251+I$1252+$I$1254+$I$1255+$I$1257+$I$1258+$I$1259+$I$1261))</f>
        <v>#DIV/0!</v>
      </c>
      <c r="R1235" s="2"/>
      <c r="S1235" s="250" t="e">
        <f>ROUND(U1235/C1235,2)</f>
        <v>#DIV/0!</v>
      </c>
      <c r="U1235" s="2" t="e">
        <f t="shared" ref="U1235:U1236" si="234">($X$1269-$U$1263-$U$1265)*(I1235/($I$1234+$I$1235+$I$1236+$I$1238+$I$1239+$I$1242+$I$1243+$I$1244+$I$1246+$I$1247+$I$1250+$I$1251+I$1252+$I$1254+$I$1255+$I$1257+$I$1258+$I$1259+$I$1261))</f>
        <v>#DIV/0!</v>
      </c>
      <c r="V1235" s="20"/>
      <c r="W1235" s="266"/>
      <c r="X1235" s="74"/>
      <c r="Y1235" s="74"/>
      <c r="Z1235" s="388"/>
      <c r="AA1235" s="388"/>
      <c r="AB1235" s="268"/>
      <c r="AC1235" s="268"/>
      <c r="AD1235" s="268"/>
      <c r="AE1235" s="268"/>
      <c r="AF1235" s="263"/>
      <c r="AG1235" s="263"/>
      <c r="AH1235" s="266"/>
      <c r="AI1235" s="266"/>
      <c r="AJ1235" s="417"/>
      <c r="AK1235" s="266"/>
      <c r="AL1235" s="20"/>
      <c r="AM1235" s="20"/>
      <c r="AN1235" s="20"/>
      <c r="AO1235" s="20"/>
      <c r="AP1235" s="20"/>
    </row>
    <row r="1236" spans="1:42">
      <c r="A1236" s="3" t="s">
        <v>346</v>
      </c>
      <c r="C1236" s="249">
        <v>0</v>
      </c>
      <c r="D1236" s="250">
        <v>36.590000000000003</v>
      </c>
      <c r="F1236" s="2">
        <f>ROUND(C1236*D1236,0)</f>
        <v>0</v>
      </c>
      <c r="G1236" s="250">
        <f t="shared" si="231"/>
        <v>37.21</v>
      </c>
      <c r="I1236" s="2">
        <f>ROUND(G1236*$C1236,0)</f>
        <v>0</v>
      </c>
      <c r="J1236" s="2"/>
      <c r="K1236" s="250" t="e">
        <f>ROUND(SUM($M$1234:$M$1261)/SUM($I$1234:$I$1261)*G1236,2)</f>
        <v>#DIV/0!</v>
      </c>
      <c r="M1236" s="2" t="e">
        <f t="shared" si="232"/>
        <v>#DIV/0!</v>
      </c>
      <c r="N1236" s="2"/>
      <c r="O1236" s="250" t="e">
        <f>ROUND(SUM($Q$1234:$Q$1261)/SUM($I$1234:$I$1261)*G1236,2)</f>
        <v>#DIV/0!</v>
      </c>
      <c r="Q1236" s="2" t="e">
        <f t="shared" si="233"/>
        <v>#DIV/0!</v>
      </c>
      <c r="R1236" s="2"/>
      <c r="S1236" s="250" t="e">
        <f>ROUND(SUM($U$1234:$U$1261)/SUM($I$1234:$I$1261)*G1236,2)</f>
        <v>#DIV/0!</v>
      </c>
      <c r="U1236" s="2" t="e">
        <f t="shared" si="234"/>
        <v>#DIV/0!</v>
      </c>
      <c r="V1236" s="20"/>
      <c r="W1236" s="266"/>
      <c r="X1236" s="74"/>
      <c r="Y1236" s="74"/>
      <c r="Z1236" s="388"/>
      <c r="AA1236" s="388"/>
      <c r="AB1236" s="268"/>
      <c r="AC1236" s="268"/>
      <c r="AD1236" s="268"/>
      <c r="AE1236" s="268"/>
      <c r="AF1236" s="263"/>
      <c r="AG1236" s="263"/>
      <c r="AH1236" s="266"/>
      <c r="AI1236" s="266"/>
      <c r="AJ1236" s="417"/>
      <c r="AK1236" s="266"/>
      <c r="AL1236" s="20"/>
      <c r="AM1236" s="20"/>
      <c r="AN1236" s="20"/>
      <c r="AO1236" s="20"/>
      <c r="AP1236" s="20"/>
    </row>
    <row r="1237" spans="1:42">
      <c r="A1237" s="3" t="s">
        <v>499</v>
      </c>
      <c r="C1237" s="249"/>
      <c r="D1237" s="418"/>
      <c r="F1237" s="248"/>
      <c r="G1237" s="418"/>
      <c r="K1237" s="418"/>
      <c r="O1237" s="418"/>
      <c r="S1237" s="418"/>
      <c r="V1237" s="20"/>
      <c r="W1237" s="266"/>
      <c r="X1237" s="74"/>
      <c r="Y1237" s="74"/>
      <c r="Z1237" s="20"/>
      <c r="AA1237" s="20"/>
      <c r="AB1237" s="272"/>
      <c r="AC1237" s="272"/>
      <c r="AD1237" s="272"/>
      <c r="AE1237" s="272"/>
      <c r="AF1237" s="263"/>
      <c r="AG1237" s="263"/>
      <c r="AH1237" s="266"/>
      <c r="AI1237" s="266"/>
      <c r="AJ1237" s="417"/>
      <c r="AK1237" s="266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v>4248.0674676650497</v>
      </c>
      <c r="D1238" s="250">
        <v>9.27</v>
      </c>
      <c r="F1238" s="2">
        <f>ROUND(C1238*D1238,0)</f>
        <v>39380</v>
      </c>
      <c r="G1238" s="250">
        <f t="shared" si="231"/>
        <v>9.43</v>
      </c>
      <c r="I1238" s="2">
        <f>ROUND(G1238*$C1238,0)</f>
        <v>40059</v>
      </c>
      <c r="J1238" s="2"/>
      <c r="K1238" s="250" t="e">
        <f>ROUND(M1238/C1238,2)</f>
        <v>#DIV/0!</v>
      </c>
      <c r="M1238" s="2" t="e">
        <f t="shared" si="232"/>
        <v>#DIV/0!</v>
      </c>
      <c r="N1238" s="2"/>
      <c r="O1238" s="250" t="e">
        <f>ROUND(Q1238/C1238,2)</f>
        <v>#DIV/0!</v>
      </c>
      <c r="Q1238" s="2" t="e">
        <f t="shared" si="233"/>
        <v>#DIV/0!</v>
      </c>
      <c r="R1238" s="2"/>
      <c r="S1238" s="250" t="e">
        <f>ROUND(U1238/C1238,2)+0.01</f>
        <v>#DIV/0!</v>
      </c>
      <c r="U1238" s="2" t="e">
        <f t="shared" ref="U1238:U1239" si="235">($X$1269-$U$1263-$U$1265)*(I1238/($I$1234+$I$1235+$I$1236+$I$1238+$I$1239+$I$1242+$I$1243+$I$1244+$I$1246+$I$1247+$I$1250+$I$1251+I$1252+$I$1254+$I$1255+$I$1257+$I$1258+$I$1259+$I$1261))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0"/>
      <c r="AG1238" s="20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v>0</v>
      </c>
      <c r="D1239" s="250">
        <v>16.88</v>
      </c>
      <c r="F1239" s="2">
        <f>ROUND(C1239*D1239,0)</f>
        <v>0</v>
      </c>
      <c r="G1239" s="250">
        <f t="shared" si="231"/>
        <v>17.170000000000002</v>
      </c>
      <c r="I1239" s="2">
        <f>ROUND(G1239*$C1239,0)</f>
        <v>0</v>
      </c>
      <c r="J1239" s="2"/>
      <c r="K1239" s="250" t="e">
        <f>ROUND(SUM($M$1234:$M$1261)/SUM($I$1234:$I$1261)*G1239,2)</f>
        <v>#DIV/0!</v>
      </c>
      <c r="M1239" s="2" t="e">
        <f t="shared" si="232"/>
        <v>#DIV/0!</v>
      </c>
      <c r="N1239" s="2"/>
      <c r="O1239" s="250" t="e">
        <f>ROUND(SUM($Q$1234:$Q$1261)/SUM($I$1234:$I$1261)*G1239,2)</f>
        <v>#DIV/0!</v>
      </c>
      <c r="Q1239" s="2" t="e">
        <f t="shared" si="233"/>
        <v>#DIV/0!</v>
      </c>
      <c r="R1239" s="2"/>
      <c r="S1239" s="250" t="e">
        <f>ROUND(SUM($U$1234:$U$1261)/SUM($I$1234:$I$1261)*G1239,2)</f>
        <v>#DIV/0!</v>
      </c>
      <c r="U1239" s="2" t="e">
        <f t="shared" si="235"/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0"/>
      <c r="AG1239" s="20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415" t="s">
        <v>500</v>
      </c>
      <c r="C1240" s="249"/>
      <c r="D1240" s="250"/>
      <c r="F1240" s="2"/>
      <c r="G1240" s="250"/>
      <c r="I1240" s="2"/>
      <c r="J1240" s="2"/>
      <c r="K1240" s="250"/>
      <c r="M1240" s="2"/>
      <c r="N1240" s="2"/>
      <c r="O1240" s="250"/>
      <c r="Q1240" s="2"/>
      <c r="R1240" s="2"/>
      <c r="S1240" s="250"/>
      <c r="U1240" s="2"/>
      <c r="V1240" s="20"/>
      <c r="W1240" s="266"/>
      <c r="X1240" s="74"/>
      <c r="Y1240" s="74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417"/>
      <c r="AK1240" s="20"/>
      <c r="AL1240" s="20"/>
      <c r="AM1240" s="20"/>
      <c r="AN1240" s="20"/>
      <c r="AO1240" s="20"/>
      <c r="AP1240" s="20"/>
    </row>
    <row r="1241" spans="1:42">
      <c r="A1241" s="3" t="s">
        <v>498</v>
      </c>
      <c r="C1241" s="249"/>
      <c r="D1241" s="418"/>
      <c r="F1241" s="248"/>
      <c r="G1241" s="418"/>
      <c r="K1241" s="418"/>
      <c r="O1241" s="418"/>
      <c r="S1241" s="418"/>
      <c r="V1241" s="20"/>
      <c r="W1241" s="74"/>
      <c r="X1241" s="74"/>
      <c r="Y1241" s="74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417"/>
      <c r="AK1241" s="20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v>480.00024382612202</v>
      </c>
      <c r="D1242" s="250">
        <v>12.91</v>
      </c>
      <c r="F1242" s="2">
        <f>ROUND(C1242*D1242,0)</f>
        <v>6197</v>
      </c>
      <c r="G1242" s="250">
        <f t="shared" ref="G1242:G1244" si="236">ROUND(D1242+(D1242*$X$1267),2)</f>
        <v>13.13</v>
      </c>
      <c r="I1242" s="2">
        <f>ROUND(G1242*$C1242,0)</f>
        <v>6302</v>
      </c>
      <c r="J1242" s="2"/>
      <c r="K1242" s="250" t="e">
        <f>ROUND(M1242/C1242,2)</f>
        <v>#DIV/0!</v>
      </c>
      <c r="M1242" s="2" t="e">
        <f t="shared" ref="M1242:M1244" si="237">($V$1269-$M$1263-$M$1265)*(I1242/($I$1234+$I$1235+$I$1236+$I$1238+$I$1239+$I$1242+$I$1243+$I$1244+$I$1246+$I$1247+$I$1250+$I$1251+I$1252+$I$1254+$I$1255+$I$1257+$I$1258+$I$1259+$I$1261))</f>
        <v>#DIV/0!</v>
      </c>
      <c r="N1242" s="2"/>
      <c r="O1242" s="250" t="e">
        <f>ROUND(Q1242/C1242,2)</f>
        <v>#DIV/0!</v>
      </c>
      <c r="Q1242" s="2" t="e">
        <f t="shared" ref="Q1242:Q1244" si="238">($W$1269-$Q$1263-$Q$1265)*(I1242/($I$1234+$I$1235+$I$1236+$I$1238+$I$1239+$I$1242+$I$1243+$I$1244+$I$1246+$I$1247+$I$1250+$I$1251+I$1252+$I$1254+$I$1255+$I$1257+$I$1258+$I$1259+$I$1261))</f>
        <v>#DIV/0!</v>
      </c>
      <c r="R1242" s="2"/>
      <c r="S1242" s="250" t="e">
        <f>ROUND(U1242/C1242,2)</f>
        <v>#DIV/0!</v>
      </c>
      <c r="U1242" s="2" t="e">
        <f t="shared" ref="U1242:U1244" si="239">($X$1269-$U$1263-$U$1265)*(I1242/($I$1234+$I$1235+$I$1236+$I$1238+$I$1239+$I$1242+$I$1243+$I$1244+$I$1246+$I$1247+$I$1250+$I$1251+I$1252+$I$1254+$I$1255+$I$1257+$I$1258+$I$1259+$I$1261))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v>395.99974732766401</v>
      </c>
      <c r="D1243" s="250">
        <v>21.68</v>
      </c>
      <c r="F1243" s="2">
        <f>ROUND(C1243*D1243,0)</f>
        <v>8585</v>
      </c>
      <c r="G1243" s="250">
        <f t="shared" si="236"/>
        <v>22.05</v>
      </c>
      <c r="I1243" s="2">
        <f>ROUND(G1243*$C1243,0)</f>
        <v>8732</v>
      </c>
      <c r="J1243" s="2"/>
      <c r="K1243" s="250" t="e">
        <f>ROUND(M1243/C1243,2)</f>
        <v>#DIV/0!</v>
      </c>
      <c r="M1243" s="2" t="e">
        <f t="shared" si="237"/>
        <v>#DIV/0!</v>
      </c>
      <c r="N1243" s="2"/>
      <c r="O1243" s="250" t="e">
        <f>ROUND(Q1243/C1243,2)</f>
        <v>#DIV/0!</v>
      </c>
      <c r="Q1243" s="2" t="e">
        <f t="shared" si="238"/>
        <v>#DIV/0!</v>
      </c>
      <c r="R1243" s="2"/>
      <c r="S1243" s="250" t="e">
        <f>ROUND(U1243/C1243,2)</f>
        <v>#DIV/0!</v>
      </c>
      <c r="U1243" s="2" t="e">
        <f t="shared" si="239"/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414"/>
      <c r="AG1243" s="414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346</v>
      </c>
      <c r="C1244" s="249">
        <v>0</v>
      </c>
      <c r="D1244" s="250">
        <v>40.21</v>
      </c>
      <c r="F1244" s="2">
        <f>ROUND(C1244*D1244,0)</f>
        <v>0</v>
      </c>
      <c r="G1244" s="250">
        <f t="shared" si="236"/>
        <v>40.89</v>
      </c>
      <c r="I1244" s="2">
        <f>ROUND(G1244*$C1244,0)</f>
        <v>0</v>
      </c>
      <c r="J1244" s="2"/>
      <c r="K1244" s="250" t="e">
        <f>ROUND(SUM($M$1234:$M$1261)/SUM($I$1234:$I$1261)*G1244,2)</f>
        <v>#DIV/0!</v>
      </c>
      <c r="M1244" s="2" t="e">
        <f t="shared" si="237"/>
        <v>#DIV/0!</v>
      </c>
      <c r="N1244" s="2"/>
      <c r="O1244" s="250" t="e">
        <f>ROUND(SUM($Q$1234:$Q$1261)/SUM($I$1234:$I$1261)*G1244,2)</f>
        <v>#DIV/0!</v>
      </c>
      <c r="Q1244" s="2" t="e">
        <f t="shared" si="238"/>
        <v>#DIV/0!</v>
      </c>
      <c r="R1244" s="2"/>
      <c r="S1244" s="250" t="e">
        <f>ROUND(SUM($U$1234:$U$1261)/SUM($I$1234:$I$1261)*G1244,2)</f>
        <v>#DIV/0!</v>
      </c>
      <c r="U1244" s="2" t="e">
        <f t="shared" si="239"/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414"/>
      <c r="AG1244" s="414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499</v>
      </c>
      <c r="C1245" s="249"/>
      <c r="D1245" s="418"/>
      <c r="F1245" s="248"/>
      <c r="G1245" s="418"/>
      <c r="K1245" s="418"/>
      <c r="O1245" s="418"/>
      <c r="S1245" s="418"/>
      <c r="V1245" s="20"/>
      <c r="W1245" s="20"/>
      <c r="X1245" s="420"/>
      <c r="Y1245" s="420"/>
      <c r="Z1245" s="420"/>
      <c r="AA1245" s="420"/>
      <c r="AB1245" s="704"/>
      <c r="AC1245" s="704"/>
      <c r="AD1245" s="704"/>
      <c r="AE1245" s="704"/>
      <c r="AF1245" s="414"/>
      <c r="AG1245" s="414"/>
      <c r="AH1245" s="422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v>0</v>
      </c>
      <c r="D1246" s="250">
        <v>12.22</v>
      </c>
      <c r="F1246" s="2">
        <f>ROUND(C1246*D1246,0)</f>
        <v>0</v>
      </c>
      <c r="G1246" s="250">
        <f t="shared" ref="G1246:G1247" si="240">ROUND(D1246+(D1246*$X$1267),2)</f>
        <v>12.43</v>
      </c>
      <c r="I1246" s="2">
        <f>ROUND(G1246*$C1246,0)</f>
        <v>0</v>
      </c>
      <c r="J1246" s="2"/>
      <c r="K1246" s="250" t="e">
        <f t="shared" ref="K1246:K1247" si="241">ROUND(SUM($M$1234:$M$1261)/SUM($I$1234:$I$1261)*G1246,2)</f>
        <v>#DIV/0!</v>
      </c>
      <c r="M1246" s="2" t="e">
        <f t="shared" ref="M1246:M1247" si="242">($V$1269-$M$1263-$M$1265)*(I1246/($I$1234+$I$1235+$I$1236+$I$1238+$I$1239+$I$1242+$I$1243+$I$1244+$I$1246+$I$1247+$I$1250+$I$1251+I$1252+$I$1254+$I$1255+$I$1257+$I$1258+$I$1259+$I$1261))</f>
        <v>#DIV/0!</v>
      </c>
      <c r="N1246" s="2"/>
      <c r="O1246" s="250" t="e">
        <f t="shared" ref="O1246:O1247" si="243">ROUND(SUM($Q$1234:$Q$1261)/SUM($I$1234:$I$1261)*G1246,2)</f>
        <v>#DIV/0!</v>
      </c>
      <c r="Q1246" s="2" t="e">
        <f t="shared" ref="Q1246:Q1247" si="244">($W$1269-$Q$1263-$Q$1265)*(I1246/($I$1234+$I$1235+$I$1236+$I$1238+$I$1239+$I$1242+$I$1243+$I$1244+$I$1246+$I$1247+$I$1250+$I$1251+I$1252+$I$1254+$I$1255+$I$1257+$I$1258+$I$1259+$I$1261))</f>
        <v>#DIV/0!</v>
      </c>
      <c r="R1246" s="2"/>
      <c r="S1246" s="250" t="e">
        <f>ROUND(SUM($U$1234:$U$1261)/SUM($I$1234:$I$1261)*G1246,2)</f>
        <v>#DIV/0!</v>
      </c>
      <c r="U1246" s="2" t="e">
        <f t="shared" ref="U1246:U1247" si="245">($X$1269-$U$1263-$U$1265)*(I1246/($I$1234+$I$1235+$I$1236+$I$1238+$I$1239+$I$1242+$I$1243+$I$1244+$I$1246+$I$1247+$I$1250+$I$1251+I$1252+$I$1254+$I$1255+$I$1257+$I$1258+$I$1259+$I$1261))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414"/>
      <c r="AG1246" s="414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v>0</v>
      </c>
      <c r="D1247" s="250">
        <v>20.5</v>
      </c>
      <c r="F1247" s="2">
        <f>ROUND(C1247*D1247,0)</f>
        <v>0</v>
      </c>
      <c r="G1247" s="250">
        <f t="shared" si="240"/>
        <v>20.85</v>
      </c>
      <c r="I1247" s="2">
        <f>ROUND(G1247*$C1247,0)</f>
        <v>0</v>
      </c>
      <c r="J1247" s="2"/>
      <c r="K1247" s="250" t="e">
        <f t="shared" si="241"/>
        <v>#DIV/0!</v>
      </c>
      <c r="M1247" s="2" t="e">
        <f t="shared" si="242"/>
        <v>#DIV/0!</v>
      </c>
      <c r="N1247" s="2"/>
      <c r="O1247" s="250" t="e">
        <f t="shared" si="243"/>
        <v>#DIV/0!</v>
      </c>
      <c r="Q1247" s="2" t="e">
        <f t="shared" si="244"/>
        <v>#DIV/0!</v>
      </c>
      <c r="R1247" s="2"/>
      <c r="S1247" s="250" t="e">
        <f>ROUND(SUM($U$1234:$U$1261)/SUM($I$1234:$I$1261)*G1247,2)</f>
        <v>#DIV/0!</v>
      </c>
      <c r="U1247" s="2" t="e">
        <f t="shared" si="245"/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415" t="s">
        <v>501</v>
      </c>
      <c r="B1248" s="288"/>
      <c r="C1248" s="249"/>
      <c r="D1248" s="418"/>
      <c r="E1248" s="288"/>
      <c r="F1248" s="288"/>
      <c r="G1248" s="418"/>
      <c r="H1248" s="288"/>
      <c r="I1248" s="288"/>
      <c r="J1248" s="288"/>
      <c r="K1248" s="418"/>
      <c r="L1248" s="288"/>
      <c r="M1248" s="288"/>
      <c r="N1248" s="288"/>
      <c r="O1248" s="418"/>
      <c r="P1248" s="288"/>
      <c r="Q1248" s="288"/>
      <c r="R1248" s="288"/>
      <c r="S1248" s="418"/>
      <c r="T1248" s="288"/>
      <c r="U1248" s="288"/>
      <c r="V1248" s="20"/>
      <c r="W1248" s="20"/>
      <c r="X1248" s="420"/>
      <c r="Y1248" s="420"/>
      <c r="Z1248" s="420"/>
      <c r="AA1248" s="420"/>
      <c r="AB1248" s="704"/>
      <c r="AC1248" s="704"/>
      <c r="AD1248" s="704"/>
      <c r="AE1248" s="704"/>
      <c r="AF1248" s="414"/>
      <c r="AG1248" s="414"/>
      <c r="AH1248" s="422"/>
      <c r="AI1248" s="20"/>
      <c r="AJ1248" s="417"/>
      <c r="AK1248" s="20"/>
      <c r="AL1248" s="20"/>
      <c r="AM1248" s="20"/>
      <c r="AN1248" s="20"/>
      <c r="AO1248" s="20"/>
      <c r="AP1248" s="20"/>
    </row>
    <row r="1249" spans="1:44">
      <c r="A1249" s="3" t="s">
        <v>498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4">
      <c r="A1250" s="3" t="s">
        <v>344</v>
      </c>
      <c r="C1250" s="249">
        <v>0</v>
      </c>
      <c r="D1250" s="250">
        <v>12.9</v>
      </c>
      <c r="F1250" s="2">
        <f>ROUND(C1250*D1250,0)</f>
        <v>0</v>
      </c>
      <c r="G1250" s="250">
        <f t="shared" ref="G1250:G1252" si="246">ROUND(D1250+(D1250*$X$1267),2)</f>
        <v>13.12</v>
      </c>
      <c r="I1250" s="2">
        <f>ROUND(G1250*$C1250,0)</f>
        <v>0</v>
      </c>
      <c r="J1250" s="2"/>
      <c r="K1250" s="250" t="e">
        <f t="shared" ref="K1250:K1252" si="247">ROUND(SUM($M$1234:$M$1261)/SUM($I$1234:$I$1261)*G1250,2)</f>
        <v>#DIV/0!</v>
      </c>
      <c r="M1250" s="2" t="e">
        <f t="shared" ref="M1250:M1252" si="248">($V$1269-$M$1263-$M$1265)*(I1250/($I$1234+$I$1235+$I$1236+$I$1238+$I$1239+$I$1242+$I$1243+$I$1244+$I$1246+$I$1247+$I$1250+$I$1251+I$1252+$I$1254+$I$1255+$I$1257+$I$1258+$I$1259+$I$1261))</f>
        <v>#DIV/0!</v>
      </c>
      <c r="N1250" s="2"/>
      <c r="O1250" s="250" t="e">
        <f t="shared" ref="O1250:O1252" si="249">ROUND(SUM($Q$1234:$Q$1261)/SUM($I$1234:$I$1261)*G1250,2)</f>
        <v>#DIV/0!</v>
      </c>
      <c r="Q1250" s="2" t="e">
        <f t="shared" ref="Q1250:Q1252" si="250">($W$1269-$Q$1263-$Q$1265)*(I1250/($I$1234+$I$1235+$I$1236+$I$1238+$I$1239+$I$1242+$I$1243+$I$1244+$I$1246+$I$1247+$I$1250+$I$1251+I$1252+$I$1254+$I$1255+$I$1257+$I$1258+$I$1259+$I$1261))</f>
        <v>#DIV/0!</v>
      </c>
      <c r="R1250" s="2"/>
      <c r="S1250" s="250" t="e">
        <f>ROUND(SUM($U$1234:$U$1261)/SUM($I$1234:$I$1261)*G1250,2)</f>
        <v>#DIV/0!</v>
      </c>
      <c r="U1250" s="2" t="e">
        <f t="shared" ref="U1250:U1252" si="251">($X$1269-$U$1263-$U$1265)*(I1250/($I$1234+$I$1235+$I$1236+$I$1238+$I$1239+$I$1242+$I$1243+$I$1244+$I$1246+$I$1247+$I$1250+$I$1251+I$1252+$I$1254+$I$1255+$I$1257+$I$1258+$I$1259+$I$1261))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4">
      <c r="A1251" s="3" t="s">
        <v>345</v>
      </c>
      <c r="C1251" s="249">
        <v>0</v>
      </c>
      <c r="D1251" s="250">
        <v>20.98</v>
      </c>
      <c r="F1251" s="2">
        <f>ROUND(C1251*D1251,0)</f>
        <v>0</v>
      </c>
      <c r="G1251" s="250">
        <f t="shared" si="246"/>
        <v>21.33</v>
      </c>
      <c r="I1251" s="2">
        <f>ROUND(G1251*$C1251,0)</f>
        <v>0</v>
      </c>
      <c r="J1251" s="2"/>
      <c r="K1251" s="250" t="e">
        <f t="shared" si="247"/>
        <v>#DIV/0!</v>
      </c>
      <c r="M1251" s="2" t="e">
        <f t="shared" si="248"/>
        <v>#DIV/0!</v>
      </c>
      <c r="N1251" s="2"/>
      <c r="O1251" s="250" t="e">
        <f t="shared" si="249"/>
        <v>#DIV/0!</v>
      </c>
      <c r="Q1251" s="2" t="e">
        <f t="shared" si="250"/>
        <v>#DIV/0!</v>
      </c>
      <c r="R1251" s="2"/>
      <c r="S1251" s="250" t="e">
        <f>ROUND(SUM($U$1234:$U$1261)/SUM($I$1234:$I$1261)*G1251,2)+0.01</f>
        <v>#DIV/0!</v>
      </c>
      <c r="U1251" s="2" t="e">
        <f t="shared" si="251"/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4">
      <c r="A1252" s="3" t="s">
        <v>346</v>
      </c>
      <c r="C1252" s="249">
        <v>0</v>
      </c>
      <c r="D1252" s="250">
        <v>39.520000000000003</v>
      </c>
      <c r="F1252" s="2">
        <f>ROUND(C1252*D1252,0)</f>
        <v>0</v>
      </c>
      <c r="G1252" s="250">
        <f t="shared" si="246"/>
        <v>40.19</v>
      </c>
      <c r="I1252" s="2">
        <f>ROUND(G1252*$C1252,0)</f>
        <v>0</v>
      </c>
      <c r="J1252" s="2"/>
      <c r="K1252" s="250" t="e">
        <f t="shared" si="247"/>
        <v>#DIV/0!</v>
      </c>
      <c r="M1252" s="2" t="e">
        <f t="shared" si="248"/>
        <v>#DIV/0!</v>
      </c>
      <c r="N1252" s="2"/>
      <c r="O1252" s="250" t="e">
        <f t="shared" si="249"/>
        <v>#DIV/0!</v>
      </c>
      <c r="Q1252" s="2" t="e">
        <f t="shared" si="250"/>
        <v>#DIV/0!</v>
      </c>
      <c r="R1252" s="2"/>
      <c r="S1252" s="250" t="e">
        <f>ROUND(SUM($U$1234:$U$1261)/SUM($I$1234:$I$1261)*G1252,2)</f>
        <v>#DIV/0!</v>
      </c>
      <c r="U1252" s="2" t="e">
        <f t="shared" si="251"/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4">
      <c r="A1253" s="3" t="s">
        <v>499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4">
      <c r="A1254" s="3" t="s">
        <v>344</v>
      </c>
      <c r="C1254" s="249">
        <v>0</v>
      </c>
      <c r="D1254" s="250">
        <v>12.22</v>
      </c>
      <c r="F1254" s="2">
        <f>ROUND(C1254*D1254,0)</f>
        <v>0</v>
      </c>
      <c r="G1254" s="250">
        <f t="shared" ref="G1254:G1255" si="252">ROUND(D1254+(D1254*$X$1267),2)</f>
        <v>12.43</v>
      </c>
      <c r="I1254" s="2">
        <f>ROUND(G1254*$C1254,0)</f>
        <v>0</v>
      </c>
      <c r="J1254" s="2"/>
      <c r="K1254" s="250" t="e">
        <f t="shared" ref="K1254:K1255" si="253">ROUND(SUM($M$1234:$M$1261)/SUM($I$1234:$I$1261)*G1254,2)</f>
        <v>#DIV/0!</v>
      </c>
      <c r="M1254" s="2" t="e">
        <f t="shared" ref="M1254:M1255" si="254">($V$1269-$M$1263-$M$1265)*(I1254/($I$1234+$I$1235+$I$1236+$I$1238+$I$1239+$I$1242+$I$1243+$I$1244+$I$1246+$I$1247+$I$1250+$I$1251+I$1252+$I$1254+$I$1255+$I$1257+$I$1258+$I$1259+$I$1261))</f>
        <v>#DIV/0!</v>
      </c>
      <c r="N1254" s="2"/>
      <c r="O1254" s="250" t="e">
        <f t="shared" ref="O1254:O1255" si="255">ROUND(SUM($Q$1234:$Q$1261)/SUM($I$1234:$I$1261)*G1254,2)</f>
        <v>#DIV/0!</v>
      </c>
      <c r="Q1254" s="2" t="e">
        <f t="shared" ref="Q1254:Q1255" si="256">($W$1269-$Q$1263-$Q$1265)*(I1254/($I$1234+$I$1235+$I$1236+$I$1238+$I$1239+$I$1242+$I$1243+$I$1244+$I$1246+$I$1247+$I$1250+$I$1251+I$1252+$I$1254+$I$1255+$I$1257+$I$1258+$I$1259+$I$1261))</f>
        <v>#DIV/0!</v>
      </c>
      <c r="R1254" s="2"/>
      <c r="S1254" s="250" t="e">
        <f>ROUND(SUM($U$1234:$U$1261)/SUM($I$1234:$I$1261)*G1254,2)</f>
        <v>#DIV/0!</v>
      </c>
      <c r="U1254" s="2" t="e">
        <f t="shared" ref="U1254:U1255" si="257">($X$1269-$U$1263-$U$1265)*(I1254/($I$1234+$I$1235+$I$1236+$I$1238+$I$1239+$I$1242+$I$1243+$I$1244+$I$1246+$I$1247+$I$1250+$I$1251+I$1252+$I$1254+$I$1255+$I$1257+$I$1258+$I$1259+$I$1261))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4">
      <c r="A1255" s="3" t="s">
        <v>345</v>
      </c>
      <c r="C1255" s="249">
        <v>0</v>
      </c>
      <c r="D1255" s="250">
        <v>19.8</v>
      </c>
      <c r="F1255" s="2">
        <f>ROUND(C1255*D1255,0)</f>
        <v>0</v>
      </c>
      <c r="G1255" s="250">
        <f t="shared" si="252"/>
        <v>20.13</v>
      </c>
      <c r="I1255" s="2">
        <f>ROUND(G1255*$C1255,0)</f>
        <v>0</v>
      </c>
      <c r="J1255" s="2"/>
      <c r="K1255" s="250" t="e">
        <f t="shared" si="253"/>
        <v>#DIV/0!</v>
      </c>
      <c r="M1255" s="2" t="e">
        <f t="shared" si="254"/>
        <v>#DIV/0!</v>
      </c>
      <c r="N1255" s="2"/>
      <c r="O1255" s="250" t="e">
        <f t="shared" si="255"/>
        <v>#DIV/0!</v>
      </c>
      <c r="Q1255" s="2" t="e">
        <f t="shared" si="256"/>
        <v>#DIV/0!</v>
      </c>
      <c r="R1255" s="2"/>
      <c r="S1255" s="250" t="e">
        <f>ROUND(SUM($U$1234:$U$1261)/SUM($I$1234:$I$1261)*G1255,2)+0.01</f>
        <v>#DIV/0!</v>
      </c>
      <c r="U1255" s="2" t="e">
        <f t="shared" si="257"/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4">
      <c r="A1256" s="415" t="s">
        <v>502</v>
      </c>
      <c r="B1256" s="288"/>
      <c r="C1256" s="249"/>
      <c r="D1256" s="418"/>
      <c r="E1256" s="288"/>
      <c r="F1256" s="288"/>
      <c r="G1256" s="418"/>
      <c r="H1256" s="288"/>
      <c r="I1256" s="288"/>
      <c r="J1256" s="288"/>
      <c r="K1256" s="418"/>
      <c r="L1256" s="288"/>
      <c r="M1256" s="288"/>
      <c r="N1256" s="288"/>
      <c r="O1256" s="418"/>
      <c r="P1256" s="288"/>
      <c r="Q1256" s="288"/>
      <c r="R1256" s="288"/>
      <c r="S1256" s="418"/>
      <c r="T1256" s="288"/>
      <c r="U1256" s="288"/>
      <c r="V1256" s="20"/>
      <c r="W1256" s="20"/>
      <c r="X1256" s="420"/>
      <c r="Y1256" s="420"/>
      <c r="Z1256" s="420"/>
      <c r="AA1256" s="420"/>
      <c r="AB1256" s="704"/>
      <c r="AC1256" s="704"/>
      <c r="AD1256" s="704"/>
      <c r="AE1256" s="704"/>
      <c r="AF1256" s="414"/>
      <c r="AG1256" s="414"/>
      <c r="AH1256" s="422"/>
      <c r="AI1256" s="20"/>
      <c r="AJ1256" s="417"/>
      <c r="AK1256" s="20"/>
      <c r="AL1256" s="20"/>
      <c r="AM1256" s="20"/>
      <c r="AN1256" s="20"/>
      <c r="AO1256" s="20"/>
      <c r="AP1256" s="20"/>
    </row>
    <row r="1257" spans="1:44">
      <c r="A1257" s="3" t="s">
        <v>344</v>
      </c>
      <c r="C1257" s="249">
        <v>335.96501937771501</v>
      </c>
      <c r="D1257" s="250">
        <v>10.33</v>
      </c>
      <c r="F1257" s="2">
        <f>ROUND(C1257*D1257,0)</f>
        <v>3471</v>
      </c>
      <c r="G1257" s="250">
        <f t="shared" ref="G1257:G1259" si="258">ROUND(D1257+(D1257*$X$1267),2)</f>
        <v>10.5</v>
      </c>
      <c r="I1257" s="2">
        <f>ROUND(G1257*$C1257,0)</f>
        <v>3528</v>
      </c>
      <c r="J1257" s="2"/>
      <c r="K1257" s="250" t="e">
        <f>ROUND(M1257/C1257,2)</f>
        <v>#DIV/0!</v>
      </c>
      <c r="M1257" s="2" t="e">
        <f t="shared" ref="M1257:M1259" si="259">($V$1269-$M$1263-$M$1265)*(I1257/($I$1234+$I$1235+$I$1236+$I$1238+$I$1239+$I$1242+$I$1243+$I$1244+$I$1246+$I$1247+$I$1250+$I$1251+I$1252+$I$1254+$I$1255+$I$1257+$I$1258+$I$1259+$I$1261))</f>
        <v>#DIV/0!</v>
      </c>
      <c r="N1257" s="2"/>
      <c r="O1257" s="250" t="e">
        <f>ROUND(Q1257/C1257,2)</f>
        <v>#DIV/0!</v>
      </c>
      <c r="Q1257" s="2" t="e">
        <f t="shared" ref="Q1257:Q1259" si="260">($W$1269-$Q$1263-$Q$1265)*(I1257/($I$1234+$I$1235+$I$1236+$I$1238+$I$1239+$I$1242+$I$1243+$I$1244+$I$1246+$I$1247+$I$1250+$I$1251+I$1252+$I$1254+$I$1255+$I$1257+$I$1258+$I$1259+$I$1261))</f>
        <v>#DIV/0!</v>
      </c>
      <c r="R1257" s="2"/>
      <c r="S1257" s="250" t="e">
        <f>ROUND(U1257/C1257,2)+0.01</f>
        <v>#DIV/0!</v>
      </c>
      <c r="U1257" s="2" t="e">
        <f t="shared" ref="U1257:U1259" si="261">($X$1269-$U$1263-$U$1265)*(I1257/($I$1234+$I$1235+$I$1236+$I$1238+$I$1239+$I$1242+$I$1243+$I$1244+$I$1246+$I$1247+$I$1250+$I$1251+I$1252+$I$1254+$I$1255+$I$1257+$I$1258+$I$1259+$I$1261))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4">
      <c r="A1258" s="3" t="s">
        <v>345</v>
      </c>
      <c r="C1258" s="249">
        <v>758.71802767756799</v>
      </c>
      <c r="D1258" s="250">
        <v>18.079999999999998</v>
      </c>
      <c r="F1258" s="2">
        <f>ROUND(C1258*D1258,0)</f>
        <v>13718</v>
      </c>
      <c r="G1258" s="250">
        <f t="shared" si="258"/>
        <v>18.39</v>
      </c>
      <c r="I1258" s="2">
        <f>ROUND(G1258*$C1258,0)</f>
        <v>13953</v>
      </c>
      <c r="J1258" s="2"/>
      <c r="K1258" s="250" t="e">
        <f>ROUND(M1258/C1258,2)</f>
        <v>#DIV/0!</v>
      </c>
      <c r="M1258" s="2" t="e">
        <f t="shared" si="259"/>
        <v>#DIV/0!</v>
      </c>
      <c r="N1258" s="2"/>
      <c r="O1258" s="250" t="e">
        <f>ROUND(Q1258/C1258,2)</f>
        <v>#DIV/0!</v>
      </c>
      <c r="Q1258" s="2" t="e">
        <f t="shared" si="260"/>
        <v>#DIV/0!</v>
      </c>
      <c r="R1258" s="2"/>
      <c r="S1258" s="250" t="e">
        <f>ROUND(U1258/C1258,2)</f>
        <v>#DIV/0!</v>
      </c>
      <c r="U1258" s="2" t="e">
        <f t="shared" si="261"/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4">
      <c r="A1259" s="3" t="s">
        <v>346</v>
      </c>
      <c r="C1259" s="249">
        <v>0</v>
      </c>
      <c r="D1259" s="250">
        <v>38.630000000000003</v>
      </c>
      <c r="F1259" s="2">
        <f>ROUND(C1259*D1259,0)</f>
        <v>0</v>
      </c>
      <c r="G1259" s="250">
        <f t="shared" si="258"/>
        <v>39.28</v>
      </c>
      <c r="I1259" s="2">
        <f>ROUND(G1259*$C1259,0)</f>
        <v>0</v>
      </c>
      <c r="J1259" s="2"/>
      <c r="K1259" s="250" t="e">
        <f>ROUND(SUM($M$1234:$M$1261)/SUM($I$1234:$I$1261)*G1259,2)</f>
        <v>#DIV/0!</v>
      </c>
      <c r="M1259" s="2" t="e">
        <f t="shared" si="259"/>
        <v>#DIV/0!</v>
      </c>
      <c r="N1259" s="2"/>
      <c r="O1259" s="250" t="e">
        <f>ROUND(SUM($Q$1234:$Q$1261)/SUM($I$1234:$I$1261)*G1259,2)</f>
        <v>#DIV/0!</v>
      </c>
      <c r="Q1259" s="2" t="e">
        <f t="shared" si="260"/>
        <v>#DIV/0!</v>
      </c>
      <c r="R1259" s="2"/>
      <c r="S1259" s="250" t="e">
        <f>ROUND(SUM($U$1234:$U$1261)/SUM($I$1234:$I$1261)*G1259,2)-0.01</f>
        <v>#DIV/0!</v>
      </c>
      <c r="U1259" s="2" t="e">
        <f t="shared" si="261"/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4">
      <c r="A1260" s="5" t="s">
        <v>503</v>
      </c>
      <c r="C1260" s="249"/>
      <c r="D1260" s="250"/>
      <c r="F1260" s="2"/>
      <c r="G1260" s="250"/>
      <c r="I1260" s="2"/>
      <c r="J1260" s="2"/>
      <c r="K1260" s="250"/>
      <c r="M1260" s="2"/>
      <c r="N1260" s="2"/>
      <c r="O1260" s="250"/>
      <c r="Q1260" s="2"/>
      <c r="R1260" s="2"/>
      <c r="S1260" s="250"/>
      <c r="U1260" s="2"/>
      <c r="V1260" s="20"/>
      <c r="W1260" s="20"/>
      <c r="X1260" s="420"/>
      <c r="Y1260" s="420"/>
      <c r="Z1260" s="420"/>
      <c r="AA1260" s="420"/>
      <c r="AB1260" s="705"/>
      <c r="AC1260" s="705"/>
      <c r="AD1260" s="705"/>
      <c r="AE1260" s="705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4">
      <c r="A1261" s="3" t="s">
        <v>504</v>
      </c>
      <c r="C1261" s="249">
        <v>0</v>
      </c>
      <c r="D1261" s="250">
        <v>37.07</v>
      </c>
      <c r="F1261" s="2">
        <f>ROUND(C1261*D1261,0)</f>
        <v>0</v>
      </c>
      <c r="G1261" s="250">
        <f t="shared" ref="G1261" si="262">ROUND(D1261+(D1261*$X$1267),2)</f>
        <v>37.700000000000003</v>
      </c>
      <c r="I1261" s="2">
        <f>ROUND(G1261*$C1261,0)</f>
        <v>0</v>
      </c>
      <c r="J1261" s="2"/>
      <c r="K1261" s="250" t="e">
        <f>ROUND(SUM($M$1234:$M$1261)/SUM($I$1234:$I$1261)*G1261,2)</f>
        <v>#DIV/0!</v>
      </c>
      <c r="M1261" s="2" t="e">
        <f t="shared" ref="M1261" si="263">($V$1269-$M$1263-$M$1265)*(I1261/($I$1234+$I$1235+$I$1236+$I$1238+$I$1239+$I$1242+$I$1243+$I$1244+$I$1246+$I$1247+$I$1250+$I$1251+I$1252+$I$1254+$I$1255+$I$1257+$I$1258+$I$1259+$I$1261))</f>
        <v>#DIV/0!</v>
      </c>
      <c r="N1261" s="2"/>
      <c r="O1261" s="250" t="e">
        <f>ROUND(SUM($Q$1234:$Q$1261)/SUM($I$1234:$I$1261)*G1261,2)</f>
        <v>#DIV/0!</v>
      </c>
      <c r="Q1261" s="2" t="e">
        <f t="shared" ref="Q1261" si="264">($W$1269-$Q$1263-$Q$1265)*(I1261/($I$1234+$I$1235+$I$1236+$I$1238+$I$1239+$I$1242+$I$1243+$I$1244+$I$1246+$I$1247+$I$1250+$I$1251+I$1252+$I$1254+$I$1255+$I$1257+$I$1258+$I$1259+$I$1261))</f>
        <v>#DIV/0!</v>
      </c>
      <c r="R1261" s="2"/>
      <c r="S1261" s="250" t="e">
        <f>ROUND(SUM($U$1234:$U$1261)/SUM($I$1234:$I$1261)*G1261,2)</f>
        <v>#DIV/0!</v>
      </c>
      <c r="U1261" s="2" t="e">
        <f>($X$1269-$U$1263-$U$1265)*(I1261/($I$1234+$I$1235+$I$1236+$I$1238+$I$1239+$I$1242+$I$1243+$I$1244+$I$1246+$I$1247+$I$1250+$I$1251+I$1252+$I$1254+$I$1255+$I$1257+$I$1258+$I$1259+$I$1261))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4">
      <c r="A1262" s="3" t="s">
        <v>352</v>
      </c>
      <c r="C1262" s="249">
        <v>418</v>
      </c>
      <c r="D1262" s="424"/>
      <c r="F1262" s="2"/>
      <c r="G1262" s="424"/>
      <c r="I1262" s="2"/>
      <c r="J1262" s="2"/>
      <c r="K1262" s="424"/>
      <c r="M1262" s="2"/>
      <c r="N1262" s="2"/>
      <c r="O1262" s="424"/>
      <c r="Q1262" s="2"/>
      <c r="R1262" s="2"/>
      <c r="S1262" s="424"/>
      <c r="U1262" s="2"/>
      <c r="V1262" s="20"/>
      <c r="W1262" s="266"/>
      <c r="X1262" s="425"/>
      <c r="Y1262" s="425"/>
      <c r="Z1262" s="20"/>
      <c r="AA1262" s="20"/>
      <c r="AB1262" s="272"/>
      <c r="AC1262" s="272"/>
      <c r="AD1262" s="272"/>
      <c r="AE1262" s="272"/>
      <c r="AF1262" s="263"/>
      <c r="AG1262" s="263"/>
      <c r="AH1262" s="266"/>
      <c r="AI1262" s="266"/>
      <c r="AJ1262" s="266"/>
      <c r="AK1262" s="266"/>
      <c r="AL1262" s="20"/>
      <c r="AM1262" s="20"/>
      <c r="AN1262" s="20"/>
      <c r="AO1262" s="20"/>
      <c r="AP1262" s="20"/>
    </row>
    <row r="1263" spans="1:44" s="1118" customFormat="1" hidden="1">
      <c r="A1263" s="968" t="s">
        <v>891</v>
      </c>
      <c r="C1263" s="1122">
        <f>C1264</f>
        <v>1731861.333333333</v>
      </c>
      <c r="D1263" s="254">
        <v>0</v>
      </c>
      <c r="E1263" s="1119"/>
      <c r="F1263" s="1123"/>
      <c r="G1263" s="1128">
        <v>0</v>
      </c>
      <c r="H1263" s="1000" t="s">
        <v>364</v>
      </c>
      <c r="I1263" s="1000">
        <f>ROUND(G1263*$C1263/100,0)</f>
        <v>0</v>
      </c>
      <c r="J1263" s="1000"/>
      <c r="K1263" s="1128" t="s">
        <v>31</v>
      </c>
      <c r="L1263" s="1126" t="s">
        <v>31</v>
      </c>
      <c r="M1263" s="1123">
        <f>K1263*C1263</f>
        <v>0</v>
      </c>
      <c r="N1263" s="1123"/>
      <c r="O1263" s="1128" t="s">
        <v>31</v>
      </c>
      <c r="P1263" s="1126" t="s">
        <v>31</v>
      </c>
      <c r="Q1263" s="1123">
        <f>O1263*C1263</f>
        <v>0</v>
      </c>
      <c r="R1263" s="1123"/>
      <c r="S1263" s="1128">
        <f>G1263</f>
        <v>0</v>
      </c>
      <c r="T1263" s="1126" t="s">
        <v>364</v>
      </c>
      <c r="U1263" s="1123">
        <f>I1263</f>
        <v>0</v>
      </c>
      <c r="V1263" s="1124"/>
      <c r="W1263" s="784"/>
      <c r="Z1263" s="1125"/>
      <c r="AA1263" s="1125"/>
      <c r="AF1263" s="1119"/>
      <c r="AG1263" s="1119"/>
      <c r="AH1263" s="1119"/>
      <c r="AI1263" s="1119"/>
      <c r="AJ1263" s="1119"/>
      <c r="AK1263" s="1119"/>
      <c r="AL1263" s="1119"/>
      <c r="AM1263" s="1119"/>
      <c r="AN1263" s="1119"/>
      <c r="AO1263" s="1119"/>
      <c r="AP1263" s="1119"/>
      <c r="AR1263" s="1124"/>
    </row>
    <row r="1264" spans="1:44">
      <c r="A1264" s="3" t="s">
        <v>371</v>
      </c>
      <c r="C1264" s="249">
        <v>1731861.333333333</v>
      </c>
      <c r="D1264" s="254"/>
      <c r="E1264" s="20"/>
      <c r="F1264" s="257">
        <f>SUM(F1234:F1261)</f>
        <v>216286</v>
      </c>
      <c r="G1264" s="254"/>
      <c r="H1264" s="20"/>
      <c r="I1264" s="257">
        <f>SUM(I1234:I1263)</f>
        <v>220001</v>
      </c>
      <c r="J1264" s="257"/>
      <c r="K1264" s="254"/>
      <c r="L1264" s="20"/>
      <c r="M1264" s="257" t="e">
        <f>SUM(M1234:M1263)</f>
        <v>#DIV/0!</v>
      </c>
      <c r="N1264" s="257"/>
      <c r="O1264" s="254"/>
      <c r="P1264" s="20"/>
      <c r="Q1264" s="257" t="e">
        <f>SUM(Q1234:Q1263)</f>
        <v>#DIV/0!</v>
      </c>
      <c r="R1264" s="257"/>
      <c r="S1264" s="254"/>
      <c r="T1264" s="20"/>
      <c r="U1264" s="257" t="e">
        <f>SUM(U1234:U1263)</f>
        <v>#DIV/0!</v>
      </c>
      <c r="V1264" s="20"/>
      <c r="W1264" s="266"/>
      <c r="X1264" s="706"/>
      <c r="Y1264" s="706"/>
      <c r="Z1264" s="20"/>
      <c r="AA1264" s="20"/>
      <c r="AB1264" s="272"/>
      <c r="AC1264" s="272"/>
      <c r="AD1264" s="272"/>
      <c r="AE1264" s="272"/>
      <c r="AF1264" s="263"/>
      <c r="AG1264" s="263"/>
      <c r="AH1264" s="273"/>
      <c r="AI1264" s="263"/>
      <c r="AJ1264" s="263"/>
      <c r="AK1264" s="263"/>
      <c r="AL1264" s="20"/>
      <c r="AM1264" s="20"/>
      <c r="AN1264" s="20"/>
      <c r="AO1264" s="20"/>
      <c r="AP1264" s="20"/>
    </row>
    <row r="1265" spans="1:42">
      <c r="A1265" s="3" t="s">
        <v>353</v>
      </c>
      <c r="C1265" s="249">
        <f ca="1">'Table 2'!H125</f>
        <v>21931.845042180139</v>
      </c>
      <c r="D1265" s="254"/>
      <c r="E1265" s="20"/>
      <c r="F1265" s="257">
        <f>'Table 3'!E125</f>
        <v>3415.4619210236751</v>
      </c>
      <c r="G1265" s="254"/>
      <c r="H1265" s="20"/>
      <c r="I1265" s="257">
        <f>F1265</f>
        <v>3415.4619210236751</v>
      </c>
      <c r="J1265" s="257"/>
      <c r="K1265" s="254"/>
      <c r="L1265" s="20"/>
      <c r="M1265" s="257" t="e">
        <f>$I$1265*V1269/($V$1269+$W$1269+$X$1269)</f>
        <v>#DIV/0!</v>
      </c>
      <c r="N1265" s="51"/>
      <c r="O1265" s="294"/>
      <c r="P1265" s="294"/>
      <c r="Q1265" s="257" t="e">
        <f>$I$1265*W1269/($V$1269+$W$1269+$X$1269)</f>
        <v>#DIV/0!</v>
      </c>
      <c r="R1265" s="51"/>
      <c r="S1265" s="294"/>
      <c r="T1265" s="294"/>
      <c r="U1265" s="257" t="e">
        <f>$I$1265*X1269/($V$1269+$W$1269+$X$1269)</f>
        <v>#DIV/0!</v>
      </c>
      <c r="V1265" s="429"/>
      <c r="W1265" s="272"/>
      <c r="X1265" s="263"/>
      <c r="Y1265" s="263"/>
      <c r="Z1265" s="263"/>
      <c r="AA1265" s="263"/>
      <c r="AB1265" s="268"/>
      <c r="AC1265" s="268"/>
      <c r="AD1265" s="268"/>
      <c r="AE1265" s="268"/>
      <c r="AF1265" s="266"/>
      <c r="AG1265" s="263"/>
      <c r="AH1265" s="20"/>
      <c r="AI1265" s="20"/>
      <c r="AJ1265" s="20"/>
      <c r="AK1265" s="20"/>
      <c r="AL1265" s="20"/>
      <c r="AM1265" s="20"/>
      <c r="AN1265" s="20"/>
      <c r="AO1265" s="20"/>
      <c r="AP1265" s="20"/>
    </row>
    <row r="1266" spans="1:42" ht="16.5" thickBot="1">
      <c r="A1266" s="3" t="s">
        <v>9</v>
      </c>
      <c r="C1266" s="258">
        <f ca="1">C1264+C1265</f>
        <v>1753793.1783755131</v>
      </c>
      <c r="D1266" s="297"/>
      <c r="E1266" s="297"/>
      <c r="F1266" s="259">
        <f>F1264+F1265</f>
        <v>219701.46192102367</v>
      </c>
      <c r="G1266" s="297"/>
      <c r="H1266" s="297"/>
      <c r="I1266" s="259">
        <f>I1264+I1265</f>
        <v>223416.46192102367</v>
      </c>
      <c r="J1266" s="297"/>
      <c r="K1266" s="297"/>
      <c r="L1266" s="297"/>
      <c r="M1266" s="259" t="e">
        <f>M1264+M1265</f>
        <v>#DIV/0!</v>
      </c>
      <c r="N1266" s="297"/>
      <c r="O1266" s="297"/>
      <c r="P1266" s="297"/>
      <c r="Q1266" s="259" t="e">
        <f>Q1264+Q1265</f>
        <v>#DIV/0!</v>
      </c>
      <c r="R1266" s="297"/>
      <c r="S1266" s="297"/>
      <c r="T1266" s="297"/>
      <c r="U1266" s="259" t="e">
        <f>U1264+U1265</f>
        <v>#DIV/0!</v>
      </c>
      <c r="V1266" s="761" t="s">
        <v>399</v>
      </c>
      <c r="W1266" s="778">
        <f ca="1">'Rate Spread targets'!Q41*1000</f>
        <v>223423.52294760302</v>
      </c>
      <c r="X1266" s="1417">
        <f>(I1266-F1266)/F1266</f>
        <v>1.690930942159791E-2</v>
      </c>
      <c r="Y1266" s="703"/>
      <c r="Z1266" s="263"/>
      <c r="AA1266" s="263"/>
      <c r="AB1266" s="263"/>
      <c r="AC1266" s="263"/>
      <c r="AD1266" s="263"/>
      <c r="AE1266" s="263"/>
      <c r="AF1266" s="263"/>
      <c r="AG1266" s="263"/>
      <c r="AH1266" s="20"/>
      <c r="AI1266" s="20"/>
      <c r="AJ1266" s="20"/>
      <c r="AK1266" s="20"/>
      <c r="AL1266" s="20"/>
      <c r="AM1266" s="20"/>
      <c r="AN1266" s="20"/>
      <c r="AO1266" s="20"/>
      <c r="AP1266" s="20"/>
    </row>
    <row r="1267" spans="1:42" ht="16.5" thickTop="1">
      <c r="C1267" s="743" t="s">
        <v>31</v>
      </c>
      <c r="D1267" s="260" t="s">
        <v>31</v>
      </c>
      <c r="E1267" s="260"/>
      <c r="F1267" s="248"/>
      <c r="G1267" s="260" t="s">
        <v>31</v>
      </c>
      <c r="H1267" s="260"/>
      <c r="I1267" s="2" t="s">
        <v>31</v>
      </c>
      <c r="J1267" s="2"/>
      <c r="K1267" s="260" t="s">
        <v>31</v>
      </c>
      <c r="L1267" s="260"/>
      <c r="M1267" s="2" t="s">
        <v>31</v>
      </c>
      <c r="N1267" s="2"/>
      <c r="O1267" s="260" t="s">
        <v>31</v>
      </c>
      <c r="P1267" s="260"/>
      <c r="Q1267" s="2" t="s">
        <v>31</v>
      </c>
      <c r="R1267" s="2"/>
      <c r="S1267" s="260" t="s">
        <v>31</v>
      </c>
      <c r="T1267" s="260"/>
      <c r="U1267" s="2" t="s">
        <v>31</v>
      </c>
      <c r="V1267" s="762" t="s">
        <v>257</v>
      </c>
      <c r="W1267" s="780">
        <f ca="1">W1266-I1266</f>
        <v>7.0610265793511644</v>
      </c>
      <c r="X1267" s="1087">
        <v>1.6899999999999998E-2</v>
      </c>
      <c r="Y1267" s="279"/>
      <c r="Z1267" s="263"/>
      <c r="AA1267" s="263"/>
      <c r="AB1267" s="263"/>
      <c r="AC1267" s="263"/>
      <c r="AD1267" s="263"/>
      <c r="AE1267" s="263"/>
      <c r="AF1267" s="263"/>
      <c r="AG1267" s="263"/>
      <c r="AH1267" s="20"/>
      <c r="AI1267" s="20"/>
      <c r="AJ1267" s="20"/>
      <c r="AK1267" s="20"/>
      <c r="AL1267" s="20"/>
      <c r="AM1267" s="20"/>
      <c r="AN1267" s="20"/>
      <c r="AO1267" s="20"/>
      <c r="AP1267" s="20"/>
    </row>
    <row r="1268" spans="1:42">
      <c r="C1268" s="26"/>
      <c r="D1268" s="260"/>
      <c r="E1268" s="260"/>
      <c r="F1268" s="248"/>
      <c r="G1268" s="260"/>
      <c r="H1268" s="260"/>
      <c r="I1268" s="2"/>
      <c r="J1268" s="2"/>
      <c r="K1268" s="260"/>
      <c r="L1268" s="260"/>
      <c r="M1268" s="2"/>
      <c r="N1268" s="2"/>
      <c r="O1268" s="260"/>
      <c r="P1268" s="260"/>
      <c r="Q1268" s="2"/>
      <c r="R1268" s="2"/>
      <c r="S1268" s="260"/>
      <c r="T1268" s="260"/>
      <c r="U1268" s="2"/>
      <c r="V1268" s="719"/>
      <c r="W1268" s="719"/>
      <c r="X1268" s="719"/>
      <c r="Y1268" s="279"/>
      <c r="Z1268" s="263"/>
      <c r="AA1268" s="263"/>
      <c r="AB1268" s="263"/>
      <c r="AC1268" s="263"/>
      <c r="AD1268" s="263"/>
      <c r="AE1268" s="263"/>
      <c r="AF1268" s="263"/>
      <c r="AG1268" s="263"/>
      <c r="AH1268" s="20"/>
      <c r="AI1268" s="20"/>
      <c r="AJ1268" s="20"/>
      <c r="AK1268" s="20"/>
      <c r="AL1268" s="20"/>
      <c r="AM1268" s="20"/>
      <c r="AN1268" s="20"/>
      <c r="AO1268" s="20"/>
      <c r="AP1268" s="20"/>
    </row>
    <row r="1269" spans="1:42">
      <c r="C1269" s="26"/>
      <c r="D1269" s="260"/>
      <c r="E1269" s="260"/>
      <c r="F1269" s="248"/>
      <c r="G1269" s="260"/>
      <c r="H1269" s="260"/>
      <c r="I1269" s="2"/>
      <c r="J1269" s="2"/>
      <c r="K1269" s="260"/>
      <c r="L1269" s="260"/>
      <c r="M1269" s="2"/>
      <c r="N1269" s="2"/>
      <c r="O1269" s="260"/>
      <c r="P1269" s="260"/>
      <c r="Q1269" s="2"/>
      <c r="R1269" s="2"/>
      <c r="S1269" s="260"/>
      <c r="T1269" s="260"/>
      <c r="U1269" s="2"/>
      <c r="V1269" s="401"/>
      <c r="W1269" s="401"/>
      <c r="X1269" s="401"/>
      <c r="Y1269" s="279"/>
      <c r="Z1269" s="263"/>
      <c r="AA1269" s="263"/>
      <c r="AB1269" s="263"/>
      <c r="AC1269" s="263"/>
      <c r="AD1269" s="263"/>
      <c r="AE1269" s="263"/>
      <c r="AF1269" s="263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2">
      <c r="A1270" s="288"/>
      <c r="B1270" s="298"/>
      <c r="C1270" s="430"/>
      <c r="D1270" s="431"/>
      <c r="E1270" s="288"/>
      <c r="F1270" s="2"/>
      <c r="G1270" s="431"/>
      <c r="H1270" s="288"/>
      <c r="I1270" s="2"/>
      <c r="J1270" s="2"/>
      <c r="K1270" s="431"/>
      <c r="L1270" s="288"/>
      <c r="M1270" s="2"/>
      <c r="N1270" s="2"/>
      <c r="O1270" s="431"/>
      <c r="P1270" s="288"/>
      <c r="Q1270" s="2"/>
      <c r="R1270" s="2"/>
      <c r="S1270" s="431"/>
      <c r="T1270" s="288"/>
      <c r="U1270" s="2"/>
      <c r="V1270" s="20"/>
      <c r="W1270" s="74"/>
      <c r="X1270" s="74"/>
      <c r="Y1270" s="74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</row>
    <row r="1271" spans="1:42" s="4" customFormat="1" ht="19.899999999999999" customHeight="1" thickBot="1">
      <c r="A1271" s="432" t="s">
        <v>505</v>
      </c>
      <c r="B1271" s="433"/>
      <c r="C1271" s="434">
        <f ca="1">C27+C100+C204+C596+C636+C768+C898+C916+C1139+C1155+C1169+C1226+C1266</f>
        <v>4085100148.9150887</v>
      </c>
      <c r="D1271" s="435"/>
      <c r="E1271" s="436"/>
      <c r="F1271" s="436">
        <f ca="1">F27+F100+F204+F596+F636+F768+F898+F916+F1139+F1155+F1169+F1226+F1266</f>
        <v>335077722.55906415</v>
      </c>
      <c r="G1271" s="435"/>
      <c r="H1271" s="436"/>
      <c r="I1271" s="436">
        <f ca="1">I27+I100+I204+I596+I636+I768+I898+I954+I1010+I1104+I1139+I1155+I1169+I1226+I1266</f>
        <v>340754728.06462985</v>
      </c>
      <c r="J1271" s="436"/>
      <c r="K1271" s="435"/>
      <c r="L1271" s="436"/>
      <c r="M1271" s="436" t="e">
        <f ca="1">M27+M100+M204+M596+M636+M768+M898+M954+M1010+M1104+M1139+M1155+M1169+M1226+M1266</f>
        <v>#DIV/0!</v>
      </c>
      <c r="N1271" s="436"/>
      <c r="O1271" s="435"/>
      <c r="P1271" s="436"/>
      <c r="Q1271" s="436" t="e">
        <f ca="1">Q27+Q100+Q204+Q596+Q636+Q768+Q898+Q954+Q1010+Q1104+Q1139+Q1155+Q1169+Q1226+Q1266</f>
        <v>#DIV/0!</v>
      </c>
      <c r="R1271" s="436"/>
      <c r="S1271" s="435"/>
      <c r="T1271" s="436"/>
      <c r="U1271" s="436" t="e">
        <f ca="1">U27+U100+U204+U596+U636+U768+U898+U954+U1010+U1104+U1139+U1155+U1169+U1226+U1266</f>
        <v>#DIV/0!</v>
      </c>
      <c r="V1271" s="763" t="s">
        <v>399</v>
      </c>
      <c r="W1271" s="764">
        <f ca="1">W27+W100+W204+W636+W768+W935+W1104+W1139+W1155+W1169+W1226+W1266</f>
        <v>340754423.55906421</v>
      </c>
      <c r="X1271" s="74"/>
      <c r="Y1271" s="74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</row>
    <row r="1272" spans="1:42" ht="17.25" thickTop="1" thickBot="1">
      <c r="A1272" s="1"/>
      <c r="B1272" s="298"/>
      <c r="C1272" s="434"/>
      <c r="D1272" s="322" t="s">
        <v>31</v>
      </c>
      <c r="E1272" s="1"/>
      <c r="F1272" s="2"/>
      <c r="G1272" s="338" t="s">
        <v>31</v>
      </c>
      <c r="H1272" s="1"/>
      <c r="I1272" s="2" t="s">
        <v>31</v>
      </c>
      <c r="J1272" s="2"/>
      <c r="K1272" s="338" t="s">
        <v>31</v>
      </c>
      <c r="L1272" s="1"/>
      <c r="M1272" s="2" t="s">
        <v>31</v>
      </c>
      <c r="N1272" s="2"/>
      <c r="O1272" s="338" t="s">
        <v>31</v>
      </c>
      <c r="P1272" s="1"/>
      <c r="Q1272" s="2" t="s">
        <v>31</v>
      </c>
      <c r="R1272" s="2"/>
      <c r="S1272" s="338" t="s">
        <v>31</v>
      </c>
      <c r="T1272" s="1"/>
      <c r="U1272" s="2" t="s">
        <v>31</v>
      </c>
      <c r="V1272" s="112" t="s">
        <v>257</v>
      </c>
      <c r="W1272" s="759">
        <f ca="1">W1271-I1271</f>
        <v>-304.50556564331055</v>
      </c>
      <c r="X1272" s="299" t="s">
        <v>31</v>
      </c>
      <c r="Y1272" s="299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</row>
    <row r="1273" spans="1:42" ht="16.5" thickTop="1">
      <c r="A1273" s="1" t="s">
        <v>34</v>
      </c>
      <c r="B1273" s="298"/>
      <c r="C1273" s="438"/>
      <c r="D1273" s="439"/>
      <c r="E1273" s="442"/>
      <c r="F1273" s="440">
        <f ca="1">'Table 3'!D24+'Table 3'!D56+'Table 3'!D87+'Table 3'!D105+'Table 3'!D129</f>
        <v>594939.23</v>
      </c>
      <c r="G1273" s="441"/>
      <c r="H1273" s="442"/>
      <c r="I1273" s="747">
        <f ca="1">F1273</f>
        <v>594939.23</v>
      </c>
      <c r="J1273" s="440"/>
      <c r="K1273" s="441"/>
      <c r="L1273" s="442"/>
      <c r="M1273" s="747">
        <f ca="1">I1273</f>
        <v>594939.23</v>
      </c>
      <c r="N1273" s="440"/>
      <c r="O1273" s="441"/>
      <c r="P1273" s="442"/>
      <c r="Q1273" s="747" t="s">
        <v>31</v>
      </c>
      <c r="R1273" s="440"/>
      <c r="S1273" s="441"/>
      <c r="T1273" s="442"/>
      <c r="U1273" s="747" t="str">
        <f>Q1273</f>
        <v xml:space="preserve"> </v>
      </c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</row>
    <row r="1274" spans="1:42" s="4" customFormat="1" ht="19.899999999999999" customHeight="1" thickBot="1">
      <c r="A1274" s="444" t="s">
        <v>506</v>
      </c>
      <c r="B1274" s="445"/>
      <c r="C1274" s="446">
        <f ca="1">C1271+C1273</f>
        <v>4085100148.9150887</v>
      </c>
      <c r="D1274" s="1115"/>
      <c r="E1274" s="448"/>
      <c r="F1274" s="449">
        <f ca="1">F1271+F1273</f>
        <v>335672661.78906417</v>
      </c>
      <c r="G1274" s="450"/>
      <c r="H1274" s="448"/>
      <c r="I1274" s="449">
        <f ca="1">I1271+I1273</f>
        <v>341349667.29462987</v>
      </c>
      <c r="J1274" s="1428"/>
      <c r="K1274" s="450"/>
      <c r="L1274" s="448"/>
      <c r="M1274" s="449" t="e">
        <f ca="1">M1271+M1273</f>
        <v>#DIV/0!</v>
      </c>
      <c r="N1274" s="449"/>
      <c r="O1274" s="450"/>
      <c r="P1274" s="448"/>
      <c r="Q1274" s="449" t="e">
        <f ca="1">Q1271+Q1273</f>
        <v>#DIV/0!</v>
      </c>
      <c r="R1274" s="449"/>
      <c r="S1274" s="450"/>
      <c r="T1274" s="448"/>
      <c r="U1274" s="449" t="e">
        <f ca="1">U1271+U1273</f>
        <v>#DIV/0!</v>
      </c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</row>
    <row r="1275" spans="1:42" ht="16.5" thickTop="1">
      <c r="A1275" s="1"/>
      <c r="B1275" s="298"/>
      <c r="C1275" s="21"/>
      <c r="D1275" s="322"/>
      <c r="E1275" s="451"/>
      <c r="F1275" s="2" t="s">
        <v>31</v>
      </c>
      <c r="G1275" s="322"/>
      <c r="H1275" s="1"/>
      <c r="I1275" s="2"/>
      <c r="J1275" s="2"/>
      <c r="K1275" s="322"/>
      <c r="L1275" s="1"/>
      <c r="M1275" s="2"/>
      <c r="N1275" s="2"/>
      <c r="O1275" s="322"/>
      <c r="P1275" s="1"/>
      <c r="Q1275" s="2"/>
      <c r="R1275" s="2"/>
      <c r="S1275" s="322"/>
      <c r="T1275" s="1"/>
      <c r="U1275" s="2"/>
      <c r="V1275" s="20"/>
      <c r="W1275" s="74"/>
      <c r="X1275" s="74"/>
      <c r="Y1275" s="74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</row>
    <row r="1276" spans="1:42">
      <c r="C1276" s="452"/>
      <c r="D1276" s="255"/>
      <c r="E1276" s="255"/>
      <c r="F1276" s="453"/>
      <c r="I1276" s="249"/>
      <c r="J1276" s="249"/>
      <c r="M1276" s="249"/>
      <c r="N1276" s="249"/>
      <c r="Q1276" s="249"/>
      <c r="R1276" s="249"/>
      <c r="U1276" s="249"/>
      <c r="V1276" s="401" t="s">
        <v>31</v>
      </c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2">
      <c r="A1277" s="454"/>
      <c r="V1277" s="1322" t="s">
        <v>31</v>
      </c>
      <c r="W1277" s="74"/>
      <c r="X1277" s="74"/>
      <c r="Y1277" s="74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2">
      <c r="A1278" s="1" t="s">
        <v>162</v>
      </c>
      <c r="B1278" s="3" t="s">
        <v>507</v>
      </c>
      <c r="C1278" s="249">
        <f ca="1">'Table 2'!L140</f>
        <v>4085100148.9150891</v>
      </c>
      <c r="F1278" s="84">
        <f ca="1">'Table 3'!N140</f>
        <v>335672660.78906405</v>
      </c>
      <c r="I1278" s="856" t="s">
        <v>31</v>
      </c>
      <c r="J1278" s="84"/>
      <c r="M1278" s="84">
        <f>M23+M94+M95+M182+M183+M184+M615+M616+M742+M895+M950+M1006+M1100+M1136+M1166+M1222+M1263</f>
        <v>0</v>
      </c>
      <c r="N1278" s="84"/>
      <c r="Q1278" s="84">
        <f>Q23+Q94+Q95+Q182+Q183+Q184+Q615+Q616+Q742+Q895+Q950+Q1006+Q1100+Q1136+Q1166+Q1222+Q1263</f>
        <v>0</v>
      </c>
      <c r="R1278" s="84"/>
      <c r="U1278" s="84">
        <f ca="1">U23+U94+U95+U182+U183+U184+U615+U616+U742+U895+U950+U1006+U1100+U1136+U1151+U1166+U1222+U1263</f>
        <v>8572</v>
      </c>
      <c r="V1278" s="84" t="s">
        <v>31</v>
      </c>
      <c r="W1278" s="74"/>
      <c r="X1278" s="74"/>
      <c r="Y1278" s="74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2">
      <c r="B1279" s="3" t="s">
        <v>508</v>
      </c>
      <c r="C1279" s="249">
        <f ca="1">'Table 1 - kWh'!F21</f>
        <v>4085100148.9150887</v>
      </c>
      <c r="F1279" s="84">
        <f ca="1">'Table 1-Revenues'!J21</f>
        <v>335672660.78906411</v>
      </c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2"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2:37">
      <c r="B1281" s="3" t="s">
        <v>245</v>
      </c>
      <c r="C1281" s="249">
        <f ca="1">C1274-C1279</f>
        <v>0</v>
      </c>
      <c r="F1281" s="249">
        <f ca="1">F1274-F1279</f>
        <v>1.0000000596046448</v>
      </c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2:37"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4" spans="2:37">
      <c r="B1284" s="3" t="s">
        <v>509</v>
      </c>
      <c r="C1284" s="249">
        <f>C24+C88+C176+C605+C725+C884+C906+C1135+C1150+C1165+C1220+C1262</f>
        <v>1543235.2252762527</v>
      </c>
    </row>
    <row r="1285" spans="2:37">
      <c r="B1285" s="3" t="s">
        <v>40</v>
      </c>
      <c r="C1285" s="249">
        <f>((C24+C88+C216+C354+C605+C884+C906+C1135+C1150+C1165+C1220+C1262)/12)+C459+C725</f>
        <v>133394.92356550292</v>
      </c>
    </row>
    <row r="1286" spans="2:37">
      <c r="B1286" s="742" t="s">
        <v>98</v>
      </c>
      <c r="C1286" s="249">
        <f>'Table 2'!F140</f>
        <v>133392.45264854634</v>
      </c>
      <c r="W1286" s="3"/>
      <c r="X1286" s="3"/>
      <c r="Y1286" s="3"/>
    </row>
    <row r="1287" spans="2:37">
      <c r="B1287" s="3" t="s">
        <v>245</v>
      </c>
      <c r="C1287" s="249">
        <f>C1285-C1286</f>
        <v>2.4709169565758202</v>
      </c>
      <c r="W1287" s="3"/>
      <c r="X1287" s="3"/>
      <c r="Y1287" s="3"/>
    </row>
  </sheetData>
  <mergeCells count="4">
    <mergeCell ref="A4:U4"/>
    <mergeCell ref="A1:I1"/>
    <mergeCell ref="A2:I2"/>
    <mergeCell ref="A3:I3"/>
  </mergeCells>
  <phoneticPr fontId="0" type="noConversion"/>
  <printOptions horizontalCentered="1"/>
  <pageMargins left="0" right="0" top="0.25" bottom="0.05" header="0.5" footer="0.25"/>
  <pageSetup scale="51" fitToHeight="10" orientation="landscape" r:id="rId1"/>
  <headerFooter alignWithMargins="0"/>
  <rowBreaks count="10" manualBreakCount="10">
    <brk id="103" max="11" man="1"/>
    <brk id="163" max="11" man="1"/>
    <brk id="556" max="11" man="1"/>
    <brk id="597" max="11" man="1"/>
    <brk id="715" max="11" man="1"/>
    <brk id="876" max="11" man="1"/>
    <brk id="936" max="11" man="1"/>
    <brk id="1107" max="11" man="1"/>
    <brk id="1172" max="11" man="1"/>
    <brk id="1229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87"/>
  <sheetViews>
    <sheetView view="pageBreakPreview" zoomScale="110" zoomScaleNormal="75" zoomScaleSheetLayoutView="110" workbookViewId="0">
      <pane ySplit="10" topLeftCell="A1254" activePane="bottomLeft" state="frozen"/>
      <selection activeCell="F14" sqref="F14"/>
      <selection pane="bottomLeft" activeCell="G1228" sqref="G1228"/>
    </sheetView>
  </sheetViews>
  <sheetFormatPr defaultColWidth="10.25" defaultRowHeight="15.75"/>
  <cols>
    <col min="1" max="1" width="23.375" style="3" customWidth="1"/>
    <col min="2" max="2" width="5.875" style="3" customWidth="1"/>
    <col min="3" max="3" width="14.875" style="3" customWidth="1"/>
    <col min="4" max="4" width="10.5" style="3" bestFit="1" customWidth="1"/>
    <col min="5" max="5" width="2.625" style="3" customWidth="1"/>
    <col min="6" max="6" width="15" style="3" customWidth="1"/>
    <col min="7" max="7" width="11" style="3" bestFit="1" customWidth="1"/>
    <col min="8" max="8" width="2.125" style="3" bestFit="1" customWidth="1"/>
    <col min="9" max="9" width="14.5" style="3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4.62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8.5" style="3" hidden="1" customWidth="1"/>
    <col min="22" max="22" width="14.375" style="3" bestFit="1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 ht="18">
      <c r="A3" s="1489" t="s">
        <v>979</v>
      </c>
      <c r="B3" s="1489"/>
      <c r="C3" s="1489"/>
      <c r="D3" s="1489"/>
      <c r="E3" s="1489"/>
      <c r="F3" s="1489"/>
      <c r="G3" s="1489"/>
      <c r="H3" s="1489"/>
      <c r="I3" s="1489"/>
      <c r="J3" s="1429"/>
      <c r="K3" s="1429"/>
      <c r="L3" s="1429"/>
      <c r="M3" s="1429"/>
      <c r="N3" s="1429"/>
      <c r="O3" s="1429"/>
      <c r="P3" s="1429"/>
      <c r="Q3" s="1429"/>
      <c r="R3" s="1429"/>
      <c r="S3" s="1429"/>
      <c r="T3" s="1429"/>
      <c r="U3" s="1429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1466"/>
      <c r="P4" s="1466"/>
      <c r="Q4" s="1466"/>
      <c r="R4" s="1466"/>
      <c r="S4" s="1466"/>
      <c r="T4" s="1466"/>
      <c r="U4" s="1466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 t="s">
        <v>191</v>
      </c>
      <c r="G8" s="240"/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241" t="s">
        <v>191</v>
      </c>
      <c r="E9" s="241"/>
      <c r="F9" s="736" t="s">
        <v>339</v>
      </c>
      <c r="G9" s="241" t="s">
        <v>296</v>
      </c>
      <c r="H9" s="239"/>
      <c r="I9" s="241" t="s">
        <v>296</v>
      </c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295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C35+C53+C71</f>
        <v>26489.869513898491</v>
      </c>
      <c r="D15" s="250">
        <v>10.98</v>
      </c>
      <c r="F15" s="2">
        <f>F35+F53+F71</f>
        <v>290858.76726260543</v>
      </c>
      <c r="G15" s="250">
        <f ca="1">ROUND((D15+D15*$X$27)*(1+$X$28),2)</f>
        <v>11.24</v>
      </c>
      <c r="I15" s="2">
        <f ca="1">I35+I53+I71</f>
        <v>297746.13333621901</v>
      </c>
      <c r="J15" s="2"/>
      <c r="K15" s="250" t="e">
        <f ca="1">ROUND(M15/C15,2)</f>
        <v>#DIV/0!</v>
      </c>
      <c r="M15" s="2" t="e">
        <f ca="1">($V$30-$M$22-$M$23-$M$26)*(I15/($I$15+$I$16+$I$17+$I$19+$I$20+$I$21))</f>
        <v>#DIV/0!</v>
      </c>
      <c r="N15" s="2"/>
      <c r="O15" s="250" t="e">
        <f ca="1">ROUND(Q15/C15,2)</f>
        <v>#DIV/0!</v>
      </c>
      <c r="Q15" s="2" t="e">
        <f ca="1">($W$30-$Q$23-$Q$26)*(I15/($I$15+$I$16+$I$17+$I$19+$I$20+$I$21))</f>
        <v>#DIV/0!</v>
      </c>
      <c r="R15" s="2"/>
      <c r="S15" s="250" t="e">
        <f ca="1">ROUND(U15/C15,2)-0.01</f>
        <v>#DIV/0!</v>
      </c>
      <c r="U15" s="2" t="e">
        <f ca="1">($X$30-$U$23-$U$26)*(I15/($I$15+$I$16+$I$17+$I$19+$I$20+$I$21))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C36+C54+C72</f>
        <v>4203.5649449873126</v>
      </c>
      <c r="D16" s="250">
        <v>20.88</v>
      </c>
      <c r="F16" s="2">
        <f>F36+F54+F72</f>
        <v>87770.436051335098</v>
      </c>
      <c r="G16" s="250">
        <f ca="1">ROUND((D16+D16*$X$27)*(1+$X$28),2)-0.01</f>
        <v>21.369999999999997</v>
      </c>
      <c r="I16" s="2">
        <f ca="1">I36+I54+I72</f>
        <v>89830.182874378865</v>
      </c>
      <c r="J16" s="2"/>
      <c r="K16" s="250" t="e">
        <f ca="1">ROUND(M16/C16,2)</f>
        <v>#DIV/0!</v>
      </c>
      <c r="M16" s="2" t="e">
        <f t="shared" ref="M16:M21" ca="1" si="0">($V$30-$M$22-$M$23-$M$26)*(I16/($I$15+$I$16+$I$17+$I$19+$I$20+$I$21))</f>
        <v>#DIV/0!</v>
      </c>
      <c r="N16" s="2"/>
      <c r="O16" s="250" t="e">
        <f ca="1">ROUND(Q16/C16,2)</f>
        <v>#DIV/0!</v>
      </c>
      <c r="Q16" s="2" t="e">
        <f ca="1">($W$30-$Q$23-$Q$26)*(I16/($I$15+$I$16+$I$17+$I$19+$I$20+$I$21))</f>
        <v>#DIV/0!</v>
      </c>
      <c r="R16" s="2"/>
      <c r="S16" s="250" t="e">
        <f ca="1">ROUND(U16/C16,2)</f>
        <v>#DIV/0!</v>
      </c>
      <c r="U16" s="2" t="e">
        <f ca="1">($X$30-$U$23-$U$26)*(I16/($I$15+$I$16+$I$17+$I$19+$I$20+$I$21))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C37+C55+C73</f>
        <v>526.20017951728096</v>
      </c>
      <c r="D17" s="250">
        <v>43.21</v>
      </c>
      <c r="F17" s="2">
        <f>F37+F55+F73</f>
        <v>22737.109756941711</v>
      </c>
      <c r="G17" s="250">
        <f ca="1">ROUND((D17+D17*$X$27)*(1+$X$28),2)</f>
        <v>44.25</v>
      </c>
      <c r="I17" s="2">
        <f ca="1">I37+I55+I73</f>
        <v>23284.357943639683</v>
      </c>
      <c r="J17" s="2"/>
      <c r="K17" s="250" t="e">
        <f ca="1">ROUND(M17/C17,2)</f>
        <v>#DIV/0!</v>
      </c>
      <c r="M17" s="2" t="e">
        <f t="shared" ca="1" si="0"/>
        <v>#DIV/0!</v>
      </c>
      <c r="N17" s="2"/>
      <c r="O17" s="250" t="e">
        <f ca="1">ROUND(Q17/C17,2)</f>
        <v>#DIV/0!</v>
      </c>
      <c r="Q17" s="2" t="e">
        <f ca="1">($W$30-$Q$23-$Q$26)*(I17/($I$15+$I$16+$I$17+$I$19+$I$20+$I$21))</f>
        <v>#DIV/0!</v>
      </c>
      <c r="R17" s="2"/>
      <c r="S17" s="250" t="e">
        <f ca="1">ROUND(U17/C17,2)</f>
        <v>#DIV/0!</v>
      </c>
      <c r="U17" s="2" t="e">
        <f ca="1">($X$30-$U$23-$U$26)*(I17/($I$15+$I$16+$I$17+$I$19+$I$20+$I$21))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 t="shared" ref="C19:C26" si="1">C39+C57+C75</f>
        <v>2018.638768592042</v>
      </c>
      <c r="D19" s="250">
        <v>12.48</v>
      </c>
      <c r="F19" s="2">
        <f>F39+F57+F75</f>
        <v>25192.611832028684</v>
      </c>
      <c r="G19" s="250">
        <f ca="1">ROUND((D19+D19*$X$27)*(1+$X$28),2)-0.01</f>
        <v>12.77</v>
      </c>
      <c r="I19" s="2">
        <f ca="1">I39+I57+I75</f>
        <v>25778.017074920379</v>
      </c>
      <c r="J19" s="2"/>
      <c r="K19" s="250" t="e">
        <f ca="1">ROUND(M19/C19,2)</f>
        <v>#DIV/0!</v>
      </c>
      <c r="M19" s="2" t="e">
        <f t="shared" ca="1" si="0"/>
        <v>#DIV/0!</v>
      </c>
      <c r="N19" s="2"/>
      <c r="O19" s="250" t="e">
        <f ca="1">ROUND(Q19/C19,2)</f>
        <v>#DIV/0!</v>
      </c>
      <c r="Q19" s="2" t="e">
        <f ca="1">($W$30-$Q$23-$Q$26)*(I19/($I$15+$I$16+$I$17+$I$19+$I$20+$I$21))</f>
        <v>#DIV/0!</v>
      </c>
      <c r="R19" s="2"/>
      <c r="S19" s="250" t="e">
        <f ca="1">ROUND(U19/C19,2)</f>
        <v>#DIV/0!</v>
      </c>
      <c r="U19" s="2" t="e">
        <f ca="1">($X$30-$U$23-$U$26)*(I19/($I$15+$I$16+$I$17+$I$19+$I$20+$I$21))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 t="shared" si="1"/>
        <v>1655.2402129628979</v>
      </c>
      <c r="D20" s="250">
        <v>18.329999999999998</v>
      </c>
      <c r="F20" s="2">
        <f>F40+F58+F76</f>
        <v>30340.553103609916</v>
      </c>
      <c r="G20" s="250">
        <f ca="1">ROUND((D20+D20*$X$27)*(1+$X$28),2)-0.01</f>
        <v>18.759999999999998</v>
      </c>
      <c r="I20" s="2">
        <f ca="1">I40+I58+I76</f>
        <v>31052.306395183961</v>
      </c>
      <c r="J20" s="2"/>
      <c r="K20" s="250" t="e">
        <f ca="1">ROUND(M20/C20,2)</f>
        <v>#DIV/0!</v>
      </c>
      <c r="M20" s="2" t="e">
        <f t="shared" ca="1" si="0"/>
        <v>#DIV/0!</v>
      </c>
      <c r="N20" s="2"/>
      <c r="O20" s="250" t="e">
        <f ca="1">ROUND(Q20/C20,2)</f>
        <v>#DIV/0!</v>
      </c>
      <c r="Q20" s="2" t="e">
        <f ca="1">($W$30-$Q$23-$Q$26)*(I20/($I$15+$I$16+$I$17+$I$19+$I$20+$I$21))</f>
        <v>#DIV/0!</v>
      </c>
      <c r="R20" s="2"/>
      <c r="S20" s="250" t="e">
        <f ca="1">ROUND(U20/C20,2)</f>
        <v>#DIV/0!</v>
      </c>
      <c r="U20" s="2" t="e">
        <f ca="1">($X$30-$U$23-$U$26)*(I20/($I$15+$I$16+$I$17+$I$19+$I$20+$I$21))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 t="shared" si="1"/>
        <v>517.99922764535575</v>
      </c>
      <c r="D21" s="250">
        <v>29.57</v>
      </c>
      <c r="F21" s="2">
        <f>F41+F59+F77</f>
        <v>15317.237161473167</v>
      </c>
      <c r="G21" s="250">
        <f ca="1">ROUND((D21+D21*$X$27)*(1+$X$28),2)</f>
        <v>30.28</v>
      </c>
      <c r="I21" s="2">
        <f ca="1">I41+I59+I77</f>
        <v>15685.016613101374</v>
      </c>
      <c r="J21" s="2"/>
      <c r="K21" s="250" t="e">
        <f ca="1">ROUND(M21/C21,2)</f>
        <v>#DIV/0!</v>
      </c>
      <c r="M21" s="2" t="e">
        <f t="shared" ca="1" si="0"/>
        <v>#DIV/0!</v>
      </c>
      <c r="N21" s="2"/>
      <c r="O21" s="250" t="e">
        <f ca="1">ROUND(Q21/C21,2)</f>
        <v>#DIV/0!</v>
      </c>
      <c r="Q21" s="2" t="e">
        <f ca="1">($W$30-$Q$23-$Q$26)*(I21/($I$15+$I$16+$I$17+$I$19+$I$20+$I$21))</f>
        <v>#DIV/0!</v>
      </c>
      <c r="R21" s="2"/>
      <c r="S21" s="250" t="e">
        <f ca="1">ROUND(U21/C21,2)</f>
        <v>#DIV/0!</v>
      </c>
      <c r="U21" s="2" t="e">
        <f ca="1">($X$30-$U$23-$U$26)*(I21/($I$15+$I$16+$I$17+$I$19+$I$20+$I$21))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 t="shared" si="1"/>
        <v>561.33497359685657</v>
      </c>
      <c r="D22" s="254">
        <v>1</v>
      </c>
      <c r="E22" s="20"/>
      <c r="F22" s="2">
        <f>F42+F60+F78</f>
        <v>561.33497359685657</v>
      </c>
      <c r="G22" s="250">
        <f>D22</f>
        <v>1</v>
      </c>
      <c r="H22" s="20"/>
      <c r="I22" s="2">
        <f>I42+I60+I78</f>
        <v>561.33497359685657</v>
      </c>
      <c r="J22" s="2"/>
      <c r="K22" s="250">
        <f>G22</f>
        <v>1</v>
      </c>
      <c r="L22" s="20"/>
      <c r="M22" s="2">
        <f>I22</f>
        <v>561.33497359685657</v>
      </c>
      <c r="N22" s="2"/>
      <c r="O22" s="250" t="s">
        <v>31</v>
      </c>
      <c r="P22" s="20"/>
      <c r="Q22" s="2">
        <f>O22*C22</f>
        <v>0</v>
      </c>
      <c r="R22" s="2"/>
      <c r="S22" s="250" t="s">
        <v>31</v>
      </c>
      <c r="T22" s="20"/>
      <c r="U22" s="2">
        <f>S22*C22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885</v>
      </c>
      <c r="C23" s="1122">
        <f t="shared" si="1"/>
        <v>3257550</v>
      </c>
      <c r="D23" s="1423">
        <v>0</v>
      </c>
      <c r="E23" s="1119"/>
      <c r="F23" s="1123"/>
      <c r="G23" s="1128">
        <v>0</v>
      </c>
      <c r="H23" s="1126" t="s">
        <v>364</v>
      </c>
      <c r="I23" s="1123">
        <f>I43+I61+I79</f>
        <v>0</v>
      </c>
      <c r="J23" s="1123"/>
      <c r="K23" s="1128" t="s">
        <v>31</v>
      </c>
      <c r="L23" s="1126" t="s">
        <v>31</v>
      </c>
      <c r="M23" s="1123">
        <f>K23*C23</f>
        <v>0</v>
      </c>
      <c r="N23" s="1123"/>
      <c r="O23" s="1128" t="s">
        <v>31</v>
      </c>
      <c r="P23" s="1126" t="s">
        <v>31</v>
      </c>
      <c r="Q23" s="1123">
        <f>O23*C23</f>
        <v>0</v>
      </c>
      <c r="R23" s="1123"/>
      <c r="S23" s="1128">
        <f>G23</f>
        <v>0</v>
      </c>
      <c r="T23" s="1126" t="s">
        <v>364</v>
      </c>
      <c r="U23" s="1123">
        <f>I23</f>
        <v>0</v>
      </c>
      <c r="V23" s="1124">
        <f>'NPC Spread'!J50</f>
        <v>75082.240453348713</v>
      </c>
      <c r="W23" s="784" t="s">
        <v>857</v>
      </c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1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1"/>
        <v>3257550</v>
      </c>
      <c r="D25" s="254"/>
      <c r="E25" s="20"/>
      <c r="F25" s="2">
        <f>F45+F63+F81</f>
        <v>472778.05014159094</v>
      </c>
      <c r="G25" s="254"/>
      <c r="H25" s="20"/>
      <c r="I25" s="255">
        <f ca="1">I45+I63+I81</f>
        <v>483937.34921104013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1"/>
        <v>28196.413423238097</v>
      </c>
      <c r="D26" s="254"/>
      <c r="E26" s="20"/>
      <c r="F26" s="257">
        <f ca="1">F46+F64+F82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$I$26*V30/($V$30+$W$30+$X$30)</f>
        <v>#DIV/0!</v>
      </c>
      <c r="N26" s="51"/>
      <c r="O26" s="294"/>
      <c r="P26" s="294"/>
      <c r="Q26" s="295" t="e">
        <f ca="1">$I$26*W30/($V$30+$W$30+$X$30)</f>
        <v>#DIV/0!</v>
      </c>
      <c r="R26" s="51"/>
      <c r="S26" s="294"/>
      <c r="T26" s="294"/>
      <c r="U26" s="295" t="e">
        <f ca="1">$I$26*X30/($V$30+$W$30+$X$30)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477397.11350964475</v>
      </c>
      <c r="G27" s="297"/>
      <c r="H27" s="259"/>
      <c r="I27" s="259">
        <f ca="1">I25+I26</f>
        <v>488556.41257909394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778">
        <f ca="1">'Rate Spread targets'!X37*1000</f>
        <v>488466.38823508786</v>
      </c>
      <c r="X27" s="1417">
        <f ca="1">'Rate Spread targets'!AA37</f>
        <v>2.3473253601397698E-2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C28" s="260"/>
      <c r="D28" s="294" t="s">
        <v>31</v>
      </c>
      <c r="E28" s="260"/>
      <c r="F28" s="248"/>
      <c r="G28" s="1" t="s">
        <v>31</v>
      </c>
      <c r="H28" s="260"/>
      <c r="I28" s="332" t="s">
        <v>31</v>
      </c>
      <c r="J28" s="2"/>
      <c r="K28" s="1" t="s">
        <v>31</v>
      </c>
      <c r="L28" s="260"/>
      <c r="M28" s="2" t="s">
        <v>31</v>
      </c>
      <c r="N28" s="2"/>
      <c r="O28" s="1" t="s">
        <v>31</v>
      </c>
      <c r="P28" s="260"/>
      <c r="Q28" s="2" t="s">
        <v>31</v>
      </c>
      <c r="R28" s="2"/>
      <c r="S28" s="1" t="s">
        <v>31</v>
      </c>
      <c r="T28" s="260"/>
      <c r="U28" s="2" t="s">
        <v>31</v>
      </c>
      <c r="V28" s="112" t="s">
        <v>257</v>
      </c>
      <c r="W28" s="780">
        <f ca="1">W27-I27</f>
        <v>-90.024344006087631</v>
      </c>
      <c r="X28" s="394">
        <v>5.1000000000000004E-4</v>
      </c>
      <c r="Y28" s="226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>
      <c r="C29" s="260"/>
      <c r="D29" s="294"/>
      <c r="E29" s="260"/>
      <c r="F29" s="248"/>
      <c r="G29" s="1"/>
      <c r="H29" s="260"/>
      <c r="I29" s="2"/>
      <c r="J29" s="2"/>
      <c r="K29" s="1"/>
      <c r="L29" s="260"/>
      <c r="M29" s="2"/>
      <c r="N29" s="2"/>
      <c r="O29" s="1"/>
      <c r="P29" s="260"/>
      <c r="Q29" s="2"/>
      <c r="R29" s="2"/>
      <c r="S29" s="1"/>
      <c r="T29" s="260"/>
      <c r="U29" s="2"/>
      <c r="V29" s="719"/>
      <c r="W29" s="719"/>
      <c r="X29" s="719"/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/>
      <c r="V30" s="401"/>
      <c r="W30" s="401"/>
      <c r="X30" s="401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>
      <c r="A31" s="247" t="s">
        <v>341</v>
      </c>
      <c r="F31" s="248"/>
      <c r="W31" s="261" t="s">
        <v>31</v>
      </c>
      <c r="X31" s="3"/>
      <c r="Y31" s="3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>
      <c r="A32" s="3" t="s">
        <v>355</v>
      </c>
      <c r="F32" s="248"/>
      <c r="V32" s="263"/>
      <c r="W32" s="263"/>
      <c r="X32" s="263"/>
      <c r="Y32" s="263"/>
      <c r="Z32" s="263"/>
      <c r="AA32" s="263"/>
      <c r="AB32" s="263"/>
      <c r="AC32" s="263"/>
      <c r="AD32" s="263"/>
      <c r="AE32" s="263"/>
      <c r="AF32" s="263"/>
      <c r="AG32" s="263"/>
      <c r="AH32" s="263"/>
      <c r="AI32" s="263"/>
      <c r="AJ32" s="263"/>
      <c r="AK32" s="263"/>
      <c r="AL32" s="20"/>
      <c r="AM32" s="20"/>
      <c r="AN32" s="20"/>
      <c r="AO32" s="20"/>
      <c r="AP32" s="20"/>
      <c r="AR32" s="84"/>
    </row>
    <row r="33" spans="1:44"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>
      <c r="A34" s="3" t="s">
        <v>343</v>
      </c>
      <c r="F34" s="248"/>
      <c r="V34" s="263"/>
      <c r="W34" s="263"/>
      <c r="X34" s="74"/>
      <c r="Y34" s="74"/>
      <c r="Z34" s="264"/>
      <c r="AA34" s="264"/>
      <c r="AB34" s="265"/>
      <c r="AC34" s="265"/>
      <c r="AD34" s="265"/>
      <c r="AE34" s="265"/>
      <c r="AF34" s="266"/>
      <c r="AG34" s="267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>
      <c r="A35" s="3" t="s">
        <v>344</v>
      </c>
      <c r="C35" s="249">
        <v>12319.411199591441</v>
      </c>
      <c r="D35" s="250">
        <v>10.98</v>
      </c>
      <c r="F35" s="2">
        <f>D35*C35</f>
        <v>135267.13497151402</v>
      </c>
      <c r="G35" s="250">
        <f ca="1">$G$15</f>
        <v>11.24</v>
      </c>
      <c r="I35" s="2">
        <f ca="1">(G35*$C35)</f>
        <v>138470.18188340779</v>
      </c>
      <c r="J35" s="2"/>
      <c r="K35" s="250">
        <f ca="1">$G$15</f>
        <v>11.24</v>
      </c>
      <c r="M35" s="2">
        <f ca="1">(K35*$C35)</f>
        <v>138470.18188340779</v>
      </c>
      <c r="N35" s="2"/>
      <c r="O35" s="250">
        <f ca="1">$G$15</f>
        <v>11.24</v>
      </c>
      <c r="Q35" s="2">
        <f ca="1">(O35*$C35)</f>
        <v>138470.18188340779</v>
      </c>
      <c r="R35" s="2"/>
      <c r="S35" s="250">
        <f ca="1">$G$15</f>
        <v>11.24</v>
      </c>
      <c r="U35" s="2">
        <f ca="1">(S35*$C35)</f>
        <v>138470.18188340779</v>
      </c>
      <c r="V35" s="20"/>
      <c r="W35" s="266"/>
      <c r="X35" s="74"/>
      <c r="Y35" s="74"/>
      <c r="Z35" s="263"/>
      <c r="AA35" s="263"/>
      <c r="AB35" s="268"/>
      <c r="AC35" s="268"/>
      <c r="AD35" s="268"/>
      <c r="AE35" s="268"/>
      <c r="AF35" s="269"/>
      <c r="AG35" s="263"/>
      <c r="AH35" s="266"/>
      <c r="AI35" s="266"/>
      <c r="AJ35" s="270"/>
      <c r="AK35" s="266"/>
      <c r="AL35" s="20"/>
      <c r="AM35" s="20"/>
      <c r="AN35" s="20"/>
      <c r="AO35" s="20"/>
      <c r="AP35" s="20"/>
      <c r="AR35" s="84"/>
    </row>
    <row r="36" spans="1:44">
      <c r="A36" s="3" t="s">
        <v>345</v>
      </c>
      <c r="C36" s="249">
        <v>269.40125116474059</v>
      </c>
      <c r="D36" s="250">
        <v>20.88</v>
      </c>
      <c r="F36" s="2">
        <f>D36*C36</f>
        <v>5625.098124319783</v>
      </c>
      <c r="G36" s="250">
        <f ca="1">$G$16</f>
        <v>21.369999999999997</v>
      </c>
      <c r="I36" s="2">
        <f ca="1">(G36*$C36)</f>
        <v>5757.1047373905058</v>
      </c>
      <c r="J36" s="2"/>
      <c r="K36" s="250">
        <f ca="1">$G$16</f>
        <v>21.369999999999997</v>
      </c>
      <c r="M36" s="2">
        <f ca="1">(K36*$C36)</f>
        <v>5757.1047373905058</v>
      </c>
      <c r="N36" s="2"/>
      <c r="O36" s="250">
        <f ca="1">$G$16</f>
        <v>21.369999999999997</v>
      </c>
      <c r="Q36" s="2">
        <f ca="1">(O36*$C36)</f>
        <v>5757.1047373905058</v>
      </c>
      <c r="R36" s="2"/>
      <c r="S36" s="250">
        <f ca="1">$G$16</f>
        <v>21.369999999999997</v>
      </c>
      <c r="U36" s="2">
        <f ca="1">(S36*$C36)</f>
        <v>5757.1047373905058</v>
      </c>
      <c r="V36" s="20"/>
      <c r="W36" s="266"/>
      <c r="X36" s="74"/>
      <c r="Y36" s="74"/>
      <c r="Z36" s="20"/>
      <c r="AA36" s="20"/>
      <c r="AB36" s="272"/>
      <c r="AC36" s="272"/>
      <c r="AD36" s="272"/>
      <c r="AE36" s="272"/>
      <c r="AF36" s="263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>
      <c r="A37" s="3" t="s">
        <v>346</v>
      </c>
      <c r="C37" s="249">
        <v>0</v>
      </c>
      <c r="D37" s="250">
        <v>43.21</v>
      </c>
      <c r="F37" s="2">
        <f>D37*C37</f>
        <v>0</v>
      </c>
      <c r="G37" s="250">
        <f ca="1">$G$17</f>
        <v>44.25</v>
      </c>
      <c r="I37" s="2">
        <f ca="1">(G37*$C37)</f>
        <v>0</v>
      </c>
      <c r="J37" s="2"/>
      <c r="K37" s="250">
        <f ca="1">$G$17</f>
        <v>44.25</v>
      </c>
      <c r="M37" s="2">
        <f ca="1">(K37*$C37)</f>
        <v>0</v>
      </c>
      <c r="N37" s="2"/>
      <c r="O37" s="250">
        <f ca="1">$G$17</f>
        <v>44.25</v>
      </c>
      <c r="Q37" s="2">
        <f ca="1">(O37*$C37)</f>
        <v>0</v>
      </c>
      <c r="R37" s="2"/>
      <c r="S37" s="250">
        <f ca="1">$G$17</f>
        <v>44.25</v>
      </c>
      <c r="U37" s="2">
        <f ca="1">(S37*$C37)</f>
        <v>0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>
      <c r="A38" s="3" t="s">
        <v>347</v>
      </c>
      <c r="C38" s="249"/>
      <c r="D38" s="250"/>
      <c r="F38" s="2"/>
      <c r="G38" s="250"/>
      <c r="I38" s="2"/>
      <c r="J38" s="2"/>
      <c r="K38" s="250"/>
      <c r="M38" s="2"/>
      <c r="N38" s="2"/>
      <c r="O38" s="250"/>
      <c r="Q38" s="2"/>
      <c r="R38" s="2"/>
      <c r="S38" s="250"/>
      <c r="U38" s="2"/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>
      <c r="A39" s="3" t="s">
        <v>348</v>
      </c>
      <c r="C39" s="249">
        <v>815.26657972914199</v>
      </c>
      <c r="D39" s="250">
        <v>12.48</v>
      </c>
      <c r="F39" s="2">
        <f>D39*C39</f>
        <v>10174.526915019693</v>
      </c>
      <c r="G39" s="250">
        <f ca="1">$G$19</f>
        <v>12.77</v>
      </c>
      <c r="I39" s="2">
        <f t="shared" ref="I39:I42" ca="1" si="2">(G39*$C39)</f>
        <v>10410.954223141143</v>
      </c>
      <c r="J39" s="2"/>
      <c r="K39" s="250">
        <f ca="1">$G$19</f>
        <v>12.77</v>
      </c>
      <c r="M39" s="2">
        <f t="shared" ref="M39:M42" ca="1" si="3">(K39*$C39)</f>
        <v>10410.954223141143</v>
      </c>
      <c r="N39" s="2"/>
      <c r="O39" s="250">
        <f ca="1">$G$19</f>
        <v>12.77</v>
      </c>
      <c r="Q39" s="2">
        <f t="shared" ref="Q39:Q42" ca="1" si="4">(O39*$C39)</f>
        <v>10410.954223141143</v>
      </c>
      <c r="R39" s="2"/>
      <c r="S39" s="250">
        <f ca="1">$G$19</f>
        <v>12.77</v>
      </c>
      <c r="U39" s="2">
        <f t="shared" ref="U39:U42" ca="1" si="5">(S39*$C39)</f>
        <v>10410.954223141143</v>
      </c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>
      <c r="A40" s="3" t="s">
        <v>349</v>
      </c>
      <c r="C40" s="249">
        <v>197.43500610479001</v>
      </c>
      <c r="D40" s="250">
        <v>18.329999999999998</v>
      </c>
      <c r="F40" s="2">
        <f>D40*C40</f>
        <v>3618.9836619008006</v>
      </c>
      <c r="G40" s="250">
        <f ca="1">$G$20</f>
        <v>18.759999999999998</v>
      </c>
      <c r="I40" s="2">
        <f t="shared" ca="1" si="2"/>
        <v>3703.8807145258602</v>
      </c>
      <c r="J40" s="2"/>
      <c r="K40" s="250">
        <f ca="1">$G$20</f>
        <v>18.759999999999998</v>
      </c>
      <c r="M40" s="2">
        <f t="shared" ca="1" si="3"/>
        <v>3703.8807145258602</v>
      </c>
      <c r="N40" s="2"/>
      <c r="O40" s="250">
        <f ca="1">$G$20</f>
        <v>18.759999999999998</v>
      </c>
      <c r="Q40" s="2">
        <f t="shared" ca="1" si="4"/>
        <v>3703.8807145258602</v>
      </c>
      <c r="R40" s="2"/>
      <c r="S40" s="250">
        <f ca="1">$G$20</f>
        <v>18.759999999999998</v>
      </c>
      <c r="U40" s="2">
        <f t="shared" ca="1" si="5"/>
        <v>3703.8807145258602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>
      <c r="A41" s="3" t="s">
        <v>350</v>
      </c>
      <c r="C41" s="249">
        <v>12.0001539348952</v>
      </c>
      <c r="D41" s="250">
        <v>29.57</v>
      </c>
      <c r="F41" s="2">
        <f>D41*C41</f>
        <v>354.84455185485109</v>
      </c>
      <c r="G41" s="250">
        <f ca="1">$G$21</f>
        <v>30.28</v>
      </c>
      <c r="I41" s="2">
        <f t="shared" ca="1" si="2"/>
        <v>363.36466114862668</v>
      </c>
      <c r="J41" s="2"/>
      <c r="K41" s="250">
        <f ca="1">$G$21</f>
        <v>30.28</v>
      </c>
      <c r="M41" s="2">
        <f t="shared" ca="1" si="3"/>
        <v>363.36466114862668</v>
      </c>
      <c r="N41" s="2"/>
      <c r="O41" s="250">
        <f ca="1">$G$21</f>
        <v>30.28</v>
      </c>
      <c r="Q41" s="2">
        <f t="shared" ca="1" si="4"/>
        <v>363.36466114862668</v>
      </c>
      <c r="R41" s="2"/>
      <c r="S41" s="250">
        <f ca="1">$G$21</f>
        <v>30.28</v>
      </c>
      <c r="U41" s="2">
        <f t="shared" ca="1" si="5"/>
        <v>363.36466114862668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>
      <c r="A42" s="3" t="s">
        <v>351</v>
      </c>
      <c r="C42" s="249">
        <v>105.16961673026219</v>
      </c>
      <c r="D42" s="250">
        <v>1</v>
      </c>
      <c r="E42" s="20"/>
      <c r="F42" s="2">
        <f>D42*C42</f>
        <v>105.16961673026219</v>
      </c>
      <c r="G42" s="254">
        <f>$G$22</f>
        <v>1</v>
      </c>
      <c r="H42" s="20"/>
      <c r="I42" s="2">
        <f t="shared" si="2"/>
        <v>105.16961673026219</v>
      </c>
      <c r="J42" s="2"/>
      <c r="K42" s="254">
        <f>$G$22</f>
        <v>1</v>
      </c>
      <c r="L42" s="20"/>
      <c r="M42" s="2">
        <f t="shared" si="3"/>
        <v>105.16961673026219</v>
      </c>
      <c r="N42" s="2"/>
      <c r="O42" s="254">
        <f>$G$22</f>
        <v>1</v>
      </c>
      <c r="P42" s="20"/>
      <c r="Q42" s="2">
        <f t="shared" si="4"/>
        <v>105.16961673026219</v>
      </c>
      <c r="R42" s="2"/>
      <c r="S42" s="254">
        <f>$G$22</f>
        <v>1</v>
      </c>
      <c r="T42" s="20"/>
      <c r="U42" s="2">
        <f t="shared" si="5"/>
        <v>105.16961673026219</v>
      </c>
      <c r="V42" s="263"/>
      <c r="W42" s="266"/>
      <c r="X42" s="74"/>
      <c r="Y42" s="74"/>
      <c r="Z42" s="20"/>
      <c r="AA42" s="20"/>
      <c r="AB42" s="263"/>
      <c r="AC42" s="263"/>
      <c r="AD42" s="263"/>
      <c r="AE42" s="263"/>
      <c r="AF42" s="263"/>
      <c r="AG42" s="263"/>
      <c r="AH42" s="266"/>
      <c r="AI42" s="266"/>
      <c r="AJ42" s="266"/>
      <c r="AK42" s="266"/>
      <c r="AL42" s="20"/>
      <c r="AM42" s="20"/>
      <c r="AN42" s="20"/>
      <c r="AO42" s="20"/>
      <c r="AP42" s="20"/>
      <c r="AR42" s="84"/>
    </row>
    <row r="43" spans="1:44" s="1118" customFormat="1" hidden="1">
      <c r="A43" s="968" t="s">
        <v>856</v>
      </c>
      <c r="C43" s="1122">
        <f>C45</f>
        <v>1033526</v>
      </c>
      <c r="D43" s="1423">
        <v>0</v>
      </c>
      <c r="E43" s="1119"/>
      <c r="F43" s="1123"/>
      <c r="G43" s="1128">
        <f>G23</f>
        <v>0</v>
      </c>
      <c r="H43" s="1126" t="s">
        <v>364</v>
      </c>
      <c r="I43" s="1123">
        <f>G43*C43/100</f>
        <v>0</v>
      </c>
      <c r="J43" s="1123"/>
      <c r="K43" s="1128" t="str">
        <f>K23</f>
        <v xml:space="preserve"> </v>
      </c>
      <c r="L43" s="1126" t="s">
        <v>364</v>
      </c>
      <c r="M43" s="1123" t="e">
        <f>K43*#REF!/100</f>
        <v>#REF!</v>
      </c>
      <c r="N43" s="1123"/>
      <c r="O43" s="1128" t="str">
        <f>O23</f>
        <v xml:space="preserve"> </v>
      </c>
      <c r="P43" s="1126" t="s">
        <v>364</v>
      </c>
      <c r="Q43" s="1123">
        <f>O43*G43/100</f>
        <v>0</v>
      </c>
      <c r="R43" s="1123"/>
      <c r="S43" s="1128">
        <f>S23</f>
        <v>0</v>
      </c>
      <c r="T43" s="1126" t="s">
        <v>364</v>
      </c>
      <c r="U43" s="1123">
        <f>S43*K43/100</f>
        <v>0</v>
      </c>
      <c r="W43" s="784"/>
      <c r="Z43" s="1125"/>
      <c r="AA43" s="1125"/>
      <c r="AF43" s="1119"/>
      <c r="AG43" s="1119"/>
      <c r="AH43" s="1119"/>
      <c r="AI43" s="1119"/>
      <c r="AJ43" s="1119"/>
      <c r="AK43" s="1119"/>
      <c r="AL43" s="1119"/>
      <c r="AM43" s="1119"/>
      <c r="AN43" s="1119"/>
      <c r="AO43" s="1119"/>
      <c r="AP43" s="1119"/>
      <c r="AR43" s="1124"/>
    </row>
    <row r="44" spans="1:44">
      <c r="A44" s="3" t="s">
        <v>352</v>
      </c>
      <c r="C44" s="249">
        <v>13372</v>
      </c>
      <c r="D44" s="250"/>
      <c r="F44" s="2"/>
      <c r="G44" s="250"/>
      <c r="I44" s="2"/>
      <c r="J44" s="2"/>
      <c r="K44" s="250"/>
      <c r="M44" s="2"/>
      <c r="N44" s="2"/>
      <c r="O44" s="250"/>
      <c r="Q44" s="2"/>
      <c r="R44" s="2"/>
      <c r="S44" s="250"/>
      <c r="U44" s="2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73"/>
      <c r="AI44" s="263"/>
      <c r="AJ44" s="263"/>
      <c r="AK44" s="263"/>
      <c r="AL44" s="20"/>
      <c r="AM44" s="20"/>
      <c r="AN44" s="20"/>
      <c r="AO44" s="20"/>
      <c r="AP44" s="20"/>
      <c r="AR44" s="84"/>
    </row>
    <row r="45" spans="1:44">
      <c r="A45" s="3" t="s">
        <v>35</v>
      </c>
      <c r="C45" s="249">
        <v>1033526</v>
      </c>
      <c r="D45" s="254"/>
      <c r="E45" s="20"/>
      <c r="F45" s="257">
        <f>SUM(F35:F42)</f>
        <v>155145.75784133942</v>
      </c>
      <c r="G45" s="254"/>
      <c r="H45" s="20"/>
      <c r="I45" s="257">
        <f ca="1">SUM(I35:I43)</f>
        <v>158810.65583634417</v>
      </c>
      <c r="J45" s="257"/>
      <c r="K45" s="254"/>
      <c r="L45" s="20"/>
      <c r="M45" s="257" t="e">
        <f ca="1">SUM(M35:M43)</f>
        <v>#REF!</v>
      </c>
      <c r="N45" s="257"/>
      <c r="O45" s="254"/>
      <c r="P45" s="20"/>
      <c r="Q45" s="257">
        <f ca="1">SUM(Q35:Q43)</f>
        <v>158810.65583634417</v>
      </c>
      <c r="R45" s="257"/>
      <c r="S45" s="254"/>
      <c r="T45" s="20"/>
      <c r="U45" s="257">
        <f ca="1">SUM(U35:U43)</f>
        <v>158810.65583634417</v>
      </c>
      <c r="V45" s="263"/>
      <c r="W45" s="272"/>
      <c r="X45" s="263"/>
      <c r="Y45" s="263"/>
      <c r="Z45" s="20"/>
      <c r="AA45" s="20"/>
      <c r="AB45" s="20"/>
      <c r="AC45" s="20"/>
      <c r="AD45" s="20"/>
      <c r="AE45" s="20"/>
      <c r="AF45" s="20"/>
      <c r="AG45" s="263"/>
      <c r="AH45" s="26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>
      <c r="A46" s="3" t="s">
        <v>353</v>
      </c>
      <c r="C46" s="249">
        <f>'Table 2'!H21</f>
        <v>13388.012256127642</v>
      </c>
      <c r="D46" s="254"/>
      <c r="E46" s="20"/>
      <c r="F46" s="257">
        <f>'Table 3'!E21</f>
        <v>2236.7857072807878</v>
      </c>
      <c r="G46" s="254"/>
      <c r="H46" s="20"/>
      <c r="I46" s="257">
        <f>F46</f>
        <v>2236.7857072807878</v>
      </c>
      <c r="J46" s="257"/>
      <c r="K46" s="254"/>
      <c r="L46" s="20"/>
      <c r="M46" s="257">
        <f>I46</f>
        <v>2236.7857072807878</v>
      </c>
      <c r="N46" s="257"/>
      <c r="O46" s="254"/>
      <c r="P46" s="20"/>
      <c r="Q46" s="257">
        <f>M46</f>
        <v>2236.7857072807878</v>
      </c>
      <c r="R46" s="257"/>
      <c r="S46" s="254"/>
      <c r="T46" s="20"/>
      <c r="U46" s="257">
        <f>Q46</f>
        <v>2236.7857072807878</v>
      </c>
      <c r="V46" s="429"/>
      <c r="W46" s="272"/>
      <c r="X46" s="263"/>
      <c r="Y46" s="263"/>
      <c r="Z46" s="263"/>
      <c r="AA46" s="263"/>
      <c r="AB46" s="268"/>
      <c r="AC46" s="268"/>
      <c r="AD46" s="268"/>
      <c r="AE46" s="268"/>
      <c r="AF46" s="266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t="16.5" thickBot="1">
      <c r="A47" s="3" t="s">
        <v>9</v>
      </c>
      <c r="C47" s="258">
        <f>C45+C46</f>
        <v>1046914.0122561277</v>
      </c>
      <c r="D47" s="297"/>
      <c r="E47" s="259"/>
      <c r="F47" s="259">
        <f>F45+F46</f>
        <v>157382.54354862022</v>
      </c>
      <c r="G47" s="297"/>
      <c r="H47" s="259"/>
      <c r="I47" s="259">
        <f ca="1">I45+I46</f>
        <v>161047.44154362497</v>
      </c>
      <c r="J47" s="51"/>
      <c r="K47" s="297"/>
      <c r="L47" s="259"/>
      <c r="M47" s="259" t="e">
        <f ca="1">M45+M46</f>
        <v>#REF!</v>
      </c>
      <c r="N47" s="297"/>
      <c r="O47" s="297"/>
      <c r="P47" s="259"/>
      <c r="Q47" s="259">
        <f ca="1">Q45+Q46</f>
        <v>161047.44154362497</v>
      </c>
      <c r="R47" s="297"/>
      <c r="S47" s="297"/>
      <c r="T47" s="259"/>
      <c r="U47" s="259">
        <f ca="1">U45+U46</f>
        <v>161047.44154362497</v>
      </c>
      <c r="V47" s="396"/>
      <c r="W47" s="455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thickTop="1">
      <c r="C48" s="260"/>
      <c r="D48" s="294" t="s">
        <v>31</v>
      </c>
      <c r="E48" s="260"/>
      <c r="F48" s="248"/>
      <c r="G48" s="1" t="s">
        <v>31</v>
      </c>
      <c r="H48" s="260"/>
      <c r="I48" s="2" t="s">
        <v>31</v>
      </c>
      <c r="J48" s="2"/>
      <c r="K48" s="1" t="s">
        <v>31</v>
      </c>
      <c r="L48" s="260"/>
      <c r="M48" s="2" t="s">
        <v>31</v>
      </c>
      <c r="N48" s="2"/>
      <c r="O48" s="1" t="s">
        <v>31</v>
      </c>
      <c r="P48" s="260"/>
      <c r="Q48" s="2" t="s">
        <v>31</v>
      </c>
      <c r="R48" s="2"/>
      <c r="S48" s="1" t="s">
        <v>31</v>
      </c>
      <c r="T48" s="260"/>
      <c r="U48" s="2" t="s">
        <v>31</v>
      </c>
      <c r="V48" s="20"/>
      <c r="W48" s="74"/>
      <c r="X48" s="74"/>
      <c r="Y48" s="74"/>
      <c r="Z48" s="20"/>
      <c r="AA48" s="20"/>
      <c r="AB48" s="20"/>
      <c r="AC48" s="20"/>
      <c r="AD48" s="20"/>
      <c r="AE48" s="20"/>
      <c r="AF48" s="20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>
      <c r="A49" s="247" t="s">
        <v>341</v>
      </c>
      <c r="F49" s="248"/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>
      <c r="A50" s="3" t="s">
        <v>356</v>
      </c>
      <c r="F50" s="248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>
      <c r="A52" s="3" t="s">
        <v>343</v>
      </c>
      <c r="F52" s="248"/>
      <c r="V52" s="263"/>
      <c r="W52" s="263"/>
      <c r="X52" s="74"/>
      <c r="Y52" s="74"/>
      <c r="Z52" s="264"/>
      <c r="AA52" s="264"/>
      <c r="AB52" s="265"/>
      <c r="AC52" s="265"/>
      <c r="AD52" s="265"/>
      <c r="AE52" s="265"/>
      <c r="AF52" s="266"/>
      <c r="AG52" s="267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>
      <c r="A53" s="3" t="s">
        <v>344</v>
      </c>
      <c r="C53" s="249">
        <v>13565.461216694168</v>
      </c>
      <c r="D53" s="250">
        <v>10.98</v>
      </c>
      <c r="F53" s="2">
        <f>D53*C53</f>
        <v>148948.76415930197</v>
      </c>
      <c r="G53" s="250">
        <f ca="1">$G$15</f>
        <v>11.24</v>
      </c>
      <c r="I53" s="2">
        <f t="shared" ref="I53:I55" ca="1" si="6">(G53*$C53)</f>
        <v>152475.78407564244</v>
      </c>
      <c r="J53" s="2"/>
      <c r="K53" s="250">
        <f ca="1">$G$15</f>
        <v>11.24</v>
      </c>
      <c r="M53" s="2">
        <f t="shared" ref="M53:M55" ca="1" si="7">(K53*$C53)</f>
        <v>152475.78407564244</v>
      </c>
      <c r="N53" s="2"/>
      <c r="O53" s="250">
        <f ca="1">$G$15</f>
        <v>11.24</v>
      </c>
      <c r="Q53" s="2">
        <f t="shared" ref="Q53:Q55" ca="1" si="8">(O53*$C53)</f>
        <v>152475.78407564244</v>
      </c>
      <c r="R53" s="2"/>
      <c r="S53" s="250">
        <f ca="1">$G$15</f>
        <v>11.24</v>
      </c>
      <c r="U53" s="2">
        <f t="shared" ref="U53:U55" ca="1" si="9">(S53*$C53)</f>
        <v>152475.78407564244</v>
      </c>
      <c r="V53" s="20"/>
      <c r="W53" s="266"/>
      <c r="X53" s="74"/>
      <c r="Y53" s="74"/>
      <c r="Z53" s="263"/>
      <c r="AA53" s="263"/>
      <c r="AB53" s="268"/>
      <c r="AC53" s="268"/>
      <c r="AD53" s="268"/>
      <c r="AE53" s="268"/>
      <c r="AF53" s="269"/>
      <c r="AG53" s="263"/>
      <c r="AH53" s="266"/>
      <c r="AI53" s="266"/>
      <c r="AJ53" s="270"/>
      <c r="AK53" s="266"/>
      <c r="AL53" s="20"/>
      <c r="AM53" s="20"/>
      <c r="AN53" s="20"/>
      <c r="AO53" s="20"/>
      <c r="AP53" s="20"/>
      <c r="AR53" s="84"/>
    </row>
    <row r="54" spans="1:44">
      <c r="A54" s="3" t="s">
        <v>345</v>
      </c>
      <c r="C54" s="249">
        <v>3532.598813033077</v>
      </c>
      <c r="D54" s="250">
        <v>20.88</v>
      </c>
      <c r="F54" s="2">
        <f>D54*C54</f>
        <v>73760.663216130648</v>
      </c>
      <c r="G54" s="250">
        <f ca="1">$G$16</f>
        <v>21.369999999999997</v>
      </c>
      <c r="I54" s="2">
        <f t="shared" ca="1" si="6"/>
        <v>75491.63663451685</v>
      </c>
      <c r="J54" s="2"/>
      <c r="K54" s="250">
        <f ca="1">$G$16</f>
        <v>21.369999999999997</v>
      </c>
      <c r="M54" s="2">
        <f t="shared" ca="1" si="7"/>
        <v>75491.63663451685</v>
      </c>
      <c r="N54" s="2"/>
      <c r="O54" s="250">
        <f ca="1">$G$16</f>
        <v>21.369999999999997</v>
      </c>
      <c r="Q54" s="2">
        <f t="shared" ca="1" si="8"/>
        <v>75491.63663451685</v>
      </c>
      <c r="R54" s="2"/>
      <c r="S54" s="250">
        <f ca="1">$G$16</f>
        <v>21.369999999999997</v>
      </c>
      <c r="U54" s="2">
        <f t="shared" ca="1" si="9"/>
        <v>75491.63663451685</v>
      </c>
      <c r="V54" s="20"/>
      <c r="W54" s="266"/>
      <c r="X54" s="74"/>
      <c r="Y54" s="74"/>
      <c r="Z54" s="20"/>
      <c r="AA54" s="20"/>
      <c r="AB54" s="272"/>
      <c r="AC54" s="272"/>
      <c r="AD54" s="272"/>
      <c r="AE54" s="272"/>
      <c r="AF54" s="263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>
      <c r="A55" s="3" t="s">
        <v>346</v>
      </c>
      <c r="C55" s="249">
        <v>489.16675699261128</v>
      </c>
      <c r="D55" s="250">
        <v>43.21</v>
      </c>
      <c r="F55" s="2">
        <f>D55*C55</f>
        <v>21136.895569650733</v>
      </c>
      <c r="G55" s="250">
        <f ca="1">$G$17</f>
        <v>44.25</v>
      </c>
      <c r="I55" s="2">
        <f t="shared" ca="1" si="6"/>
        <v>21645.628996923049</v>
      </c>
      <c r="J55" s="2"/>
      <c r="K55" s="250">
        <f ca="1">$G$17</f>
        <v>44.25</v>
      </c>
      <c r="M55" s="2">
        <f t="shared" ca="1" si="7"/>
        <v>21645.628996923049</v>
      </c>
      <c r="N55" s="2"/>
      <c r="O55" s="250">
        <f ca="1">$G$17</f>
        <v>44.25</v>
      </c>
      <c r="Q55" s="2">
        <f t="shared" ca="1" si="8"/>
        <v>21645.628996923049</v>
      </c>
      <c r="R55" s="2"/>
      <c r="S55" s="250">
        <f ca="1">$G$17</f>
        <v>44.25</v>
      </c>
      <c r="U55" s="2">
        <f t="shared" ca="1" si="9"/>
        <v>21645.628996923049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>
      <c r="A56" s="3" t="s">
        <v>347</v>
      </c>
      <c r="C56" s="249"/>
      <c r="D56" s="250"/>
      <c r="F56" s="2"/>
      <c r="G56" s="250"/>
      <c r="I56" s="2"/>
      <c r="J56" s="2"/>
      <c r="K56" s="250"/>
      <c r="M56" s="2"/>
      <c r="N56" s="2"/>
      <c r="O56" s="250"/>
      <c r="Q56" s="2"/>
      <c r="R56" s="2"/>
      <c r="S56" s="250"/>
      <c r="U56" s="2"/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>
      <c r="A57" s="3" t="s">
        <v>348</v>
      </c>
      <c r="C57" s="249">
        <v>1191.3721888629</v>
      </c>
      <c r="D57" s="250">
        <v>12.48</v>
      </c>
      <c r="F57" s="2">
        <f>D57*C57</f>
        <v>14868.324917008993</v>
      </c>
      <c r="G57" s="250">
        <f ca="1">$G$19</f>
        <v>12.77</v>
      </c>
      <c r="I57" s="2">
        <f t="shared" ref="I57:I60" ca="1" si="10">(G57*$C57)</f>
        <v>15213.822851779232</v>
      </c>
      <c r="J57" s="2"/>
      <c r="K57" s="250">
        <f ca="1">$G$19</f>
        <v>12.77</v>
      </c>
      <c r="M57" s="2">
        <f t="shared" ref="M57:M60" ca="1" si="11">(K57*$C57)</f>
        <v>15213.822851779232</v>
      </c>
      <c r="N57" s="2"/>
      <c r="O57" s="250">
        <f ca="1">$G$19</f>
        <v>12.77</v>
      </c>
      <c r="Q57" s="2">
        <f t="shared" ref="Q57:Q60" ca="1" si="12">(O57*$C57)</f>
        <v>15213.822851779232</v>
      </c>
      <c r="R57" s="2"/>
      <c r="S57" s="250">
        <f ca="1">$G$19</f>
        <v>12.77</v>
      </c>
      <c r="U57" s="2">
        <f t="shared" ref="U57:U60" ca="1" si="13">(S57*$C57)</f>
        <v>15213.822851779232</v>
      </c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>
      <c r="A58" s="3" t="s">
        <v>349</v>
      </c>
      <c r="C58" s="249">
        <v>1361.8043880047101</v>
      </c>
      <c r="D58" s="250">
        <v>18.329999999999998</v>
      </c>
      <c r="F58" s="2">
        <f>D58*C58</f>
        <v>24961.874432126333</v>
      </c>
      <c r="G58" s="250">
        <f ca="1">$G$20</f>
        <v>18.759999999999998</v>
      </c>
      <c r="I58" s="2">
        <f t="shared" ca="1" si="10"/>
        <v>25547.450318968356</v>
      </c>
      <c r="J58" s="2"/>
      <c r="K58" s="250">
        <f ca="1">$G$20</f>
        <v>18.759999999999998</v>
      </c>
      <c r="M58" s="2">
        <f t="shared" ca="1" si="11"/>
        <v>25547.450318968356</v>
      </c>
      <c r="N58" s="2"/>
      <c r="O58" s="250">
        <f ca="1">$G$20</f>
        <v>18.759999999999998</v>
      </c>
      <c r="Q58" s="2">
        <f t="shared" ca="1" si="12"/>
        <v>25547.450318968356</v>
      </c>
      <c r="R58" s="2"/>
      <c r="S58" s="250">
        <f ca="1">$G$20</f>
        <v>18.759999999999998</v>
      </c>
      <c r="U58" s="2">
        <f t="shared" ca="1" si="13"/>
        <v>25547.450318968356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>
      <c r="A59" s="3" t="s">
        <v>350</v>
      </c>
      <c r="C59" s="249">
        <v>503.93238412641102</v>
      </c>
      <c r="D59" s="250">
        <v>29.57</v>
      </c>
      <c r="F59" s="2">
        <f>D59*C59</f>
        <v>14901.280598617974</v>
      </c>
      <c r="G59" s="250">
        <f ca="1">$G$21</f>
        <v>30.28</v>
      </c>
      <c r="I59" s="2">
        <f t="shared" ca="1" si="10"/>
        <v>15259.072591347727</v>
      </c>
      <c r="J59" s="2"/>
      <c r="K59" s="250">
        <f ca="1">$G$21</f>
        <v>30.28</v>
      </c>
      <c r="M59" s="2">
        <f t="shared" ca="1" si="11"/>
        <v>15259.072591347727</v>
      </c>
      <c r="N59" s="2"/>
      <c r="O59" s="250">
        <f ca="1">$G$21</f>
        <v>30.28</v>
      </c>
      <c r="Q59" s="2">
        <f t="shared" ca="1" si="12"/>
        <v>15259.072591347727</v>
      </c>
      <c r="R59" s="2"/>
      <c r="S59" s="250">
        <f ca="1">$G$21</f>
        <v>30.28</v>
      </c>
      <c r="U59" s="2">
        <f t="shared" ca="1" si="13"/>
        <v>15259.072591347727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>
      <c r="A60" s="3" t="s">
        <v>351</v>
      </c>
      <c r="C60" s="249">
        <v>324.1657048160514</v>
      </c>
      <c r="D60" s="250">
        <v>1</v>
      </c>
      <c r="E60" s="20"/>
      <c r="F60" s="2">
        <f>D60*C60</f>
        <v>324.1657048160514</v>
      </c>
      <c r="G60" s="254">
        <f>$G$22</f>
        <v>1</v>
      </c>
      <c r="H60" s="20"/>
      <c r="I60" s="2">
        <f t="shared" si="10"/>
        <v>324.1657048160514</v>
      </c>
      <c r="J60" s="2"/>
      <c r="K60" s="254">
        <f>$G$22</f>
        <v>1</v>
      </c>
      <c r="L60" s="20"/>
      <c r="M60" s="2">
        <f t="shared" si="11"/>
        <v>324.1657048160514</v>
      </c>
      <c r="N60" s="2"/>
      <c r="O60" s="254">
        <f>$G$22</f>
        <v>1</v>
      </c>
      <c r="P60" s="20"/>
      <c r="Q60" s="2">
        <f t="shared" si="12"/>
        <v>324.1657048160514</v>
      </c>
      <c r="R60" s="2"/>
      <c r="S60" s="254">
        <f>$G$22</f>
        <v>1</v>
      </c>
      <c r="T60" s="20"/>
      <c r="U60" s="2">
        <f t="shared" si="13"/>
        <v>324.1657048160514</v>
      </c>
      <c r="V60" s="263"/>
      <c r="W60" s="266"/>
      <c r="X60" s="74"/>
      <c r="Y60" s="74"/>
      <c r="Z60" s="20"/>
      <c r="AA60" s="20"/>
      <c r="AB60" s="263"/>
      <c r="AC60" s="263"/>
      <c r="AD60" s="263"/>
      <c r="AE60" s="263"/>
      <c r="AF60" s="263"/>
      <c r="AG60" s="263"/>
      <c r="AH60" s="266"/>
      <c r="AI60" s="266"/>
      <c r="AJ60" s="266"/>
      <c r="AK60" s="266"/>
      <c r="AL60" s="20"/>
      <c r="AM60" s="20"/>
      <c r="AN60" s="20"/>
      <c r="AO60" s="20"/>
      <c r="AP60" s="20"/>
      <c r="AR60" s="84"/>
    </row>
    <row r="61" spans="1:44" s="1118" customFormat="1" hidden="1">
      <c r="A61" s="968" t="s">
        <v>856</v>
      </c>
      <c r="C61" s="1122">
        <f>C63</f>
        <v>2083856</v>
      </c>
      <c r="D61" s="1423">
        <v>0</v>
      </c>
      <c r="E61" s="1119"/>
      <c r="F61" s="1123"/>
      <c r="G61" s="1128">
        <f>G23</f>
        <v>0</v>
      </c>
      <c r="H61" s="1126" t="s">
        <v>364</v>
      </c>
      <c r="I61" s="1123">
        <f>G61*C61/100</f>
        <v>0</v>
      </c>
      <c r="J61" s="1123"/>
      <c r="K61" s="1128" t="str">
        <f>K23</f>
        <v xml:space="preserve"> </v>
      </c>
      <c r="L61" s="1126" t="s">
        <v>364</v>
      </c>
      <c r="M61" s="1123" t="e">
        <f>K61*#REF!/100</f>
        <v>#REF!</v>
      </c>
      <c r="N61" s="1123"/>
      <c r="O61" s="1128" t="str">
        <f>O23</f>
        <v xml:space="preserve"> </v>
      </c>
      <c r="P61" s="1126" t="s">
        <v>364</v>
      </c>
      <c r="Q61" s="1123">
        <f>O61*G61/100</f>
        <v>0</v>
      </c>
      <c r="R61" s="1123"/>
      <c r="S61" s="1128">
        <f>S23</f>
        <v>0</v>
      </c>
      <c r="T61" s="1126" t="s">
        <v>364</v>
      </c>
      <c r="U61" s="1123">
        <f>S61*K61/100</f>
        <v>0</v>
      </c>
      <c r="W61" s="784"/>
      <c r="Z61" s="1125"/>
      <c r="AA61" s="1125"/>
      <c r="AF61" s="1119"/>
      <c r="AG61" s="1119"/>
      <c r="AH61" s="1119"/>
      <c r="AI61" s="1119"/>
      <c r="AJ61" s="1119"/>
      <c r="AK61" s="1119"/>
      <c r="AL61" s="1119"/>
      <c r="AM61" s="1119"/>
      <c r="AN61" s="1119"/>
      <c r="AO61" s="1119"/>
      <c r="AP61" s="1119"/>
      <c r="AR61" s="1124"/>
    </row>
    <row r="62" spans="1:44">
      <c r="A62" s="3" t="s">
        <v>352</v>
      </c>
      <c r="C62" s="249">
        <v>15518</v>
      </c>
      <c r="D62" s="250"/>
      <c r="F62" s="2"/>
      <c r="G62" s="250"/>
      <c r="I62" s="2"/>
      <c r="J62" s="2"/>
      <c r="K62" s="250"/>
      <c r="M62" s="2"/>
      <c r="N62" s="2"/>
      <c r="O62" s="250"/>
      <c r="Q62" s="2"/>
      <c r="R62" s="2"/>
      <c r="S62" s="250"/>
      <c r="U62" s="2"/>
      <c r="V62" s="263"/>
      <c r="W62" s="263"/>
      <c r="X62" s="263"/>
      <c r="Y62" s="263"/>
      <c r="Z62" s="263"/>
      <c r="AA62" s="263"/>
      <c r="AB62" s="263"/>
      <c r="AC62" s="263"/>
      <c r="AD62" s="263"/>
      <c r="AE62" s="263"/>
      <c r="AF62" s="263"/>
      <c r="AG62" s="263"/>
      <c r="AH62" s="273"/>
      <c r="AI62" s="263"/>
      <c r="AJ62" s="263"/>
      <c r="AK62" s="263"/>
      <c r="AL62" s="20"/>
      <c r="AM62" s="20"/>
      <c r="AN62" s="20"/>
      <c r="AO62" s="20"/>
      <c r="AP62" s="20"/>
      <c r="AR62" s="84"/>
    </row>
    <row r="63" spans="1:44">
      <c r="A63" s="3" t="s">
        <v>35</v>
      </c>
      <c r="C63" s="249">
        <v>2083856</v>
      </c>
      <c r="D63" s="254"/>
      <c r="E63" s="20"/>
      <c r="F63" s="257">
        <f>SUM(F53:F60)</f>
        <v>298901.96859765274</v>
      </c>
      <c r="G63" s="254"/>
      <c r="H63" s="20"/>
      <c r="I63" s="257">
        <f ca="1">SUM(I53:I61)</f>
        <v>305957.56117399369</v>
      </c>
      <c r="J63" s="257"/>
      <c r="K63" s="254"/>
      <c r="L63" s="20"/>
      <c r="M63" s="257" t="e">
        <f ca="1">SUM(M53:M61)</f>
        <v>#REF!</v>
      </c>
      <c r="N63" s="257"/>
      <c r="O63" s="254"/>
      <c r="P63" s="20"/>
      <c r="Q63" s="257">
        <f ca="1">SUM(Q53:Q61)</f>
        <v>305957.56117399369</v>
      </c>
      <c r="R63" s="257"/>
      <c r="S63" s="254"/>
      <c r="T63" s="20"/>
      <c r="U63" s="257">
        <f ca="1">SUM(U53:U61)</f>
        <v>305957.56117399369</v>
      </c>
      <c r="V63" s="263"/>
      <c r="W63" s="272"/>
      <c r="X63" s="263"/>
      <c r="Y63" s="263"/>
      <c r="Z63" s="20"/>
      <c r="AA63" s="20"/>
      <c r="AB63" s="20"/>
      <c r="AC63" s="20"/>
      <c r="AD63" s="20"/>
      <c r="AE63" s="20"/>
      <c r="AF63" s="20"/>
      <c r="AG63" s="263"/>
      <c r="AH63" s="26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>
      <c r="A64" s="3" t="s">
        <v>353</v>
      </c>
      <c r="C64" s="249">
        <f>'Table 2'!H52</f>
        <v>14372.590194620605</v>
      </c>
      <c r="D64" s="254"/>
      <c r="E64" s="20"/>
      <c r="F64" s="257">
        <f>'Table 3'!E52</f>
        <v>2323.2050877783413</v>
      </c>
      <c r="G64" s="254"/>
      <c r="H64" s="20"/>
      <c r="I64" s="257">
        <f>F64</f>
        <v>2323.2050877783413</v>
      </c>
      <c r="J64" s="257"/>
      <c r="K64" s="254"/>
      <c r="L64" s="20"/>
      <c r="M64" s="257">
        <f>I64</f>
        <v>2323.2050877783413</v>
      </c>
      <c r="N64" s="257"/>
      <c r="O64" s="254"/>
      <c r="P64" s="20"/>
      <c r="Q64" s="257">
        <f>M64</f>
        <v>2323.2050877783413</v>
      </c>
      <c r="R64" s="257"/>
      <c r="S64" s="254"/>
      <c r="T64" s="20"/>
      <c r="U64" s="257">
        <f>Q64</f>
        <v>2323.2050877783413</v>
      </c>
      <c r="V64" s="429"/>
      <c r="W64" s="272"/>
      <c r="X64" s="263"/>
      <c r="Y64" s="263"/>
      <c r="Z64" s="263"/>
      <c r="AA64" s="263"/>
      <c r="AB64" s="268"/>
      <c r="AC64" s="268"/>
      <c r="AD64" s="268"/>
      <c r="AE64" s="268"/>
      <c r="AF64" s="266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t="16.5" thickBot="1">
      <c r="A65" s="3" t="s">
        <v>9</v>
      </c>
      <c r="C65" s="258">
        <f>C63+C64</f>
        <v>2098228.5901946207</v>
      </c>
      <c r="D65" s="297"/>
      <c r="E65" s="259"/>
      <c r="F65" s="259">
        <f>F63+F64</f>
        <v>301225.17368543107</v>
      </c>
      <c r="G65" s="297"/>
      <c r="H65" s="259"/>
      <c r="I65" s="259">
        <f ca="1">I63+I64</f>
        <v>308280.76626177202</v>
      </c>
      <c r="J65" s="51"/>
      <c r="K65" s="297"/>
      <c r="L65" s="259"/>
      <c r="M65" s="259" t="e">
        <f ca="1">M63+M64</f>
        <v>#REF!</v>
      </c>
      <c r="N65" s="297"/>
      <c r="O65" s="297"/>
      <c r="P65" s="259"/>
      <c r="Q65" s="259">
        <f ca="1">Q63+Q64</f>
        <v>308280.76626177202</v>
      </c>
      <c r="R65" s="297"/>
      <c r="S65" s="297"/>
      <c r="T65" s="259"/>
      <c r="U65" s="259">
        <f ca="1">U63+U64</f>
        <v>308280.76626177202</v>
      </c>
      <c r="V65" s="396"/>
      <c r="W65" s="455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thickTop="1">
      <c r="C66" s="260"/>
      <c r="D66" s="294" t="s">
        <v>31</v>
      </c>
      <c r="E66" s="260"/>
      <c r="F66" s="248"/>
      <c r="G66" s="1" t="s">
        <v>31</v>
      </c>
      <c r="H66" s="260"/>
      <c r="I66" s="2" t="s">
        <v>31</v>
      </c>
      <c r="J66" s="2"/>
      <c r="K66" s="1" t="s">
        <v>31</v>
      </c>
      <c r="L66" s="260"/>
      <c r="M66" s="2" t="s">
        <v>31</v>
      </c>
      <c r="N66" s="2"/>
      <c r="O66" s="1" t="s">
        <v>31</v>
      </c>
      <c r="P66" s="260"/>
      <c r="Q66" s="2" t="s">
        <v>31</v>
      </c>
      <c r="R66" s="2"/>
      <c r="S66" s="1" t="s">
        <v>31</v>
      </c>
      <c r="T66" s="260"/>
      <c r="U66" s="2" t="s">
        <v>31</v>
      </c>
      <c r="V66" s="20"/>
      <c r="W66" s="74"/>
      <c r="X66" s="74"/>
      <c r="Y66" s="74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R66" s="84"/>
    </row>
    <row r="67" spans="1:44">
      <c r="A67" s="247" t="s">
        <v>341</v>
      </c>
      <c r="F67" s="248"/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>
      <c r="A68" s="3" t="s">
        <v>357</v>
      </c>
      <c r="F68" s="248"/>
      <c r="V68" s="263"/>
      <c r="W68" s="263"/>
      <c r="X68" s="263"/>
      <c r="Y68" s="263"/>
      <c r="Z68" s="263"/>
      <c r="AA68" s="263"/>
      <c r="AB68" s="263"/>
      <c r="AC68" s="263"/>
      <c r="AD68" s="263"/>
      <c r="AE68" s="263"/>
      <c r="AF68" s="263"/>
      <c r="AG68" s="263"/>
      <c r="AH68" s="263"/>
      <c r="AI68" s="263"/>
      <c r="AJ68" s="263"/>
      <c r="AK68" s="263"/>
      <c r="AL68" s="20"/>
      <c r="AM68" s="20"/>
      <c r="AN68" s="20"/>
      <c r="AO68" s="20"/>
      <c r="AP68" s="20"/>
      <c r="AR68" s="84"/>
    </row>
    <row r="69" spans="1:44"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>
      <c r="A70" s="3" t="s">
        <v>343</v>
      </c>
      <c r="F70" s="248"/>
      <c r="V70" s="263"/>
      <c r="W70" s="263"/>
      <c r="X70" s="74"/>
      <c r="Y70" s="74"/>
      <c r="Z70" s="264"/>
      <c r="AA70" s="264"/>
      <c r="AB70" s="265"/>
      <c r="AC70" s="265"/>
      <c r="AD70" s="265"/>
      <c r="AE70" s="265"/>
      <c r="AF70" s="266"/>
      <c r="AG70" s="267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>
      <c r="A71" s="3" t="s">
        <v>344</v>
      </c>
      <c r="C71" s="249">
        <v>604.99709761288204</v>
      </c>
      <c r="D71" s="250">
        <v>10.98</v>
      </c>
      <c r="F71" s="2">
        <f>D71*C71</f>
        <v>6642.8681317894452</v>
      </c>
      <c r="G71" s="250">
        <f ca="1">$G$15</f>
        <v>11.24</v>
      </c>
      <c r="I71" s="2">
        <f t="shared" ref="I71:I73" ca="1" si="14">(G71*$C71)</f>
        <v>6800.1673771687947</v>
      </c>
      <c r="J71" s="2"/>
      <c r="K71" s="250">
        <f ca="1">$G$15</f>
        <v>11.24</v>
      </c>
      <c r="M71" s="2">
        <f t="shared" ref="M71:M73" ca="1" si="15">(K71*$C71)</f>
        <v>6800.1673771687947</v>
      </c>
      <c r="N71" s="2"/>
      <c r="O71" s="250">
        <f ca="1">$G$15</f>
        <v>11.24</v>
      </c>
      <c r="Q71" s="2">
        <f t="shared" ref="Q71:Q73" ca="1" si="16">(O71*$C71)</f>
        <v>6800.1673771687947</v>
      </c>
      <c r="R71" s="2"/>
      <c r="S71" s="250">
        <f ca="1">$G$15</f>
        <v>11.24</v>
      </c>
      <c r="U71" s="2">
        <f t="shared" ref="U71:U73" ca="1" si="17">(S71*$C71)</f>
        <v>6800.1673771687947</v>
      </c>
      <c r="V71" s="20"/>
      <c r="W71" s="266"/>
      <c r="X71" s="74"/>
      <c r="Y71" s="74"/>
      <c r="Z71" s="263"/>
      <c r="AA71" s="263"/>
      <c r="AB71" s="268"/>
      <c r="AC71" s="268"/>
      <c r="AD71" s="268"/>
      <c r="AE71" s="268"/>
      <c r="AF71" s="269"/>
      <c r="AG71" s="263"/>
      <c r="AH71" s="266"/>
      <c r="AI71" s="266"/>
      <c r="AJ71" s="270"/>
      <c r="AK71" s="266"/>
      <c r="AL71" s="20"/>
      <c r="AM71" s="20"/>
      <c r="AN71" s="20"/>
      <c r="AO71" s="20"/>
      <c r="AP71" s="20"/>
      <c r="AR71" s="84"/>
    </row>
    <row r="72" spans="1:44">
      <c r="A72" s="3" t="s">
        <v>345</v>
      </c>
      <c r="C72" s="249">
        <v>401.56488078949502</v>
      </c>
      <c r="D72" s="250">
        <v>20.88</v>
      </c>
      <c r="F72" s="2">
        <f>D72*C72</f>
        <v>8384.6747108846557</v>
      </c>
      <c r="G72" s="250">
        <f ca="1">$G$16</f>
        <v>21.369999999999997</v>
      </c>
      <c r="I72" s="2">
        <f t="shared" ca="1" si="14"/>
        <v>8581.4415024715072</v>
      </c>
      <c r="J72" s="2"/>
      <c r="K72" s="250">
        <f ca="1">$G$16</f>
        <v>21.369999999999997</v>
      </c>
      <c r="M72" s="2">
        <f t="shared" ca="1" si="15"/>
        <v>8581.4415024715072</v>
      </c>
      <c r="N72" s="2"/>
      <c r="O72" s="250">
        <f ca="1">$G$16</f>
        <v>21.369999999999997</v>
      </c>
      <c r="Q72" s="2">
        <f t="shared" ca="1" si="16"/>
        <v>8581.4415024715072</v>
      </c>
      <c r="R72" s="2"/>
      <c r="S72" s="250">
        <f ca="1">$G$16</f>
        <v>21.369999999999997</v>
      </c>
      <c r="U72" s="2">
        <f t="shared" ca="1" si="17"/>
        <v>8581.4415024715072</v>
      </c>
      <c r="V72" s="20"/>
      <c r="W72" s="266"/>
      <c r="X72" s="74"/>
      <c r="Y72" s="74"/>
      <c r="Z72" s="20"/>
      <c r="AA72" s="20"/>
      <c r="AB72" s="272"/>
      <c r="AC72" s="272"/>
      <c r="AD72" s="272"/>
      <c r="AE72" s="272"/>
      <c r="AF72" s="263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>
      <c r="A73" s="3" t="s">
        <v>346</v>
      </c>
      <c r="C73" s="249">
        <v>37.033422524669703</v>
      </c>
      <c r="D73" s="250">
        <v>43.21</v>
      </c>
      <c r="F73" s="2">
        <f>D73*C73</f>
        <v>1600.2141872909779</v>
      </c>
      <c r="G73" s="250">
        <f ca="1">$G$17</f>
        <v>44.25</v>
      </c>
      <c r="I73" s="2">
        <f t="shared" ca="1" si="14"/>
        <v>1638.7289467166343</v>
      </c>
      <c r="J73" s="2"/>
      <c r="K73" s="250">
        <f ca="1">$G$17</f>
        <v>44.25</v>
      </c>
      <c r="M73" s="2">
        <f t="shared" ca="1" si="15"/>
        <v>1638.7289467166343</v>
      </c>
      <c r="N73" s="2"/>
      <c r="O73" s="250">
        <f ca="1">$G$17</f>
        <v>44.25</v>
      </c>
      <c r="Q73" s="2">
        <f t="shared" ca="1" si="16"/>
        <v>1638.7289467166343</v>
      </c>
      <c r="R73" s="2"/>
      <c r="S73" s="250">
        <f ca="1">$G$17</f>
        <v>44.25</v>
      </c>
      <c r="U73" s="2">
        <f t="shared" ca="1" si="17"/>
        <v>1638.7289467166343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>
      <c r="A74" s="3" t="s">
        <v>347</v>
      </c>
      <c r="C74" s="249"/>
      <c r="D74" s="250"/>
      <c r="F74" s="2"/>
      <c r="G74" s="250"/>
      <c r="I74" s="2"/>
      <c r="J74" s="2"/>
      <c r="K74" s="250"/>
      <c r="M74" s="2"/>
      <c r="N74" s="2"/>
      <c r="O74" s="250"/>
      <c r="Q74" s="2"/>
      <c r="R74" s="2"/>
      <c r="S74" s="250"/>
      <c r="U74" s="2"/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>
      <c r="A75" s="3" t="s">
        <v>348</v>
      </c>
      <c r="C75" s="249">
        <v>12</v>
      </c>
      <c r="D75" s="250">
        <v>12.48</v>
      </c>
      <c r="F75" s="2">
        <f>D75*C75</f>
        <v>149.76</v>
      </c>
      <c r="G75" s="250">
        <f ca="1">$G$19</f>
        <v>12.77</v>
      </c>
      <c r="I75" s="2">
        <f t="shared" ref="I75:I78" ca="1" si="18">(G75*$C75)</f>
        <v>153.24</v>
      </c>
      <c r="J75" s="2"/>
      <c r="K75" s="250">
        <f ca="1">$G$19</f>
        <v>12.77</v>
      </c>
      <c r="M75" s="2">
        <f t="shared" ref="M75:M78" ca="1" si="19">(K75*$C75)</f>
        <v>153.24</v>
      </c>
      <c r="N75" s="2"/>
      <c r="O75" s="250">
        <f ca="1">$G$19</f>
        <v>12.77</v>
      </c>
      <c r="Q75" s="2">
        <f t="shared" ref="Q75:Q78" ca="1" si="20">(O75*$C75)</f>
        <v>153.24</v>
      </c>
      <c r="R75" s="2"/>
      <c r="S75" s="250">
        <f ca="1">$G$19</f>
        <v>12.77</v>
      </c>
      <c r="U75" s="2">
        <f t="shared" ref="U75:U78" ca="1" si="21">(S75*$C75)</f>
        <v>153.24</v>
      </c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>
      <c r="A76" s="3" t="s">
        <v>349</v>
      </c>
      <c r="C76" s="249">
        <v>96.000818853397803</v>
      </c>
      <c r="D76" s="250">
        <v>18.329999999999998</v>
      </c>
      <c r="F76" s="2">
        <f>D76*C76</f>
        <v>1759.6950095827815</v>
      </c>
      <c r="G76" s="250">
        <f ca="1">$G$20</f>
        <v>18.759999999999998</v>
      </c>
      <c r="I76" s="2">
        <f t="shared" ca="1" si="18"/>
        <v>1800.9753616897426</v>
      </c>
      <c r="J76" s="2"/>
      <c r="K76" s="250">
        <f ca="1">$G$20</f>
        <v>18.759999999999998</v>
      </c>
      <c r="M76" s="2">
        <f t="shared" ca="1" si="19"/>
        <v>1800.9753616897426</v>
      </c>
      <c r="N76" s="2"/>
      <c r="O76" s="250">
        <f ca="1">$G$20</f>
        <v>18.759999999999998</v>
      </c>
      <c r="Q76" s="2">
        <f t="shared" ca="1" si="20"/>
        <v>1800.9753616897426</v>
      </c>
      <c r="R76" s="2"/>
      <c r="S76" s="250">
        <f ca="1">$G$20</f>
        <v>18.759999999999998</v>
      </c>
      <c r="U76" s="2">
        <f t="shared" ca="1" si="21"/>
        <v>1800.9753616897426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>
      <c r="A77" s="3" t="s">
        <v>350</v>
      </c>
      <c r="C77" s="249">
        <v>2.0666895840495001</v>
      </c>
      <c r="D77" s="250">
        <v>29.57</v>
      </c>
      <c r="F77" s="2">
        <f>D77*C77</f>
        <v>61.11201100034372</v>
      </c>
      <c r="G77" s="250">
        <f ca="1">$G$21</f>
        <v>30.28</v>
      </c>
      <c r="I77" s="2">
        <f t="shared" ca="1" si="18"/>
        <v>62.579360605018863</v>
      </c>
      <c r="J77" s="2"/>
      <c r="K77" s="250">
        <f ca="1">$G$21</f>
        <v>30.28</v>
      </c>
      <c r="M77" s="2">
        <f t="shared" ca="1" si="19"/>
        <v>62.579360605018863</v>
      </c>
      <c r="N77" s="2"/>
      <c r="O77" s="250">
        <f ca="1">$G$21</f>
        <v>30.28</v>
      </c>
      <c r="Q77" s="2">
        <f t="shared" ca="1" si="20"/>
        <v>62.579360605018863</v>
      </c>
      <c r="R77" s="2"/>
      <c r="S77" s="250">
        <f ca="1">$G$21</f>
        <v>30.28</v>
      </c>
      <c r="U77" s="2">
        <f t="shared" ca="1" si="21"/>
        <v>62.579360605018863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>
      <c r="A78" s="3" t="s">
        <v>351</v>
      </c>
      <c r="C78" s="249">
        <v>131.99965205054301</v>
      </c>
      <c r="D78" s="250">
        <v>1</v>
      </c>
      <c r="E78" s="20"/>
      <c r="F78" s="2">
        <f>D78*C78</f>
        <v>131.99965205054301</v>
      </c>
      <c r="G78" s="254">
        <f>$G$22</f>
        <v>1</v>
      </c>
      <c r="H78" s="20"/>
      <c r="I78" s="2">
        <f t="shared" si="18"/>
        <v>131.99965205054301</v>
      </c>
      <c r="J78" s="2"/>
      <c r="K78" s="254">
        <f>$G$22</f>
        <v>1</v>
      </c>
      <c r="L78" s="20"/>
      <c r="M78" s="2">
        <f t="shared" si="19"/>
        <v>131.99965205054301</v>
      </c>
      <c r="N78" s="2"/>
      <c r="O78" s="254">
        <f>$G$22</f>
        <v>1</v>
      </c>
      <c r="P78" s="20"/>
      <c r="Q78" s="2">
        <f t="shared" si="20"/>
        <v>131.99965205054301</v>
      </c>
      <c r="R78" s="2"/>
      <c r="S78" s="254">
        <f>$G$22</f>
        <v>1</v>
      </c>
      <c r="T78" s="20"/>
      <c r="U78" s="2">
        <f t="shared" si="21"/>
        <v>131.99965205054301</v>
      </c>
      <c r="V78" s="263"/>
      <c r="W78" s="266"/>
      <c r="X78" s="74"/>
      <c r="Y78" s="74"/>
      <c r="Z78" s="20"/>
      <c r="AA78" s="20"/>
      <c r="AB78" s="263"/>
      <c r="AC78" s="263"/>
      <c r="AD78" s="263"/>
      <c r="AE78" s="263"/>
      <c r="AF78" s="263"/>
      <c r="AG78" s="263"/>
      <c r="AH78" s="266"/>
      <c r="AI78" s="266"/>
      <c r="AJ78" s="266"/>
      <c r="AK78" s="266"/>
      <c r="AL78" s="20"/>
      <c r="AM78" s="20"/>
      <c r="AN78" s="20"/>
      <c r="AO78" s="20"/>
      <c r="AP78" s="20"/>
      <c r="AR78" s="84"/>
    </row>
    <row r="79" spans="1:44" s="1118" customFormat="1" hidden="1">
      <c r="A79" s="968" t="s">
        <v>856</v>
      </c>
      <c r="C79" s="1122">
        <f>C81</f>
        <v>140168</v>
      </c>
      <c r="D79" s="1423">
        <v>0</v>
      </c>
      <c r="E79" s="1119"/>
      <c r="F79" s="1123"/>
      <c r="G79" s="1128">
        <f>G23</f>
        <v>0</v>
      </c>
      <c r="H79" s="1126" t="s">
        <v>364</v>
      </c>
      <c r="I79" s="1123">
        <f>G79*C79/100</f>
        <v>0</v>
      </c>
      <c r="J79" s="1123"/>
      <c r="K79" s="1128" t="str">
        <f>K23</f>
        <v xml:space="preserve"> </v>
      </c>
      <c r="L79" s="1126" t="s">
        <v>364</v>
      </c>
      <c r="M79" s="1123" t="e">
        <f>K79*#REF!/100</f>
        <v>#REF!</v>
      </c>
      <c r="N79" s="1123"/>
      <c r="O79" s="1128" t="str">
        <f>O23</f>
        <v xml:space="preserve"> </v>
      </c>
      <c r="P79" s="1126" t="s">
        <v>364</v>
      </c>
      <c r="Q79" s="1123">
        <f>O79*G79/100</f>
        <v>0</v>
      </c>
      <c r="R79" s="1123"/>
      <c r="S79" s="1128">
        <f>S23</f>
        <v>0</v>
      </c>
      <c r="T79" s="1126" t="s">
        <v>364</v>
      </c>
      <c r="U79" s="1123">
        <f>S79*K79/100</f>
        <v>0</v>
      </c>
      <c r="W79" s="784"/>
      <c r="Z79" s="1125"/>
      <c r="AA79" s="1125"/>
      <c r="AF79" s="1119"/>
      <c r="AG79" s="1119"/>
      <c r="AH79" s="1119"/>
      <c r="AI79" s="1119"/>
      <c r="AJ79" s="1119"/>
      <c r="AK79" s="1119"/>
      <c r="AL79" s="1119"/>
      <c r="AM79" s="1119"/>
      <c r="AN79" s="1119"/>
      <c r="AO79" s="1119"/>
      <c r="AP79" s="1119"/>
      <c r="AR79" s="1124"/>
    </row>
    <row r="80" spans="1:44">
      <c r="A80" s="3" t="s">
        <v>352</v>
      </c>
      <c r="C80" s="249">
        <v>641</v>
      </c>
      <c r="D80" s="250"/>
      <c r="F80" s="2"/>
      <c r="G80" s="250"/>
      <c r="I80" s="2"/>
      <c r="J80" s="2"/>
      <c r="K80" s="250"/>
      <c r="M80" s="2"/>
      <c r="N80" s="2"/>
      <c r="O80" s="250"/>
      <c r="Q80" s="2"/>
      <c r="R80" s="2"/>
      <c r="S80" s="250"/>
      <c r="U80" s="2"/>
      <c r="V80" s="263"/>
      <c r="W80" s="263"/>
      <c r="X80" s="263"/>
      <c r="Y80" s="263"/>
      <c r="Z80" s="263"/>
      <c r="AA80" s="263"/>
      <c r="AB80" s="263"/>
      <c r="AC80" s="263"/>
      <c r="AD80" s="263"/>
      <c r="AE80" s="263"/>
      <c r="AF80" s="263"/>
      <c r="AG80" s="263"/>
      <c r="AH80" s="273"/>
      <c r="AI80" s="263"/>
      <c r="AJ80" s="263"/>
      <c r="AK80" s="263"/>
      <c r="AL80" s="20"/>
      <c r="AM80" s="20"/>
      <c r="AN80" s="20"/>
      <c r="AO80" s="20"/>
      <c r="AP80" s="20"/>
      <c r="AR80" s="84"/>
    </row>
    <row r="81" spans="1:44">
      <c r="A81" s="3" t="s">
        <v>35</v>
      </c>
      <c r="C81" s="249">
        <v>140168</v>
      </c>
      <c r="D81" s="254"/>
      <c r="E81" s="20"/>
      <c r="F81" s="257">
        <f>SUM(F71:F78)</f>
        <v>18730.323702598747</v>
      </c>
      <c r="G81" s="254"/>
      <c r="H81" s="20"/>
      <c r="I81" s="257">
        <f ca="1">SUM(I71:I79)</f>
        <v>19169.132200702243</v>
      </c>
      <c r="J81" s="257"/>
      <c r="K81" s="254"/>
      <c r="L81" s="20"/>
      <c r="M81" s="257" t="e">
        <f ca="1">SUM(M71:M79)</f>
        <v>#REF!</v>
      </c>
      <c r="N81" s="257"/>
      <c r="O81" s="254"/>
      <c r="P81" s="20"/>
      <c r="Q81" s="257">
        <f ca="1">SUM(Q71:Q79)</f>
        <v>19169.132200702243</v>
      </c>
      <c r="R81" s="257"/>
      <c r="S81" s="254"/>
      <c r="T81" s="20"/>
      <c r="U81" s="257">
        <f ca="1">SUM(U71:U79)</f>
        <v>19169.132200702243</v>
      </c>
      <c r="V81" s="263"/>
      <c r="W81" s="272"/>
      <c r="X81" s="263"/>
      <c r="Y81" s="263"/>
      <c r="Z81" s="20"/>
      <c r="AA81" s="20"/>
      <c r="AB81" s="20"/>
      <c r="AC81" s="20"/>
      <c r="AD81" s="20"/>
      <c r="AE81" s="20"/>
      <c r="AF81" s="20"/>
      <c r="AG81" s="263"/>
      <c r="AH81" s="26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>
      <c r="A82" s="3" t="s">
        <v>353</v>
      </c>
      <c r="C82" s="249">
        <f ca="1">'Table 2'!H84</f>
        <v>435.81097248984889</v>
      </c>
      <c r="D82" s="254"/>
      <c r="E82" s="20"/>
      <c r="F82" s="257">
        <f ca="1">'Table 3'!E84</f>
        <v>59.072572994694113</v>
      </c>
      <c r="G82" s="254"/>
      <c r="H82" s="20"/>
      <c r="I82" s="257">
        <f ca="1">F82</f>
        <v>59.072572994694113</v>
      </c>
      <c r="J82" s="257"/>
      <c r="K82" s="254"/>
      <c r="L82" s="20"/>
      <c r="M82" s="257">
        <f ca="1">I82</f>
        <v>59.072572994694113</v>
      </c>
      <c r="N82" s="257"/>
      <c r="O82" s="254"/>
      <c r="P82" s="20"/>
      <c r="Q82" s="257">
        <f ca="1">M82</f>
        <v>59.072572994694113</v>
      </c>
      <c r="R82" s="257"/>
      <c r="S82" s="254"/>
      <c r="T82" s="20"/>
      <c r="U82" s="257">
        <f ca="1">Q82</f>
        <v>59.072572994694113</v>
      </c>
      <c r="V82" s="429"/>
      <c r="W82" s="272"/>
      <c r="X82" s="263"/>
      <c r="Y82" s="263"/>
      <c r="Z82" s="263"/>
      <c r="AA82" s="263"/>
      <c r="AB82" s="268"/>
      <c r="AC82" s="268"/>
      <c r="AD82" s="268"/>
      <c r="AE82" s="268"/>
      <c r="AF82" s="266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t="16.5" thickBot="1">
      <c r="A83" s="3" t="s">
        <v>9</v>
      </c>
      <c r="C83" s="258">
        <f ca="1">C81+C82</f>
        <v>140603.81097248985</v>
      </c>
      <c r="D83" s="297"/>
      <c r="E83" s="259"/>
      <c r="F83" s="259">
        <f ca="1">F81+F82</f>
        <v>18789.396275593441</v>
      </c>
      <c r="G83" s="297"/>
      <c r="H83" s="259"/>
      <c r="I83" s="259">
        <f ca="1">I81+I82</f>
        <v>19228.204773696936</v>
      </c>
      <c r="J83" s="51"/>
      <c r="K83" s="297"/>
      <c r="L83" s="259"/>
      <c r="M83" s="259" t="e">
        <f ca="1">M81+M82</f>
        <v>#REF!</v>
      </c>
      <c r="N83" s="297"/>
      <c r="O83" s="297"/>
      <c r="P83" s="259"/>
      <c r="Q83" s="259">
        <f ca="1">Q81+Q82</f>
        <v>19228.204773696936</v>
      </c>
      <c r="R83" s="297"/>
      <c r="S83" s="297"/>
      <c r="T83" s="259"/>
      <c r="U83" s="259">
        <f ca="1">U81+U82</f>
        <v>19228.204773696936</v>
      </c>
      <c r="V83" s="396"/>
      <c r="W83" s="455"/>
      <c r="X83" s="263"/>
      <c r="Y83" s="263"/>
      <c r="Z83" s="263"/>
      <c r="AA83" s="263"/>
      <c r="AB83" s="263"/>
      <c r="AC83" s="263"/>
      <c r="AD83" s="263"/>
      <c r="AE83" s="263"/>
      <c r="AF83" s="263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thickTop="1">
      <c r="C84" s="260"/>
      <c r="D84" s="294" t="s">
        <v>31</v>
      </c>
      <c r="E84" s="260"/>
      <c r="F84" s="248"/>
      <c r="G84" s="1" t="s">
        <v>31</v>
      </c>
      <c r="H84" s="260"/>
      <c r="I84" s="2" t="s">
        <v>31</v>
      </c>
      <c r="J84" s="2"/>
      <c r="K84" s="1" t="s">
        <v>31</v>
      </c>
      <c r="L84" s="260"/>
      <c r="M84" s="2" t="s">
        <v>31</v>
      </c>
      <c r="N84" s="2"/>
      <c r="O84" s="1" t="s">
        <v>31</v>
      </c>
      <c r="P84" s="260"/>
      <c r="Q84" s="2" t="s">
        <v>31</v>
      </c>
      <c r="R84" s="2"/>
      <c r="S84" s="1" t="s">
        <v>31</v>
      </c>
      <c r="T84" s="260"/>
      <c r="U84" s="2" t="s">
        <v>31</v>
      </c>
      <c r="V84" s="20"/>
      <c r="W84" s="74"/>
      <c r="X84" s="74"/>
      <c r="Y84" s="74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R84" s="84"/>
    </row>
    <row r="85" spans="1:44">
      <c r="A85" s="278" t="s">
        <v>358</v>
      </c>
      <c r="B85" s="1"/>
      <c r="C85" s="1"/>
      <c r="D85" s="21"/>
      <c r="E85" s="1"/>
      <c r="F85" s="1"/>
      <c r="G85" s="21"/>
      <c r="H85" s="1"/>
      <c r="I85" s="1"/>
      <c r="J85" s="1"/>
      <c r="K85" s="21"/>
      <c r="L85" s="1"/>
      <c r="M85" s="1"/>
      <c r="N85" s="1"/>
      <c r="O85" s="21"/>
      <c r="P85" s="1"/>
      <c r="Q85" s="1"/>
      <c r="R85" s="1"/>
      <c r="S85" s="21"/>
      <c r="T85" s="1"/>
      <c r="U85" s="1"/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1" t="s">
        <v>359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456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282"/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20"/>
      <c r="W87" s="74"/>
      <c r="X87" s="766" t="s">
        <v>625</v>
      </c>
      <c r="Y87" s="766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1" t="s">
        <v>360</v>
      </c>
      <c r="B88" s="1"/>
      <c r="C88" s="21">
        <f>C107+C122+C137+C152</f>
        <v>1263103.7974192717</v>
      </c>
      <c r="D88" s="283">
        <v>7.75</v>
      </c>
      <c r="E88" s="1"/>
      <c r="F88" s="2">
        <f>F107+F122+F137+F152</f>
        <v>9789055</v>
      </c>
      <c r="G88" s="283">
        <f>D88</f>
        <v>7.75</v>
      </c>
      <c r="H88" s="1"/>
      <c r="I88" s="2">
        <f>I107+I122+I137+I152</f>
        <v>9789055</v>
      </c>
      <c r="J88" s="2"/>
      <c r="K88" s="283">
        <f>G88</f>
        <v>7.75</v>
      </c>
      <c r="L88" s="1"/>
      <c r="M88" s="2">
        <f>I88</f>
        <v>9789055</v>
      </c>
      <c r="N88" s="2"/>
      <c r="O88" s="286" t="s">
        <v>31</v>
      </c>
      <c r="P88" s="1"/>
      <c r="Q88" s="2">
        <f>Q107+Q122+Q137+Q152</f>
        <v>0</v>
      </c>
      <c r="R88" s="2"/>
      <c r="S88" s="286" t="s">
        <v>31</v>
      </c>
      <c r="T88" s="1"/>
      <c r="U88" s="2">
        <f>U107+U122+U137+U152</f>
        <v>0</v>
      </c>
      <c r="Y88" s="14">
        <f t="shared" ref="Y88:Y93" si="22">(G88-D88)/D88</f>
        <v>0</v>
      </c>
      <c r="Z88" s="711" t="s">
        <v>31</v>
      </c>
      <c r="AK88" s="20"/>
      <c r="AL88" s="20"/>
      <c r="AM88" s="20"/>
      <c r="AN88" s="20"/>
      <c r="AO88" s="20"/>
      <c r="AP88" s="20"/>
      <c r="AR88" s="84"/>
    </row>
    <row r="89" spans="1:44">
      <c r="A89" s="1" t="s">
        <v>363</v>
      </c>
      <c r="B89" s="1"/>
      <c r="C89" s="21">
        <f>C108+C123+C138+C153</f>
        <v>706991944.07558155</v>
      </c>
      <c r="D89" s="284">
        <v>6.548</v>
      </c>
      <c r="E89" s="1" t="s">
        <v>364</v>
      </c>
      <c r="F89" s="2">
        <f>F108+F123+F138+F153</f>
        <v>46293832</v>
      </c>
      <c r="G89" s="771">
        <f>ROUND(D89*(1+$X$101),3)+0.003</f>
        <v>6.7170000000000005</v>
      </c>
      <c r="H89" s="1" t="s">
        <v>364</v>
      </c>
      <c r="I89" s="2">
        <f>I108+I123+I138+I153</f>
        <v>47488648</v>
      </c>
      <c r="J89" s="2"/>
      <c r="K89" s="284" t="e">
        <f>M89/C89*100</f>
        <v>#DIV/0!</v>
      </c>
      <c r="L89" s="1" t="s">
        <v>364</v>
      </c>
      <c r="M89" s="2" t="e">
        <f>(V103-M88-M99)*I89/(I89+I90)</f>
        <v>#DIV/0!</v>
      </c>
      <c r="N89" s="1" t="s">
        <v>31</v>
      </c>
      <c r="O89" s="284" t="e">
        <f>Q89/C89*100</f>
        <v>#DIV/0!</v>
      </c>
      <c r="P89" s="1" t="s">
        <v>364</v>
      </c>
      <c r="Q89" s="2" t="e">
        <f>(W103-Q88-Q99)*I89/(I89+I90)</f>
        <v>#DIV/0!</v>
      </c>
      <c r="R89" s="2"/>
      <c r="S89" s="284" t="e">
        <f ca="1">U89/C89*100-0.001</f>
        <v>#DIV/0!</v>
      </c>
      <c r="T89" s="1" t="s">
        <v>364</v>
      </c>
      <c r="U89" s="2" t="e">
        <f ca="1">(X103-U88-U91-U92-U93-U94-U95-U99)*I89/(I89+I90)</f>
        <v>#DIV/0!</v>
      </c>
      <c r="W89" s="88" t="s">
        <v>31</v>
      </c>
      <c r="X89" s="55" t="s">
        <v>31</v>
      </c>
      <c r="Y89" s="14">
        <f>((G89+G94)-D89)/D89</f>
        <v>2.5809407452657373E-2</v>
      </c>
      <c r="Z89" s="222">
        <f>(D90-D89)/D89</f>
        <v>0.58063530849114231</v>
      </c>
      <c r="AA89" s="222"/>
      <c r="AB89" s="222"/>
      <c r="AD89" s="84"/>
      <c r="AE89" s="84"/>
      <c r="AF89" s="222"/>
      <c r="AK89" s="20"/>
      <c r="AL89" s="20"/>
      <c r="AM89" s="20"/>
      <c r="AN89" s="20"/>
      <c r="AO89" s="20"/>
      <c r="AP89" s="20"/>
      <c r="AR89" s="84"/>
    </row>
    <row r="90" spans="1:44">
      <c r="A90" s="1" t="s">
        <v>365</v>
      </c>
      <c r="B90" s="1"/>
      <c r="C90" s="21">
        <f>C109+C124+C139+C154</f>
        <v>843225109.61000884</v>
      </c>
      <c r="D90" s="284">
        <v>10.35</v>
      </c>
      <c r="E90" s="1" t="s">
        <v>364</v>
      </c>
      <c r="F90" s="2">
        <f>F109+F124+F139+F154</f>
        <v>87273799</v>
      </c>
      <c r="G90" s="771">
        <f>ROUND(D90*(1+$X$101),3)+0.001</f>
        <v>10.613</v>
      </c>
      <c r="H90" s="1" t="s">
        <v>364</v>
      </c>
      <c r="I90" s="2">
        <f>I109+I124+I139+I154</f>
        <v>89491481</v>
      </c>
      <c r="J90" s="2"/>
      <c r="K90" s="284" t="e">
        <f>M90/C90*100</f>
        <v>#DIV/0!</v>
      </c>
      <c r="L90" s="1" t="s">
        <v>364</v>
      </c>
      <c r="M90" s="2" t="e">
        <f>(V103-M88-M99)*I90/(I89+I90)</f>
        <v>#DIV/0!</v>
      </c>
      <c r="N90" s="1" t="s">
        <v>31</v>
      </c>
      <c r="O90" s="284" t="e">
        <f>Q90/C90*100</f>
        <v>#DIV/0!</v>
      </c>
      <c r="P90" s="1" t="s">
        <v>364</v>
      </c>
      <c r="Q90" s="2" t="e">
        <f>(W103-Q88-Q99)*I90/(I89+I90)</f>
        <v>#DIV/0!</v>
      </c>
      <c r="R90" s="2"/>
      <c r="S90" s="284" t="e">
        <f ca="1">U90/C90*100</f>
        <v>#DIV/0!</v>
      </c>
      <c r="T90" s="1" t="s">
        <v>364</v>
      </c>
      <c r="U90" s="2" t="e">
        <f ca="1">(X103-U88-U91-U92-U93-U94-U95-U99)*I90/(I89+I90)</f>
        <v>#DIV/0!</v>
      </c>
      <c r="V90" s="285"/>
      <c r="X90" s="55" t="s">
        <v>31</v>
      </c>
      <c r="Y90" s="14">
        <f>((G90+G95)-D90)/D90</f>
        <v>2.5410628019323662E-2</v>
      </c>
      <c r="Z90" s="222">
        <f>(G90-G89)/G89</f>
        <v>0.58002084263808229</v>
      </c>
      <c r="AA90" s="770" t="s">
        <v>31</v>
      </c>
      <c r="AB90" s="222"/>
      <c r="AD90" s="106"/>
      <c r="AE90" s="106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367</v>
      </c>
      <c r="B91" s="1"/>
      <c r="C91" s="21">
        <f>C110+C125+C140+C155</f>
        <v>5306</v>
      </c>
      <c r="D91" s="286">
        <v>1.74</v>
      </c>
      <c r="E91" s="1"/>
      <c r="F91" s="2">
        <f>F110+F125+F140+F155</f>
        <v>9232</v>
      </c>
      <c r="G91" s="286">
        <f ca="1">ROUND(D91*(1+Z100),2)</f>
        <v>1.78</v>
      </c>
      <c r="H91" s="1"/>
      <c r="I91" s="2">
        <f ca="1">I110+I125+I140+I155</f>
        <v>9444</v>
      </c>
      <c r="J91" s="2"/>
      <c r="K91" s="286" t="s">
        <v>31</v>
      </c>
      <c r="L91" s="1"/>
      <c r="M91" s="2">
        <f>M110+M125+M140+M155</f>
        <v>0</v>
      </c>
      <c r="N91" s="2"/>
      <c r="O91" s="286" t="s">
        <v>31</v>
      </c>
      <c r="P91" s="1"/>
      <c r="Q91" s="2">
        <f>Q110+Q125+Q140+Q155</f>
        <v>0</v>
      </c>
      <c r="R91" s="2"/>
      <c r="S91" s="286">
        <f ca="1">G91</f>
        <v>1.78</v>
      </c>
      <c r="T91" s="1"/>
      <c r="U91" s="2">
        <f ca="1">U110+U125+U140+U155</f>
        <v>9444</v>
      </c>
      <c r="X91" s="55" t="s">
        <v>31</v>
      </c>
      <c r="Y91" s="14">
        <f t="shared" ca="1" si="22"/>
        <v>2.2988505747126457E-2</v>
      </c>
      <c r="Z91" s="69"/>
      <c r="AD91" s="84"/>
      <c r="AE91" s="84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288" t="s">
        <v>369</v>
      </c>
      <c r="B92" s="288"/>
      <c r="C92" s="21">
        <f>C111+C126+C141+C156</f>
        <v>703</v>
      </c>
      <c r="D92" s="286">
        <v>3.4</v>
      </c>
      <c r="E92" s="288"/>
      <c r="F92" s="2">
        <f>F111+F126+F141+F156</f>
        <v>2390</v>
      </c>
      <c r="G92" s="286">
        <f ca="1">ROUND(G91/D91*D92,1)</f>
        <v>3.5</v>
      </c>
      <c r="H92" s="288"/>
      <c r="I92" s="2">
        <f ca="1">I111+I126+I141+I156</f>
        <v>2461</v>
      </c>
      <c r="J92" s="2"/>
      <c r="K92" s="286" t="s">
        <v>31</v>
      </c>
      <c r="L92" s="288"/>
      <c r="M92" s="2">
        <f>M111+M126+M141+M156</f>
        <v>0</v>
      </c>
      <c r="N92" s="2"/>
      <c r="O92" s="286" t="s">
        <v>31</v>
      </c>
      <c r="P92" s="288"/>
      <c r="Q92" s="2">
        <f>Q111+Q126+Q141+Q156</f>
        <v>0</v>
      </c>
      <c r="R92" s="2"/>
      <c r="S92" s="286">
        <f ca="1">G92</f>
        <v>3.5</v>
      </c>
      <c r="T92" s="288"/>
      <c r="U92" s="2">
        <f ca="1">U111+U126+U141+U156</f>
        <v>2461</v>
      </c>
      <c r="Y92" s="14">
        <f t="shared" ca="1" si="22"/>
        <v>2.941176470588238E-2</v>
      </c>
      <c r="Z92" s="69"/>
      <c r="AK92" s="20"/>
      <c r="AL92" s="20"/>
      <c r="AM92" s="20"/>
      <c r="AN92" s="20"/>
      <c r="AO92" s="20"/>
      <c r="AP92" s="20"/>
      <c r="AR92" s="84"/>
    </row>
    <row r="93" spans="1:44">
      <c r="A93" s="288" t="s">
        <v>370</v>
      </c>
      <c r="B93" s="288"/>
      <c r="C93" s="21">
        <f>C114+C127+C142+C157</f>
        <v>70.5</v>
      </c>
      <c r="D93" s="289">
        <v>-1.74</v>
      </c>
      <c r="E93" s="288"/>
      <c r="F93" s="2">
        <f>F114+F127+F142+F157</f>
        <v>-123</v>
      </c>
      <c r="G93" s="289">
        <f ca="1">-G91</f>
        <v>-1.78</v>
      </c>
      <c r="H93" s="288"/>
      <c r="I93" s="2">
        <f ca="1">I114+I127+I142+I157</f>
        <v>-126</v>
      </c>
      <c r="J93" s="2"/>
      <c r="K93" s="289" t="s">
        <v>31</v>
      </c>
      <c r="L93" s="288"/>
      <c r="M93" s="2">
        <f>M114+M127+M142+M157</f>
        <v>0</v>
      </c>
      <c r="N93" s="2"/>
      <c r="O93" s="289" t="s">
        <v>31</v>
      </c>
      <c r="P93" s="288"/>
      <c r="Q93" s="2">
        <f>Q114+Q127+Q142+Q157</f>
        <v>0</v>
      </c>
      <c r="R93" s="2"/>
      <c r="S93" s="289">
        <f ca="1">-S91</f>
        <v>-1.78</v>
      </c>
      <c r="T93" s="288"/>
      <c r="U93" s="2">
        <f ca="1">U114+U127+U142+U157</f>
        <v>-126</v>
      </c>
      <c r="Y93" s="14">
        <f t="shared" ca="1" si="22"/>
        <v>2.2988505747126457E-2</v>
      </c>
      <c r="Z93" s="69"/>
      <c r="AK93" s="20"/>
      <c r="AL93" s="20"/>
      <c r="AM93" s="20"/>
      <c r="AN93" s="20"/>
      <c r="AO93" s="20"/>
      <c r="AP93" s="20"/>
      <c r="AR93" s="84"/>
    </row>
    <row r="94" spans="1:44" s="1118" customFormat="1" hidden="1">
      <c r="A94" s="968" t="s">
        <v>886</v>
      </c>
      <c r="C94" s="1127">
        <f>C89</f>
        <v>706991944.07558155</v>
      </c>
      <c r="D94" s="1423">
        <v>0</v>
      </c>
      <c r="E94" s="1119"/>
      <c r="F94" s="1123"/>
      <c r="G94" s="1128">
        <v>0</v>
      </c>
      <c r="H94" s="1126" t="s">
        <v>364</v>
      </c>
      <c r="I94" s="1123">
        <f>I112+I128+I143+I158</f>
        <v>0</v>
      </c>
      <c r="J94" s="1123"/>
      <c r="K94" s="1128" t="s">
        <v>31</v>
      </c>
      <c r="L94" s="1126" t="s">
        <v>31</v>
      </c>
      <c r="M94" s="1123">
        <f>M112+M128+M143+M158</f>
        <v>0</v>
      </c>
      <c r="N94" s="1123"/>
      <c r="O94" s="1128" t="s">
        <v>31</v>
      </c>
      <c r="P94" s="1126" t="s">
        <v>31</v>
      </c>
      <c r="Q94" s="1123">
        <f>Q112+Q128+Q143+Q158</f>
        <v>0</v>
      </c>
      <c r="R94" s="1123"/>
      <c r="S94" s="1128">
        <f>G94</f>
        <v>0</v>
      </c>
      <c r="T94" s="1126" t="s">
        <v>364</v>
      </c>
      <c r="U94" s="1123">
        <f>U112+U128+U143+U158</f>
        <v>0</v>
      </c>
      <c r="V94" s="1124"/>
      <c r="W94" s="784"/>
      <c r="Z94" s="1125"/>
      <c r="AA94" s="1125"/>
      <c r="AF94" s="1119"/>
      <c r="AG94" s="1119"/>
      <c r="AH94" s="1119"/>
      <c r="AI94" s="1119"/>
      <c r="AJ94" s="1119"/>
      <c r="AK94" s="1119"/>
      <c r="AL94" s="1119"/>
      <c r="AM94" s="1119"/>
      <c r="AN94" s="1119"/>
      <c r="AO94" s="1119"/>
      <c r="AP94" s="1119"/>
      <c r="AR94" s="1124"/>
    </row>
    <row r="95" spans="1:44" s="1118" customFormat="1" hidden="1">
      <c r="A95" s="968" t="s">
        <v>887</v>
      </c>
      <c r="C95" s="1127">
        <f>C90</f>
        <v>843225109.61000884</v>
      </c>
      <c r="D95" s="1423">
        <v>0</v>
      </c>
      <c r="E95" s="1119"/>
      <c r="F95" s="1123"/>
      <c r="G95" s="1128">
        <v>0</v>
      </c>
      <c r="H95" s="1126" t="s">
        <v>364</v>
      </c>
      <c r="I95" s="1123">
        <f>I113+I129+I144+I159</f>
        <v>0</v>
      </c>
      <c r="J95" s="1123"/>
      <c r="K95" s="1128" t="s">
        <v>31</v>
      </c>
      <c r="L95" s="1126" t="s">
        <v>31</v>
      </c>
      <c r="M95" s="1123">
        <f>M113+M129+M144+M159</f>
        <v>0</v>
      </c>
      <c r="N95" s="1123"/>
      <c r="O95" s="1128" t="s">
        <v>31</v>
      </c>
      <c r="P95" s="1126" t="s">
        <v>31</v>
      </c>
      <c r="Q95" s="1123">
        <f>Q113+Q129+Q144+Q159</f>
        <v>0</v>
      </c>
      <c r="R95" s="1123"/>
      <c r="S95" s="1128">
        <f>G95</f>
        <v>0</v>
      </c>
      <c r="T95" s="1126" t="s">
        <v>364</v>
      </c>
      <c r="U95" s="1123">
        <f>U113+U129+U144+U159</f>
        <v>0</v>
      </c>
      <c r="V95" s="1124"/>
      <c r="W95" s="784"/>
      <c r="Z95" s="770" t="e">
        <f>(G95-G94)/G94</f>
        <v>#DIV/0!</v>
      </c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1255" t="s">
        <v>860</v>
      </c>
      <c r="B96" s="1256"/>
      <c r="C96" s="1257"/>
      <c r="D96" s="1260">
        <v>6.548</v>
      </c>
      <c r="E96" s="1261" t="s">
        <v>364</v>
      </c>
      <c r="F96" s="1259"/>
      <c r="G96" s="1260">
        <f>G89+G94</f>
        <v>6.7170000000000005</v>
      </c>
      <c r="H96" s="1261" t="s">
        <v>364</v>
      </c>
      <c r="I96" s="1259"/>
      <c r="J96" s="1259"/>
      <c r="K96" s="1260" t="e">
        <f>K89+K94</f>
        <v>#DIV/0!</v>
      </c>
      <c r="L96" s="1261" t="s">
        <v>364</v>
      </c>
      <c r="M96" s="1259"/>
      <c r="N96" s="1259"/>
      <c r="O96" s="1260" t="e">
        <f>O89+O94</f>
        <v>#DIV/0!</v>
      </c>
      <c r="P96" s="1261" t="s">
        <v>364</v>
      </c>
      <c r="Q96" s="1259"/>
      <c r="R96" s="1259"/>
      <c r="S96" s="1260" t="e">
        <f ca="1">S89+S94</f>
        <v>#DIV/0!</v>
      </c>
      <c r="T96" s="1261" t="s">
        <v>364</v>
      </c>
      <c r="U96" s="1259"/>
      <c r="V96" s="1124"/>
      <c r="W96" s="784"/>
      <c r="Z96" s="1125"/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861</v>
      </c>
      <c r="B97" s="1256"/>
      <c r="C97" s="1257"/>
      <c r="D97" s="1260">
        <v>10.35</v>
      </c>
      <c r="E97" s="1261" t="s">
        <v>364</v>
      </c>
      <c r="F97" s="1259"/>
      <c r="G97" s="1260">
        <f>G90+G95</f>
        <v>10.613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770">
        <f>(G97-G96)/G96</f>
        <v>0.58002084263808229</v>
      </c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>
      <c r="A98" s="1" t="s">
        <v>371</v>
      </c>
      <c r="B98" s="290"/>
      <c r="C98" s="21">
        <f>C115+C130+C145+C160</f>
        <v>1550217053.6855903</v>
      </c>
      <c r="D98" s="953"/>
      <c r="E98" s="2"/>
      <c r="F98" s="2">
        <f>F115+F130+F145+F160</f>
        <v>143368185</v>
      </c>
      <c r="G98" s="2"/>
      <c r="H98" s="2"/>
      <c r="I98" s="2">
        <f t="shared" ref="I98" ca="1" si="23">I115+I130+I145+I160</f>
        <v>146780963</v>
      </c>
      <c r="J98" s="2"/>
      <c r="K98" s="2"/>
      <c r="L98" s="2"/>
      <c r="M98" s="2" t="e">
        <f>SUM(M88:M97)</f>
        <v>#DIV/0!</v>
      </c>
      <c r="N98" s="2"/>
      <c r="O98" s="2"/>
      <c r="P98" s="2"/>
      <c r="Q98" s="2" t="e">
        <f>SUM(Q88:Q97)</f>
        <v>#DIV/0!</v>
      </c>
      <c r="R98" s="2"/>
      <c r="S98" s="2"/>
      <c r="T98" s="2"/>
      <c r="U98" s="2" t="e">
        <f ca="1">SUM(U88:U97)</f>
        <v>#DIV/0!</v>
      </c>
      <c r="W98" s="14"/>
      <c r="AK98" s="20"/>
      <c r="AL98" s="20"/>
      <c r="AM98" s="20"/>
      <c r="AN98" s="20"/>
      <c r="AO98" s="20"/>
      <c r="AP98" s="20"/>
      <c r="AR98" s="84"/>
    </row>
    <row r="99" spans="1:44">
      <c r="A99" s="1" t="s">
        <v>353</v>
      </c>
      <c r="B99" s="292"/>
      <c r="C99" s="293">
        <f>C116+C131+C146+C161</f>
        <v>19569583.803586423</v>
      </c>
      <c r="D99" s="294"/>
      <c r="E99" s="294"/>
      <c r="F99" s="1402">
        <f>F116+F131+F146+F161</f>
        <v>1987055.0327333291</v>
      </c>
      <c r="G99" s="294"/>
      <c r="H99" s="294"/>
      <c r="I99" s="295">
        <f>F99</f>
        <v>1987055.0327333291</v>
      </c>
      <c r="J99" s="51"/>
      <c r="K99" s="294"/>
      <c r="L99" s="294"/>
      <c r="M99" s="295" t="e">
        <f>$I$99*V103/($V$103+$W$103+$X$103)</f>
        <v>#DIV/0!</v>
      </c>
      <c r="N99" s="51"/>
      <c r="O99" s="294"/>
      <c r="P99" s="294"/>
      <c r="Q99" s="295" t="e">
        <f>$I$99*W103/($V$103+$W$103+$X$103)</f>
        <v>#DIV/0!</v>
      </c>
      <c r="R99" s="51"/>
      <c r="S99" s="294"/>
      <c r="T99" s="294"/>
      <c r="U99" s="295" t="e">
        <f>$I$99*X103/($V$103+$W$103+$X$103)</f>
        <v>#DIV/0!</v>
      </c>
      <c r="AK99" s="20"/>
      <c r="AL99" s="20"/>
      <c r="AM99" s="20"/>
      <c r="AN99" s="20"/>
      <c r="AO99" s="20"/>
      <c r="AP99" s="20"/>
      <c r="AR99" s="84"/>
    </row>
    <row r="100" spans="1:44" ht="16.5" thickBot="1">
      <c r="A100" s="1" t="s">
        <v>372</v>
      </c>
      <c r="B100" s="1"/>
      <c r="C100" s="296">
        <f>C98+C99</f>
        <v>1569786637.4891768</v>
      </c>
      <c r="D100" s="297"/>
      <c r="E100" s="297"/>
      <c r="F100" s="297">
        <f>F98+F99</f>
        <v>145355240.03273332</v>
      </c>
      <c r="G100" s="297"/>
      <c r="H100" s="297"/>
      <c r="I100" s="297">
        <f ca="1">I98+I99</f>
        <v>148768018.03273332</v>
      </c>
      <c r="J100" s="297"/>
      <c r="K100" s="297"/>
      <c r="L100" s="297"/>
      <c r="M100" s="297" t="e">
        <f>M98+M99</f>
        <v>#DIV/0!</v>
      </c>
      <c r="N100" s="297"/>
      <c r="O100" s="297"/>
      <c r="P100" s="297"/>
      <c r="Q100" s="297" t="e">
        <f>Q98+Q99</f>
        <v>#DIV/0!</v>
      </c>
      <c r="R100" s="297"/>
      <c r="S100" s="297"/>
      <c r="T100" s="297"/>
      <c r="U100" s="297" t="e">
        <f ca="1">U98+U99</f>
        <v>#DIV/0!</v>
      </c>
      <c r="V100" s="757" t="s">
        <v>354</v>
      </c>
      <c r="W100" s="1082">
        <f ca="1">'Rate Spread targets'!X18*1000</f>
        <v>148767347.75518811</v>
      </c>
      <c r="X100" s="1417">
        <f ca="1">'Rate Spread targets'!AA18</f>
        <v>2.3473253601397698E-2</v>
      </c>
      <c r="Y100" s="751"/>
      <c r="Z100" s="1296">
        <f ca="1">'Rate Spread targets'!AA18</f>
        <v>2.3473253601397698E-2</v>
      </c>
      <c r="AA100" s="4" t="s">
        <v>894</v>
      </c>
      <c r="AK100" s="20"/>
      <c r="AL100" s="20"/>
      <c r="AM100" s="20"/>
      <c r="AN100" s="20"/>
      <c r="AO100" s="20"/>
      <c r="AP100" s="20"/>
      <c r="AR100" s="84"/>
    </row>
    <row r="101" spans="1:44" ht="16.5" thickTop="1">
      <c r="A101" s="1"/>
      <c r="B101" s="1"/>
      <c r="C101" s="335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112" t="s">
        <v>257</v>
      </c>
      <c r="W101" s="1452">
        <f ca="1">W100-I100</f>
        <v>-670.27754521369934</v>
      </c>
      <c r="X101" s="394">
        <v>2.53E-2</v>
      </c>
      <c r="Y101" s="751"/>
      <c r="Z101" s="4"/>
      <c r="AA101" s="4"/>
      <c r="AK101" s="20"/>
      <c r="AL101" s="20"/>
      <c r="AM101" s="20"/>
      <c r="AN101" s="20"/>
      <c r="AO101" s="20"/>
      <c r="AP101" s="20"/>
      <c r="AR101" s="84"/>
    </row>
    <row r="102" spans="1:44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1279"/>
      <c r="W102" s="719"/>
      <c r="X102" s="1327"/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>
      <c r="A103" s="1"/>
      <c r="B103" s="298"/>
      <c r="C103" s="21"/>
      <c r="D103" s="1" t="s">
        <v>31</v>
      </c>
      <c r="E103" s="1"/>
      <c r="G103" s="1" t="s">
        <v>31</v>
      </c>
      <c r="H103" s="1"/>
      <c r="I103" s="1312"/>
      <c r="J103" s="2"/>
      <c r="K103" s="1" t="s">
        <v>31</v>
      </c>
      <c r="L103" s="1"/>
      <c r="V103" s="1124"/>
      <c r="W103" s="1124"/>
      <c r="X103" s="1124"/>
      <c r="Y103" s="1"/>
      <c r="AK103" s="20"/>
      <c r="AL103" s="20"/>
      <c r="AM103" s="20"/>
      <c r="AN103" s="20"/>
      <c r="AO103" s="20"/>
      <c r="AP103" s="20"/>
      <c r="AR103" s="84"/>
    </row>
    <row r="104" spans="1:44">
      <c r="A104" s="278" t="s">
        <v>373</v>
      </c>
      <c r="B104" s="1"/>
      <c r="C104" s="1" t="s">
        <v>31</v>
      </c>
      <c r="D104" s="21"/>
      <c r="E104" s="1"/>
      <c r="F104" s="1"/>
      <c r="G104" s="21"/>
      <c r="H104" s="1"/>
      <c r="I104" s="1"/>
      <c r="J104" s="1"/>
      <c r="K104" s="21"/>
      <c r="L104" s="1"/>
      <c r="M104" s="1"/>
      <c r="N104" s="1"/>
      <c r="O104" s="21"/>
      <c r="P104" s="1"/>
      <c r="Q104" s="1"/>
      <c r="R104" s="1"/>
      <c r="S104" s="21"/>
      <c r="T104" s="1"/>
      <c r="U104" s="1"/>
      <c r="V104" s="2" t="s">
        <v>31</v>
      </c>
      <c r="W104" s="2" t="s">
        <v>31</v>
      </c>
      <c r="X104" s="2" t="s">
        <v>31</v>
      </c>
      <c r="AA104" s="2"/>
      <c r="AB104" s="1" t="s">
        <v>31</v>
      </c>
      <c r="AC104" s="1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R104" s="84"/>
    </row>
    <row r="105" spans="1:44">
      <c r="A105" s="1" t="s">
        <v>320</v>
      </c>
      <c r="B105" s="1"/>
      <c r="C105" s="1" t="s">
        <v>31</v>
      </c>
      <c r="D105" s="21"/>
      <c r="E105" s="1"/>
      <c r="F105" s="1"/>
      <c r="G105" s="21"/>
      <c r="H105" s="1"/>
      <c r="I105" s="1"/>
      <c r="J105" s="1"/>
      <c r="K105" s="21"/>
      <c r="L105" s="1"/>
      <c r="M105" s="1" t="s">
        <v>31</v>
      </c>
      <c r="N105" s="1"/>
      <c r="O105" s="21"/>
      <c r="P105" s="1"/>
      <c r="Q105" s="1"/>
      <c r="R105" s="1"/>
      <c r="S105" s="21"/>
      <c r="T105" s="1"/>
      <c r="U105" s="1"/>
      <c r="V105" s="20"/>
      <c r="W105" s="74"/>
      <c r="X105" s="74"/>
      <c r="Y105" s="74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333" t="s">
        <v>671</v>
      </c>
      <c r="B106" s="1"/>
      <c r="C106" s="1"/>
      <c r="D106" s="21"/>
      <c r="E106" s="1"/>
      <c r="F106" s="1"/>
      <c r="G106" s="21"/>
      <c r="H106" s="1"/>
      <c r="I106" s="1"/>
      <c r="J106" s="1"/>
      <c r="K106" s="21"/>
      <c r="L106" s="1"/>
      <c r="M106" s="1"/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7" t="s">
        <v>31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1" t="s">
        <v>360</v>
      </c>
      <c r="B107" s="1"/>
      <c r="C107" s="21">
        <v>1190382.0735483039</v>
      </c>
      <c r="D107" s="283">
        <v>7.75</v>
      </c>
      <c r="E107" s="1"/>
      <c r="F107" s="2">
        <f>ROUND(D107*C107,0)</f>
        <v>9225461</v>
      </c>
      <c r="G107" s="283">
        <f>$G$88</f>
        <v>7.75</v>
      </c>
      <c r="H107" s="1"/>
      <c r="I107" s="2">
        <f>ROUND(G107*$C107,0)</f>
        <v>9225461</v>
      </c>
      <c r="J107" s="2"/>
      <c r="K107" s="283">
        <f>$K$88</f>
        <v>7.75</v>
      </c>
      <c r="L107" s="1"/>
      <c r="M107" s="2">
        <f>K107*$C107</f>
        <v>9225461.0699993558</v>
      </c>
      <c r="N107" s="2"/>
      <c r="O107" s="283" t="str">
        <f>$O$88</f>
        <v xml:space="preserve"> </v>
      </c>
      <c r="P107" s="1"/>
      <c r="Q107" s="2">
        <f>ROUND(O107*$C107,0)</f>
        <v>0</v>
      </c>
      <c r="R107" s="2"/>
      <c r="S107" s="283" t="str">
        <f>$S$88</f>
        <v xml:space="preserve"> </v>
      </c>
      <c r="T107" s="1"/>
      <c r="U107" s="2">
        <f>ROUND(S107*$C107,0)</f>
        <v>0</v>
      </c>
      <c r="V107" s="20"/>
      <c r="W107" s="74"/>
      <c r="X107" s="74"/>
      <c r="Y107" s="74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363</v>
      </c>
      <c r="B108" s="1"/>
      <c r="C108" s="21">
        <v>664551696.22316003</v>
      </c>
      <c r="D108" s="284">
        <v>6.548</v>
      </c>
      <c r="E108" s="1" t="s">
        <v>364</v>
      </c>
      <c r="F108" s="2">
        <f>ROUND(C108*D108/100,0)</f>
        <v>43514845</v>
      </c>
      <c r="G108" s="284">
        <f>$G$89</f>
        <v>6.7170000000000005</v>
      </c>
      <c r="H108" s="1" t="s">
        <v>364</v>
      </c>
      <c r="I108" s="2">
        <f>ROUND(G108*$C108/100,0)</f>
        <v>44637937</v>
      </c>
      <c r="J108" s="2"/>
      <c r="K108" s="284" t="e">
        <f>K89</f>
        <v>#DIV/0!</v>
      </c>
      <c r="L108" s="1" t="s">
        <v>364</v>
      </c>
      <c r="M108" s="2" t="e">
        <f>K108*$C108/100</f>
        <v>#DIV/0!</v>
      </c>
      <c r="N108" s="2"/>
      <c r="O108" s="284" t="e">
        <f>O89</f>
        <v>#DIV/0!</v>
      </c>
      <c r="P108" s="1" t="s">
        <v>364</v>
      </c>
      <c r="Q108" s="2" t="e">
        <f>ROUND(O108*$C108/100,0)</f>
        <v>#DIV/0!</v>
      </c>
      <c r="R108" s="2"/>
      <c r="S108" s="284" t="e">
        <f ca="1">S89</f>
        <v>#DIV/0!</v>
      </c>
      <c r="T108" s="1" t="s">
        <v>364</v>
      </c>
      <c r="U108" s="2" t="e">
        <f ca="1">ROUND(S108*$C108/100,0)</f>
        <v>#DIV/0!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365</v>
      </c>
      <c r="B109" s="21"/>
      <c r="C109" s="21">
        <v>794267679.4665302</v>
      </c>
      <c r="D109" s="284">
        <v>10.35</v>
      </c>
      <c r="E109" s="1" t="s">
        <v>364</v>
      </c>
      <c r="F109" s="2">
        <f>ROUND(C109*D109/100,0)</f>
        <v>82206705</v>
      </c>
      <c r="G109" s="284">
        <f>$G$90</f>
        <v>10.613</v>
      </c>
      <c r="H109" s="1" t="s">
        <v>364</v>
      </c>
      <c r="I109" s="2">
        <f>ROUND(G109*$C109/100,0)</f>
        <v>84295629</v>
      </c>
      <c r="J109" s="2"/>
      <c r="K109" s="284" t="e">
        <f>K90</f>
        <v>#DIV/0!</v>
      </c>
      <c r="L109" s="1" t="s">
        <v>364</v>
      </c>
      <c r="M109" s="2" t="e">
        <f>K109*$C109/100</f>
        <v>#DIV/0!</v>
      </c>
      <c r="N109" s="2"/>
      <c r="O109" s="284" t="e">
        <f>O90</f>
        <v>#DIV/0!</v>
      </c>
      <c r="P109" s="1" t="s">
        <v>364</v>
      </c>
      <c r="Q109" s="2" t="e">
        <f>ROUND(O109*$C109/100,0)</f>
        <v>#DIV/0!</v>
      </c>
      <c r="R109" s="2"/>
      <c r="S109" s="284" t="e">
        <f ca="1">S90</f>
        <v>#DIV/0!</v>
      </c>
      <c r="T109" s="1" t="s">
        <v>364</v>
      </c>
      <c r="U109" s="2" t="e">
        <f ca="1">ROUND(S109*$C109/100,0)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367</v>
      </c>
      <c r="B110" s="1"/>
      <c r="C110" s="21">
        <v>0</v>
      </c>
      <c r="D110" s="286">
        <v>1.74</v>
      </c>
      <c r="E110" s="1"/>
      <c r="F110" s="2">
        <v>0</v>
      </c>
      <c r="G110" s="286">
        <f ca="1">$G$91</f>
        <v>1.78</v>
      </c>
      <c r="H110" s="1"/>
      <c r="I110" s="2">
        <f ca="1">ROUND(G110*$C110,0)</f>
        <v>0</v>
      </c>
      <c r="J110" s="2"/>
      <c r="K110" s="286">
        <v>0</v>
      </c>
      <c r="L110" s="1"/>
      <c r="M110" s="2">
        <f>ROUND(K110*$C110,0)</f>
        <v>0</v>
      </c>
      <c r="N110" s="2"/>
      <c r="O110" s="286">
        <v>0</v>
      </c>
      <c r="P110" s="1"/>
      <c r="Q110" s="2">
        <f>ROUND(O110*$C110,0)</f>
        <v>0</v>
      </c>
      <c r="R110" s="2"/>
      <c r="S110" s="286">
        <f ca="1">S91</f>
        <v>1.78</v>
      </c>
      <c r="T110" s="1"/>
      <c r="U110" s="2">
        <f ca="1">ROUND(S110*$C110,0)</f>
        <v>0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288" t="s">
        <v>369</v>
      </c>
      <c r="B111" s="288"/>
      <c r="C111" s="21">
        <v>0</v>
      </c>
      <c r="D111" s="286">
        <v>3.4</v>
      </c>
      <c r="E111" s="288"/>
      <c r="F111" s="2">
        <v>0</v>
      </c>
      <c r="G111" s="286">
        <f ca="1">$G$92</f>
        <v>3.5</v>
      </c>
      <c r="H111" s="288"/>
      <c r="I111" s="2">
        <f ca="1">ROUND(G111*$C111,0)</f>
        <v>0</v>
      </c>
      <c r="J111" s="2"/>
      <c r="K111" s="286">
        <v>0</v>
      </c>
      <c r="L111" s="288"/>
      <c r="M111" s="2">
        <f>ROUND(K111*$C111,0)</f>
        <v>0</v>
      </c>
      <c r="N111" s="2"/>
      <c r="O111" s="286">
        <v>0</v>
      </c>
      <c r="P111" s="288"/>
      <c r="Q111" s="2">
        <f>ROUND(O111*$C111,0)</f>
        <v>0</v>
      </c>
      <c r="R111" s="2"/>
      <c r="S111" s="286">
        <f ca="1">S92</f>
        <v>3.5</v>
      </c>
      <c r="T111" s="288"/>
      <c r="U111" s="2">
        <f ca="1">ROUND(S111*$C111,0)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 s="1118" customFormat="1" hidden="1">
      <c r="A112" s="968" t="s">
        <v>858</v>
      </c>
      <c r="C112" s="1122">
        <f>C108</f>
        <v>664551696.22316003</v>
      </c>
      <c r="D112" s="1423">
        <v>0</v>
      </c>
      <c r="E112" s="1119"/>
      <c r="F112" s="1123"/>
      <c r="G112" s="1128">
        <f>G94</f>
        <v>0</v>
      </c>
      <c r="H112" s="1126" t="s">
        <v>364</v>
      </c>
      <c r="I112" s="1123">
        <f>G112*C112/100</f>
        <v>0</v>
      </c>
      <c r="J112" s="1123"/>
      <c r="K112" s="1128" t="str">
        <f>K94</f>
        <v xml:space="preserve"> </v>
      </c>
      <c r="L112" s="1126" t="s">
        <v>364</v>
      </c>
      <c r="M112" s="1123">
        <f>K112*C112/100</f>
        <v>0</v>
      </c>
      <c r="N112" s="1123"/>
      <c r="O112" s="1128">
        <v>0</v>
      </c>
      <c r="P112" s="1126" t="s">
        <v>364</v>
      </c>
      <c r="Q112" s="1123">
        <f>O112*C112/100</f>
        <v>0</v>
      </c>
      <c r="R112" s="1123"/>
      <c r="S112" s="1128">
        <f>G112</f>
        <v>0</v>
      </c>
      <c r="T112" s="1126" t="s">
        <v>364</v>
      </c>
      <c r="U112" s="1123">
        <f>S112*C112/100</f>
        <v>0</v>
      </c>
      <c r="W112" s="784"/>
      <c r="Z112" s="1125"/>
      <c r="AA112" s="1125"/>
      <c r="AF112" s="1119"/>
      <c r="AG112" s="1119"/>
      <c r="AH112" s="1119"/>
      <c r="AI112" s="1119"/>
      <c r="AJ112" s="1119"/>
      <c r="AK112" s="1119"/>
      <c r="AL112" s="1119"/>
      <c r="AM112" s="1119"/>
      <c r="AN112" s="1119"/>
      <c r="AO112" s="1119"/>
      <c r="AP112" s="1119"/>
      <c r="AR112" s="1124"/>
    </row>
    <row r="113" spans="1:44" s="1118" customFormat="1" hidden="1">
      <c r="A113" s="968" t="s">
        <v>859</v>
      </c>
      <c r="C113" s="1122">
        <f>C109</f>
        <v>794267679.4665302</v>
      </c>
      <c r="D113" s="1423"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364</v>
      </c>
      <c r="M113" s="1123">
        <f>K113*C113/100</f>
        <v>0</v>
      </c>
      <c r="N113" s="1123"/>
      <c r="O113" s="1128">
        <v>0</v>
      </c>
      <c r="P113" s="1126" t="s">
        <v>364</v>
      </c>
      <c r="Q113" s="1123">
        <f>O113*C113/100</f>
        <v>0</v>
      </c>
      <c r="R113" s="1123"/>
      <c r="S113" s="1128">
        <f>G113</f>
        <v>0</v>
      </c>
      <c r="T113" s="1126" t="s">
        <v>364</v>
      </c>
      <c r="U113" s="1123">
        <f>S113*C113/100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>
      <c r="A114" s="288" t="s">
        <v>370</v>
      </c>
      <c r="B114" s="288"/>
      <c r="C114" s="21">
        <v>0</v>
      </c>
      <c r="D114" s="289">
        <v>-1.74</v>
      </c>
      <c r="E114" s="288"/>
      <c r="F114" s="2">
        <v>0</v>
      </c>
      <c r="G114" s="289">
        <f ca="1">-G110</f>
        <v>-1.78</v>
      </c>
      <c r="H114" s="288"/>
      <c r="I114" s="2">
        <f ca="1">ROUND(G114*$C114,0)</f>
        <v>0</v>
      </c>
      <c r="J114" s="2"/>
      <c r="K114" s="289">
        <f>-K110</f>
        <v>0</v>
      </c>
      <c r="L114" s="288"/>
      <c r="M114" s="2">
        <f>ROUND(K114*$C114,0)</f>
        <v>0</v>
      </c>
      <c r="N114" s="2"/>
      <c r="O114" s="289">
        <f>-O110</f>
        <v>0</v>
      </c>
      <c r="P114" s="288"/>
      <c r="Q114" s="2">
        <f>ROUND(O114*$C114,0)</f>
        <v>0</v>
      </c>
      <c r="R114" s="2"/>
      <c r="S114" s="289">
        <f ca="1">-S110</f>
        <v>-1.78</v>
      </c>
      <c r="T114" s="288"/>
      <c r="U114" s="2">
        <f ca="1">ROUND(S114*$C114,0)</f>
        <v>0</v>
      </c>
      <c r="V114" s="20"/>
      <c r="W114" s="74"/>
      <c r="X114" s="74"/>
      <c r="Y114" s="74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R114" s="84"/>
    </row>
    <row r="115" spans="1:44">
      <c r="A115" s="1" t="s">
        <v>371</v>
      </c>
      <c r="B115" s="290"/>
      <c r="C115" s="21">
        <f>SUM(C108:C109)</f>
        <v>1458819375.6896901</v>
      </c>
      <c r="D115" s="953"/>
      <c r="E115" s="2"/>
      <c r="F115" s="2">
        <f>SUM(F107:F114)</f>
        <v>134947011</v>
      </c>
      <c r="G115" s="2"/>
      <c r="H115" s="2"/>
      <c r="I115" s="2">
        <f ca="1">SUM(I107:I114)</f>
        <v>138159027</v>
      </c>
      <c r="J115" s="2"/>
      <c r="K115" s="2"/>
      <c r="L115" s="2"/>
      <c r="M115" s="2" t="e">
        <f>SUM(M107:M114)</f>
        <v>#DIV/0!</v>
      </c>
      <c r="N115" s="2"/>
      <c r="O115" s="2"/>
      <c r="P115" s="2"/>
      <c r="Q115" s="2" t="e">
        <f>SUM(Q107:Q114)</f>
        <v>#DIV/0!</v>
      </c>
      <c r="R115" s="2"/>
      <c r="S115" s="2"/>
      <c r="T115" s="2"/>
      <c r="U115" s="2" t="e">
        <f ca="1">SUM(U107:U114)</f>
        <v>#DIV/0!</v>
      </c>
      <c r="V115" s="20"/>
      <c r="W115" s="51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353</v>
      </c>
      <c r="B116" s="292"/>
      <c r="C116" s="302">
        <f>'Table 2'!H13+'Table 2'!H17</f>
        <v>18426169.205008153</v>
      </c>
      <c r="D116" s="294"/>
      <c r="E116" s="294"/>
      <c r="F116" s="1402">
        <f>'Table 3'!E13+'Table 3'!E17</f>
        <v>1871290.0371091876</v>
      </c>
      <c r="G116" s="294"/>
      <c r="H116" s="294"/>
      <c r="I116" s="295">
        <f>F116</f>
        <v>1871290.0371091876</v>
      </c>
      <c r="J116" s="51"/>
      <c r="K116" s="294"/>
      <c r="L116" s="294"/>
      <c r="M116" s="295" t="e">
        <f>I116/$I$99*$M$99</f>
        <v>#DIV/0!</v>
      </c>
      <c r="N116" s="51"/>
      <c r="O116" s="294"/>
      <c r="P116" s="294"/>
      <c r="Q116" s="295" t="e">
        <f>I116/$I$99*$Q$99</f>
        <v>#DIV/0!</v>
      </c>
      <c r="R116" s="51"/>
      <c r="S116" s="294"/>
      <c r="T116" s="294"/>
      <c r="U116" s="295" t="e">
        <f>I116/$I$99*$U$99</f>
        <v>#DIV/0!</v>
      </c>
      <c r="V116" s="429"/>
      <c r="W116" s="272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 ht="16.5" thickBot="1">
      <c r="A117" s="1" t="s">
        <v>372</v>
      </c>
      <c r="B117" s="1"/>
      <c r="C117" s="296">
        <f>C115+C116</f>
        <v>1477245544.8946984</v>
      </c>
      <c r="D117" s="297"/>
      <c r="E117" s="297"/>
      <c r="F117" s="297">
        <f>SUM(F115:F116)</f>
        <v>136818301.0371092</v>
      </c>
      <c r="G117" s="297"/>
      <c r="H117" s="297"/>
      <c r="I117" s="297">
        <f ca="1">I115+I116</f>
        <v>140030317.0371092</v>
      </c>
      <c r="J117" s="51"/>
      <c r="K117" s="297"/>
      <c r="L117" s="297"/>
      <c r="M117" s="297" t="e">
        <f>M115+M116</f>
        <v>#DIV/0!</v>
      </c>
      <c r="N117" s="297"/>
      <c r="O117" s="297"/>
      <c r="P117" s="297"/>
      <c r="Q117" s="297" t="e">
        <f>Q115+Q116</f>
        <v>#DIV/0!</v>
      </c>
      <c r="R117" s="297"/>
      <c r="S117" s="297"/>
      <c r="T117" s="297"/>
      <c r="U117" s="297" t="e">
        <f ca="1">U115+$U$116</f>
        <v>#DIV/0!</v>
      </c>
      <c r="V117" s="396"/>
      <c r="W117" s="455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Top="1">
      <c r="A118" s="1"/>
      <c r="B118" s="298"/>
      <c r="C118" s="21"/>
      <c r="D118" s="1" t="s">
        <v>31</v>
      </c>
      <c r="E118" s="1"/>
      <c r="F118" s="84" t="s">
        <v>31</v>
      </c>
      <c r="G118" s="1" t="s">
        <v>31</v>
      </c>
      <c r="H118" s="1"/>
      <c r="I118" s="2" t="s">
        <v>31</v>
      </c>
      <c r="J118" s="2"/>
      <c r="K118" s="1" t="s">
        <v>31</v>
      </c>
      <c r="L118" s="1"/>
      <c r="M118" s="2" t="s">
        <v>31</v>
      </c>
      <c r="N118" s="2"/>
      <c r="O118" s="1" t="s">
        <v>31</v>
      </c>
      <c r="P118" s="1"/>
      <c r="Q118" s="2" t="s">
        <v>31</v>
      </c>
      <c r="R118" s="2"/>
      <c r="S118" s="1" t="s">
        <v>31</v>
      </c>
      <c r="T118" s="1"/>
      <c r="U118" s="2" t="s">
        <v>31</v>
      </c>
      <c r="V118" s="20"/>
      <c r="W118" s="74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>
      <c r="A119" s="278" t="s">
        <v>374</v>
      </c>
      <c r="B119" s="1"/>
      <c r="C119" s="1" t="s">
        <v>31</v>
      </c>
      <c r="D119" s="21"/>
      <c r="E119" s="1"/>
      <c r="F119" s="1"/>
      <c r="G119" s="21"/>
      <c r="H119" s="1"/>
      <c r="I119" s="1"/>
      <c r="J119" s="1"/>
      <c r="K119" s="21"/>
      <c r="L119" s="1"/>
      <c r="M119" s="1"/>
      <c r="N119" s="1"/>
      <c r="O119" s="21"/>
      <c r="P119" s="1"/>
      <c r="Q119" s="1"/>
      <c r="R119" s="1"/>
      <c r="S119" s="21"/>
      <c r="T119" s="1"/>
      <c r="U119" s="1"/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1" t="s">
        <v>320</v>
      </c>
      <c r="B120" s="1"/>
      <c r="C120" s="1"/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282"/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1" t="s">
        <v>360</v>
      </c>
      <c r="B122" s="1"/>
      <c r="C122" s="21">
        <v>71521.491612903294</v>
      </c>
      <c r="D122" s="283">
        <v>7.75</v>
      </c>
      <c r="E122" s="1"/>
      <c r="F122" s="2">
        <f>ROUND(D122*C122,0)</f>
        <v>554292</v>
      </c>
      <c r="G122" s="283">
        <f>D122</f>
        <v>7.75</v>
      </c>
      <c r="H122" s="1"/>
      <c r="I122" s="2">
        <f>ROUND(G122*$C122,0)</f>
        <v>554292</v>
      </c>
      <c r="J122" s="2"/>
      <c r="K122" s="283">
        <f>G122</f>
        <v>7.75</v>
      </c>
      <c r="L122" s="1"/>
      <c r="M122" s="2">
        <f>K122*$C122</f>
        <v>554291.56000000052</v>
      </c>
      <c r="N122" s="2"/>
      <c r="O122" s="283" t="str">
        <f>$O$88</f>
        <v xml:space="preserve"> </v>
      </c>
      <c r="P122" s="1"/>
      <c r="Q122" s="2">
        <f>ROUND(O122*$C122,0)</f>
        <v>0</v>
      </c>
      <c r="R122" s="2"/>
      <c r="S122" s="283" t="str">
        <f>$S$88</f>
        <v xml:space="preserve"> </v>
      </c>
      <c r="T122" s="1"/>
      <c r="U122" s="2">
        <f>ROUND(S122*$C122,0)</f>
        <v>0</v>
      </c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363</v>
      </c>
      <c r="B123" s="1"/>
      <c r="C123" s="21">
        <v>41755519.776553854</v>
      </c>
      <c r="D123" s="284">
        <v>6.548</v>
      </c>
      <c r="E123" s="1" t="s">
        <v>364</v>
      </c>
      <c r="F123" s="2">
        <f>ROUND(C123*D123/100,0)</f>
        <v>2734151</v>
      </c>
      <c r="G123" s="284">
        <f>$G$89</f>
        <v>6.7170000000000005</v>
      </c>
      <c r="H123" s="1" t="s">
        <v>364</v>
      </c>
      <c r="I123" s="2">
        <f>ROUND(G123*$C123/100,0)</f>
        <v>2804718</v>
      </c>
      <c r="J123" s="2"/>
      <c r="K123" s="284" t="e">
        <f>K89</f>
        <v>#DIV/0!</v>
      </c>
      <c r="L123" s="1" t="s">
        <v>364</v>
      </c>
      <c r="M123" s="2" t="e">
        <f>K123*$C123/100</f>
        <v>#DIV/0!</v>
      </c>
      <c r="N123" s="2"/>
      <c r="O123" s="284" t="e">
        <f>O89</f>
        <v>#DIV/0!</v>
      </c>
      <c r="P123" s="1" t="s">
        <v>364</v>
      </c>
      <c r="Q123" s="2" t="e">
        <f>ROUND(O123*$C123/100,0)</f>
        <v>#DIV/0!</v>
      </c>
      <c r="R123" s="2"/>
      <c r="S123" s="284" t="e">
        <f ca="1">S89</f>
        <v>#DIV/0!</v>
      </c>
      <c r="T123" s="1" t="s">
        <v>364</v>
      </c>
      <c r="U123" s="2" t="e">
        <f ca="1">ROUND(S123*$C123/100,0)</f>
        <v>#DIV/0!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365</v>
      </c>
      <c r="B124" s="1"/>
      <c r="C124" s="21">
        <v>47018320.003545634</v>
      </c>
      <c r="D124" s="284">
        <v>10.35</v>
      </c>
      <c r="E124" s="1" t="s">
        <v>364</v>
      </c>
      <c r="F124" s="2">
        <f>ROUND(C124*D124/100,0)</f>
        <v>4866396</v>
      </c>
      <c r="G124" s="284">
        <f>$G$90</f>
        <v>10.613</v>
      </c>
      <c r="H124" s="1" t="s">
        <v>364</v>
      </c>
      <c r="I124" s="2">
        <f>ROUND(G124*$C124/100,0)</f>
        <v>4990054</v>
      </c>
      <c r="J124" s="2"/>
      <c r="K124" s="284" t="e">
        <f>K90</f>
        <v>#DIV/0!</v>
      </c>
      <c r="L124" s="1" t="s">
        <v>364</v>
      </c>
      <c r="M124" s="2" t="e">
        <f>K124*$C124/100</f>
        <v>#DIV/0!</v>
      </c>
      <c r="N124" s="2"/>
      <c r="O124" s="284" t="e">
        <f>O90</f>
        <v>#DIV/0!</v>
      </c>
      <c r="P124" s="1" t="s">
        <v>364</v>
      </c>
      <c r="Q124" s="2" t="e">
        <f>ROUND(O124*$C124/100,0)</f>
        <v>#DIV/0!</v>
      </c>
      <c r="R124" s="2"/>
      <c r="S124" s="284" t="e">
        <f ca="1">S90</f>
        <v>#DIV/0!</v>
      </c>
      <c r="T124" s="1" t="s">
        <v>364</v>
      </c>
      <c r="U124" s="2" t="e">
        <f ca="1">ROUND(S124*$C124/100,0)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367</v>
      </c>
      <c r="B125" s="1"/>
      <c r="C125" s="21">
        <v>0</v>
      </c>
      <c r="D125" s="286">
        <v>1.74</v>
      </c>
      <c r="E125" s="1"/>
      <c r="F125" s="2">
        <v>0</v>
      </c>
      <c r="G125" s="286">
        <f ca="1">$G$91</f>
        <v>1.78</v>
      </c>
      <c r="H125" s="1"/>
      <c r="I125" s="2">
        <f ca="1">ROUND(G125*$C125,0)</f>
        <v>0</v>
      </c>
      <c r="J125" s="2"/>
      <c r="K125" s="286">
        <v>0</v>
      </c>
      <c r="L125" s="1"/>
      <c r="M125" s="2">
        <f>ROUND(K125*$C125,0)</f>
        <v>0</v>
      </c>
      <c r="N125" s="2"/>
      <c r="O125" s="286">
        <v>0</v>
      </c>
      <c r="P125" s="1"/>
      <c r="Q125" s="2">
        <f>ROUND(O125*$C125,0)</f>
        <v>0</v>
      </c>
      <c r="R125" s="2"/>
      <c r="S125" s="286">
        <f ca="1">S91</f>
        <v>1.78</v>
      </c>
      <c r="T125" s="1"/>
      <c r="U125" s="2">
        <f ca="1">ROUND(S125*$C125,0)</f>
        <v>0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288" t="s">
        <v>369</v>
      </c>
      <c r="B126" s="288"/>
      <c r="C126" s="21">
        <v>0</v>
      </c>
      <c r="D126" s="286">
        <v>3.4</v>
      </c>
      <c r="E126" s="288"/>
      <c r="F126" s="2">
        <v>0</v>
      </c>
      <c r="G126" s="286">
        <f ca="1">$G$92</f>
        <v>3.5</v>
      </c>
      <c r="H126" s="288"/>
      <c r="I126" s="2">
        <f ca="1">ROUND(G126*$C126,0)</f>
        <v>0</v>
      </c>
      <c r="J126" s="2"/>
      <c r="K126" s="286">
        <v>0</v>
      </c>
      <c r="L126" s="288"/>
      <c r="M126" s="2">
        <f>ROUND(K126*$C126,0)</f>
        <v>0</v>
      </c>
      <c r="N126" s="2"/>
      <c r="O126" s="286">
        <v>0</v>
      </c>
      <c r="P126" s="288"/>
      <c r="Q126" s="2">
        <f>ROUND(O126*$C126,0)</f>
        <v>0</v>
      </c>
      <c r="R126" s="2"/>
      <c r="S126" s="286">
        <f ca="1">S92</f>
        <v>3.5</v>
      </c>
      <c r="T126" s="288"/>
      <c r="U126" s="2">
        <f ca="1">ROUND(S126*$C126,0)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370</v>
      </c>
      <c r="B127" s="288"/>
      <c r="C127" s="21">
        <v>0</v>
      </c>
      <c r="D127" s="289">
        <v>-1.74</v>
      </c>
      <c r="E127" s="288"/>
      <c r="F127" s="2">
        <v>0</v>
      </c>
      <c r="G127" s="289">
        <f ca="1">-G125</f>
        <v>-1.78</v>
      </c>
      <c r="H127" s="288"/>
      <c r="I127" s="2">
        <f ca="1">ROUND(G127*$C127,0)</f>
        <v>0</v>
      </c>
      <c r="J127" s="2"/>
      <c r="K127" s="289">
        <f>-K125</f>
        <v>0</v>
      </c>
      <c r="L127" s="288"/>
      <c r="M127" s="2">
        <f>ROUND(K127*$C127,0)</f>
        <v>0</v>
      </c>
      <c r="N127" s="2"/>
      <c r="O127" s="289">
        <f>-O125</f>
        <v>0</v>
      </c>
      <c r="P127" s="288"/>
      <c r="Q127" s="2">
        <f>ROUND(O127*$C127,0)</f>
        <v>0</v>
      </c>
      <c r="R127" s="2"/>
      <c r="S127" s="289">
        <f ca="1">-S125</f>
        <v>-1.78</v>
      </c>
      <c r="T127" s="288"/>
      <c r="U127" s="2">
        <f ca="1">ROUND(S127*$C127,0)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 s="1118" customFormat="1" hidden="1">
      <c r="A128" s="968" t="s">
        <v>858</v>
      </c>
      <c r="C128" s="1122">
        <f>C123</f>
        <v>41755519.776553854</v>
      </c>
      <c r="D128" s="1423">
        <v>0</v>
      </c>
      <c r="E128" s="1119"/>
      <c r="F128" s="1123"/>
      <c r="G128" s="1128">
        <f>G112</f>
        <v>0</v>
      </c>
      <c r="H128" s="1126" t="s">
        <v>364</v>
      </c>
      <c r="I128" s="1123">
        <f>G128*C128/100</f>
        <v>0</v>
      </c>
      <c r="J128" s="1123"/>
      <c r="K128" s="1128" t="str">
        <f>K112</f>
        <v xml:space="preserve"> </v>
      </c>
      <c r="L128" s="1126" t="s">
        <v>364</v>
      </c>
      <c r="M128" s="1123">
        <f>K128*C128/100</f>
        <v>0</v>
      </c>
      <c r="N128" s="1123"/>
      <c r="O128" s="1128">
        <f>O112</f>
        <v>0</v>
      </c>
      <c r="P128" s="1126" t="s">
        <v>364</v>
      </c>
      <c r="Q128" s="1123">
        <f>O128*C128/100</f>
        <v>0</v>
      </c>
      <c r="R128" s="1123"/>
      <c r="S128" s="1128">
        <f>S112</f>
        <v>0</v>
      </c>
      <c r="T128" s="1126" t="s">
        <v>364</v>
      </c>
      <c r="U128" s="1123">
        <f>S128*C128/100</f>
        <v>0</v>
      </c>
      <c r="W128" s="784"/>
      <c r="Z128" s="1125"/>
      <c r="AA128" s="1125"/>
      <c r="AF128" s="1119"/>
      <c r="AG128" s="1119"/>
      <c r="AH128" s="1119"/>
      <c r="AI128" s="1119"/>
      <c r="AJ128" s="1119"/>
      <c r="AK128" s="1119"/>
      <c r="AL128" s="1119"/>
      <c r="AM128" s="1119"/>
      <c r="AN128" s="1119"/>
      <c r="AO128" s="1119"/>
      <c r="AP128" s="1119"/>
      <c r="AR128" s="1124"/>
    </row>
    <row r="129" spans="1:44" s="1118" customFormat="1" hidden="1">
      <c r="A129" s="968" t="s">
        <v>859</v>
      </c>
      <c r="C129" s="1122">
        <f>C124</f>
        <v>47018320.003545634</v>
      </c>
      <c r="D129" s="1423"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1123">
        <f>K129*C129/100</f>
        <v>0</v>
      </c>
      <c r="N129" s="1123"/>
      <c r="O129" s="1128">
        <f>O113</f>
        <v>0</v>
      </c>
      <c r="P129" s="1126" t="s">
        <v>364</v>
      </c>
      <c r="Q129" s="1123">
        <f>O129*C129/100</f>
        <v>0</v>
      </c>
      <c r="R129" s="1123"/>
      <c r="S129" s="1128">
        <f>S113</f>
        <v>0</v>
      </c>
      <c r="T129" s="1126" t="s">
        <v>364</v>
      </c>
      <c r="U129" s="1123">
        <f>S129*C129/100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>
      <c r="A130" s="1" t="s">
        <v>371</v>
      </c>
      <c r="B130" s="1"/>
      <c r="C130" s="21">
        <f>SUM(C123:C124)</f>
        <v>88773839.780099481</v>
      </c>
      <c r="D130" s="953"/>
      <c r="E130" s="2"/>
      <c r="F130" s="2">
        <f>SUM(F122:F127)</f>
        <v>8154839</v>
      </c>
      <c r="G130" s="2"/>
      <c r="H130" s="2"/>
      <c r="I130" s="2">
        <f ca="1">SUM(I122:I129)</f>
        <v>8349064</v>
      </c>
      <c r="J130" s="2"/>
      <c r="K130" s="2"/>
      <c r="L130" s="2"/>
      <c r="M130" s="2" t="e">
        <f>SUM(M122:M129)</f>
        <v>#DIV/0!</v>
      </c>
      <c r="N130" s="2"/>
      <c r="O130" s="2"/>
      <c r="P130" s="2"/>
      <c r="Q130" s="2" t="e">
        <f>SUM(Q122:Q129)</f>
        <v>#DIV/0!</v>
      </c>
      <c r="R130" s="2"/>
      <c r="S130" s="2"/>
      <c r="T130" s="2"/>
      <c r="U130" s="2" t="e">
        <f ca="1">SUM(U122:U129)</f>
        <v>#DIV/0!</v>
      </c>
      <c r="V130" s="20"/>
      <c r="W130" s="74"/>
      <c r="X130" s="1297"/>
      <c r="Y130" s="32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R130" s="84"/>
    </row>
    <row r="131" spans="1:44">
      <c r="A131" s="1" t="s">
        <v>353</v>
      </c>
      <c r="B131" s="1"/>
      <c r="C131" s="302">
        <f>'Table 2'!H14</f>
        <v>1109915.5774999433</v>
      </c>
      <c r="D131" s="294"/>
      <c r="E131" s="294"/>
      <c r="F131" s="1402">
        <f>'Table 3'!E14</f>
        <v>112036.90433211296</v>
      </c>
      <c r="G131" s="294"/>
      <c r="H131" s="294"/>
      <c r="I131" s="295">
        <f>F131</f>
        <v>112036.90433211296</v>
      </c>
      <c r="J131" s="51"/>
      <c r="K131" s="294"/>
      <c r="L131" s="294"/>
      <c r="M131" s="295" t="e">
        <f>I131/$I$99*$M$99</f>
        <v>#DIV/0!</v>
      </c>
      <c r="N131" s="51"/>
      <c r="O131" s="294"/>
      <c r="P131" s="294"/>
      <c r="Q131" s="295" t="e">
        <f>I131/$I$99*$Q$99</f>
        <v>#DIV/0!</v>
      </c>
      <c r="R131" s="51"/>
      <c r="S131" s="294"/>
      <c r="T131" s="294"/>
      <c r="U131" s="295" t="e">
        <f>I131/$I$99*$U$99</f>
        <v>#DIV/0!</v>
      </c>
      <c r="V131" s="429"/>
      <c r="W131" s="272"/>
      <c r="X131" s="1297"/>
      <c r="Y131" s="32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 ht="16.5" thickBot="1">
      <c r="A132" s="1" t="s">
        <v>372</v>
      </c>
      <c r="B132" s="1"/>
      <c r="C132" s="296">
        <f>C130+C131</f>
        <v>89883755.357599422</v>
      </c>
      <c r="D132" s="297"/>
      <c r="E132" s="297"/>
      <c r="F132" s="297">
        <f>SUM(F130:F131)</f>
        <v>8266875.9043321125</v>
      </c>
      <c r="G132" s="297"/>
      <c r="H132" s="297"/>
      <c r="I132" s="297">
        <f ca="1">I130+I131</f>
        <v>8461100.9043321125</v>
      </c>
      <c r="J132" s="51"/>
      <c r="K132" s="297"/>
      <c r="L132" s="297"/>
      <c r="M132" s="297" t="e">
        <f>M130+M131</f>
        <v>#DIV/0!</v>
      </c>
      <c r="N132" s="297"/>
      <c r="O132" s="297"/>
      <c r="P132" s="297"/>
      <c r="Q132" s="297" t="e">
        <f>Q130+Q131</f>
        <v>#DIV/0!</v>
      </c>
      <c r="R132" s="297"/>
      <c r="S132" s="297"/>
      <c r="T132" s="297"/>
      <c r="U132" s="297" t="e">
        <f ca="1">U130+U131</f>
        <v>#DIV/0!</v>
      </c>
      <c r="V132" s="396"/>
      <c r="W132" s="455"/>
      <c r="X132" s="1297"/>
      <c r="Y132" s="32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Top="1">
      <c r="A133" s="1"/>
      <c r="B133" s="298"/>
      <c r="C133" s="21"/>
      <c r="D133" s="1" t="s">
        <v>31</v>
      </c>
      <c r="E133" s="1"/>
      <c r="G133" s="1" t="s">
        <v>31</v>
      </c>
      <c r="H133" s="1"/>
      <c r="I133" s="2" t="s">
        <v>31</v>
      </c>
      <c r="J133" s="2"/>
      <c r="K133" s="1" t="s">
        <v>31</v>
      </c>
      <c r="L133" s="1"/>
      <c r="M133" s="2" t="s">
        <v>31</v>
      </c>
      <c r="N133" s="2"/>
      <c r="O133" s="1" t="s">
        <v>31</v>
      </c>
      <c r="P133" s="1"/>
      <c r="Q133" s="2" t="s">
        <v>31</v>
      </c>
      <c r="R133" s="2"/>
      <c r="S133" s="1" t="s">
        <v>31</v>
      </c>
      <c r="T133" s="1"/>
      <c r="U133" s="2" t="s">
        <v>31</v>
      </c>
      <c r="V133" s="20"/>
      <c r="W133" s="74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>
      <c r="A134" s="278" t="s">
        <v>375</v>
      </c>
      <c r="B134" s="1"/>
      <c r="C134" s="1"/>
      <c r="D134" s="21"/>
      <c r="E134" s="1"/>
      <c r="F134" s="1"/>
      <c r="G134" s="21"/>
      <c r="H134" s="1"/>
      <c r="I134" s="1"/>
      <c r="J134" s="1"/>
      <c r="K134" s="21"/>
      <c r="L134" s="1"/>
      <c r="M134" s="1"/>
      <c r="N134" s="1"/>
      <c r="O134" s="21"/>
      <c r="P134" s="1"/>
      <c r="Q134" s="1"/>
      <c r="R134" s="1"/>
      <c r="S134" s="21"/>
      <c r="T134" s="1"/>
      <c r="U134" s="1"/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>
      <c r="A135" s="1" t="s">
        <v>320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>
      <c r="A136" s="282"/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>
      <c r="A137" s="1" t="s">
        <v>360</v>
      </c>
      <c r="B137" s="1"/>
      <c r="C137" s="21">
        <v>995.23225806451603</v>
      </c>
      <c r="D137" s="283">
        <v>7.75</v>
      </c>
      <c r="E137" s="1"/>
      <c r="F137" s="2">
        <f>ROUND(D137*C137,0)</f>
        <v>7713</v>
      </c>
      <c r="G137" s="283">
        <f>$G$88</f>
        <v>7.75</v>
      </c>
      <c r="H137" s="1"/>
      <c r="I137" s="2">
        <f>ROUND(G137*$C137,0)</f>
        <v>7713</v>
      </c>
      <c r="J137" s="2"/>
      <c r="K137" s="283">
        <f>$K$88</f>
        <v>7.75</v>
      </c>
      <c r="L137" s="1"/>
      <c r="M137" s="2">
        <f>K137*$C137</f>
        <v>7713.0499999999993</v>
      </c>
      <c r="N137" s="2"/>
      <c r="O137" s="283" t="str">
        <f>$O$88</f>
        <v xml:space="preserve"> </v>
      </c>
      <c r="P137" s="1"/>
      <c r="Q137" s="2">
        <f>ROUND(O137*$C137,0)</f>
        <v>0</v>
      </c>
      <c r="R137" s="2"/>
      <c r="S137" s="283" t="str">
        <f>$S$88</f>
        <v xml:space="preserve"> </v>
      </c>
      <c r="T137" s="1"/>
      <c r="U137" s="2">
        <f>ROUND(S137*$C137,0)</f>
        <v>0</v>
      </c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>
      <c r="A138" s="1" t="s">
        <v>363</v>
      </c>
      <c r="B138" s="1"/>
      <c r="C138" s="21">
        <v>563242.07586769864</v>
      </c>
      <c r="D138" s="284">
        <v>6.548</v>
      </c>
      <c r="E138" s="1" t="s">
        <v>364</v>
      </c>
      <c r="F138" s="2">
        <f>ROUND(C138*D138/100,0)</f>
        <v>36881</v>
      </c>
      <c r="G138" s="284">
        <f>$G$89</f>
        <v>6.7170000000000005</v>
      </c>
      <c r="H138" s="1" t="s">
        <v>364</v>
      </c>
      <c r="I138" s="2">
        <f>ROUND(G138*$C138/100,0)</f>
        <v>37833</v>
      </c>
      <c r="J138" s="2"/>
      <c r="K138" s="284" t="e">
        <f>K89</f>
        <v>#DIV/0!</v>
      </c>
      <c r="L138" s="1" t="s">
        <v>364</v>
      </c>
      <c r="M138" s="2" t="e">
        <f>K138*$C138/100</f>
        <v>#DIV/0!</v>
      </c>
      <c r="N138" s="2"/>
      <c r="O138" s="284" t="e">
        <f>O89</f>
        <v>#DIV/0!</v>
      </c>
      <c r="P138" s="1" t="s">
        <v>364</v>
      </c>
      <c r="Q138" s="2" t="e">
        <f>ROUND(O138*$C138/100,0)</f>
        <v>#DIV/0!</v>
      </c>
      <c r="R138" s="2"/>
      <c r="S138" s="284" t="e">
        <f ca="1">S89</f>
        <v>#DIV/0!</v>
      </c>
      <c r="T138" s="1" t="s">
        <v>364</v>
      </c>
      <c r="U138" s="2" t="e">
        <f ca="1">ROUND(S138*$C138/100,0)</f>
        <v>#DIV/0!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>
      <c r="A139" s="1" t="s">
        <v>365</v>
      </c>
      <c r="B139" s="1"/>
      <c r="C139" s="21">
        <v>1663533.139932974</v>
      </c>
      <c r="D139" s="284">
        <v>10.35</v>
      </c>
      <c r="E139" s="1" t="s">
        <v>364</v>
      </c>
      <c r="F139" s="2">
        <f>ROUND(C139*D139/100,0)</f>
        <v>172176</v>
      </c>
      <c r="G139" s="284">
        <f>$G$90</f>
        <v>10.613</v>
      </c>
      <c r="H139" s="1" t="s">
        <v>364</v>
      </c>
      <c r="I139" s="2">
        <f>ROUND(G139*$C139/100,0)</f>
        <v>176551</v>
      </c>
      <c r="J139" s="2"/>
      <c r="K139" s="284" t="e">
        <f>K109</f>
        <v>#DIV/0!</v>
      </c>
      <c r="L139" s="1" t="s">
        <v>364</v>
      </c>
      <c r="M139" s="2" t="e">
        <f>K139*$C139/100</f>
        <v>#DIV/0!</v>
      </c>
      <c r="N139" s="2"/>
      <c r="O139" s="284" t="e">
        <f>O109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S109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>
      <c r="A140" s="1" t="s">
        <v>367</v>
      </c>
      <c r="B140" s="1"/>
      <c r="C140" s="21">
        <v>4598.5</v>
      </c>
      <c r="D140" s="286">
        <v>1.74</v>
      </c>
      <c r="E140" s="1"/>
      <c r="F140" s="2">
        <f>ROUND(D140*C140,0)</f>
        <v>8001</v>
      </c>
      <c r="G140" s="286">
        <f ca="1">$G$91</f>
        <v>1.78</v>
      </c>
      <c r="H140" s="1"/>
      <c r="I140" s="2">
        <f ca="1">ROUND(G140*$C140,0)</f>
        <v>8185</v>
      </c>
      <c r="J140" s="2"/>
      <c r="K140" s="286">
        <v>0</v>
      </c>
      <c r="L140" s="1"/>
      <c r="M140" s="2">
        <f>ROUND(K140*$C140,0)</f>
        <v>0</v>
      </c>
      <c r="N140" s="2"/>
      <c r="O140" s="286">
        <v>0</v>
      </c>
      <c r="P140" s="1"/>
      <c r="Q140" s="2">
        <f>ROUND(O140*$C140,0)</f>
        <v>0</v>
      </c>
      <c r="R140" s="2"/>
      <c r="S140" s="286">
        <f ca="1">S91</f>
        <v>1.78</v>
      </c>
      <c r="T140" s="1"/>
      <c r="U140" s="2">
        <f ca="1">ROUND(S140*$C140,0)</f>
        <v>8185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>
      <c r="A141" s="288" t="s">
        <v>369</v>
      </c>
      <c r="B141" s="288"/>
      <c r="C141" s="21">
        <v>605</v>
      </c>
      <c r="D141" s="286">
        <v>3.4</v>
      </c>
      <c r="E141" s="288"/>
      <c r="F141" s="2">
        <f>ROUND(D141*C141,0)</f>
        <v>2057</v>
      </c>
      <c r="G141" s="286">
        <f ca="1">$G$92</f>
        <v>3.5</v>
      </c>
      <c r="H141" s="288"/>
      <c r="I141" s="2">
        <f ca="1">ROUND(G141*$C141,0)</f>
        <v>2118</v>
      </c>
      <c r="J141" s="2"/>
      <c r="K141" s="286">
        <v>0</v>
      </c>
      <c r="L141" s="288"/>
      <c r="M141" s="2">
        <f>ROUND(K141*$C141,0)</f>
        <v>0</v>
      </c>
      <c r="N141" s="2"/>
      <c r="O141" s="286">
        <v>0</v>
      </c>
      <c r="P141" s="288"/>
      <c r="Q141" s="2">
        <f>ROUND(O141*$C141,0)</f>
        <v>0</v>
      </c>
      <c r="R141" s="2"/>
      <c r="S141" s="286">
        <f ca="1">S92</f>
        <v>3.5</v>
      </c>
      <c r="T141" s="288"/>
      <c r="U141" s="2">
        <f ca="1">ROUND(S141*$C141,0)</f>
        <v>2118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>
      <c r="A142" s="288" t="s">
        <v>370</v>
      </c>
      <c r="B142" s="288"/>
      <c r="C142" s="21">
        <v>55.5</v>
      </c>
      <c r="D142" s="289">
        <v>-1.74</v>
      </c>
      <c r="E142" s="288"/>
      <c r="F142" s="2">
        <f>ROUND(D142*C142,0)</f>
        <v>-97</v>
      </c>
      <c r="G142" s="289">
        <f ca="1">-G140</f>
        <v>-1.78</v>
      </c>
      <c r="H142" s="288"/>
      <c r="I142" s="2">
        <f ca="1">ROUND(G142*$C142,0)</f>
        <v>-99</v>
      </c>
      <c r="J142" s="2"/>
      <c r="K142" s="289">
        <f>-K140</f>
        <v>0</v>
      </c>
      <c r="L142" s="288"/>
      <c r="M142" s="2">
        <f>ROUND(K142*$C142,0)</f>
        <v>0</v>
      </c>
      <c r="N142" s="2"/>
      <c r="O142" s="289">
        <f>-O140</f>
        <v>0</v>
      </c>
      <c r="P142" s="288"/>
      <c r="Q142" s="2">
        <f>ROUND(O142*$C142,0)</f>
        <v>0</v>
      </c>
      <c r="R142" s="2"/>
      <c r="S142" s="289">
        <f ca="1">-S140</f>
        <v>-1.78</v>
      </c>
      <c r="T142" s="288"/>
      <c r="U142" s="2">
        <f ca="1">ROUND(S142*$C142,0)</f>
        <v>-99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s="1118" customFormat="1" hidden="1">
      <c r="A143" s="968" t="s">
        <v>858</v>
      </c>
      <c r="C143" s="1122">
        <f>C138</f>
        <v>563242.07586769864</v>
      </c>
      <c r="D143" s="1423">
        <v>0</v>
      </c>
      <c r="E143" s="1119"/>
      <c r="F143" s="1123"/>
      <c r="G143" s="1128">
        <f>G128</f>
        <v>0</v>
      </c>
      <c r="H143" s="1126" t="s">
        <v>364</v>
      </c>
      <c r="I143" s="1123">
        <f>G143*C143/100</f>
        <v>0</v>
      </c>
      <c r="J143" s="1123"/>
      <c r="K143" s="1128" t="str">
        <f>K128</f>
        <v xml:space="preserve"> </v>
      </c>
      <c r="L143" s="1126" t="s">
        <v>364</v>
      </c>
      <c r="M143" s="1123">
        <f>K143*C143/100</f>
        <v>0</v>
      </c>
      <c r="N143" s="1123"/>
      <c r="O143" s="1128">
        <f>O128</f>
        <v>0</v>
      </c>
      <c r="P143" s="1126" t="s">
        <v>364</v>
      </c>
      <c r="Q143" s="1123">
        <f>O143*C143/100</f>
        <v>0</v>
      </c>
      <c r="R143" s="1123"/>
      <c r="S143" s="1128">
        <f>S128</f>
        <v>0</v>
      </c>
      <c r="T143" s="1126" t="s">
        <v>364</v>
      </c>
      <c r="U143" s="1123">
        <f>S143*C143/100</f>
        <v>0</v>
      </c>
      <c r="W143" s="784"/>
      <c r="Z143" s="1125"/>
      <c r="AA143" s="1125"/>
      <c r="AF143" s="1119"/>
      <c r="AG143" s="1119"/>
      <c r="AH143" s="1119"/>
      <c r="AI143" s="1119"/>
      <c r="AJ143" s="1119"/>
      <c r="AK143" s="1119"/>
      <c r="AL143" s="1119"/>
      <c r="AM143" s="1119"/>
      <c r="AN143" s="1119"/>
      <c r="AO143" s="1119"/>
      <c r="AP143" s="1119"/>
      <c r="AR143" s="1124"/>
    </row>
    <row r="144" spans="1:44" s="1118" customFormat="1" hidden="1">
      <c r="A144" s="968" t="s">
        <v>859</v>
      </c>
      <c r="C144" s="1122">
        <f>C139</f>
        <v>1663533.139932974</v>
      </c>
      <c r="D144" s="1423"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>
        <f>O129</f>
        <v>0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>
      <c r="A145" s="1" t="s">
        <v>371</v>
      </c>
      <c r="B145" s="290"/>
      <c r="C145" s="21">
        <f>SUM(C138:C139)</f>
        <v>2226775.2158006728</v>
      </c>
      <c r="D145" s="953"/>
      <c r="E145" s="2"/>
      <c r="F145" s="2">
        <f>SUM(F137:F142)</f>
        <v>226731</v>
      </c>
      <c r="G145" s="2"/>
      <c r="H145" s="2"/>
      <c r="I145" s="2">
        <f ca="1">SUM(I137:I144)</f>
        <v>232301</v>
      </c>
      <c r="J145" s="2"/>
      <c r="K145" s="2"/>
      <c r="L145" s="2"/>
      <c r="M145" s="2" t="e">
        <f>SUM(M137:M144)</f>
        <v>#DIV/0!</v>
      </c>
      <c r="N145" s="2"/>
      <c r="O145" s="2"/>
      <c r="P145" s="2"/>
      <c r="Q145" s="2" t="e">
        <f>SUM(Q137:Q144)</f>
        <v>#DIV/0!</v>
      </c>
      <c r="R145" s="2"/>
      <c r="S145" s="2"/>
      <c r="T145" s="2"/>
      <c r="U145" s="2" t="e">
        <f ca="1">SUM(U137:U144)</f>
        <v>#DIV/0!</v>
      </c>
      <c r="V145" s="20"/>
      <c r="W145" s="74"/>
      <c r="X145" s="74"/>
      <c r="Y145" s="74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R145" s="84"/>
    </row>
    <row r="146" spans="1:44">
      <c r="A146" s="1" t="s">
        <v>353</v>
      </c>
      <c r="B146" s="25"/>
      <c r="C146" s="302">
        <f>'Table 2'!H15</f>
        <v>28355.575910563297</v>
      </c>
      <c r="D146" s="294"/>
      <c r="E146" s="294"/>
      <c r="F146" s="295">
        <f>'Table 3'!E15</f>
        <v>3166.5031041856219</v>
      </c>
      <c r="G146" s="294"/>
      <c r="H146" s="294"/>
      <c r="I146" s="295">
        <f>F146</f>
        <v>3166.5031041856219</v>
      </c>
      <c r="J146" s="51"/>
      <c r="K146" s="294"/>
      <c r="L146" s="294"/>
      <c r="M146" s="295" t="e">
        <f>I146/$I$99*$M$99</f>
        <v>#DIV/0!</v>
      </c>
      <c r="N146" s="51"/>
      <c r="O146" s="294"/>
      <c r="P146" s="294"/>
      <c r="Q146" s="295" t="e">
        <f>I146/$I$99*$Q$99</f>
        <v>#DIV/0!</v>
      </c>
      <c r="R146" s="51"/>
      <c r="S146" s="294"/>
      <c r="T146" s="294"/>
      <c r="U146" s="295" t="e">
        <f>I146/$I$99*$U$99</f>
        <v>#DIV/0!</v>
      </c>
      <c r="V146" s="429"/>
      <c r="W146" s="272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t="16.5" thickBot="1">
      <c r="A147" s="1" t="s">
        <v>372</v>
      </c>
      <c r="B147" s="1"/>
      <c r="C147" s="296">
        <f>C145+C146</f>
        <v>2255130.7917112359</v>
      </c>
      <c r="D147" s="297"/>
      <c r="E147" s="297"/>
      <c r="F147" s="297">
        <f>F145+F146</f>
        <v>229897.50310418563</v>
      </c>
      <c r="G147" s="297"/>
      <c r="H147" s="297"/>
      <c r="I147" s="297">
        <f ca="1">I145+I146</f>
        <v>235467.50310418563</v>
      </c>
      <c r="J147" s="51"/>
      <c r="K147" s="297"/>
      <c r="L147" s="297"/>
      <c r="M147" s="297" t="e">
        <f>M145+M146</f>
        <v>#DIV/0!</v>
      </c>
      <c r="N147" s="297"/>
      <c r="O147" s="297"/>
      <c r="P147" s="297"/>
      <c r="Q147" s="297" t="e">
        <f>Q145+Q146</f>
        <v>#DIV/0!</v>
      </c>
      <c r="R147" s="297"/>
      <c r="S147" s="297"/>
      <c r="T147" s="297"/>
      <c r="U147" s="297" t="e">
        <f ca="1">U145+U146</f>
        <v>#DIV/0!</v>
      </c>
      <c r="V147" s="396"/>
      <c r="W147" s="455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thickTop="1">
      <c r="A148" s="1"/>
      <c r="B148" s="298"/>
      <c r="C148" s="21"/>
      <c r="D148" s="1" t="s">
        <v>31</v>
      </c>
      <c r="E148" s="1"/>
      <c r="G148" s="1" t="s">
        <v>31</v>
      </c>
      <c r="H148" s="1"/>
      <c r="I148" s="2" t="s">
        <v>31</v>
      </c>
      <c r="J148" s="2"/>
      <c r="K148" s="1" t="s">
        <v>31</v>
      </c>
      <c r="L148" s="1"/>
      <c r="M148" s="2" t="s">
        <v>31</v>
      </c>
      <c r="N148" s="2"/>
      <c r="O148" s="1" t="s">
        <v>31</v>
      </c>
      <c r="P148" s="1"/>
      <c r="Q148" s="2" t="s">
        <v>31</v>
      </c>
      <c r="R148" s="2"/>
      <c r="S148" s="1" t="s">
        <v>31</v>
      </c>
      <c r="T148" s="1"/>
      <c r="U148" s="2" t="s">
        <v>31</v>
      </c>
      <c r="V148" s="20"/>
      <c r="W148" s="74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>
      <c r="A149" s="278" t="s">
        <v>376</v>
      </c>
      <c r="B149" s="1"/>
      <c r="C149" s="1"/>
      <c r="D149" s="21"/>
      <c r="E149" s="1"/>
      <c r="F149" s="1"/>
      <c r="G149" s="21"/>
      <c r="H149" s="1"/>
      <c r="I149" s="1"/>
      <c r="J149" s="1"/>
      <c r="K149" s="21"/>
      <c r="L149" s="1"/>
      <c r="M149" s="1"/>
      <c r="N149" s="1"/>
      <c r="O149" s="21"/>
      <c r="P149" s="1"/>
      <c r="Q149" s="1"/>
      <c r="R149" s="1"/>
      <c r="S149" s="21"/>
      <c r="T149" s="1"/>
      <c r="U149" s="1"/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>
      <c r="A150" s="1" t="s">
        <v>320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>
      <c r="A151" s="282"/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>
      <c r="A152" s="1" t="s">
        <v>360</v>
      </c>
      <c r="B152" s="1"/>
      <c r="C152" s="21">
        <v>205</v>
      </c>
      <c r="D152" s="283">
        <v>7.75</v>
      </c>
      <c r="E152" s="1"/>
      <c r="F152" s="2">
        <f>ROUND(D152*C152,0)</f>
        <v>1589</v>
      </c>
      <c r="G152" s="283">
        <f>$G$88</f>
        <v>7.75</v>
      </c>
      <c r="H152" s="1"/>
      <c r="I152" s="2">
        <f>ROUND(G152*$C152,0)</f>
        <v>1589</v>
      </c>
      <c r="J152" s="2"/>
      <c r="K152" s="283">
        <f>$K$88</f>
        <v>7.75</v>
      </c>
      <c r="L152" s="1"/>
      <c r="M152" s="2">
        <f>K152*$C152</f>
        <v>1588.75</v>
      </c>
      <c r="N152" s="2"/>
      <c r="O152" s="283" t="str">
        <f>$O$88</f>
        <v xml:space="preserve"> </v>
      </c>
      <c r="P152" s="1"/>
      <c r="Q152" s="2">
        <f>ROUND(O152*$C152,0)</f>
        <v>0</v>
      </c>
      <c r="R152" s="2"/>
      <c r="S152" s="283" t="str">
        <f>$S$88</f>
        <v xml:space="preserve"> </v>
      </c>
      <c r="T152" s="1"/>
      <c r="U152" s="2">
        <f>ROUND(S152*$C152,0)</f>
        <v>0</v>
      </c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>
      <c r="A153" s="1" t="s">
        <v>363</v>
      </c>
      <c r="B153" s="1"/>
      <c r="C153" s="21">
        <v>121486</v>
      </c>
      <c r="D153" s="284">
        <v>6.548</v>
      </c>
      <c r="E153" s="1" t="s">
        <v>364</v>
      </c>
      <c r="F153" s="2">
        <f>ROUND(C153*D153/100,0)</f>
        <v>7955</v>
      </c>
      <c r="G153" s="284">
        <f>$G$89</f>
        <v>6.7170000000000005</v>
      </c>
      <c r="H153" s="1" t="s">
        <v>364</v>
      </c>
      <c r="I153" s="2">
        <f>ROUND(G153*$C153/100,0)</f>
        <v>8160</v>
      </c>
      <c r="J153" s="2"/>
      <c r="K153" s="284" t="e">
        <f>K89</f>
        <v>#DIV/0!</v>
      </c>
      <c r="L153" s="1" t="s">
        <v>364</v>
      </c>
      <c r="M153" s="2" t="e">
        <f>K153*$C153/100</f>
        <v>#DIV/0!</v>
      </c>
      <c r="N153" s="2"/>
      <c r="O153" s="284" t="e">
        <f>O89</f>
        <v>#DIV/0!</v>
      </c>
      <c r="P153" s="1" t="s">
        <v>364</v>
      </c>
      <c r="Q153" s="2" t="e">
        <f>ROUND(O153*$C153/100,0)</f>
        <v>#DIV/0!</v>
      </c>
      <c r="R153" s="2"/>
      <c r="S153" s="284" t="e">
        <f ca="1">S89</f>
        <v>#DIV/0!</v>
      </c>
      <c r="T153" s="1" t="s">
        <v>364</v>
      </c>
      <c r="U153" s="2" t="e">
        <f ca="1">ROUND(S153*$C153/100,0)</f>
        <v>#DIV/0!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>
      <c r="A154" s="1" t="s">
        <v>365</v>
      </c>
      <c r="B154" s="1"/>
      <c r="C154" s="21">
        <v>275577</v>
      </c>
      <c r="D154" s="284">
        <v>10.35</v>
      </c>
      <c r="E154" s="1" t="s">
        <v>364</v>
      </c>
      <c r="F154" s="2">
        <f>ROUND(C154*D154/100,0)</f>
        <v>28522</v>
      </c>
      <c r="G154" s="284">
        <f>$G$90</f>
        <v>10.613</v>
      </c>
      <c r="H154" s="1" t="s">
        <v>364</v>
      </c>
      <c r="I154" s="2">
        <f>ROUND(G154*$C154/100,0)</f>
        <v>29247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>
      <c r="A155" s="1" t="s">
        <v>367</v>
      </c>
      <c r="B155" s="1"/>
      <c r="C155" s="21">
        <v>707.5</v>
      </c>
      <c r="D155" s="286">
        <v>1.74</v>
      </c>
      <c r="E155" s="1"/>
      <c r="F155" s="2">
        <f>ROUND(D155*C155,0)</f>
        <v>1231</v>
      </c>
      <c r="G155" s="286">
        <f ca="1">$G$91</f>
        <v>1.78</v>
      </c>
      <c r="H155" s="1"/>
      <c r="I155" s="2">
        <f ca="1">ROUND(G155*$C155,0)</f>
        <v>1259</v>
      </c>
      <c r="J155" s="2"/>
      <c r="K155" s="286">
        <v>0</v>
      </c>
      <c r="L155" s="1"/>
      <c r="M155" s="2">
        <f>ROUND(K155*$C155,0)</f>
        <v>0</v>
      </c>
      <c r="N155" s="2"/>
      <c r="O155" s="286">
        <v>0</v>
      </c>
      <c r="P155" s="1"/>
      <c r="Q155" s="2">
        <f>ROUND(O155*$C155,0)</f>
        <v>0</v>
      </c>
      <c r="R155" s="2"/>
      <c r="S155" s="286">
        <f ca="1">S91</f>
        <v>1.78</v>
      </c>
      <c r="T155" s="1"/>
      <c r="U155" s="2">
        <f ca="1">ROUND(S155*$C155,0)</f>
        <v>1259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>
      <c r="A156" s="288" t="s">
        <v>369</v>
      </c>
      <c r="B156" s="288"/>
      <c r="C156" s="21">
        <v>98</v>
      </c>
      <c r="D156" s="286">
        <v>3.4</v>
      </c>
      <c r="E156" s="288"/>
      <c r="F156" s="2">
        <f>ROUND(D156*C156,0)</f>
        <v>333</v>
      </c>
      <c r="G156" s="286">
        <f ca="1">$G$92</f>
        <v>3.5</v>
      </c>
      <c r="H156" s="288"/>
      <c r="I156" s="2">
        <f ca="1">ROUND(G156*$C156,0)</f>
        <v>343</v>
      </c>
      <c r="J156" s="2"/>
      <c r="K156" s="286">
        <v>0</v>
      </c>
      <c r="L156" s="288"/>
      <c r="M156" s="2">
        <f>ROUND(K156*$C156,0)</f>
        <v>0</v>
      </c>
      <c r="N156" s="2"/>
      <c r="O156" s="286">
        <v>0</v>
      </c>
      <c r="P156" s="288"/>
      <c r="Q156" s="2">
        <f>ROUND(O156*$C156,0)</f>
        <v>0</v>
      </c>
      <c r="R156" s="2"/>
      <c r="S156" s="286">
        <f ca="1">S92</f>
        <v>3.5</v>
      </c>
      <c r="T156" s="288"/>
      <c r="U156" s="2">
        <f ca="1">ROUND(S156*$C156,0)</f>
        <v>343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>
      <c r="A157" s="288" t="s">
        <v>370</v>
      </c>
      <c r="B157" s="288"/>
      <c r="C157" s="21">
        <v>15</v>
      </c>
      <c r="D157" s="289">
        <v>-1.74</v>
      </c>
      <c r="E157" s="288"/>
      <c r="F157" s="2">
        <f>ROUND(D157*C157,0)</f>
        <v>-26</v>
      </c>
      <c r="G157" s="289">
        <f ca="1">-G155</f>
        <v>-1.78</v>
      </c>
      <c r="H157" s="288"/>
      <c r="I157" s="2">
        <f ca="1">ROUND(G157*$C157,0)</f>
        <v>-27</v>
      </c>
      <c r="J157" s="2"/>
      <c r="K157" s="289">
        <f>-K155</f>
        <v>0</v>
      </c>
      <c r="L157" s="288"/>
      <c r="M157" s="2">
        <f>ROUND(K157*$C157,0)</f>
        <v>0</v>
      </c>
      <c r="N157" s="2"/>
      <c r="O157" s="289">
        <f>-O155</f>
        <v>0</v>
      </c>
      <c r="P157" s="288"/>
      <c r="Q157" s="2">
        <f>ROUND(O157*$C157,0)</f>
        <v>0</v>
      </c>
      <c r="R157" s="2"/>
      <c r="S157" s="289">
        <f ca="1">-S155</f>
        <v>-1.78</v>
      </c>
      <c r="T157" s="288"/>
      <c r="U157" s="2">
        <f ca="1">ROUND(S157*$C157,0)</f>
        <v>-27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s="1118" customFormat="1" hidden="1">
      <c r="A158" s="968" t="s">
        <v>858</v>
      </c>
      <c r="C158" s="1122">
        <f>C153</f>
        <v>121486</v>
      </c>
      <c r="D158" s="1423">
        <v>0</v>
      </c>
      <c r="E158" s="1119"/>
      <c r="F158" s="1123"/>
      <c r="G158" s="1128">
        <f>G143</f>
        <v>0</v>
      </c>
      <c r="H158" s="1126" t="s">
        <v>364</v>
      </c>
      <c r="I158" s="1123">
        <f>G158*C158/100</f>
        <v>0</v>
      </c>
      <c r="J158" s="1123"/>
      <c r="K158" s="1128" t="str">
        <f>K143</f>
        <v xml:space="preserve"> </v>
      </c>
      <c r="L158" s="1126" t="s">
        <v>364</v>
      </c>
      <c r="M158" s="1123">
        <f>K158*C158/100</f>
        <v>0</v>
      </c>
      <c r="N158" s="1123"/>
      <c r="O158" s="1128">
        <f>O143</f>
        <v>0</v>
      </c>
      <c r="P158" s="1126" t="s">
        <v>364</v>
      </c>
      <c r="Q158" s="1123">
        <f>O158*C158/100</f>
        <v>0</v>
      </c>
      <c r="R158" s="1123"/>
      <c r="S158" s="1128">
        <f>S143</f>
        <v>0</v>
      </c>
      <c r="T158" s="1126" t="s">
        <v>364</v>
      </c>
      <c r="U158" s="1123">
        <f>S158*C158/100</f>
        <v>0</v>
      </c>
      <c r="W158" s="784"/>
      <c r="Z158" s="1125"/>
      <c r="AA158" s="1125"/>
      <c r="AF158" s="1119"/>
      <c r="AG158" s="1119"/>
      <c r="AH158" s="1119"/>
      <c r="AI158" s="1119"/>
      <c r="AJ158" s="1119"/>
      <c r="AK158" s="1119"/>
      <c r="AL158" s="1119"/>
      <c r="AM158" s="1119"/>
      <c r="AN158" s="1119"/>
      <c r="AO158" s="1119"/>
      <c r="AP158" s="1119"/>
      <c r="AR158" s="1124"/>
    </row>
    <row r="159" spans="1:44" s="1118" customFormat="1" hidden="1">
      <c r="A159" s="968" t="s">
        <v>859</v>
      </c>
      <c r="C159" s="1122">
        <f>C154</f>
        <v>275577</v>
      </c>
      <c r="D159" s="1423"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>
        <f>O144</f>
        <v>0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>
      <c r="A160" s="1" t="s">
        <v>371</v>
      </c>
      <c r="B160" s="1"/>
      <c r="C160" s="21">
        <f>SUM(C153:C154)</f>
        <v>397063</v>
      </c>
      <c r="D160" s="953"/>
      <c r="E160" s="2"/>
      <c r="F160" s="2">
        <f>SUM(F152:F157)</f>
        <v>39604</v>
      </c>
      <c r="G160" s="2"/>
      <c r="H160" s="2"/>
      <c r="I160" s="2">
        <f ca="1">SUM(I152:I159)</f>
        <v>40571</v>
      </c>
      <c r="J160" s="2"/>
      <c r="K160" s="2"/>
      <c r="L160" s="2"/>
      <c r="M160" s="2" t="e">
        <f>SUM(M152:M159)</f>
        <v>#DIV/0!</v>
      </c>
      <c r="N160" s="2"/>
      <c r="O160" s="2"/>
      <c r="P160" s="2"/>
      <c r="Q160" s="2" t="e">
        <f>SUM(Q152:Q159)</f>
        <v>#DIV/0!</v>
      </c>
      <c r="R160" s="2"/>
      <c r="S160" s="2"/>
      <c r="T160" s="2"/>
      <c r="U160" s="2" t="e">
        <f ca="1">SUM(U152:U159)</f>
        <v>#DIV/0!</v>
      </c>
      <c r="V160" s="20"/>
      <c r="W160" s="74"/>
      <c r="X160" s="74"/>
      <c r="Y160" s="74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R160" s="84"/>
    </row>
    <row r="161" spans="1:51">
      <c r="A161" s="1" t="s">
        <v>353</v>
      </c>
      <c r="B161" s="1"/>
      <c r="C161" s="302">
        <f>'Table 2'!H16</f>
        <v>5143.445167760472</v>
      </c>
      <c r="D161" s="294"/>
      <c r="E161" s="294"/>
      <c r="F161" s="295">
        <f>'Table 3'!E16</f>
        <v>561.58818784280481</v>
      </c>
      <c r="G161" s="294"/>
      <c r="H161" s="294"/>
      <c r="I161" s="295">
        <f>F161</f>
        <v>561.58818784280481</v>
      </c>
      <c r="J161" s="51"/>
      <c r="K161" s="294"/>
      <c r="L161" s="294"/>
      <c r="M161" s="295" t="e">
        <f>I161/$I$99*$M$99</f>
        <v>#DIV/0!</v>
      </c>
      <c r="N161" s="51"/>
      <c r="O161" s="294"/>
      <c r="P161" s="294"/>
      <c r="Q161" s="295" t="e">
        <f>I161/$I$99*$Q$99</f>
        <v>#DIV/0!</v>
      </c>
      <c r="R161" s="51"/>
      <c r="S161" s="294"/>
      <c r="T161" s="294"/>
      <c r="U161" s="295" t="e">
        <f>I161/$I$99*$U$99</f>
        <v>#DIV/0!</v>
      </c>
      <c r="V161" s="429"/>
      <c r="W161" s="272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t="16.5" thickBot="1">
      <c r="A162" s="1" t="s">
        <v>372</v>
      </c>
      <c r="B162" s="1"/>
      <c r="C162" s="296">
        <f>C160+C161</f>
        <v>402206.44516776048</v>
      </c>
      <c r="D162" s="297"/>
      <c r="E162" s="297"/>
      <c r="F162" s="297">
        <f>F160+F161</f>
        <v>40165.588187842804</v>
      </c>
      <c r="G162" s="297"/>
      <c r="H162" s="297"/>
      <c r="I162" s="297">
        <f ca="1">I160+I161</f>
        <v>41132.588187842804</v>
      </c>
      <c r="J162" s="51"/>
      <c r="K162" s="297"/>
      <c r="L162" s="297"/>
      <c r="M162" s="297" t="e">
        <f>M160+M161</f>
        <v>#DIV/0!</v>
      </c>
      <c r="N162" s="297"/>
      <c r="O162" s="297"/>
      <c r="P162" s="297"/>
      <c r="Q162" s="297" t="e">
        <f>Q160+Q161</f>
        <v>#DIV/0!</v>
      </c>
      <c r="R162" s="297"/>
      <c r="S162" s="297"/>
      <c r="T162" s="297"/>
      <c r="U162" s="297" t="e">
        <f ca="1">U160+U161</f>
        <v>#DIV/0!</v>
      </c>
      <c r="V162" s="396"/>
      <c r="W162" s="455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thickTop="1">
      <c r="A163" s="1"/>
      <c r="B163" s="298"/>
      <c r="C163" s="21"/>
      <c r="D163" s="1" t="s">
        <v>31</v>
      </c>
      <c r="E163" s="1"/>
      <c r="G163" s="1" t="s">
        <v>31</v>
      </c>
      <c r="H163" s="1"/>
      <c r="I163" s="2" t="s">
        <v>31</v>
      </c>
      <c r="J163" s="2"/>
      <c r="K163" s="1" t="s">
        <v>31</v>
      </c>
      <c r="L163" s="1"/>
      <c r="M163" s="2" t="s">
        <v>31</v>
      </c>
      <c r="N163" s="2"/>
      <c r="O163" s="1" t="s">
        <v>31</v>
      </c>
      <c r="P163" s="1"/>
      <c r="Q163" s="2" t="s">
        <v>31</v>
      </c>
      <c r="R163" s="2"/>
      <c r="S163" s="1" t="s">
        <v>31</v>
      </c>
      <c r="T163" s="1"/>
      <c r="U163" s="2" t="s">
        <v>31</v>
      </c>
      <c r="V163" s="20"/>
      <c r="W163" s="74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>
      <c r="A164" s="278" t="s">
        <v>377</v>
      </c>
      <c r="B164" s="1"/>
      <c r="C164" s="1" t="s">
        <v>31</v>
      </c>
      <c r="D164" s="2"/>
      <c r="E164" s="1"/>
      <c r="F164" s="1"/>
      <c r="G164" s="2"/>
      <c r="H164" s="1"/>
      <c r="I164" s="1"/>
      <c r="J164" s="1"/>
      <c r="K164" s="2"/>
      <c r="L164" s="1"/>
      <c r="M164" s="1"/>
      <c r="N164" s="1"/>
      <c r="O164" s="2"/>
      <c r="P164" s="1"/>
      <c r="Q164" s="1"/>
      <c r="R164" s="1"/>
      <c r="S164" s="2"/>
      <c r="T164" s="1"/>
      <c r="U164" s="1"/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>
      <c r="A165" s="1" t="s">
        <v>378</v>
      </c>
      <c r="B165" s="1"/>
      <c r="C165" s="1"/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/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 t="s">
        <v>379</v>
      </c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W167" s="74"/>
      <c r="X167" s="766" t="s">
        <v>625</v>
      </c>
      <c r="Y167" s="766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380</v>
      </c>
      <c r="B168" s="1"/>
      <c r="C168" s="21">
        <f>C491</f>
        <v>2</v>
      </c>
      <c r="D168" s="283">
        <v>117.12</v>
      </c>
      <c r="E168" s="1"/>
      <c r="F168" s="2">
        <f t="shared" ref="F168:F170" si="24">F456</f>
        <v>234</v>
      </c>
      <c r="G168" s="286">
        <f ca="1">G172*12</f>
        <v>119.88</v>
      </c>
      <c r="H168" s="1"/>
      <c r="I168" s="2">
        <f ca="1">I456</f>
        <v>240</v>
      </c>
      <c r="J168" s="2"/>
      <c r="K168" s="286">
        <f ca="1">K172*12</f>
        <v>119.88</v>
      </c>
      <c r="L168" s="1"/>
      <c r="M168" s="2">
        <f ca="1">I168</f>
        <v>240</v>
      </c>
      <c r="N168" s="2"/>
      <c r="O168" s="286" t="s">
        <v>31</v>
      </c>
      <c r="P168" s="1"/>
      <c r="Q168" s="2">
        <f>O168*C168</f>
        <v>0</v>
      </c>
      <c r="R168" s="2"/>
      <c r="S168" s="286" t="s">
        <v>31</v>
      </c>
      <c r="T168" s="1"/>
      <c r="U168" s="2">
        <f>S168*C168</f>
        <v>0</v>
      </c>
      <c r="X168" s="55">
        <f ca="1">(G168-D168)/D168</f>
        <v>2.3565573770491725E-2</v>
      </c>
      <c r="Y168" s="55"/>
      <c r="AB168" s="53"/>
      <c r="AD168" s="53"/>
      <c r="AF168" s="53"/>
      <c r="AG168" s="53"/>
      <c r="AR168" s="20"/>
      <c r="AS168" s="20"/>
      <c r="AT168" s="20"/>
      <c r="AU168" s="20"/>
      <c r="AV168" s="20"/>
      <c r="AW168" s="20"/>
      <c r="AY168" s="84"/>
    </row>
    <row r="169" spans="1:51">
      <c r="A169" s="1" t="s">
        <v>381</v>
      </c>
      <c r="B169" s="1"/>
      <c r="C169" s="21">
        <f>C457</f>
        <v>82.084931506849301</v>
      </c>
      <c r="D169" s="283">
        <v>174.48</v>
      </c>
      <c r="E169" s="1"/>
      <c r="F169" s="2">
        <f t="shared" si="24"/>
        <v>14322</v>
      </c>
      <c r="G169" s="286">
        <f ca="1">G173*12</f>
        <v>178.68</v>
      </c>
      <c r="H169" s="1"/>
      <c r="I169" s="2">
        <f ca="1">I457</f>
        <v>14667</v>
      </c>
      <c r="J169" s="2"/>
      <c r="K169" s="286">
        <f ca="1">K173*12</f>
        <v>178.68</v>
      </c>
      <c r="L169" s="1"/>
      <c r="M169" s="2">
        <f ca="1">I169</f>
        <v>14667</v>
      </c>
      <c r="N169" s="2"/>
      <c r="O169" s="286" t="s">
        <v>31</v>
      </c>
      <c r="P169" s="1"/>
      <c r="Q169" s="2">
        <f>O169*C169</f>
        <v>0</v>
      </c>
      <c r="R169" s="2"/>
      <c r="S169" s="286" t="s">
        <v>31</v>
      </c>
      <c r="T169" s="1"/>
      <c r="U169" s="2">
        <f>S169*C169</f>
        <v>0</v>
      </c>
      <c r="V169" s="84"/>
      <c r="X169" s="55">
        <f ca="1">(G169-D169)/D169</f>
        <v>2.4071526822558559E-2</v>
      </c>
      <c r="Y169" s="55"/>
      <c r="AA169" s="84"/>
      <c r="AB169" s="713"/>
      <c r="AC169" s="84"/>
      <c r="AD169" s="713"/>
      <c r="AE169" s="84"/>
      <c r="AF169" s="84"/>
      <c r="AG169" s="713"/>
      <c r="AH169" s="222"/>
      <c r="AI169" s="84"/>
      <c r="AJ169" s="84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382</v>
      </c>
      <c r="B170" s="1"/>
      <c r="C170" s="21">
        <f>C458</f>
        <v>2770.9452054794501</v>
      </c>
      <c r="D170" s="283">
        <v>12.24</v>
      </c>
      <c r="E170" s="1"/>
      <c r="F170" s="2">
        <f t="shared" si="24"/>
        <v>33916</v>
      </c>
      <c r="G170" s="286">
        <f ca="1">G174*12</f>
        <v>12.48</v>
      </c>
      <c r="H170" s="1"/>
      <c r="I170" s="2">
        <f ca="1">I458</f>
        <v>34581</v>
      </c>
      <c r="J170" s="2"/>
      <c r="K170" s="286">
        <f ca="1">K174*12</f>
        <v>12.48</v>
      </c>
      <c r="L170" s="1"/>
      <c r="M170" s="2">
        <f ca="1">I170</f>
        <v>34581</v>
      </c>
      <c r="N170" s="2"/>
      <c r="O170" s="286" t="s">
        <v>31</v>
      </c>
      <c r="P170" s="1"/>
      <c r="Q170" s="2">
        <f>O170*C170</f>
        <v>0</v>
      </c>
      <c r="R170" s="2"/>
      <c r="S170" s="286" t="s">
        <v>31</v>
      </c>
      <c r="T170" s="1"/>
      <c r="U170" s="2">
        <f>S170*C170</f>
        <v>0</v>
      </c>
      <c r="X170" s="55">
        <f ca="1">(G170-D170)/D170</f>
        <v>1.9607843137254919E-2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383</v>
      </c>
      <c r="B171" s="1"/>
      <c r="C171" s="304"/>
      <c r="D171" s="2"/>
      <c r="E171" s="1"/>
      <c r="F171" s="1"/>
      <c r="G171" s="2"/>
      <c r="H171" s="1"/>
      <c r="I171" s="1"/>
      <c r="J171" s="1"/>
      <c r="K171" s="2"/>
      <c r="L171" s="1"/>
      <c r="M171" s="1"/>
      <c r="N171" s="1"/>
      <c r="O171" s="2" t="s">
        <v>31</v>
      </c>
      <c r="P171" s="1"/>
      <c r="Q171" s="1"/>
      <c r="R171" s="1"/>
      <c r="S171" s="2"/>
      <c r="T171" s="1"/>
      <c r="U171" s="1"/>
      <c r="X171" s="305"/>
      <c r="Y171" s="30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380</v>
      </c>
      <c r="B172" s="1"/>
      <c r="C172" s="304">
        <f>C213+C350</f>
        <v>166474.82968162166</v>
      </c>
      <c r="D172" s="283">
        <v>9.76</v>
      </c>
      <c r="E172" s="308"/>
      <c r="F172" s="307">
        <f>F213+F350</f>
        <v>1624794</v>
      </c>
      <c r="G172" s="286">
        <f ca="1">ROUND(D172*(1+$X$204),2)</f>
        <v>9.99</v>
      </c>
      <c r="H172" s="308"/>
      <c r="I172" s="307">
        <f ca="1">I213+I350</f>
        <v>1663084</v>
      </c>
      <c r="J172" s="307"/>
      <c r="K172" s="286">
        <f ca="1">G172</f>
        <v>9.99</v>
      </c>
      <c r="L172" s="308"/>
      <c r="M172" s="307">
        <f ca="1">I172</f>
        <v>1663084</v>
      </c>
      <c r="N172" s="307"/>
      <c r="O172" s="286" t="s">
        <v>31</v>
      </c>
      <c r="P172" s="308"/>
      <c r="Q172" s="2">
        <f>O172*C172</f>
        <v>0</v>
      </c>
      <c r="R172" s="307"/>
      <c r="S172" s="286" t="str">
        <f>O172</f>
        <v xml:space="preserve"> </v>
      </c>
      <c r="T172" s="308"/>
      <c r="U172" s="2">
        <f>S172*C172</f>
        <v>0</v>
      </c>
      <c r="X172" s="55">
        <f ca="1">(G172-D172)/D172</f>
        <v>2.3565573770491847E-2</v>
      </c>
      <c r="Y172" s="5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381</v>
      </c>
      <c r="B173" s="1"/>
      <c r="C173" s="304">
        <f>C214+C351</f>
        <v>64148.300000000723</v>
      </c>
      <c r="D173" s="283">
        <v>14.54</v>
      </c>
      <c r="E173" s="310"/>
      <c r="F173" s="307">
        <f>F214+F351</f>
        <v>932716</v>
      </c>
      <c r="G173" s="286">
        <f ca="1">ROUND(D173*(1+$X$204),2)+0.01</f>
        <v>14.89</v>
      </c>
      <c r="H173" s="310"/>
      <c r="I173" s="307">
        <f ca="1">I214+I351</f>
        <v>955168</v>
      </c>
      <c r="J173" s="307"/>
      <c r="K173" s="286">
        <f ca="1">G173</f>
        <v>14.89</v>
      </c>
      <c r="L173" s="310"/>
      <c r="M173" s="307">
        <f ca="1">I173</f>
        <v>955168</v>
      </c>
      <c r="N173" s="307"/>
      <c r="O173" s="286" t="s">
        <v>31</v>
      </c>
      <c r="P173" s="310"/>
      <c r="Q173" s="2">
        <f>O173*C173</f>
        <v>0</v>
      </c>
      <c r="R173" s="307"/>
      <c r="S173" s="286" t="str">
        <f>O173</f>
        <v xml:space="preserve"> </v>
      </c>
      <c r="T173" s="310"/>
      <c r="U173" s="2">
        <f>S173*C173</f>
        <v>0</v>
      </c>
      <c r="X173" s="55">
        <f ca="1">(G173-D173)/D173</f>
        <v>2.4071526822558559E-2</v>
      </c>
      <c r="Y173" s="55"/>
      <c r="Z173" s="69"/>
      <c r="AA173" s="84"/>
      <c r="AB173" s="713"/>
      <c r="AC173" s="84"/>
      <c r="AD173" s="712"/>
      <c r="AE173" s="84"/>
      <c r="AF173" s="84"/>
      <c r="AG173" s="712"/>
      <c r="AI173" s="20"/>
      <c r="AJ173" s="20"/>
      <c r="AK173" s="20"/>
      <c r="AL173" s="20"/>
      <c r="AM173" s="20"/>
      <c r="AN173" s="20"/>
      <c r="AO173" s="20"/>
      <c r="AP173" s="20"/>
      <c r="AR173" s="84"/>
    </row>
    <row r="174" spans="1:51">
      <c r="A174" s="1" t="s">
        <v>382</v>
      </c>
      <c r="B174" s="1"/>
      <c r="C174" s="304">
        <f>C215+C352</f>
        <v>1035367</v>
      </c>
      <c r="D174" s="283">
        <v>1.02</v>
      </c>
      <c r="E174" s="310"/>
      <c r="F174" s="307">
        <f>F215+F352</f>
        <v>1056074</v>
      </c>
      <c r="G174" s="286">
        <f ca="1">ROUND(D174*(1+$X$204),2)</f>
        <v>1.04</v>
      </c>
      <c r="H174" s="310"/>
      <c r="I174" s="307">
        <f ca="1">I215+I352</f>
        <v>1076781</v>
      </c>
      <c r="J174" s="307"/>
      <c r="K174" s="286">
        <f ca="1">G174</f>
        <v>1.04</v>
      </c>
      <c r="L174" s="310"/>
      <c r="M174" s="307">
        <f ca="1">M215+M352</f>
        <v>1076781</v>
      </c>
      <c r="N174" s="307"/>
      <c r="O174" s="286" t="s">
        <v>31</v>
      </c>
      <c r="P174" s="310"/>
      <c r="Q174" s="2">
        <f>O174*C174</f>
        <v>0</v>
      </c>
      <c r="R174" s="307"/>
      <c r="S174" s="286" t="str">
        <f>O174</f>
        <v xml:space="preserve"> </v>
      </c>
      <c r="T174" s="310"/>
      <c r="U174" s="2">
        <f>S174*C174</f>
        <v>0</v>
      </c>
      <c r="X174" s="55">
        <f ca="1">(G174-D174)/D174</f>
        <v>1.9607843137254919E-2</v>
      </c>
      <c r="Y174" s="55"/>
      <c r="Z174" s="69"/>
      <c r="AC174" s="15"/>
      <c r="AD174" s="15"/>
      <c r="AE174" s="15"/>
      <c r="AF174" s="15"/>
      <c r="AG174" s="15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384</v>
      </c>
      <c r="B175" s="1"/>
      <c r="C175" s="304">
        <f>SUM(C172:C173)</f>
        <v>230623.12968162238</v>
      </c>
      <c r="D175" s="283"/>
      <c r="E175" s="308"/>
      <c r="F175" s="307"/>
      <c r="G175" s="286"/>
      <c r="H175" s="308"/>
      <c r="I175" s="307"/>
      <c r="J175" s="307"/>
      <c r="K175" s="286"/>
      <c r="L175" s="308"/>
      <c r="M175" s="307"/>
      <c r="N175" s="307"/>
      <c r="O175" s="286"/>
      <c r="P175" s="308"/>
      <c r="Q175" s="307"/>
      <c r="R175" s="307"/>
      <c r="S175" s="286"/>
      <c r="T175" s="308"/>
      <c r="U175" s="307"/>
      <c r="X175" s="305"/>
      <c r="Y175" s="305"/>
      <c r="Z175" s="69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352</v>
      </c>
      <c r="B176" s="1"/>
      <c r="C176" s="304">
        <f t="shared" ref="C176:C181" si="25">C216+C354+C460</f>
        <v>228552.50150792321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385</v>
      </c>
      <c r="B177" s="1"/>
      <c r="C177" s="304">
        <f t="shared" si="25"/>
        <v>844065.53671882139</v>
      </c>
      <c r="D177" s="283">
        <v>3.7</v>
      </c>
      <c r="E177" s="308"/>
      <c r="F177" s="307">
        <f>F217+F355+F461</f>
        <v>3123042</v>
      </c>
      <c r="G177" s="286">
        <f ca="1">ROUND(D177*(1+$X$204),2)+0.01</f>
        <v>3.8</v>
      </c>
      <c r="H177" s="308"/>
      <c r="I177" s="307">
        <f t="shared" ref="I177:I184" ca="1" si="26">I217+I355+I461</f>
        <v>3207448</v>
      </c>
      <c r="J177" s="307"/>
      <c r="K177" s="286" t="e">
        <f ca="1">ROUND(M177/$C$177,2)</f>
        <v>#REF!</v>
      </c>
      <c r="L177" s="1" t="s">
        <v>31</v>
      </c>
      <c r="M177" s="307" t="e">
        <f ca="1">($V$207-$M$168-$M$169-$M$170-$M$172-$M$173-$M$174-$M$189-$M$190-$M$191-$M$192-$M$193-$M$194-$M$195-$M$198-$M$203)*I177/($I$177+$I$178+$I$179+$I$180)</f>
        <v>#REF!</v>
      </c>
      <c r="N177" s="1" t="s">
        <v>31</v>
      </c>
      <c r="O177" s="286" t="e">
        <f ca="1">ROUND(Q177/$C$177,2)</f>
        <v>#DIV/0!</v>
      </c>
      <c r="P177" s="1" t="s">
        <v>31</v>
      </c>
      <c r="Q177" s="307" t="e">
        <f ca="1">($W$207-$Q$168-$Q$169-$Q$170-$Q$172-$Q$173-$Q$174-$Q$181-$Q$192-$Q$193-$Q$194-$Q$195-$Q$196-$Q$197-$Q$203)*I177/($I$177+$I$178+$I$179+$I$180)</f>
        <v>#DIV/0!</v>
      </c>
      <c r="R177" s="2"/>
      <c r="S177" s="286" t="e">
        <f ca="1">ROUND(U177/$C$177,2)</f>
        <v>#DIV/0!</v>
      </c>
      <c r="T177" s="1" t="s">
        <v>31</v>
      </c>
      <c r="U177" s="307" t="e">
        <f ca="1">($X$207-$U$168-$U$169-$U$170-$U$172-$U$173-$U$174-$U$181-$U$182-$U$183-$U$184-$U$192-$U$193-$U$194-$U$195-$U$196-$U$197-$U$199-$U$200-$U$201-$U$203)*I177/($I$177+$I$178+$I$179+$I$180)</f>
        <v>#DIV/0!</v>
      </c>
      <c r="X177" s="55">
        <f ca="1">(G177-D177)/D177</f>
        <v>2.7027027027026931E-2</v>
      </c>
      <c r="Y177" s="5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387</v>
      </c>
      <c r="B178" s="1"/>
      <c r="C178" s="304">
        <f t="shared" si="25"/>
        <v>130952667.91217485</v>
      </c>
      <c r="D178" s="284">
        <v>10.628</v>
      </c>
      <c r="E178" s="308" t="s">
        <v>364</v>
      </c>
      <c r="F178" s="307">
        <f>F218+F356+F462</f>
        <v>13917649</v>
      </c>
      <c r="G178" s="771">
        <f ca="1">ROUND((D178)*(1+$X$204),3)+0.001</f>
        <v>10.878</v>
      </c>
      <c r="H178" s="308" t="s">
        <v>364</v>
      </c>
      <c r="I178" s="307">
        <f t="shared" ca="1" si="26"/>
        <v>14245033</v>
      </c>
      <c r="J178" s="307"/>
      <c r="K178" s="284" t="e">
        <f ca="1">M178/$C$178*100</f>
        <v>#REF!</v>
      </c>
      <c r="L178" s="1126" t="s">
        <v>364</v>
      </c>
      <c r="M178" s="307" t="e">
        <f ca="1">($V$207-$M$168-$M$169-$M$170-$M$172-$M$173-$M$174-$M$189-$M$190-$M$191-$M$192-$M$193-$M$194-$M$195-$M$198-$M$203)*I178/($I$177+$I$178+$I$179+$I$180)</f>
        <v>#REF!</v>
      </c>
      <c r="N178" s="307"/>
      <c r="O178" s="284" t="e">
        <f ca="1">Q178/$C$178*100+0.001</f>
        <v>#DIV/0!</v>
      </c>
      <c r="P178" s="308" t="s">
        <v>364</v>
      </c>
      <c r="Q178" s="307" t="e">
        <f t="shared" ref="Q178:Q180" ca="1" si="27">($W$207-$Q$168-$Q$169-$Q$170-$Q$172-$Q$173-$Q$174-$Q$181-$Q$192-$Q$193-$Q$194-$Q$195-$Q$196-$Q$197-$Q$203)*I178/($I$177+$I$178+$I$179+$I$180)</f>
        <v>#DIV/0!</v>
      </c>
      <c r="R178" s="307"/>
      <c r="S178" s="284" t="e">
        <f ca="1">U178/$C$178*100+0.001</f>
        <v>#DIV/0!</v>
      </c>
      <c r="T178" s="308" t="s">
        <v>364</v>
      </c>
      <c r="U178" s="307" t="e">
        <f t="shared" ref="U178:U180" ca="1" si="28">($X$207-$U$168-$U$169-$U$170-$U$172-$U$173-$U$174-$U$181-$U$182-$U$183-$U$184-$U$192-$U$193-$U$194-$U$195-$U$196-$U$197-$U$199-$U$200-$U$201-$U$203)*I178/($I$177+$I$178+$I$179+$I$180)</f>
        <v>#DIV/0!</v>
      </c>
      <c r="X178" s="55">
        <f ca="1">((G178+G182)-D178)/D178</f>
        <v>2.3522770041400076E-2</v>
      </c>
      <c r="Y178" s="55"/>
      <c r="Z178" s="69"/>
      <c r="AA178" s="221"/>
      <c r="AB178" s="221"/>
      <c r="AC178" s="221"/>
      <c r="AD178" s="221"/>
      <c r="AE178" s="221"/>
      <c r="AF178" s="221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388</v>
      </c>
      <c r="B179" s="1"/>
      <c r="C179" s="304">
        <f t="shared" si="25"/>
        <v>281502228.69846565</v>
      </c>
      <c r="D179" s="284">
        <v>7.3410000000000002</v>
      </c>
      <c r="E179" s="308" t="s">
        <v>364</v>
      </c>
      <c r="F179" s="307">
        <f>F219+F357+F463</f>
        <v>20665077</v>
      </c>
      <c r="G179" s="771">
        <f ca="1">ROUND((D179)*(1+$X$204),3)+0.001</f>
        <v>7.5140000000000002</v>
      </c>
      <c r="H179" s="308" t="s">
        <v>364</v>
      </c>
      <c r="I179" s="307">
        <f t="shared" ca="1" si="26"/>
        <v>21152078</v>
      </c>
      <c r="J179" s="307"/>
      <c r="K179" s="284" t="e">
        <f ca="1">M179/$C$179*100</f>
        <v>#REF!</v>
      </c>
      <c r="L179" s="1126" t="s">
        <v>364</v>
      </c>
      <c r="M179" s="307" t="e">
        <f t="shared" ref="M179" ca="1" si="29">($V$207-$M$168-$M$169-$M$170-$M$172-$M$173-$M$174-$M$189-$M$190-$M$191-$M$192-$M$193-$M$194-$M$195-$M$198-$M$203)*I179/($I$177+$I$178+$I$179+$I$180)</f>
        <v>#REF!</v>
      </c>
      <c r="N179" s="307"/>
      <c r="O179" s="284" t="e">
        <f ca="1">Q179/$C$179*100+0.001</f>
        <v>#DIV/0!</v>
      </c>
      <c r="P179" s="308" t="s">
        <v>364</v>
      </c>
      <c r="Q179" s="307" t="e">
        <f t="shared" ca="1" si="27"/>
        <v>#DIV/0!</v>
      </c>
      <c r="R179" s="307"/>
      <c r="S179" s="284" t="e">
        <f ca="1">U179/$C$179*100</f>
        <v>#DIV/0!</v>
      </c>
      <c r="T179" s="308" t="s">
        <v>364</v>
      </c>
      <c r="U179" s="307" t="e">
        <f t="shared" ca="1" si="28"/>
        <v>#DIV/0!</v>
      </c>
      <c r="V179" s="314"/>
      <c r="X179" s="55">
        <f ca="1">((G179+G183)-D179)/D179</f>
        <v>2.3566271625119199E-2</v>
      </c>
      <c r="Y179" s="55"/>
      <c r="Z179" s="69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389</v>
      </c>
      <c r="B180" s="1"/>
      <c r="C180" s="304">
        <f t="shared" si="25"/>
        <v>119991272.36558694</v>
      </c>
      <c r="D180" s="284">
        <v>6.3240000000000007</v>
      </c>
      <c r="E180" s="308" t="s">
        <v>364</v>
      </c>
      <c r="F180" s="307">
        <f>F220+F358+F464</f>
        <v>7588248</v>
      </c>
      <c r="G180" s="771">
        <f ca="1">ROUND((D180)*(1+$X$204),3)</f>
        <v>6.4720000000000004</v>
      </c>
      <c r="H180" s="308" t="s">
        <v>364</v>
      </c>
      <c r="I180" s="307">
        <f t="shared" ca="1" si="26"/>
        <v>7765836</v>
      </c>
      <c r="J180" s="307"/>
      <c r="K180" s="284" t="e">
        <f ca="1">M180/$C$180*100</f>
        <v>#REF!</v>
      </c>
      <c r="L180" s="1126" t="s">
        <v>364</v>
      </c>
      <c r="M180" s="307" t="e">
        <f ca="1">($V$207-$M$168-$M$169-$M$170-$M$172-$M$173-$M$174-$M$189-$M$190-$M$191-$M$192-$M$193-$M$194-$M$195-$M$198-$M$203)*I180/($I$177+$I$178+$I$179+$I$180)</f>
        <v>#REF!</v>
      </c>
      <c r="N180" s="307"/>
      <c r="O180" s="284" t="e">
        <f ca="1">Q180/$C$180*100</f>
        <v>#DIV/0!</v>
      </c>
      <c r="P180" s="308" t="s">
        <v>364</v>
      </c>
      <c r="Q180" s="307" t="e">
        <f t="shared" ca="1" si="27"/>
        <v>#DIV/0!</v>
      </c>
      <c r="R180" s="307"/>
      <c r="S180" s="284" t="e">
        <f ca="1">U180/$C$180*100+0.001</f>
        <v>#DIV/0!</v>
      </c>
      <c r="T180" s="308" t="s">
        <v>364</v>
      </c>
      <c r="U180" s="307" t="e">
        <f t="shared" ca="1" si="28"/>
        <v>#DIV/0!</v>
      </c>
      <c r="V180" s="285"/>
      <c r="X180" s="55">
        <f ca="1">((G180+G184)-D180)/D180</f>
        <v>2.3402909550917089E-2</v>
      </c>
      <c r="Y180" s="55"/>
      <c r="Z180" s="69"/>
      <c r="AA180" s="84"/>
      <c r="AB180" s="84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390</v>
      </c>
      <c r="B181" s="1"/>
      <c r="C181" s="304">
        <f t="shared" si="25"/>
        <v>122445.59285714269</v>
      </c>
      <c r="D181" s="315">
        <v>57</v>
      </c>
      <c r="E181" s="308" t="s">
        <v>364</v>
      </c>
      <c r="F181" s="307">
        <f>F221+F359+F465</f>
        <v>69794</v>
      </c>
      <c r="G181" s="315">
        <f ca="1">ROUND(D181*(1+$X$204),0)</f>
        <v>58</v>
      </c>
      <c r="H181" s="308" t="s">
        <v>364</v>
      </c>
      <c r="I181" s="307">
        <f t="shared" ca="1" si="26"/>
        <v>71019</v>
      </c>
      <c r="J181" s="307"/>
      <c r="K181" s="772" t="s">
        <v>31</v>
      </c>
      <c r="L181" s="308"/>
      <c r="M181" s="999">
        <f>K181*C181</f>
        <v>0</v>
      </c>
      <c r="N181" s="307"/>
      <c r="O181" s="315" t="e">
        <f>ROUND(Q181/$C$181,2)*100</f>
        <v>#DIV/0!</v>
      </c>
      <c r="P181" s="308" t="s">
        <v>364</v>
      </c>
      <c r="Q181" s="307" t="e">
        <f>F181*(W207/(W207+X207))</f>
        <v>#DIV/0!</v>
      </c>
      <c r="R181" s="307"/>
      <c r="S181" s="315" t="e">
        <f>ROUND(U181/$C$181,2)*100</f>
        <v>#DIV/0!</v>
      </c>
      <c r="T181" s="308" t="s">
        <v>364</v>
      </c>
      <c r="U181" s="307" t="e">
        <f>F181*(X207/(W207+X207))</f>
        <v>#DIV/0!</v>
      </c>
      <c r="X181" s="55">
        <f ca="1">(G181-D181)/D181</f>
        <v>1.7543859649122806E-2</v>
      </c>
      <c r="Y181" s="55"/>
      <c r="Z181" s="69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 s="1118" customFormat="1" hidden="1">
      <c r="A182" s="968" t="s">
        <v>888</v>
      </c>
      <c r="C182" s="987">
        <f>C178</f>
        <v>130952667.91217485</v>
      </c>
      <c r="D182" s="1423">
        <v>0</v>
      </c>
      <c r="E182" s="1119"/>
      <c r="F182" s="1123"/>
      <c r="G182" s="1128">
        <v>0</v>
      </c>
      <c r="H182" s="972" t="s">
        <v>364</v>
      </c>
      <c r="I182" s="999">
        <f t="shared" si="26"/>
        <v>0</v>
      </c>
      <c r="J182" s="999"/>
      <c r="K182" s="1128" t="s">
        <v>31</v>
      </c>
      <c r="L182" s="972"/>
      <c r="M182" s="999">
        <f>K182*C182</f>
        <v>0</v>
      </c>
      <c r="N182" s="999"/>
      <c r="O182" s="1128" t="s">
        <v>31</v>
      </c>
      <c r="P182" s="972" t="s">
        <v>31</v>
      </c>
      <c r="Q182" s="999">
        <f>O182*C182</f>
        <v>0</v>
      </c>
      <c r="R182" s="999"/>
      <c r="S182" s="1128">
        <f>G182</f>
        <v>0</v>
      </c>
      <c r="T182" s="972" t="s">
        <v>364</v>
      </c>
      <c r="U182" s="999">
        <f>I182</f>
        <v>0</v>
      </c>
      <c r="V182" s="1124"/>
      <c r="W182" s="784"/>
      <c r="Z182" s="1125"/>
      <c r="AA182" s="1125"/>
      <c r="AF182" s="1119"/>
      <c r="AG182" s="1119"/>
      <c r="AH182" s="1119"/>
      <c r="AI182" s="1119"/>
      <c r="AJ182" s="1119"/>
      <c r="AK182" s="1119"/>
      <c r="AL182" s="1119"/>
      <c r="AM182" s="1119"/>
      <c r="AN182" s="1119"/>
      <c r="AO182" s="1119"/>
      <c r="AP182" s="1119"/>
      <c r="AR182" s="1124"/>
    </row>
    <row r="183" spans="1:44" s="1118" customFormat="1" hidden="1">
      <c r="A183" s="968" t="s">
        <v>889</v>
      </c>
      <c r="C183" s="987">
        <f t="shared" ref="C183:C184" si="30">C179</f>
        <v>281502228.69846565</v>
      </c>
      <c r="D183" s="1423">
        <v>0</v>
      </c>
      <c r="E183" s="1119"/>
      <c r="F183" s="1123"/>
      <c r="G183" s="1128">
        <v>0</v>
      </c>
      <c r="H183" s="972" t="s">
        <v>364</v>
      </c>
      <c r="I183" s="999">
        <f t="shared" si="26"/>
        <v>0</v>
      </c>
      <c r="J183" s="999"/>
      <c r="K183" s="1128" t="s">
        <v>31</v>
      </c>
      <c r="L183" s="972"/>
      <c r="M183" s="999">
        <f>K183*C183</f>
        <v>0</v>
      </c>
      <c r="N183" s="999"/>
      <c r="O183" s="1128" t="s">
        <v>31</v>
      </c>
      <c r="P183" s="972" t="s">
        <v>31</v>
      </c>
      <c r="Q183" s="999">
        <f>O183*C183</f>
        <v>0</v>
      </c>
      <c r="R183" s="999"/>
      <c r="S183" s="1128">
        <f>G183</f>
        <v>0</v>
      </c>
      <c r="T183" s="972" t="s">
        <v>364</v>
      </c>
      <c r="U183" s="999">
        <f>I183</f>
        <v>0</v>
      </c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890</v>
      </c>
      <c r="C184" s="987">
        <f t="shared" si="30"/>
        <v>119991272.36558694</v>
      </c>
      <c r="D184" s="1423">
        <v>0</v>
      </c>
      <c r="E184" s="1119"/>
      <c r="F184" s="1123"/>
      <c r="G184" s="1128">
        <v>0</v>
      </c>
      <c r="H184" s="972" t="s">
        <v>364</v>
      </c>
      <c r="I184" s="999">
        <f t="shared" ca="1" si="26"/>
        <v>8774</v>
      </c>
      <c r="J184" s="999"/>
      <c r="K184" s="1128" t="s">
        <v>31</v>
      </c>
      <c r="L184" s="972"/>
      <c r="M184" s="999">
        <f>K184*C184</f>
        <v>0</v>
      </c>
      <c r="N184" s="999"/>
      <c r="O184" s="1128" t="s">
        <v>31</v>
      </c>
      <c r="P184" s="972" t="s">
        <v>31</v>
      </c>
      <c r="Q184" s="999">
        <f>O184*C184</f>
        <v>0</v>
      </c>
      <c r="R184" s="999"/>
      <c r="S184" s="1128">
        <f>G184</f>
        <v>0</v>
      </c>
      <c r="T184" s="972" t="s">
        <v>364</v>
      </c>
      <c r="U184" s="999">
        <f ca="1">I184</f>
        <v>8774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1255" t="s">
        <v>865</v>
      </c>
      <c r="B185" s="1256"/>
      <c r="C185" s="1262"/>
      <c r="D185" s="1260">
        <v>10.628</v>
      </c>
      <c r="E185" s="1263" t="s">
        <v>364</v>
      </c>
      <c r="F185" s="1259"/>
      <c r="G185" s="1260">
        <f ca="1">G178+G182</f>
        <v>10.878</v>
      </c>
      <c r="H185" s="1263" t="s">
        <v>364</v>
      </c>
      <c r="I185" s="1264"/>
      <c r="J185" s="1264"/>
      <c r="K185" s="1260" t="e">
        <f ca="1">K178+K182</f>
        <v>#REF!</v>
      </c>
      <c r="L185" s="1263" t="s">
        <v>364</v>
      </c>
      <c r="M185" s="1264"/>
      <c r="N185" s="1264"/>
      <c r="O185" s="1260" t="e">
        <f ca="1">O178+O182</f>
        <v>#DIV/0!</v>
      </c>
      <c r="P185" s="1263" t="s">
        <v>364</v>
      </c>
      <c r="Q185" s="1264"/>
      <c r="R185" s="1264"/>
      <c r="S185" s="1260" t="e">
        <f ca="1">S178+S182</f>
        <v>#DIV/0!</v>
      </c>
      <c r="T185" s="1263" t="s">
        <v>364</v>
      </c>
      <c r="U185" s="1264"/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866</v>
      </c>
      <c r="B186" s="1256"/>
      <c r="C186" s="1262"/>
      <c r="D186" s="1260">
        <v>7.3410000000000002</v>
      </c>
      <c r="E186" s="1263" t="s">
        <v>364</v>
      </c>
      <c r="F186" s="1259"/>
      <c r="G186" s="1260">
        <f t="shared" ref="G186:G187" ca="1" si="31">G179+G183</f>
        <v>7.5140000000000002</v>
      </c>
      <c r="H186" s="1263" t="s">
        <v>364</v>
      </c>
      <c r="I186" s="1264"/>
      <c r="J186" s="1264"/>
      <c r="K186" s="1260" t="e">
        <f t="shared" ref="K186:K187" ca="1" si="32">K179+K183</f>
        <v>#REF!</v>
      </c>
      <c r="L186" s="1263" t="s">
        <v>364</v>
      </c>
      <c r="M186" s="1264"/>
      <c r="N186" s="1264"/>
      <c r="O186" s="1260" t="e">
        <f t="shared" ref="O186:O187" ca="1" si="33">O179+O183</f>
        <v>#DIV/0!</v>
      </c>
      <c r="P186" s="1263" t="s">
        <v>364</v>
      </c>
      <c r="Q186" s="1264"/>
      <c r="R186" s="1264"/>
      <c r="S186" s="1260" t="e">
        <f t="shared" ref="S186:S187" ca="1" si="34">S179+S183</f>
        <v>#DIV/0!</v>
      </c>
      <c r="T186" s="1263" t="s">
        <v>364</v>
      </c>
      <c r="U186" s="1264"/>
      <c r="W186" s="784" t="s">
        <v>31</v>
      </c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867</v>
      </c>
      <c r="B187" s="1256"/>
      <c r="C187" s="1262"/>
      <c r="D187" s="1260">
        <v>6.3240000000000007</v>
      </c>
      <c r="E187" s="1263" t="s">
        <v>364</v>
      </c>
      <c r="F187" s="1259"/>
      <c r="G187" s="1260">
        <f t="shared" ca="1" si="31"/>
        <v>6.4720000000000004</v>
      </c>
      <c r="H187" s="1263" t="s">
        <v>364</v>
      </c>
      <c r="I187" s="1264"/>
      <c r="J187" s="1264"/>
      <c r="K187" s="1260" t="e">
        <f t="shared" ca="1" si="32"/>
        <v>#REF!</v>
      </c>
      <c r="L187" s="1263" t="s">
        <v>364</v>
      </c>
      <c r="M187" s="1264"/>
      <c r="N187" s="1264"/>
      <c r="O187" s="1260" t="e">
        <f t="shared" ca="1" si="33"/>
        <v>#DIV/0!</v>
      </c>
      <c r="P187" s="1263" t="s">
        <v>364</v>
      </c>
      <c r="Q187" s="1264"/>
      <c r="R187" s="1264"/>
      <c r="S187" s="1260" t="e">
        <f t="shared" ca="1" si="34"/>
        <v>#DIV/0!</v>
      </c>
      <c r="T187" s="1263" t="s">
        <v>364</v>
      </c>
      <c r="U187" s="1264"/>
      <c r="W187" s="784"/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>
      <c r="A188" s="316" t="s">
        <v>391</v>
      </c>
      <c r="B188" s="1"/>
      <c r="C188" s="304"/>
      <c r="D188" s="317">
        <v>-0.01</v>
      </c>
      <c r="E188" s="308"/>
      <c r="F188" s="307"/>
      <c r="G188" s="317">
        <v>-0.01</v>
      </c>
      <c r="H188" s="308"/>
      <c r="I188" s="307"/>
      <c r="J188" s="307"/>
      <c r="K188" s="317">
        <v>-0.01</v>
      </c>
      <c r="L188" s="308"/>
      <c r="M188" s="307"/>
      <c r="N188" s="307"/>
      <c r="O188" s="317">
        <v>-0.01</v>
      </c>
      <c r="P188" s="308"/>
      <c r="Q188" s="307"/>
      <c r="R188" s="307"/>
      <c r="S188" s="317">
        <v>-0.01</v>
      </c>
      <c r="T188" s="308"/>
      <c r="U188" s="307"/>
      <c r="W188" s="318"/>
      <c r="AI188" s="20"/>
      <c r="AJ188" s="20"/>
      <c r="AK188" s="20"/>
      <c r="AL188" s="20"/>
      <c r="AM188" s="20"/>
      <c r="AN188" s="20"/>
      <c r="AO188" s="20"/>
      <c r="AP188" s="20"/>
      <c r="AR188" s="84"/>
    </row>
    <row r="189" spans="1:44">
      <c r="A189" s="1" t="s">
        <v>380</v>
      </c>
      <c r="B189" s="1"/>
      <c r="C189" s="304">
        <f t="shared" ref="C189:C198" si="35">C226+C364+C470</f>
        <v>74.633333333333297</v>
      </c>
      <c r="D189" s="319">
        <v>9.76</v>
      </c>
      <c r="E189" s="306"/>
      <c r="F189" s="307">
        <f t="shared" ref="F189:F198" si="36">F226+F364+F470</f>
        <v>-7</v>
      </c>
      <c r="G189" s="319">
        <f ca="1">G172</f>
        <v>9.99</v>
      </c>
      <c r="H189" s="306"/>
      <c r="I189" s="307">
        <f t="shared" ref="I189:I202" ca="1" si="37">I226+I364+I470</f>
        <v>-7</v>
      </c>
      <c r="J189" s="307"/>
      <c r="K189" s="319">
        <f ca="1">K172</f>
        <v>9.99</v>
      </c>
      <c r="L189" s="306"/>
      <c r="M189" s="307">
        <f ca="1">K189*C189*K188</f>
        <v>-7.4558699999999964</v>
      </c>
      <c r="N189" s="307"/>
      <c r="O189" s="319" t="str">
        <f>O172</f>
        <v xml:space="preserve"> </v>
      </c>
      <c r="P189" s="306"/>
      <c r="Q189" s="307">
        <f>O189*C189*O188</f>
        <v>0</v>
      </c>
      <c r="R189" s="307"/>
      <c r="S189" s="319" t="str">
        <f>S172</f>
        <v xml:space="preserve"> </v>
      </c>
      <c r="T189" s="306"/>
      <c r="U189" s="307">
        <f>S189*C189*S188</f>
        <v>0</v>
      </c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381</v>
      </c>
      <c r="B190" s="1"/>
      <c r="C190" s="304">
        <f t="shared" si="35"/>
        <v>79.799999999999983</v>
      </c>
      <c r="D190" s="319">
        <v>14.54</v>
      </c>
      <c r="E190" s="306"/>
      <c r="F190" s="307">
        <f t="shared" si="36"/>
        <v>-11</v>
      </c>
      <c r="G190" s="319">
        <f ca="1">G173</f>
        <v>14.89</v>
      </c>
      <c r="H190" s="306"/>
      <c r="I190" s="307">
        <f t="shared" ca="1" si="37"/>
        <v>-12</v>
      </c>
      <c r="J190" s="307"/>
      <c r="K190" s="319">
        <f ca="1">K173</f>
        <v>14.89</v>
      </c>
      <c r="L190" s="306"/>
      <c r="M190" s="307">
        <f ca="1">K190*C190*K188</f>
        <v>-11.882219999999998</v>
      </c>
      <c r="N190" s="307"/>
      <c r="O190" s="319" t="str">
        <f>O173</f>
        <v xml:space="preserve"> </v>
      </c>
      <c r="P190" s="306"/>
      <c r="Q190" s="307">
        <f>O190*C190*O188</f>
        <v>0</v>
      </c>
      <c r="R190" s="307"/>
      <c r="S190" s="319" t="str">
        <f>S173</f>
        <v xml:space="preserve"> </v>
      </c>
      <c r="T190" s="306"/>
      <c r="U190" s="307">
        <f>S190*C190*S188</f>
        <v>0</v>
      </c>
      <c r="W190" s="88" t="s">
        <v>31</v>
      </c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392</v>
      </c>
      <c r="B191" s="1"/>
      <c r="C191" s="304">
        <f t="shared" si="35"/>
        <v>2161</v>
      </c>
      <c r="D191" s="319">
        <v>1.02</v>
      </c>
      <c r="E191" s="306"/>
      <c r="F191" s="307">
        <f t="shared" si="36"/>
        <v>-23</v>
      </c>
      <c r="G191" s="319">
        <f ca="1">G174</f>
        <v>1.04</v>
      </c>
      <c r="H191" s="306"/>
      <c r="I191" s="307">
        <f t="shared" ca="1" si="37"/>
        <v>-23</v>
      </c>
      <c r="J191" s="307"/>
      <c r="K191" s="319">
        <f ca="1">K174</f>
        <v>1.04</v>
      </c>
      <c r="L191" s="306"/>
      <c r="M191" s="307">
        <f ca="1">K191*C191*K188</f>
        <v>-22.474399999999999</v>
      </c>
      <c r="N191" s="307"/>
      <c r="O191" s="319" t="str">
        <f>O174</f>
        <v xml:space="preserve"> </v>
      </c>
      <c r="P191" s="306"/>
      <c r="Q191" s="307">
        <f>O191*C191*O188</f>
        <v>0</v>
      </c>
      <c r="R191" s="307"/>
      <c r="S191" s="319" t="str">
        <f>S174</f>
        <v xml:space="preserve"> </v>
      </c>
      <c r="T191" s="306"/>
      <c r="U191" s="307">
        <f>S191*C191*S188</f>
        <v>0</v>
      </c>
      <c r="X191" s="88" t="s">
        <v>31</v>
      </c>
      <c r="Z191" s="4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393</v>
      </c>
      <c r="B192" s="1"/>
      <c r="C192" s="304">
        <f t="shared" si="35"/>
        <v>1487</v>
      </c>
      <c r="D192" s="319">
        <v>3.7</v>
      </c>
      <c r="E192" s="308"/>
      <c r="F192" s="307">
        <f t="shared" si="36"/>
        <v>-55</v>
      </c>
      <c r="G192" s="319">
        <f ca="1">G177</f>
        <v>3.8</v>
      </c>
      <c r="H192" s="308"/>
      <c r="I192" s="307">
        <f t="shared" ca="1" si="37"/>
        <v>-56</v>
      </c>
      <c r="J192" s="307"/>
      <c r="K192" s="319" t="e">
        <f ca="1">K177</f>
        <v>#REF!</v>
      </c>
      <c r="L192" s="308"/>
      <c r="M192" s="307" t="e">
        <f ca="1">K192*C192*K188</f>
        <v>#REF!</v>
      </c>
      <c r="N192" s="307"/>
      <c r="O192" s="319" t="e">
        <f ca="1">O177</f>
        <v>#DIV/0!</v>
      </c>
      <c r="P192" s="308"/>
      <c r="Q192" s="307" t="e">
        <f ca="1">O192*C192*O188</f>
        <v>#DIV/0!</v>
      </c>
      <c r="R192" s="307"/>
      <c r="S192" s="319" t="e">
        <f ca="1">S177</f>
        <v>#DIV/0!</v>
      </c>
      <c r="T192" s="308"/>
      <c r="U192" s="307" t="e">
        <f ca="1">S192*C192*S188</f>
        <v>#DIV/0!</v>
      </c>
      <c r="Y192" s="88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395</v>
      </c>
      <c r="B193" s="1"/>
      <c r="C193" s="304">
        <f t="shared" si="35"/>
        <v>116452.33333333327</v>
      </c>
      <c r="D193" s="320">
        <v>10.628</v>
      </c>
      <c r="E193" s="308" t="s">
        <v>364</v>
      </c>
      <c r="F193" s="307">
        <f t="shared" si="36"/>
        <v>-123</v>
      </c>
      <c r="G193" s="320">
        <f ca="1">G178</f>
        <v>10.878</v>
      </c>
      <c r="H193" s="308" t="s">
        <v>364</v>
      </c>
      <c r="I193" s="307">
        <f t="shared" ca="1" si="37"/>
        <v>-127</v>
      </c>
      <c r="J193" s="307"/>
      <c r="K193" s="320" t="e">
        <f ca="1">K178</f>
        <v>#REF!</v>
      </c>
      <c r="L193" s="308"/>
      <c r="M193" s="999" t="e">
        <f ca="1">K193*C193/100*K188</f>
        <v>#REF!</v>
      </c>
      <c r="N193" s="307"/>
      <c r="O193" s="320" t="e">
        <f ca="1">O178</f>
        <v>#DIV/0!</v>
      </c>
      <c r="P193" s="308" t="s">
        <v>364</v>
      </c>
      <c r="Q193" s="999" t="e">
        <f ca="1">O193*C193/100*O188</f>
        <v>#DIV/0!</v>
      </c>
      <c r="R193" s="307"/>
      <c r="S193" s="320" t="e">
        <f ca="1">S178</f>
        <v>#DIV/0!</v>
      </c>
      <c r="T193" s="308" t="s">
        <v>364</v>
      </c>
      <c r="U193" s="999" t="e">
        <f ca="1">S193*C193/100*S188</f>
        <v>#DIV/0!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388</v>
      </c>
      <c r="B194" s="1"/>
      <c r="C194" s="304">
        <f t="shared" si="35"/>
        <v>524872.66666666698</v>
      </c>
      <c r="D194" s="320">
        <v>7.3410000000000002</v>
      </c>
      <c r="E194" s="308" t="s">
        <v>364</v>
      </c>
      <c r="F194" s="307">
        <f t="shared" si="36"/>
        <v>-385</v>
      </c>
      <c r="G194" s="320">
        <f ca="1">G179</f>
        <v>7.5140000000000002</v>
      </c>
      <c r="H194" s="308" t="s">
        <v>364</v>
      </c>
      <c r="I194" s="307">
        <f t="shared" ca="1" si="37"/>
        <v>-394</v>
      </c>
      <c r="J194" s="307"/>
      <c r="K194" s="320" t="e">
        <f ca="1">K179</f>
        <v>#REF!</v>
      </c>
      <c r="L194" s="308"/>
      <c r="M194" s="999" t="e">
        <f ca="1">K194*C194/100*K188</f>
        <v>#REF!</v>
      </c>
      <c r="N194" s="307"/>
      <c r="O194" s="320" t="e">
        <f ca="1">O179</f>
        <v>#DIV/0!</v>
      </c>
      <c r="P194" s="308" t="s">
        <v>364</v>
      </c>
      <c r="Q194" s="999" t="e">
        <f ca="1">O194*C194/100*O188</f>
        <v>#DIV/0!</v>
      </c>
      <c r="R194" s="307"/>
      <c r="S194" s="320" t="e">
        <f ca="1">S179</f>
        <v>#DIV/0!</v>
      </c>
      <c r="T194" s="308" t="s">
        <v>364</v>
      </c>
      <c r="U194" s="999" t="e">
        <f ca="1">S194*C194/100*S188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389</v>
      </c>
      <c r="B195" s="1"/>
      <c r="C195" s="304">
        <f t="shared" si="35"/>
        <v>933865</v>
      </c>
      <c r="D195" s="320">
        <v>6.3240000000000007</v>
      </c>
      <c r="E195" s="308" t="s">
        <v>364</v>
      </c>
      <c r="F195" s="307">
        <f t="shared" si="36"/>
        <v>-591</v>
      </c>
      <c r="G195" s="320">
        <f ca="1">G180</f>
        <v>6.4720000000000004</v>
      </c>
      <c r="H195" s="308" t="s">
        <v>364</v>
      </c>
      <c r="I195" s="307">
        <f t="shared" ca="1" si="37"/>
        <v>-604</v>
      </c>
      <c r="J195" s="307"/>
      <c r="K195" s="320" t="e">
        <f ca="1">K180</f>
        <v>#REF!</v>
      </c>
      <c r="L195" s="308"/>
      <c r="M195" s="999" t="e">
        <f ca="1">K195*C195/100*K188</f>
        <v>#REF!</v>
      </c>
      <c r="N195" s="307"/>
      <c r="O195" s="320" t="e">
        <f ca="1">O180</f>
        <v>#DIV/0!</v>
      </c>
      <c r="P195" s="308" t="s">
        <v>364</v>
      </c>
      <c r="Q195" s="999" t="e">
        <f ca="1">O195*C195/100*O188</f>
        <v>#DIV/0!</v>
      </c>
      <c r="R195" s="307"/>
      <c r="S195" s="320" t="e">
        <f ca="1">S180</f>
        <v>#DIV/0!</v>
      </c>
      <c r="T195" s="308" t="s">
        <v>364</v>
      </c>
      <c r="U195" s="999" t="e">
        <f ca="1">S195*C195/100*S188</f>
        <v>#DIV/0!</v>
      </c>
      <c r="AI195" s="20"/>
      <c r="AJ195" s="20"/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390</v>
      </c>
      <c r="B196" s="1"/>
      <c r="C196" s="304">
        <f t="shared" si="35"/>
        <v>1389.3333333333335</v>
      </c>
      <c r="D196" s="321">
        <v>57</v>
      </c>
      <c r="E196" s="308" t="s">
        <v>364</v>
      </c>
      <c r="F196" s="307">
        <f t="shared" si="36"/>
        <v>-8</v>
      </c>
      <c r="G196" s="321">
        <f ca="1">G181</f>
        <v>58</v>
      </c>
      <c r="H196" s="308" t="s">
        <v>364</v>
      </c>
      <c r="I196" s="307">
        <f t="shared" ca="1" si="37"/>
        <v>-8</v>
      </c>
      <c r="J196" s="307"/>
      <c r="K196" s="321" t="str">
        <f>K181</f>
        <v xml:space="preserve"> </v>
      </c>
      <c r="L196" s="308"/>
      <c r="M196" s="999">
        <f>K196*C196</f>
        <v>0</v>
      </c>
      <c r="N196" s="307"/>
      <c r="O196" s="321" t="e">
        <f>O181</f>
        <v>#DIV/0!</v>
      </c>
      <c r="P196" s="308" t="s">
        <v>364</v>
      </c>
      <c r="Q196" s="999" t="e">
        <f>O196*D196*O188</f>
        <v>#DIV/0!</v>
      </c>
      <c r="R196" s="307"/>
      <c r="S196" s="321" t="e">
        <f>S181</f>
        <v>#DIV/0!</v>
      </c>
      <c r="T196" s="308" t="s">
        <v>364</v>
      </c>
      <c r="U196" s="999" t="e">
        <f>S196*C196*S188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397</v>
      </c>
      <c r="B197" s="1"/>
      <c r="C197" s="304">
        <f t="shared" si="35"/>
        <v>130.39999999999998</v>
      </c>
      <c r="D197" s="322">
        <v>60</v>
      </c>
      <c r="E197" s="308"/>
      <c r="F197" s="307">
        <f t="shared" si="36"/>
        <v>7824</v>
      </c>
      <c r="G197" s="322">
        <f>'Blocking - detail'!$I$172</f>
        <v>60</v>
      </c>
      <c r="H197" s="308"/>
      <c r="I197" s="307">
        <f t="shared" si="37"/>
        <v>7824</v>
      </c>
      <c r="J197" s="307"/>
      <c r="K197" s="311" t="s">
        <v>31</v>
      </c>
      <c r="L197" s="308"/>
      <c r="M197" s="999">
        <f>K197*C197</f>
        <v>0</v>
      </c>
      <c r="N197" s="307"/>
      <c r="O197" s="286" t="e">
        <f>ROUND(Q197/$C$197,2)</f>
        <v>#DIV/0!</v>
      </c>
      <c r="P197" s="308"/>
      <c r="Q197" s="999" t="e">
        <f>I197*(W207/(W207+X207))</f>
        <v>#DIV/0!</v>
      </c>
      <c r="R197" s="307"/>
      <c r="S197" s="286" t="e">
        <f>ROUND(U197/$C$197,2)</f>
        <v>#DIV/0!</v>
      </c>
      <c r="T197" s="308"/>
      <c r="U197" s="999" t="e">
        <f>I197*(X207/(W207+X207))</f>
        <v>#DIV/0!</v>
      </c>
      <c r="X197" s="88" t="s">
        <v>31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398</v>
      </c>
      <c r="B198" s="1"/>
      <c r="C198" s="304">
        <f t="shared" si="35"/>
        <v>709.3</v>
      </c>
      <c r="D198" s="324">
        <v>-30</v>
      </c>
      <c r="E198" s="308" t="s">
        <v>364</v>
      </c>
      <c r="F198" s="307">
        <f t="shared" si="36"/>
        <v>-213</v>
      </c>
      <c r="G198" s="324">
        <f>'Blocking - detail'!$I$173</f>
        <v>-30</v>
      </c>
      <c r="H198" s="308" t="s">
        <v>364</v>
      </c>
      <c r="I198" s="307">
        <f t="shared" si="37"/>
        <v>-213</v>
      </c>
      <c r="J198" s="307"/>
      <c r="K198" s="324">
        <f>'Blocking - detail'!$I$173</f>
        <v>-30</v>
      </c>
      <c r="L198" s="308" t="s">
        <v>364</v>
      </c>
      <c r="M198" s="307">
        <f>I198</f>
        <v>-213</v>
      </c>
      <c r="N198" s="307"/>
      <c r="O198" s="1281" t="s">
        <v>31</v>
      </c>
      <c r="P198" s="308" t="s">
        <v>31</v>
      </c>
      <c r="Q198" s="307">
        <f>O198*C198*O188</f>
        <v>0</v>
      </c>
      <c r="R198" s="307"/>
      <c r="S198" s="1281" t="s">
        <v>31</v>
      </c>
      <c r="T198" s="308" t="s">
        <v>31</v>
      </c>
      <c r="U198" s="307">
        <f>S198*D198*S188</f>
        <v>0</v>
      </c>
      <c r="X198" s="88" t="s">
        <v>31</v>
      </c>
      <c r="Z198" s="279"/>
      <c r="AA198" s="279"/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 s="1118" customFormat="1" hidden="1">
      <c r="A199" s="968" t="s">
        <v>888</v>
      </c>
      <c r="C199" s="987">
        <f>C193</f>
        <v>116452.33333333327</v>
      </c>
      <c r="D199" s="1423">
        <v>0</v>
      </c>
      <c r="E199" s="1119"/>
      <c r="F199" s="1123"/>
      <c r="G199" s="1128">
        <f>G182</f>
        <v>0</v>
      </c>
      <c r="H199" s="972" t="s">
        <v>364</v>
      </c>
      <c r="I199" s="307">
        <f t="shared" ca="1" si="37"/>
        <v>0</v>
      </c>
      <c r="J199" s="307"/>
      <c r="K199" s="1128" t="str">
        <f>K182</f>
        <v xml:space="preserve"> </v>
      </c>
      <c r="L199" s="972"/>
      <c r="M199" s="999" t="e">
        <f ca="1">K199*C199/100*K194</f>
        <v>#REF!</v>
      </c>
      <c r="N199" s="307"/>
      <c r="O199" s="1128" t="str">
        <f>O182</f>
        <v xml:space="preserve"> </v>
      </c>
      <c r="P199" s="972" t="s">
        <v>31</v>
      </c>
      <c r="Q199" s="999" t="e">
        <f ca="1">O199*C199/100*O194</f>
        <v>#DIV/0!</v>
      </c>
      <c r="R199" s="307"/>
      <c r="S199" s="1128">
        <f>S182</f>
        <v>0</v>
      </c>
      <c r="T199" s="972" t="s">
        <v>364</v>
      </c>
      <c r="U199" s="307">
        <f ca="1">I199</f>
        <v>0</v>
      </c>
      <c r="W199" s="784"/>
      <c r="Z199" s="1125"/>
      <c r="AA199" s="1125"/>
      <c r="AF199" s="1119"/>
      <c r="AG199" s="1119"/>
      <c r="AH199" s="1119"/>
      <c r="AI199" s="1119"/>
      <c r="AJ199" s="1119"/>
      <c r="AK199" s="1119"/>
      <c r="AL199" s="1119"/>
      <c r="AM199" s="1119"/>
      <c r="AN199" s="1119"/>
      <c r="AO199" s="1119"/>
      <c r="AP199" s="1119"/>
      <c r="AR199" s="1124"/>
    </row>
    <row r="200" spans="1:44" s="1118" customFormat="1" hidden="1">
      <c r="A200" s="968" t="s">
        <v>889</v>
      </c>
      <c r="C200" s="987">
        <f t="shared" ref="C200:C201" si="38">C194</f>
        <v>524872.66666666698</v>
      </c>
      <c r="D200" s="1423"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37"/>
        <v>0</v>
      </c>
      <c r="J200" s="307"/>
      <c r="K200" s="1128" t="str">
        <f>K183</f>
        <v xml:space="preserve"> </v>
      </c>
      <c r="L200" s="972"/>
      <c r="M200" s="999" t="e">
        <f ca="1">K200*C200/100*K195</f>
        <v>#REF!</v>
      </c>
      <c r="N200" s="307"/>
      <c r="O200" s="1128" t="str">
        <f>O183</f>
        <v xml:space="preserve"> </v>
      </c>
      <c r="P200" s="972" t="s">
        <v>31</v>
      </c>
      <c r="Q200" s="999" t="e">
        <f ca="1">O200*C200/100*O195</f>
        <v>#DIV/0!</v>
      </c>
      <c r="R200" s="307"/>
      <c r="S200" s="1128">
        <f>S183</f>
        <v>0</v>
      </c>
      <c r="T200" s="972" t="s">
        <v>364</v>
      </c>
      <c r="U200" s="307">
        <f ca="1">I200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890</v>
      </c>
      <c r="C201" s="987">
        <f t="shared" si="38"/>
        <v>933865</v>
      </c>
      <c r="D201" s="1423"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37"/>
        <v>0</v>
      </c>
      <c r="J201" s="307"/>
      <c r="K201" s="1128" t="str">
        <f>K184</f>
        <v xml:space="preserve"> </v>
      </c>
      <c r="L201" s="972"/>
      <c r="M201" s="999">
        <f>K201*C201/100*K196</f>
        <v>0</v>
      </c>
      <c r="N201" s="307"/>
      <c r="O201" s="1128" t="str">
        <f>O184</f>
        <v xml:space="preserve"> </v>
      </c>
      <c r="P201" s="972" t="s">
        <v>31</v>
      </c>
      <c r="Q201" s="999" t="e">
        <f>O201*C201/100*O196</f>
        <v>#DIV/0!</v>
      </c>
      <c r="R201" s="307"/>
      <c r="S201" s="1128">
        <f>S184</f>
        <v>0</v>
      </c>
      <c r="T201" s="972" t="s">
        <v>364</v>
      </c>
      <c r="U201" s="307">
        <f ca="1">I201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>
      <c r="A202" s="1" t="s">
        <v>371</v>
      </c>
      <c r="B202" s="249"/>
      <c r="C202" s="304">
        <f>C239+C377+C483</f>
        <v>532446168.97622746</v>
      </c>
      <c r="D202" s="315"/>
      <c r="E202" s="308"/>
      <c r="F202" s="307">
        <f>F239+F377+F483</f>
        <v>49032275</v>
      </c>
      <c r="G202" s="315"/>
      <c r="H202" s="308"/>
      <c r="I202" s="307">
        <f t="shared" ca="1" si="37"/>
        <v>50192315</v>
      </c>
      <c r="J202" s="307"/>
      <c r="K202" s="315"/>
      <c r="L202" s="308"/>
      <c r="M202" s="307" t="e">
        <f ca="1">SUM(M168:M201)</f>
        <v>#REF!</v>
      </c>
      <c r="N202" s="307"/>
      <c r="O202" s="315"/>
      <c r="P202" s="308"/>
      <c r="Q202" s="307" t="e">
        <f ca="1">SUM(Q168:Q201)</f>
        <v>#DIV/0!</v>
      </c>
      <c r="R202" s="307"/>
      <c r="S202" s="315"/>
      <c r="T202" s="308"/>
      <c r="U202" s="307" t="e">
        <f ca="1">SUM(U168:U201)</f>
        <v>#DIV/0!</v>
      </c>
      <c r="AI202" s="20"/>
      <c r="AJ202" s="20"/>
      <c r="AK202" s="20"/>
      <c r="AL202" s="20"/>
      <c r="AM202" s="20"/>
      <c r="AN202" s="20"/>
      <c r="AO202" s="20"/>
      <c r="AP202" s="20"/>
      <c r="AR202" s="84"/>
    </row>
    <row r="203" spans="1:44">
      <c r="A203" s="1" t="s">
        <v>353</v>
      </c>
      <c r="B203" s="25"/>
      <c r="C203" s="325">
        <f ca="1">C240+C378+C484</f>
        <v>3820431.375987567</v>
      </c>
      <c r="D203" s="294"/>
      <c r="E203" s="294"/>
      <c r="F203" s="326">
        <f ca="1">F240+F378+F484</f>
        <v>398180.89115916123</v>
      </c>
      <c r="G203" s="294"/>
      <c r="H203" s="294"/>
      <c r="I203" s="295">
        <f ca="1">F203</f>
        <v>398180.89115916123</v>
      </c>
      <c r="J203" s="51"/>
      <c r="K203" s="294"/>
      <c r="L203" s="294"/>
      <c r="M203" s="295" t="e">
        <f ca="1">$I$203*V207/($V$207+$W$207+$X$207)</f>
        <v>#DIV/0!</v>
      </c>
      <c r="N203" s="51"/>
      <c r="O203" s="294"/>
      <c r="P203" s="294"/>
      <c r="Q203" s="295" t="e">
        <f ca="1">$I$203*W207/($V$207+$W$207+$X$207)</f>
        <v>#DIV/0!</v>
      </c>
      <c r="R203" s="51"/>
      <c r="S203" s="294"/>
      <c r="T203" s="294"/>
      <c r="U203" s="295" t="e">
        <f ca="1">$I$203*X207/($V$207+$W$207+$X$207)</f>
        <v>#DIV/0!</v>
      </c>
      <c r="X203" s="770"/>
      <c r="Y203" s="770"/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 ht="16.5" thickBot="1">
      <c r="A204" s="1" t="s">
        <v>372</v>
      </c>
      <c r="B204" s="1"/>
      <c r="C204" s="296">
        <f ca="1">SUM(C202:C203)</f>
        <v>536266600.35221505</v>
      </c>
      <c r="D204" s="954"/>
      <c r="E204" s="330"/>
      <c r="F204" s="329">
        <f ca="1">F202+F203</f>
        <v>49430455.891159162</v>
      </c>
      <c r="G204" s="457"/>
      <c r="H204" s="330"/>
      <c r="I204" s="329">
        <f ca="1">I202+I203</f>
        <v>50590495.891159162</v>
      </c>
      <c r="J204" s="329"/>
      <c r="K204" s="457"/>
      <c r="L204" s="330"/>
      <c r="M204" s="329" t="e">
        <f ca="1">M202+M203</f>
        <v>#REF!</v>
      </c>
      <c r="N204" s="329"/>
      <c r="O204" s="457"/>
      <c r="P204" s="330"/>
      <c r="Q204" s="329" t="e">
        <f ca="1">Q202+Q203</f>
        <v>#DIV/0!</v>
      </c>
      <c r="R204" s="329"/>
      <c r="S204" s="457"/>
      <c r="T204" s="330"/>
      <c r="U204" s="329" t="e">
        <f ca="1">U202+U203</f>
        <v>#DIV/0!</v>
      </c>
      <c r="V204" s="757" t="s">
        <v>399</v>
      </c>
      <c r="W204" s="778">
        <f ca="1">'Rate Spread targets'!X24*1000</f>
        <v>50590897.009019949</v>
      </c>
      <c r="X204" s="1438">
        <f ca="1">'Rate Spread targets'!AA24</f>
        <v>2.3473253601397698E-2</v>
      </c>
      <c r="Y204" s="793"/>
      <c r="Z204" s="55" t="s">
        <v>31</v>
      </c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Top="1">
      <c r="A205" s="1"/>
      <c r="B205" s="1"/>
      <c r="C205" s="335"/>
      <c r="D205" s="1277"/>
      <c r="E205" s="23"/>
      <c r="F205" s="307"/>
      <c r="G205" s="1278"/>
      <c r="H205" s="23"/>
      <c r="I205" s="307"/>
      <c r="J205" s="307"/>
      <c r="K205" s="1278"/>
      <c r="L205" s="23"/>
      <c r="M205" s="307"/>
      <c r="N205" s="307"/>
      <c r="O205" s="1278"/>
      <c r="P205" s="23"/>
      <c r="Q205" s="307"/>
      <c r="R205" s="307"/>
      <c r="S205" s="1278"/>
      <c r="T205" s="23"/>
      <c r="U205" s="307"/>
      <c r="V205" s="112" t="s">
        <v>257</v>
      </c>
      <c r="W205" s="780">
        <f ca="1">W204-I204</f>
        <v>401.1178607866168</v>
      </c>
      <c r="X205" s="785"/>
      <c r="Y205" s="793"/>
      <c r="Z205" s="55"/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customHeight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/>
      <c r="V206" s="1279"/>
      <c r="W206" s="1279"/>
      <c r="X206" s="719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>
      <c r="A207" s="1"/>
      <c r="B207" s="1"/>
      <c r="C207" s="21"/>
      <c r="D207" s="322"/>
      <c r="E207" s="1"/>
      <c r="F207" s="2" t="s">
        <v>31</v>
      </c>
      <c r="G207" s="322"/>
      <c r="H207" s="1"/>
      <c r="I207" s="2" t="s">
        <v>31</v>
      </c>
      <c r="J207" s="2"/>
      <c r="K207" s="322"/>
      <c r="L207" s="1"/>
      <c r="M207" s="2" t="s">
        <v>31</v>
      </c>
      <c r="N207" s="2"/>
      <c r="O207" s="322"/>
      <c r="P207" s="1"/>
      <c r="Q207" s="2" t="s">
        <v>31</v>
      </c>
      <c r="R207" s="2"/>
      <c r="S207" s="322"/>
      <c r="T207" s="1"/>
      <c r="U207" s="2" t="s">
        <v>31</v>
      </c>
      <c r="V207" s="1124"/>
      <c r="W207" s="1124"/>
      <c r="X207" s="1124"/>
      <c r="Y207" s="1129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>
      <c r="A208" s="1"/>
      <c r="B208" s="1"/>
      <c r="C208" s="21"/>
      <c r="D208" s="322"/>
      <c r="E208" s="1"/>
      <c r="F208" s="2"/>
      <c r="G208" s="322"/>
      <c r="H208" s="1"/>
      <c r="K208" s="322"/>
      <c r="L208" s="1"/>
      <c r="O208" s="322"/>
      <c r="P208" s="1"/>
      <c r="S208" s="322"/>
      <c r="T208" s="1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>
      <c r="A209" s="278" t="s">
        <v>377</v>
      </c>
      <c r="B209" s="1"/>
      <c r="C209" s="1"/>
      <c r="D209" s="2"/>
      <c r="E209" s="1"/>
      <c r="F209" s="1"/>
      <c r="G209" s="2"/>
      <c r="H209" s="1"/>
      <c r="I209" s="1"/>
      <c r="J209" s="1"/>
      <c r="K209" s="2"/>
      <c r="L209" s="1"/>
      <c r="M209" s="1"/>
      <c r="N209" s="1"/>
      <c r="O209" s="2"/>
      <c r="P209" s="1"/>
      <c r="Q209" s="1"/>
      <c r="R209" s="1"/>
      <c r="S209" s="2"/>
      <c r="T209" s="1"/>
      <c r="U209" s="1"/>
      <c r="W209" s="331" t="s">
        <v>31</v>
      </c>
      <c r="X209" s="14"/>
      <c r="Y209" s="14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>
      <c r="A210" s="1" t="s">
        <v>400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V210" s="401"/>
      <c r="W210" s="74"/>
      <c r="X210" s="74"/>
      <c r="Y210" s="74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>
      <c r="A211" s="1"/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>
      <c r="A212" s="1" t="s">
        <v>383</v>
      </c>
      <c r="B212" s="1"/>
      <c r="C212" s="304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0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>
      <c r="A213" s="1" t="s">
        <v>380</v>
      </c>
      <c r="B213" s="1"/>
      <c r="C213" s="304">
        <f>C282+C316+C247</f>
        <v>161975.73333331931</v>
      </c>
      <c r="D213" s="283">
        <v>9.76</v>
      </c>
      <c r="E213" s="308"/>
      <c r="F213" s="2">
        <f>F282+F316+F247</f>
        <v>1580883</v>
      </c>
      <c r="G213" s="283">
        <f ca="1">$G$172</f>
        <v>9.99</v>
      </c>
      <c r="H213" s="308"/>
      <c r="I213" s="2">
        <f ca="1">I282+I316+I247</f>
        <v>1618138</v>
      </c>
      <c r="J213" s="2"/>
      <c r="K213" s="283">
        <f ca="1">$K$172</f>
        <v>9.99</v>
      </c>
      <c r="L213" s="308"/>
      <c r="M213" s="2">
        <f ca="1">M282+M316+M247</f>
        <v>1618138</v>
      </c>
      <c r="N213" s="2"/>
      <c r="O213" s="283" t="str">
        <f>$O$172</f>
        <v xml:space="preserve"> </v>
      </c>
      <c r="P213" s="308"/>
      <c r="Q213" s="2">
        <f>Q282+Q316+Q247</f>
        <v>0</v>
      </c>
      <c r="R213" s="2"/>
      <c r="S213" s="283" t="str">
        <f>$S$172</f>
        <v xml:space="preserve"> </v>
      </c>
      <c r="T213" s="308"/>
      <c r="U213" s="2">
        <f>U282+U316+U247</f>
        <v>0</v>
      </c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>
      <c r="A214" s="1" t="s">
        <v>381</v>
      </c>
      <c r="B214" s="1"/>
      <c r="C214" s="304">
        <f>C283+C317+C248</f>
        <v>64148.300000000723</v>
      </c>
      <c r="D214" s="283">
        <v>14.54</v>
      </c>
      <c r="E214" s="310"/>
      <c r="F214" s="2">
        <f>F283+F317+F248</f>
        <v>932716</v>
      </c>
      <c r="G214" s="283">
        <f ca="1">$G$173</f>
        <v>14.89</v>
      </c>
      <c r="H214" s="310"/>
      <c r="I214" s="2">
        <f ca="1">I283+I317+I248</f>
        <v>955168</v>
      </c>
      <c r="J214" s="2"/>
      <c r="K214" s="283">
        <f ca="1">$K$173</f>
        <v>14.89</v>
      </c>
      <c r="L214" s="310"/>
      <c r="M214" s="2">
        <f ca="1">M283+M317+M248</f>
        <v>955168</v>
      </c>
      <c r="N214" s="2"/>
      <c r="O214" s="283" t="str">
        <f>$O$173</f>
        <v xml:space="preserve"> </v>
      </c>
      <c r="P214" s="310"/>
      <c r="Q214" s="2">
        <f>Q283+Q317+Q248</f>
        <v>0</v>
      </c>
      <c r="R214" s="2"/>
      <c r="S214" s="283" t="str">
        <f>$S$173</f>
        <v xml:space="preserve"> </v>
      </c>
      <c r="T214" s="310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>
      <c r="A215" s="1" t="s">
        <v>382</v>
      </c>
      <c r="B215" s="1"/>
      <c r="C215" s="304">
        <f>C284+C318+C249</f>
        <v>1035367</v>
      </c>
      <c r="D215" s="283">
        <v>1.02</v>
      </c>
      <c r="E215" s="310"/>
      <c r="F215" s="2">
        <f>F284+F318+F249</f>
        <v>1056074</v>
      </c>
      <c r="G215" s="283">
        <f ca="1">$G$174</f>
        <v>1.04</v>
      </c>
      <c r="H215" s="310"/>
      <c r="I215" s="2">
        <f ca="1">I284+I318+I249</f>
        <v>1076781</v>
      </c>
      <c r="J215" s="2"/>
      <c r="K215" s="283">
        <f ca="1">$K$174</f>
        <v>1.04</v>
      </c>
      <c r="L215" s="310"/>
      <c r="M215" s="2">
        <f ca="1">M284+M318+M249</f>
        <v>1076781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>
      <c r="A216" s="1" t="s">
        <v>384</v>
      </c>
      <c r="B216" s="1"/>
      <c r="C216" s="304">
        <f>SUM(C213:C214)</f>
        <v>226124.03333332003</v>
      </c>
      <c r="D216" s="283"/>
      <c r="E216" s="308"/>
      <c r="F216" s="2"/>
      <c r="G216" s="283"/>
      <c r="H216" s="308"/>
      <c r="I216" s="2"/>
      <c r="J216" s="2"/>
      <c r="K216" s="283"/>
      <c r="L216" s="308"/>
      <c r="M216" s="2"/>
      <c r="N216" s="2"/>
      <c r="O216" s="283"/>
      <c r="P216" s="308"/>
      <c r="Q216" s="2"/>
      <c r="R216" s="2"/>
      <c r="S216" s="283"/>
      <c r="T216" s="308"/>
      <c r="U216" s="2"/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>
      <c r="A217" s="1" t="s">
        <v>385</v>
      </c>
      <c r="B217" s="1"/>
      <c r="C217" s="304">
        <f>C286+C320+C251</f>
        <v>835989</v>
      </c>
      <c r="D217" s="311">
        <v>3.7</v>
      </c>
      <c r="E217" s="308"/>
      <c r="F217" s="2">
        <f>F286+F320+F251</f>
        <v>3093159</v>
      </c>
      <c r="G217" s="311">
        <f ca="1">$G$177</f>
        <v>3.8</v>
      </c>
      <c r="H217" s="308"/>
      <c r="I217" s="2">
        <f ca="1">I286+I320+I251</f>
        <v>3176757</v>
      </c>
      <c r="J217" s="2"/>
      <c r="K217" s="311" t="e">
        <f ca="1">$K$177</f>
        <v>#REF!</v>
      </c>
      <c r="L217" s="308"/>
      <c r="M217" s="2" t="e">
        <f ca="1">M286+M320+M251</f>
        <v>#REF!</v>
      </c>
      <c r="N217" s="2"/>
      <c r="O217" s="311" t="e">
        <f ca="1">$O$177</f>
        <v>#DIV/0!</v>
      </c>
      <c r="P217" s="308"/>
      <c r="Q217" s="2" t="e">
        <f ca="1">Q286+Q320+Q251</f>
        <v>#DIV/0!</v>
      </c>
      <c r="R217" s="2"/>
      <c r="S217" s="311" t="e">
        <f ca="1">$S$177</f>
        <v>#DIV/0!</v>
      </c>
      <c r="T217" s="308"/>
      <c r="U217" s="2" t="e">
        <f ca="1">U286+U320+U251</f>
        <v>#DIV/0!</v>
      </c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>
      <c r="A218" s="1" t="s">
        <v>387</v>
      </c>
      <c r="B218" s="1"/>
      <c r="C218" s="304">
        <f>C287+C321+C252</f>
        <v>129554839.11787954</v>
      </c>
      <c r="D218" s="284">
        <v>10.628</v>
      </c>
      <c r="E218" s="308" t="s">
        <v>364</v>
      </c>
      <c r="F218" s="2">
        <f>F287+F321+F252</f>
        <v>13769088</v>
      </c>
      <c r="G218" s="284">
        <f ca="1">$G$178</f>
        <v>10.878</v>
      </c>
      <c r="H218" s="308" t="s">
        <v>364</v>
      </c>
      <c r="I218" s="2">
        <f ca="1">I287+I321+I252</f>
        <v>14092976</v>
      </c>
      <c r="J218" s="2"/>
      <c r="K218" s="284" t="e">
        <f ca="1">$K$178</f>
        <v>#REF!</v>
      </c>
      <c r="L218" s="308" t="s">
        <v>364</v>
      </c>
      <c r="M218" s="2" t="e">
        <f ca="1">M287+M321+M252</f>
        <v>#REF!</v>
      </c>
      <c r="N218" s="2"/>
      <c r="O218" s="284" t="e">
        <f ca="1">$O$178</f>
        <v>#DIV/0!</v>
      </c>
      <c r="P218" s="308" t="s">
        <v>364</v>
      </c>
      <c r="Q218" s="2" t="e">
        <f ca="1">Q287+Q321+Q252</f>
        <v>#DIV/0!</v>
      </c>
      <c r="R218" s="2"/>
      <c r="S218" s="284" t="e">
        <f ca="1">$S$178</f>
        <v>#DIV/0!</v>
      </c>
      <c r="T218" s="308" t="s">
        <v>364</v>
      </c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>
      <c r="A219" s="1" t="s">
        <v>388</v>
      </c>
      <c r="B219" s="1"/>
      <c r="C219" s="304">
        <f>C288+C322+C253</f>
        <v>281305509.69846565</v>
      </c>
      <c r="D219" s="284">
        <v>7.3410000000000002</v>
      </c>
      <c r="E219" s="308" t="s">
        <v>364</v>
      </c>
      <c r="F219" s="2">
        <f>F288+F322+F253</f>
        <v>20650637</v>
      </c>
      <c r="G219" s="284">
        <f ca="1">$G$179</f>
        <v>7.5140000000000002</v>
      </c>
      <c r="H219" s="308" t="s">
        <v>364</v>
      </c>
      <c r="I219" s="2">
        <f ca="1">I288+I322+I253</f>
        <v>21137296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>
      <c r="A220" s="1" t="s">
        <v>389</v>
      </c>
      <c r="B220" s="1"/>
      <c r="C220" s="304">
        <f>C289+C323+C254</f>
        <v>119991272.36558694</v>
      </c>
      <c r="D220" s="284">
        <v>6.3240000000000007</v>
      </c>
      <c r="E220" s="308" t="s">
        <v>364</v>
      </c>
      <c r="F220" s="2">
        <f>F289+F323+F254</f>
        <v>7588248</v>
      </c>
      <c r="G220" s="284">
        <f ca="1">$G$180</f>
        <v>6.4720000000000004</v>
      </c>
      <c r="H220" s="308" t="s">
        <v>364</v>
      </c>
      <c r="I220" s="2">
        <f ca="1">I289+I323+I254</f>
        <v>7765836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>
      <c r="A221" s="1" t="s">
        <v>390</v>
      </c>
      <c r="B221" s="1"/>
      <c r="C221" s="304">
        <f>C290+C324+C255</f>
        <v>120876.56666666651</v>
      </c>
      <c r="D221" s="315">
        <v>57</v>
      </c>
      <c r="E221" s="308" t="s">
        <v>364</v>
      </c>
      <c r="F221" s="2">
        <f>F290+F324+F255</f>
        <v>68900</v>
      </c>
      <c r="G221" s="315">
        <f ca="1">$G$181</f>
        <v>58</v>
      </c>
      <c r="H221" s="308" t="s">
        <v>364</v>
      </c>
      <c r="I221" s="2">
        <f ca="1">I290+I324+I255</f>
        <v>70109</v>
      </c>
      <c r="J221" s="2"/>
      <c r="K221" s="315" t="str">
        <f>$K$181</f>
        <v xml:space="preserve"> </v>
      </c>
      <c r="L221" s="308" t="s">
        <v>364</v>
      </c>
      <c r="M221" s="2">
        <f>M290+M324+M255</f>
        <v>0</v>
      </c>
      <c r="N221" s="2"/>
      <c r="O221" s="315" t="e">
        <f>$O$181</f>
        <v>#DIV/0!</v>
      </c>
      <c r="P221" s="308" t="s">
        <v>364</v>
      </c>
      <c r="Q221" s="2" t="e">
        <f>Q290+Q324+Q255</f>
        <v>#DIV/0!</v>
      </c>
      <c r="R221" s="2"/>
      <c r="S221" s="315" t="e">
        <f>$S$181</f>
        <v>#DIV/0!</v>
      </c>
      <c r="T221" s="308" t="s">
        <v>364</v>
      </c>
      <c r="U221" s="2" t="e">
        <f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s="1118" customFormat="1" hidden="1">
      <c r="A222" s="968" t="s">
        <v>862</v>
      </c>
      <c r="C222" s="987">
        <f>C218</f>
        <v>129554839.11787954</v>
      </c>
      <c r="D222" s="1423">
        <v>0</v>
      </c>
      <c r="E222" s="1119"/>
      <c r="F222" s="1123"/>
      <c r="G222" s="1128">
        <f>G182</f>
        <v>0</v>
      </c>
      <c r="H222" s="972" t="s">
        <v>364</v>
      </c>
      <c r="I222" s="1123">
        <f>I256+I291+I325</f>
        <v>0</v>
      </c>
      <c r="J222" s="1123"/>
      <c r="K222" s="1128" t="str">
        <f>K182</f>
        <v xml:space="preserve"> </v>
      </c>
      <c r="L222" s="972" t="s">
        <v>364</v>
      </c>
      <c r="M222" s="1123">
        <f>M256+M291+M325</f>
        <v>0</v>
      </c>
      <c r="N222" s="1123"/>
      <c r="O222" s="1128" t="str">
        <f>O182</f>
        <v xml:space="preserve"> </v>
      </c>
      <c r="P222" s="972" t="s">
        <v>364</v>
      </c>
      <c r="Q222" s="1123">
        <f>Q256+Q291+Q325</f>
        <v>0</v>
      </c>
      <c r="R222" s="1123"/>
      <c r="S222" s="1128">
        <f>S182</f>
        <v>0</v>
      </c>
      <c r="T222" s="972" t="s">
        <v>364</v>
      </c>
      <c r="U222" s="1123">
        <f>U256+U291+U325</f>
        <v>0</v>
      </c>
      <c r="W222" s="784"/>
      <c r="Z222" s="1125"/>
      <c r="AA222" s="1125"/>
      <c r="AF222" s="1119"/>
      <c r="AG222" s="1119"/>
      <c r="AH222" s="1119"/>
      <c r="AI222" s="1119"/>
      <c r="AJ222" s="1119"/>
      <c r="AK222" s="1119"/>
      <c r="AL222" s="1119"/>
      <c r="AM222" s="1119"/>
      <c r="AN222" s="1119"/>
      <c r="AO222" s="1119"/>
      <c r="AP222" s="1119"/>
      <c r="AR222" s="1124"/>
    </row>
    <row r="223" spans="1:44" s="1118" customFormat="1" hidden="1">
      <c r="A223" s="968" t="s">
        <v>863</v>
      </c>
      <c r="C223" s="987">
        <f t="shared" ref="C223:C224" si="39">C219</f>
        <v>281305509.69846565</v>
      </c>
      <c r="D223" s="1423">
        <v>0</v>
      </c>
      <c r="E223" s="1119"/>
      <c r="F223" s="1123"/>
      <c r="G223" s="1128">
        <f>G183</f>
        <v>0</v>
      </c>
      <c r="H223" s="972" t="s">
        <v>364</v>
      </c>
      <c r="I223" s="1123">
        <f t="shared" ref="I223:I224" si="40"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 t="shared" ref="M223:M224" si="41"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 t="shared" ref="Q223:Q224" si="42">Q257+Q292+Q326</f>
        <v>0</v>
      </c>
      <c r="R223" s="1123"/>
      <c r="S223" s="1128">
        <f>S183</f>
        <v>0</v>
      </c>
      <c r="T223" s="972" t="s">
        <v>364</v>
      </c>
      <c r="U223" s="1123">
        <f t="shared" ref="U223:U224" si="43"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864</v>
      </c>
      <c r="C224" s="987">
        <f t="shared" si="39"/>
        <v>119991272.36558694</v>
      </c>
      <c r="D224" s="1423">
        <v>0</v>
      </c>
      <c r="E224" s="1119"/>
      <c r="F224" s="1123"/>
      <c r="G224" s="1128">
        <f>G184</f>
        <v>0</v>
      </c>
      <c r="H224" s="972" t="s">
        <v>364</v>
      </c>
      <c r="I224" s="1123">
        <f t="shared" si="40"/>
        <v>0</v>
      </c>
      <c r="J224" s="1123"/>
      <c r="K224" s="1128" t="str">
        <f>K184</f>
        <v xml:space="preserve"> </v>
      </c>
      <c r="L224" s="972" t="s">
        <v>364</v>
      </c>
      <c r="M224" s="1123">
        <f t="shared" si="41"/>
        <v>0</v>
      </c>
      <c r="N224" s="1123"/>
      <c r="O224" s="1128" t="str">
        <f>O184</f>
        <v xml:space="preserve"> </v>
      </c>
      <c r="P224" s="972" t="s">
        <v>364</v>
      </c>
      <c r="Q224" s="1123">
        <f t="shared" si="42"/>
        <v>0</v>
      </c>
      <c r="R224" s="1123"/>
      <c r="S224" s="1128">
        <f>S184</f>
        <v>0</v>
      </c>
      <c r="T224" s="972" t="s">
        <v>364</v>
      </c>
      <c r="U224" s="1123">
        <f t="shared" si="43"/>
        <v>0</v>
      </c>
      <c r="W224" s="784" t="s">
        <v>31</v>
      </c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>
      <c r="A225" s="316" t="s">
        <v>391</v>
      </c>
      <c r="B225" s="1"/>
      <c r="C225" s="304"/>
      <c r="D225" s="317">
        <v>-0.01</v>
      </c>
      <c r="E225" s="308"/>
      <c r="F225" s="2"/>
      <c r="G225" s="317">
        <v>-0.01</v>
      </c>
      <c r="H225" s="308"/>
      <c r="I225" s="2"/>
      <c r="J225" s="2"/>
      <c r="K225" s="317">
        <v>-0.01</v>
      </c>
      <c r="L225" s="308"/>
      <c r="M225" s="2"/>
      <c r="N225" s="2"/>
      <c r="O225" s="317">
        <v>-0.01</v>
      </c>
      <c r="P225" s="308"/>
      <c r="Q225" s="2"/>
      <c r="R225" s="2"/>
      <c r="S225" s="317">
        <v>-0.01</v>
      </c>
      <c r="T225" s="308"/>
      <c r="U225" s="2"/>
      <c r="V225" s="20"/>
      <c r="W225" s="32" t="s">
        <v>31</v>
      </c>
      <c r="X225" s="74"/>
      <c r="Y225" s="74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R225" s="84"/>
    </row>
    <row r="226" spans="1:44">
      <c r="A226" s="1" t="s">
        <v>380</v>
      </c>
      <c r="B226" s="1"/>
      <c r="C226" s="304">
        <f t="shared" ref="C226:C235" si="44">C295+C329+C260</f>
        <v>74.633333333333297</v>
      </c>
      <c r="D226" s="319">
        <v>9.76</v>
      </c>
      <c r="E226" s="306"/>
      <c r="F226" s="2">
        <f t="shared" ref="F226:F235" si="45">F295+F329+F260</f>
        <v>-7</v>
      </c>
      <c r="G226" s="319">
        <f ca="1">G213</f>
        <v>9.99</v>
      </c>
      <c r="H226" s="306"/>
      <c r="I226" s="2">
        <f t="shared" ref="I226:I235" ca="1" si="46">I295+I329+I260</f>
        <v>-7</v>
      </c>
      <c r="J226" s="2"/>
      <c r="K226" s="319">
        <f ca="1">K213</f>
        <v>9.99</v>
      </c>
      <c r="L226" s="306"/>
      <c r="M226" s="2">
        <f t="shared" ref="M226:M235" ca="1" si="47">M295+M329+M260</f>
        <v>-7</v>
      </c>
      <c r="N226" s="2"/>
      <c r="O226" s="319" t="str">
        <f>O213</f>
        <v xml:space="preserve"> </v>
      </c>
      <c r="P226" s="306"/>
      <c r="Q226" s="2">
        <f t="shared" ref="Q226:Q235" si="48">Q295+Q329+Q260</f>
        <v>0</v>
      </c>
      <c r="R226" s="2"/>
      <c r="S226" s="319" t="str">
        <f>S213</f>
        <v xml:space="preserve"> </v>
      </c>
      <c r="T226" s="306"/>
      <c r="U226" s="2">
        <f t="shared" ref="U226:U235" si="49">U295+U329+U260</f>
        <v>0</v>
      </c>
      <c r="V226" s="20"/>
      <c r="W226" s="74"/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>
      <c r="A227" s="1" t="s">
        <v>381</v>
      </c>
      <c r="B227" s="1"/>
      <c r="C227" s="304">
        <f t="shared" si="44"/>
        <v>79.799999999999983</v>
      </c>
      <c r="D227" s="319">
        <v>14.54</v>
      </c>
      <c r="E227" s="306"/>
      <c r="F227" s="2">
        <f t="shared" si="45"/>
        <v>-11</v>
      </c>
      <c r="G227" s="319">
        <f ca="1">G214</f>
        <v>14.89</v>
      </c>
      <c r="H227" s="306"/>
      <c r="I227" s="2">
        <f t="shared" ca="1" si="46"/>
        <v>-12</v>
      </c>
      <c r="J227" s="2"/>
      <c r="K227" s="319">
        <f ca="1">K214</f>
        <v>14.89</v>
      </c>
      <c r="L227" s="306"/>
      <c r="M227" s="2">
        <f t="shared" ca="1" si="47"/>
        <v>-12</v>
      </c>
      <c r="N227" s="2"/>
      <c r="O227" s="319" t="str">
        <f>O214</f>
        <v xml:space="preserve"> </v>
      </c>
      <c r="P227" s="306"/>
      <c r="Q227" s="2">
        <f t="shared" si="48"/>
        <v>0</v>
      </c>
      <c r="R227" s="2"/>
      <c r="S227" s="319" t="str">
        <f>S214</f>
        <v xml:space="preserve"> </v>
      </c>
      <c r="T227" s="306"/>
      <c r="U227" s="2">
        <f t="shared" si="49"/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>
      <c r="A228" s="1" t="s">
        <v>392</v>
      </c>
      <c r="B228" s="1"/>
      <c r="C228" s="304">
        <f t="shared" si="44"/>
        <v>2161</v>
      </c>
      <c r="D228" s="319">
        <v>1.02</v>
      </c>
      <c r="E228" s="306"/>
      <c r="F228" s="2">
        <f t="shared" si="45"/>
        <v>-23</v>
      </c>
      <c r="G228" s="319">
        <f ca="1">G215</f>
        <v>1.04</v>
      </c>
      <c r="H228" s="306"/>
      <c r="I228" s="2">
        <f t="shared" ca="1" si="46"/>
        <v>-23</v>
      </c>
      <c r="J228" s="2"/>
      <c r="K228" s="319">
        <f ca="1">K215</f>
        <v>1.04</v>
      </c>
      <c r="L228" s="306"/>
      <c r="M228" s="2">
        <f t="shared" ca="1" si="47"/>
        <v>-23</v>
      </c>
      <c r="N228" s="2"/>
      <c r="O228" s="319" t="str">
        <f>O215</f>
        <v xml:space="preserve"> </v>
      </c>
      <c r="P228" s="306"/>
      <c r="Q228" s="2">
        <f t="shared" si="48"/>
        <v>0</v>
      </c>
      <c r="R228" s="2"/>
      <c r="S228" s="319" t="str">
        <f>S215</f>
        <v xml:space="preserve"> </v>
      </c>
      <c r="T228" s="306"/>
      <c r="U228" s="2">
        <f t="shared" si="49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>
      <c r="A229" s="1" t="s">
        <v>393</v>
      </c>
      <c r="B229" s="1"/>
      <c r="C229" s="304">
        <f t="shared" si="44"/>
        <v>1487</v>
      </c>
      <c r="D229" s="319">
        <v>3.7</v>
      </c>
      <c r="E229" s="308"/>
      <c r="F229" s="2">
        <f t="shared" si="45"/>
        <v>-55</v>
      </c>
      <c r="G229" s="319">
        <f ca="1">G217</f>
        <v>3.8</v>
      </c>
      <c r="H229" s="308"/>
      <c r="I229" s="2">
        <f t="shared" ca="1" si="46"/>
        <v>-56</v>
      </c>
      <c r="J229" s="2"/>
      <c r="K229" s="319" t="e">
        <f ca="1">K217</f>
        <v>#REF!</v>
      </c>
      <c r="L229" s="308"/>
      <c r="M229" s="2" t="e">
        <f t="shared" ca="1" si="47"/>
        <v>#REF!</v>
      </c>
      <c r="N229" s="2"/>
      <c r="O229" s="319" t="e">
        <f ca="1">O217</f>
        <v>#DIV/0!</v>
      </c>
      <c r="P229" s="308"/>
      <c r="Q229" s="2" t="e">
        <f t="shared" ca="1" si="48"/>
        <v>#DIV/0!</v>
      </c>
      <c r="R229" s="2"/>
      <c r="S229" s="319" t="e">
        <f ca="1">S217</f>
        <v>#DIV/0!</v>
      </c>
      <c r="T229" s="308"/>
      <c r="U229" s="2" t="e">
        <f t="shared" ca="1" si="49"/>
        <v>#DIV/0!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>
      <c r="A230" s="1" t="s">
        <v>395</v>
      </c>
      <c r="B230" s="1"/>
      <c r="C230" s="304">
        <f t="shared" si="44"/>
        <v>116452.33333333327</v>
      </c>
      <c r="D230" s="320">
        <v>10.628</v>
      </c>
      <c r="E230" s="308" t="s">
        <v>364</v>
      </c>
      <c r="F230" s="2">
        <f t="shared" si="45"/>
        <v>-123</v>
      </c>
      <c r="G230" s="320">
        <f ca="1">G218</f>
        <v>10.878</v>
      </c>
      <c r="H230" s="308" t="s">
        <v>364</v>
      </c>
      <c r="I230" s="2">
        <f t="shared" ca="1" si="46"/>
        <v>-127</v>
      </c>
      <c r="J230" s="2"/>
      <c r="K230" s="320" t="e">
        <f ca="1">K218</f>
        <v>#REF!</v>
      </c>
      <c r="L230" s="308" t="s">
        <v>364</v>
      </c>
      <c r="M230" s="2" t="e">
        <f t="shared" ca="1" si="47"/>
        <v>#REF!</v>
      </c>
      <c r="N230" s="2"/>
      <c r="O230" s="320" t="e">
        <f ca="1">O218</f>
        <v>#DIV/0!</v>
      </c>
      <c r="P230" s="308" t="s">
        <v>364</v>
      </c>
      <c r="Q230" s="2" t="e">
        <f t="shared" ca="1" si="48"/>
        <v>#DIV/0!</v>
      </c>
      <c r="R230" s="2"/>
      <c r="S230" s="320" t="e">
        <f ca="1">S218</f>
        <v>#DIV/0!</v>
      </c>
      <c r="T230" s="308" t="s">
        <v>364</v>
      </c>
      <c r="U230" s="2" t="e">
        <f t="shared" ca="1" si="49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>
      <c r="A231" s="1" t="s">
        <v>388</v>
      </c>
      <c r="B231" s="1"/>
      <c r="C231" s="304">
        <f t="shared" si="44"/>
        <v>524872.66666666698</v>
      </c>
      <c r="D231" s="320">
        <v>7.3410000000000002</v>
      </c>
      <c r="E231" s="308" t="s">
        <v>364</v>
      </c>
      <c r="F231" s="2">
        <f t="shared" si="45"/>
        <v>-385</v>
      </c>
      <c r="G231" s="320">
        <f ca="1">G219</f>
        <v>7.5140000000000002</v>
      </c>
      <c r="H231" s="308" t="s">
        <v>364</v>
      </c>
      <c r="I231" s="2">
        <f t="shared" ca="1" si="46"/>
        <v>-394</v>
      </c>
      <c r="J231" s="2"/>
      <c r="K231" s="320" t="e">
        <f ca="1">K219</f>
        <v>#REF!</v>
      </c>
      <c r="L231" s="308" t="s">
        <v>364</v>
      </c>
      <c r="M231" s="2" t="e">
        <f t="shared" ca="1" si="47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8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9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>
      <c r="A232" s="1" t="s">
        <v>389</v>
      </c>
      <c r="B232" s="1"/>
      <c r="C232" s="304">
        <f t="shared" si="44"/>
        <v>933865</v>
      </c>
      <c r="D232" s="320">
        <v>6.3240000000000007</v>
      </c>
      <c r="E232" s="308" t="s">
        <v>364</v>
      </c>
      <c r="F232" s="2">
        <f t="shared" si="45"/>
        <v>-591</v>
      </c>
      <c r="G232" s="320">
        <f ca="1">G220</f>
        <v>6.4720000000000004</v>
      </c>
      <c r="H232" s="308" t="s">
        <v>364</v>
      </c>
      <c r="I232" s="2">
        <f t="shared" ca="1" si="46"/>
        <v>-604</v>
      </c>
      <c r="J232" s="2"/>
      <c r="K232" s="320" t="e">
        <f ca="1">K220</f>
        <v>#REF!</v>
      </c>
      <c r="L232" s="308" t="s">
        <v>364</v>
      </c>
      <c r="M232" s="2" t="e">
        <f t="shared" ca="1" si="47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8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9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>
      <c r="A233" s="1" t="s">
        <v>390</v>
      </c>
      <c r="B233" s="1"/>
      <c r="C233" s="304">
        <f t="shared" si="44"/>
        <v>1389.3333333333335</v>
      </c>
      <c r="D233" s="321">
        <v>57</v>
      </c>
      <c r="E233" s="308" t="s">
        <v>364</v>
      </c>
      <c r="F233" s="2">
        <f t="shared" si="45"/>
        <v>-8</v>
      </c>
      <c r="G233" s="321">
        <f ca="1">G221</f>
        <v>58</v>
      </c>
      <c r="H233" s="308" t="s">
        <v>364</v>
      </c>
      <c r="I233" s="2">
        <f t="shared" ca="1" si="46"/>
        <v>-8</v>
      </c>
      <c r="J233" s="2"/>
      <c r="K233" s="321" t="str">
        <f>K221</f>
        <v xml:space="preserve"> </v>
      </c>
      <c r="L233" s="308" t="s">
        <v>364</v>
      </c>
      <c r="M233" s="2">
        <f t="shared" si="47"/>
        <v>0</v>
      </c>
      <c r="N233" s="2"/>
      <c r="O233" s="321" t="e">
        <f>O221</f>
        <v>#DIV/0!</v>
      </c>
      <c r="P233" s="308" t="s">
        <v>364</v>
      </c>
      <c r="Q233" s="2" t="e">
        <f t="shared" si="48"/>
        <v>#DIV/0!</v>
      </c>
      <c r="R233" s="2"/>
      <c r="S233" s="321" t="e">
        <f>S221</f>
        <v>#DIV/0!</v>
      </c>
      <c r="T233" s="308" t="s">
        <v>364</v>
      </c>
      <c r="U233" s="2" t="e">
        <f t="shared" si="49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>
      <c r="A234" s="1" t="s">
        <v>397</v>
      </c>
      <c r="B234" s="1"/>
      <c r="C234" s="304">
        <f t="shared" si="44"/>
        <v>130.39999999999998</v>
      </c>
      <c r="D234" s="322">
        <v>60</v>
      </c>
      <c r="E234" s="308"/>
      <c r="F234" s="2">
        <f t="shared" si="45"/>
        <v>7824</v>
      </c>
      <c r="G234" s="322">
        <f>$G$197</f>
        <v>60</v>
      </c>
      <c r="H234" s="308"/>
      <c r="I234" s="2">
        <f t="shared" si="46"/>
        <v>7824</v>
      </c>
      <c r="J234" s="2"/>
      <c r="K234" s="322">
        <f>$G$197</f>
        <v>60</v>
      </c>
      <c r="L234" s="308"/>
      <c r="M234" s="2">
        <f t="shared" si="47"/>
        <v>0</v>
      </c>
      <c r="N234" s="2"/>
      <c r="O234" s="322" t="e">
        <f>$O$197</f>
        <v>#DIV/0!</v>
      </c>
      <c r="P234" s="308"/>
      <c r="Q234" s="1301" t="e">
        <f>I234*(W207/(W207+X207))</f>
        <v>#DIV/0!</v>
      </c>
      <c r="R234" s="2"/>
      <c r="S234" s="322" t="e">
        <f>$S$197</f>
        <v>#DIV/0!</v>
      </c>
      <c r="T234" s="308"/>
      <c r="U234" s="2" t="e">
        <f t="shared" si="49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>
      <c r="A235" s="1" t="s">
        <v>398</v>
      </c>
      <c r="B235" s="1"/>
      <c r="C235" s="304">
        <f t="shared" si="44"/>
        <v>709.3</v>
      </c>
      <c r="D235" s="324">
        <v>-30</v>
      </c>
      <c r="E235" s="308" t="s">
        <v>364</v>
      </c>
      <c r="F235" s="2">
        <f t="shared" si="45"/>
        <v>-213</v>
      </c>
      <c r="G235" s="324">
        <f>$G$198</f>
        <v>-30</v>
      </c>
      <c r="H235" s="308" t="s">
        <v>364</v>
      </c>
      <c r="I235" s="2">
        <f t="shared" si="46"/>
        <v>-213</v>
      </c>
      <c r="J235" s="2"/>
      <c r="K235" s="324">
        <f>$G$198</f>
        <v>-30</v>
      </c>
      <c r="L235" s="308" t="s">
        <v>364</v>
      </c>
      <c r="M235" s="2">
        <f t="shared" si="47"/>
        <v>-213</v>
      </c>
      <c r="N235" s="2"/>
      <c r="O235" s="324">
        <f>$G$198</f>
        <v>-30</v>
      </c>
      <c r="P235" s="308" t="s">
        <v>364</v>
      </c>
      <c r="Q235" s="2">
        <f t="shared" si="48"/>
        <v>0</v>
      </c>
      <c r="R235" s="2"/>
      <c r="S235" s="324">
        <f>$G$198</f>
        <v>-30</v>
      </c>
      <c r="T235" s="308" t="s">
        <v>364</v>
      </c>
      <c r="U235" s="2">
        <f t="shared" si="49"/>
        <v>0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s="1118" customFormat="1" hidden="1">
      <c r="A236" s="968" t="s">
        <v>862</v>
      </c>
      <c r="C236" s="987">
        <f>C230</f>
        <v>116452.33333333327</v>
      </c>
      <c r="D236" s="1423">
        <v>0</v>
      </c>
      <c r="E236" s="1119"/>
      <c r="F236" s="1123"/>
      <c r="G236" s="1128">
        <f>G182</f>
        <v>0</v>
      </c>
      <c r="H236" s="972" t="s">
        <v>364</v>
      </c>
      <c r="I236" s="1123">
        <f t="shared" ref="I236:I238" si="50">I270+I305+I339</f>
        <v>0</v>
      </c>
      <c r="J236" s="1123"/>
      <c r="K236" s="1128" t="str">
        <f>K182</f>
        <v xml:space="preserve"> </v>
      </c>
      <c r="L236" s="972" t="s">
        <v>364</v>
      </c>
      <c r="M236" s="1123">
        <f t="shared" ref="M236:M238" si="51">M270+M305+M339</f>
        <v>0</v>
      </c>
      <c r="N236" s="1123"/>
      <c r="O236" s="1128" t="str">
        <f>O182</f>
        <v xml:space="preserve"> </v>
      </c>
      <c r="P236" s="972" t="s">
        <v>364</v>
      </c>
      <c r="Q236" s="1123">
        <f t="shared" ref="Q236:Q238" si="52">Q270+Q305+Q339</f>
        <v>0</v>
      </c>
      <c r="R236" s="1123"/>
      <c r="S236" s="1128">
        <f>S182</f>
        <v>0</v>
      </c>
      <c r="T236" s="972" t="s">
        <v>364</v>
      </c>
      <c r="U236" s="1123">
        <f t="shared" ref="U236:U238" si="53">U270+U305+U339</f>
        <v>0</v>
      </c>
      <c r="W236" s="784"/>
      <c r="Z236" s="1125"/>
      <c r="AA236" s="1125"/>
      <c r="AF236" s="1119"/>
      <c r="AG236" s="1119"/>
      <c r="AH236" s="1119"/>
      <c r="AI236" s="1119"/>
      <c r="AJ236" s="1119"/>
      <c r="AK236" s="1119"/>
      <c r="AL236" s="1119"/>
      <c r="AM236" s="1119"/>
      <c r="AN236" s="1119"/>
      <c r="AO236" s="1119"/>
      <c r="AP236" s="1119"/>
      <c r="AR236" s="1124"/>
    </row>
    <row r="237" spans="1:44" s="1118" customFormat="1" hidden="1">
      <c r="A237" s="968" t="s">
        <v>863</v>
      </c>
      <c r="C237" s="987">
        <f t="shared" ref="C237:C238" si="54">C231</f>
        <v>524872.66666666698</v>
      </c>
      <c r="D237" s="1423">
        <v>0</v>
      </c>
      <c r="E237" s="1119"/>
      <c r="F237" s="1123"/>
      <c r="G237" s="1128">
        <f>G183</f>
        <v>0</v>
      </c>
      <c r="H237" s="972" t="s">
        <v>364</v>
      </c>
      <c r="I237" s="1123">
        <f t="shared" si="50"/>
        <v>0</v>
      </c>
      <c r="J237" s="1123"/>
      <c r="K237" s="1128" t="str">
        <f>K183</f>
        <v xml:space="preserve"> </v>
      </c>
      <c r="L237" s="972" t="s">
        <v>364</v>
      </c>
      <c r="M237" s="1123">
        <f t="shared" si="51"/>
        <v>0</v>
      </c>
      <c r="N237" s="1123"/>
      <c r="O237" s="1128" t="str">
        <f>O183</f>
        <v xml:space="preserve"> </v>
      </c>
      <c r="P237" s="972" t="s">
        <v>364</v>
      </c>
      <c r="Q237" s="1123">
        <f t="shared" si="52"/>
        <v>0</v>
      </c>
      <c r="R237" s="1123"/>
      <c r="S237" s="1128">
        <f>S183</f>
        <v>0</v>
      </c>
      <c r="T237" s="972" t="s">
        <v>364</v>
      </c>
      <c r="U237" s="1123">
        <f t="shared" si="53"/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864</v>
      </c>
      <c r="C238" s="987">
        <f t="shared" si="54"/>
        <v>933865</v>
      </c>
      <c r="D238" s="1423"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50"/>
        <v>0</v>
      </c>
      <c r="J238" s="1123"/>
      <c r="K238" s="1128" t="str">
        <f>K184</f>
        <v xml:space="preserve"> </v>
      </c>
      <c r="L238" s="972" t="s">
        <v>364</v>
      </c>
      <c r="M238" s="1123">
        <f t="shared" ca="1" si="51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52"/>
        <v>0</v>
      </c>
      <c r="R238" s="1123"/>
      <c r="S238" s="1128">
        <f>S184</f>
        <v>0</v>
      </c>
      <c r="T238" s="972" t="s">
        <v>364</v>
      </c>
      <c r="U238" s="1123">
        <f t="shared" si="53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>
      <c r="A239" s="1" t="s">
        <v>371</v>
      </c>
      <c r="B239" s="249"/>
      <c r="C239" s="304">
        <f t="shared" ref="C239" si="55">C308+C342+C273</f>
        <v>530851621.18193215</v>
      </c>
      <c r="D239" s="315"/>
      <c r="E239" s="308"/>
      <c r="F239" s="2">
        <f t="shared" ref="F239" si="56">F308+F342+F273</f>
        <v>48746113</v>
      </c>
      <c r="G239" s="315"/>
      <c r="H239" s="308"/>
      <c r="I239" s="2">
        <f t="shared" ref="I239" ca="1" si="57">I308+I342+I273</f>
        <v>49899441</v>
      </c>
      <c r="J239" s="2"/>
      <c r="K239" s="315"/>
      <c r="L239" s="308"/>
      <c r="M239" s="2" t="e">
        <f t="shared" ref="M239" ca="1" si="58">M308+M342+M273</f>
        <v>#REF!</v>
      </c>
      <c r="N239" s="2"/>
      <c r="O239" s="315"/>
      <c r="P239" s="308"/>
      <c r="Q239" s="2" t="e">
        <f t="shared" ref="Q239" ca="1" si="59">Q308+Q342+Q273</f>
        <v>#DIV/0!</v>
      </c>
      <c r="R239" s="2"/>
      <c r="S239" s="315"/>
      <c r="T239" s="308"/>
      <c r="U239" s="2" t="e">
        <f t="shared" ref="U239" ca="1" si="60">U308+U342+U273</f>
        <v>#DIV/0!</v>
      </c>
      <c r="V239" s="20"/>
      <c r="W239" s="74"/>
      <c r="X239" s="74"/>
      <c r="Y239" s="74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R239" s="84"/>
    </row>
    <row r="240" spans="1:44">
      <c r="A240" s="1" t="s">
        <v>353</v>
      </c>
      <c r="B240" s="332"/>
      <c r="C240" s="325">
        <f ca="1">C274+C309+C343</f>
        <v>3809581.6993984496</v>
      </c>
      <c r="D240" s="294"/>
      <c r="E240" s="294"/>
      <c r="F240" s="326">
        <f ca="1">F274+F309+F343</f>
        <v>396041.247892012</v>
      </c>
      <c r="G240" s="294"/>
      <c r="H240" s="294"/>
      <c r="I240" s="326">
        <f ca="1">F240</f>
        <v>396041.247892012</v>
      </c>
      <c r="J240" s="307"/>
      <c r="K240" s="294"/>
      <c r="L240" s="294"/>
      <c r="M240" s="326" t="e">
        <f ca="1">$I$240*V207/($V$207+$W$207+$X$207)</f>
        <v>#DIV/0!</v>
      </c>
      <c r="N240" s="51"/>
      <c r="O240" s="294"/>
      <c r="P240" s="294"/>
      <c r="Q240" s="738" t="e">
        <f ca="1">$I$240*W207/($V$207+$W$207+$X$207)</f>
        <v>#DIV/0!</v>
      </c>
      <c r="R240" s="51"/>
      <c r="S240" s="294"/>
      <c r="T240" s="294"/>
      <c r="U240" s="738" t="e">
        <f ca="1">$I$240*X207/($V$207+$W$207+$X$207)</f>
        <v>#DIV/0!</v>
      </c>
      <c r="V240" s="429"/>
      <c r="W240" s="272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t="16.5" thickBot="1">
      <c r="A241" s="1" t="s">
        <v>372</v>
      </c>
      <c r="B241" s="1"/>
      <c r="C241" s="296">
        <f ca="1">SUM(C239:C240)</f>
        <v>534661202.88133061</v>
      </c>
      <c r="D241" s="327"/>
      <c r="E241" s="330"/>
      <c r="F241" s="329">
        <f ca="1">F239+F240</f>
        <v>49142154.247892015</v>
      </c>
      <c r="G241" s="327"/>
      <c r="H241" s="330"/>
      <c r="I241" s="329">
        <f ca="1">I239+I240</f>
        <v>50295482.247892015</v>
      </c>
      <c r="J241" s="307"/>
      <c r="K241" s="327"/>
      <c r="L241" s="330"/>
      <c r="M241" s="329" t="e">
        <f ca="1">M239+M240</f>
        <v>#REF!</v>
      </c>
      <c r="N241" s="329"/>
      <c r="O241" s="327"/>
      <c r="P241" s="330"/>
      <c r="Q241" s="329" t="e">
        <f ca="1">Q239+Q240</f>
        <v>#DIV/0!</v>
      </c>
      <c r="R241" s="329"/>
      <c r="S241" s="327"/>
      <c r="T241" s="330"/>
      <c r="U241" s="329" t="e">
        <f ca="1">U239+U240</f>
        <v>#DIV/0!</v>
      </c>
      <c r="V241" s="396"/>
      <c r="W241" s="455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thickTop="1">
      <c r="A242" s="1"/>
      <c r="B242" s="1"/>
      <c r="C242" s="21"/>
      <c r="D242" s="322"/>
      <c r="E242" s="1"/>
      <c r="F242" s="2"/>
      <c r="G242" s="322"/>
      <c r="H242" s="1"/>
      <c r="I242" s="2" t="s">
        <v>31</v>
      </c>
      <c r="J242" s="2"/>
      <c r="K242" s="322"/>
      <c r="L242" s="1"/>
      <c r="M242" s="2" t="s">
        <v>31</v>
      </c>
      <c r="N242" s="2"/>
      <c r="O242" s="322"/>
      <c r="P242" s="1"/>
      <c r="Q242" s="2" t="s">
        <v>31</v>
      </c>
      <c r="R242" s="2"/>
      <c r="S242" s="322"/>
      <c r="T242" s="1"/>
      <c r="U242" s="2" t="s">
        <v>31</v>
      </c>
      <c r="V242" s="20"/>
      <c r="W242" s="74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>
      <c r="A243" s="278" t="s">
        <v>377</v>
      </c>
      <c r="B243" s="1"/>
      <c r="C243" s="1"/>
      <c r="D243" s="2"/>
      <c r="E243" s="1"/>
      <c r="F243" s="1"/>
      <c r="G243" s="2"/>
      <c r="H243" s="1"/>
      <c r="I243" s="1"/>
      <c r="J243" s="1"/>
      <c r="K243" s="2"/>
      <c r="L243" s="1"/>
      <c r="M243" s="1"/>
      <c r="N243" s="1"/>
      <c r="O243" s="2"/>
      <c r="P243" s="1"/>
      <c r="Q243" s="1"/>
      <c r="R243" s="1"/>
      <c r="S243" s="2"/>
      <c r="T243" s="1"/>
      <c r="U243" s="1"/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>
      <c r="A244" s="1" t="s">
        <v>759</v>
      </c>
      <c r="B244" s="1"/>
      <c r="C244" s="1"/>
      <c r="D244" s="2"/>
      <c r="E244" s="1"/>
      <c r="F244" s="1"/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>
      <c r="A245" s="333" t="s">
        <v>31</v>
      </c>
      <c r="B245" s="1"/>
      <c r="C245" s="2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>
      <c r="A246" s="1" t="s">
        <v>383</v>
      </c>
      <c r="B246" s="1"/>
      <c r="C246" s="304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>
      <c r="A247" s="1" t="s">
        <v>380</v>
      </c>
      <c r="B247" s="1"/>
      <c r="C247" s="304">
        <v>38513.06666666727</v>
      </c>
      <c r="D247" s="283">
        <v>9.76</v>
      </c>
      <c r="E247" s="308"/>
      <c r="F247" s="2">
        <f>ROUND(D247*$C247,0)</f>
        <v>375888</v>
      </c>
      <c r="G247" s="283">
        <f ca="1">$G$172</f>
        <v>9.99</v>
      </c>
      <c r="H247" s="308"/>
      <c r="I247" s="2">
        <f ca="1">ROUND(G247*$C247,0)</f>
        <v>384746</v>
      </c>
      <c r="J247" s="2"/>
      <c r="K247" s="283">
        <f ca="1">$K$172</f>
        <v>9.99</v>
      </c>
      <c r="L247" s="308"/>
      <c r="M247" s="2">
        <f ca="1">ROUND(K247*$C247,0)</f>
        <v>384746</v>
      </c>
      <c r="N247" s="2"/>
      <c r="O247" s="283" t="str">
        <f>$O$172</f>
        <v xml:space="preserve"> </v>
      </c>
      <c r="P247" s="308"/>
      <c r="Q247" s="2">
        <f>ROUND(O247*$C247,0)</f>
        <v>0</v>
      </c>
      <c r="R247" s="2"/>
      <c r="S247" s="283" t="str">
        <f>$S$172</f>
        <v xml:space="preserve"> </v>
      </c>
      <c r="T247" s="308"/>
      <c r="U247" s="2">
        <f>ROUND(S247*$C247,0)</f>
        <v>0</v>
      </c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>
      <c r="A248" s="1" t="s">
        <v>381</v>
      </c>
      <c r="B248" s="1"/>
      <c r="C248" s="304">
        <v>2939.36666666667</v>
      </c>
      <c r="D248" s="283">
        <v>14.54</v>
      </c>
      <c r="E248" s="310"/>
      <c r="F248" s="2">
        <f t="shared" ref="F248:F249" si="61">ROUND(D248*$C248,0)</f>
        <v>42738</v>
      </c>
      <c r="G248" s="283">
        <f ca="1">$G$173</f>
        <v>14.89</v>
      </c>
      <c r="H248" s="310"/>
      <c r="I248" s="2">
        <f ca="1">ROUND(G248*$C248,0)</f>
        <v>43767</v>
      </c>
      <c r="J248" s="2"/>
      <c r="K248" s="283">
        <f ca="1">$K$173</f>
        <v>14.89</v>
      </c>
      <c r="L248" s="310"/>
      <c r="M248" s="2">
        <f ca="1">ROUND(K248*$C248,0)</f>
        <v>43767</v>
      </c>
      <c r="N248" s="2"/>
      <c r="O248" s="283" t="str">
        <f>$O$173</f>
        <v xml:space="preserve"> </v>
      </c>
      <c r="P248" s="310"/>
      <c r="Q248" s="2">
        <f>ROUND(O248*$C248,0)</f>
        <v>0</v>
      </c>
      <c r="R248" s="2"/>
      <c r="S248" s="283" t="str">
        <f>$S$173</f>
        <v xml:space="preserve"> </v>
      </c>
      <c r="T248" s="310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>
      <c r="A249" s="1" t="s">
        <v>382</v>
      </c>
      <c r="B249" s="1"/>
      <c r="C249" s="304">
        <v>21457</v>
      </c>
      <c r="D249" s="283">
        <v>1.02</v>
      </c>
      <c r="E249" s="310"/>
      <c r="F249" s="2">
        <f t="shared" si="61"/>
        <v>21886</v>
      </c>
      <c r="G249" s="283">
        <f ca="1">$G$174</f>
        <v>1.04</v>
      </c>
      <c r="H249" s="310"/>
      <c r="I249" s="2">
        <f ca="1">ROUND(G249*$C249,0)</f>
        <v>22315</v>
      </c>
      <c r="J249" s="2"/>
      <c r="K249" s="283">
        <f ca="1">$K$174</f>
        <v>1.04</v>
      </c>
      <c r="L249" s="310"/>
      <c r="M249" s="2">
        <f ca="1">ROUND(K249*$C249,0)</f>
        <v>22315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>
      <c r="A250" s="1" t="s">
        <v>384</v>
      </c>
      <c r="B250" s="1"/>
      <c r="C250" s="304">
        <f>SUM(C247:C248)</f>
        <v>41452.433333333938</v>
      </c>
      <c r="D250" s="283"/>
      <c r="E250" s="308"/>
      <c r="F250" s="2"/>
      <c r="G250" s="283"/>
      <c r="H250" s="308"/>
      <c r="I250" s="2"/>
      <c r="J250" s="2"/>
      <c r="K250" s="283"/>
      <c r="L250" s="308"/>
      <c r="M250" s="2"/>
      <c r="N250" s="2"/>
      <c r="O250" s="283"/>
      <c r="P250" s="308"/>
      <c r="Q250" s="2"/>
      <c r="R250" s="2"/>
      <c r="S250" s="283"/>
      <c r="T250" s="308"/>
      <c r="U250" s="2"/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>
      <c r="A251" s="1" t="s">
        <v>385</v>
      </c>
      <c r="B251" s="1"/>
      <c r="C251" s="304">
        <v>15663</v>
      </c>
      <c r="D251" s="311">
        <v>3.7</v>
      </c>
      <c r="E251" s="308"/>
      <c r="F251" s="2">
        <f>ROUND(D251*C251,0)</f>
        <v>57953</v>
      </c>
      <c r="G251" s="311">
        <f ca="1">$G$177</f>
        <v>3.8</v>
      </c>
      <c r="H251" s="308"/>
      <c r="I251" s="2">
        <f ca="1">ROUND(G251*$C251,0)</f>
        <v>59519</v>
      </c>
      <c r="J251" s="2"/>
      <c r="K251" s="311" t="e">
        <f ca="1">$K$177</f>
        <v>#REF!</v>
      </c>
      <c r="L251" s="308"/>
      <c r="M251" s="2" t="e">
        <f ca="1">ROUND(K251*$C251,0)</f>
        <v>#REF!</v>
      </c>
      <c r="N251" s="2"/>
      <c r="O251" s="311" t="e">
        <f ca="1">$O$177</f>
        <v>#DIV/0!</v>
      </c>
      <c r="P251" s="308"/>
      <c r="Q251" s="2" t="e">
        <f ca="1">ROUND(O251*$C251,0)</f>
        <v>#DIV/0!</v>
      </c>
      <c r="R251" s="2"/>
      <c r="S251" s="311" t="e">
        <f ca="1">$S$177</f>
        <v>#DIV/0!</v>
      </c>
      <c r="T251" s="308"/>
      <c r="U251" s="2" t="e">
        <f ca="1">ROUND(S251*$C251,0)</f>
        <v>#DIV/0!</v>
      </c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>
      <c r="A252" s="1" t="s">
        <v>387</v>
      </c>
      <c r="B252" s="304"/>
      <c r="C252" s="304">
        <v>12838882.284157982</v>
      </c>
      <c r="D252" s="284">
        <v>10.628</v>
      </c>
      <c r="E252" s="308" t="s">
        <v>364</v>
      </c>
      <c r="F252" s="2">
        <f>ROUND(D252*C252/100,0)</f>
        <v>1364516</v>
      </c>
      <c r="G252" s="284">
        <f ca="1">$G$178</f>
        <v>10.878</v>
      </c>
      <c r="H252" s="308" t="s">
        <v>364</v>
      </c>
      <c r="I252" s="2">
        <f ca="1">ROUND(G252*$C252/100,0)</f>
        <v>1396614</v>
      </c>
      <c r="J252" s="2"/>
      <c r="K252" s="284" t="e">
        <f ca="1">$K$178</f>
        <v>#REF!</v>
      </c>
      <c r="L252" s="308" t="s">
        <v>364</v>
      </c>
      <c r="M252" s="2" t="e">
        <f ca="1">ROUND(K252*$C252/100,0)</f>
        <v>#REF!</v>
      </c>
      <c r="N252" s="2"/>
      <c r="O252" s="284" t="e">
        <f ca="1">$O$178</f>
        <v>#DIV/0!</v>
      </c>
      <c r="P252" s="308" t="s">
        <v>364</v>
      </c>
      <c r="Q252" s="2" t="e">
        <f ca="1">ROUND(O252*$C252/100,0)</f>
        <v>#DIV/0!</v>
      </c>
      <c r="R252" s="2"/>
      <c r="S252" s="284" t="e">
        <f ca="1">$S$178</f>
        <v>#DIV/0!</v>
      </c>
      <c r="T252" s="308" t="s">
        <v>364</v>
      </c>
      <c r="U252" s="2" t="e">
        <f ca="1">ROUND(S252*$C252/100,0)</f>
        <v>#DIV/0!</v>
      </c>
      <c r="V252" s="458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>
      <c r="A253" s="1" t="s">
        <v>388</v>
      </c>
      <c r="B253" s="304"/>
      <c r="C253" s="304">
        <v>6928716.389879657</v>
      </c>
      <c r="D253" s="284">
        <v>7.3410000000000002</v>
      </c>
      <c r="E253" s="308" t="s">
        <v>364</v>
      </c>
      <c r="F253" s="2">
        <f>ROUND(D253*C253/100,0)</f>
        <v>508637</v>
      </c>
      <c r="G253" s="284">
        <f ca="1">$G$179</f>
        <v>7.5140000000000002</v>
      </c>
      <c r="H253" s="308" t="s">
        <v>364</v>
      </c>
      <c r="I253" s="2">
        <f ca="1">ROUND(G253*$C253/100,0)</f>
        <v>520624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>
      <c r="A254" s="1" t="s">
        <v>389</v>
      </c>
      <c r="B254" s="304"/>
      <c r="C254" s="304">
        <v>1198686.3021607364</v>
      </c>
      <c r="D254" s="284">
        <v>6.3240000000000007</v>
      </c>
      <c r="E254" s="308" t="s">
        <v>364</v>
      </c>
      <c r="F254" s="2">
        <f>ROUND(D254*C254/100,0)</f>
        <v>75805</v>
      </c>
      <c r="G254" s="284">
        <f ca="1">$G$180</f>
        <v>6.4720000000000004</v>
      </c>
      <c r="H254" s="308" t="s">
        <v>364</v>
      </c>
      <c r="I254" s="2">
        <f ca="1">ROUND(G254*$C254/100,0)</f>
        <v>77579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>
      <c r="A255" s="1" t="s">
        <v>390</v>
      </c>
      <c r="B255" s="21"/>
      <c r="C255" s="304">
        <v>84.1666666666667</v>
      </c>
      <c r="D255" s="315">
        <v>57</v>
      </c>
      <c r="E255" s="308" t="s">
        <v>364</v>
      </c>
      <c r="F255" s="2">
        <f>ROUND(D255*C255/100,0)</f>
        <v>48</v>
      </c>
      <c r="G255" s="315">
        <f ca="1">$G$181</f>
        <v>58</v>
      </c>
      <c r="H255" s="308" t="s">
        <v>364</v>
      </c>
      <c r="I255" s="2">
        <f ca="1">ROUND(G255*$C255/100,0)</f>
        <v>49</v>
      </c>
      <c r="J255" s="2"/>
      <c r="K255" s="315" t="str">
        <f>$K$181</f>
        <v xml:space="preserve"> </v>
      </c>
      <c r="L255" s="308" t="s">
        <v>364</v>
      </c>
      <c r="M255" s="2">
        <f>ROUND(K255*$C255/100,0)</f>
        <v>0</v>
      </c>
      <c r="N255" s="2"/>
      <c r="O255" s="315" t="e">
        <f>$O$181</f>
        <v>#DIV/0!</v>
      </c>
      <c r="P255" s="308" t="s">
        <v>364</v>
      </c>
      <c r="Q255" s="2" t="e">
        <f>ROUND(O255*$C255/100,0)</f>
        <v>#DIV/0!</v>
      </c>
      <c r="R255" s="2"/>
      <c r="S255" s="315" t="e">
        <f>$S$181</f>
        <v>#DIV/0!</v>
      </c>
      <c r="T255" s="308" t="s">
        <v>364</v>
      </c>
      <c r="U255" s="2" t="e">
        <f>ROUND(S255*$C255/100,0)</f>
        <v>#DIV/0!</v>
      </c>
      <c r="V255" s="20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s="1118" customFormat="1" hidden="1">
      <c r="A256" s="968" t="s">
        <v>862</v>
      </c>
      <c r="C256" s="1122">
        <f>C252</f>
        <v>12838882.284157982</v>
      </c>
      <c r="D256" s="1423">
        <v>0</v>
      </c>
      <c r="E256" s="1119"/>
      <c r="F256" s="1123"/>
      <c r="G256" s="1128">
        <f>G182</f>
        <v>0</v>
      </c>
      <c r="H256" s="972" t="s">
        <v>364</v>
      </c>
      <c r="I256" s="1123">
        <f t="shared" ref="I256:I258" si="62">ROUND(G256*$C256/100,0)</f>
        <v>0</v>
      </c>
      <c r="J256" s="1123"/>
      <c r="K256" s="1128" t="str">
        <f>K182</f>
        <v xml:space="preserve"> </v>
      </c>
      <c r="L256" s="972" t="s">
        <v>364</v>
      </c>
      <c r="M256" s="1123">
        <f t="shared" ref="M256:M258" si="63">ROUND(K256*$C256/100,0)</f>
        <v>0</v>
      </c>
      <c r="N256" s="1123"/>
      <c r="O256" s="1128" t="str">
        <f>O182</f>
        <v xml:space="preserve"> </v>
      </c>
      <c r="P256" s="972" t="s">
        <v>364</v>
      </c>
      <c r="Q256" s="1123">
        <f t="shared" ref="Q256:Q258" si="64">ROUND(O256*$C256/100,0)</f>
        <v>0</v>
      </c>
      <c r="R256" s="1123"/>
      <c r="S256" s="1128">
        <f>S182</f>
        <v>0</v>
      </c>
      <c r="T256" s="972" t="s">
        <v>364</v>
      </c>
      <c r="U256" s="1123">
        <f t="shared" ref="U256:U258" si="65">ROUND(S256*$C256/100,0)</f>
        <v>0</v>
      </c>
      <c r="W256" s="784"/>
      <c r="Z256" s="1125"/>
      <c r="AA256" s="1125"/>
      <c r="AF256" s="1119"/>
      <c r="AG256" s="1119"/>
      <c r="AH256" s="1119"/>
      <c r="AI256" s="1119"/>
      <c r="AJ256" s="1119"/>
      <c r="AK256" s="1119"/>
      <c r="AL256" s="1119"/>
      <c r="AM256" s="1119"/>
      <c r="AN256" s="1119"/>
      <c r="AO256" s="1119"/>
      <c r="AP256" s="1119"/>
      <c r="AR256" s="1124"/>
    </row>
    <row r="257" spans="1:44" s="1118" customFormat="1" hidden="1">
      <c r="A257" s="968" t="s">
        <v>863</v>
      </c>
      <c r="C257" s="1122">
        <f>C253</f>
        <v>6928716.389879657</v>
      </c>
      <c r="D257" s="1423">
        <v>0</v>
      </c>
      <c r="E257" s="1119"/>
      <c r="F257" s="1123"/>
      <c r="G257" s="1128">
        <f>G183</f>
        <v>0</v>
      </c>
      <c r="H257" s="972" t="s">
        <v>364</v>
      </c>
      <c r="I257" s="1123">
        <f t="shared" si="62"/>
        <v>0</v>
      </c>
      <c r="J257" s="1123"/>
      <c r="K257" s="1128" t="str">
        <f>K183</f>
        <v xml:space="preserve"> </v>
      </c>
      <c r="L257" s="972" t="s">
        <v>364</v>
      </c>
      <c r="M257" s="1123">
        <f t="shared" si="63"/>
        <v>0</v>
      </c>
      <c r="N257" s="1123"/>
      <c r="O257" s="1128" t="str">
        <f>O183</f>
        <v xml:space="preserve"> </v>
      </c>
      <c r="P257" s="972" t="s">
        <v>364</v>
      </c>
      <c r="Q257" s="1123">
        <f t="shared" si="64"/>
        <v>0</v>
      </c>
      <c r="R257" s="1123"/>
      <c r="S257" s="1128">
        <f>S183</f>
        <v>0</v>
      </c>
      <c r="T257" s="972" t="s">
        <v>364</v>
      </c>
      <c r="U257" s="1123">
        <f t="shared" si="65"/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864</v>
      </c>
      <c r="C258" s="1122">
        <f>C254</f>
        <v>1198686.3021607364</v>
      </c>
      <c r="D258" s="1423"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62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63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64"/>
        <v>0</v>
      </c>
      <c r="R258" s="1123"/>
      <c r="S258" s="1128">
        <f>S184</f>
        <v>0</v>
      </c>
      <c r="T258" s="972" t="s">
        <v>364</v>
      </c>
      <c r="U258" s="1123">
        <f t="shared" si="65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>
      <c r="A259" s="316" t="s">
        <v>391</v>
      </c>
      <c r="B259" s="21"/>
      <c r="C259" s="304"/>
      <c r="D259" s="317">
        <v>-0.01</v>
      </c>
      <c r="E259" s="308"/>
      <c r="F259" s="2"/>
      <c r="G259" s="317">
        <v>-0.01</v>
      </c>
      <c r="H259" s="308"/>
      <c r="I259" s="2"/>
      <c r="J259" s="2"/>
      <c r="K259" s="317">
        <v>-0.01</v>
      </c>
      <c r="L259" s="308"/>
      <c r="M259" s="2"/>
      <c r="N259" s="2"/>
      <c r="O259" s="317">
        <v>-0.01</v>
      </c>
      <c r="P259" s="308"/>
      <c r="Q259" s="2"/>
      <c r="R259" s="2"/>
      <c r="S259" s="317">
        <v>-0.01</v>
      </c>
      <c r="T259" s="308"/>
      <c r="U259" s="2"/>
      <c r="V259" s="20"/>
      <c r="W259" s="74"/>
      <c r="X259" s="74"/>
      <c r="Y259" s="74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R259" s="84"/>
    </row>
    <row r="260" spans="1:44">
      <c r="A260" s="1" t="s">
        <v>380</v>
      </c>
      <c r="B260" s="1"/>
      <c r="C260" s="304">
        <v>0</v>
      </c>
      <c r="D260" s="319">
        <v>9.76</v>
      </c>
      <c r="E260" s="306"/>
      <c r="F260" s="2">
        <f>-ROUND(D260*$C260/100,0)</f>
        <v>0</v>
      </c>
      <c r="G260" s="319">
        <f ca="1">G247</f>
        <v>9.99</v>
      </c>
      <c r="H260" s="306"/>
      <c r="I260" s="2">
        <f ca="1">-ROUND(G260*$C260/100,0)</f>
        <v>0</v>
      </c>
      <c r="J260" s="2"/>
      <c r="K260" s="319">
        <f ca="1">K247</f>
        <v>9.99</v>
      </c>
      <c r="L260" s="306"/>
      <c r="M260" s="2">
        <f ca="1">-ROUND(K260*$C260/100,0)</f>
        <v>0</v>
      </c>
      <c r="N260" s="2"/>
      <c r="O260" s="319" t="str">
        <f>O247</f>
        <v xml:space="preserve"> </v>
      </c>
      <c r="P260" s="306"/>
      <c r="Q260" s="2">
        <f>-ROUND(O260*$C260/100,0)</f>
        <v>0</v>
      </c>
      <c r="R260" s="2"/>
      <c r="S260" s="319" t="str">
        <f>S247</f>
        <v xml:space="preserve"> </v>
      </c>
      <c r="T260" s="306"/>
      <c r="U260" s="2">
        <f>-ROUND(S260*$C260/100,0)</f>
        <v>0</v>
      </c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>
      <c r="A261" s="1" t="s">
        <v>381</v>
      </c>
      <c r="B261" s="1"/>
      <c r="C261" s="304">
        <v>0</v>
      </c>
      <c r="D261" s="319">
        <v>14.54</v>
      </c>
      <c r="E261" s="306"/>
      <c r="F261" s="2">
        <f t="shared" ref="F261:F263" si="66">-ROUND(D261*$C261/100,0)</f>
        <v>0</v>
      </c>
      <c r="G261" s="319">
        <f ca="1">G248</f>
        <v>14.89</v>
      </c>
      <c r="H261" s="306"/>
      <c r="I261" s="2">
        <f ca="1">-ROUND(G261*$C261/100,0)</f>
        <v>0</v>
      </c>
      <c r="J261" s="2"/>
      <c r="K261" s="319">
        <f ca="1">K248</f>
        <v>14.89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>
      <c r="A262" s="1" t="s">
        <v>392</v>
      </c>
      <c r="B262" s="1"/>
      <c r="C262" s="304">
        <v>0</v>
      </c>
      <c r="D262" s="319">
        <v>1.02</v>
      </c>
      <c r="E262" s="306"/>
      <c r="F262" s="2">
        <f t="shared" si="66"/>
        <v>0</v>
      </c>
      <c r="G262" s="319">
        <f ca="1">G249</f>
        <v>1.04</v>
      </c>
      <c r="H262" s="306"/>
      <c r="I262" s="2">
        <f ca="1">-ROUND(G262*$C262/100,0)</f>
        <v>0</v>
      </c>
      <c r="J262" s="2"/>
      <c r="K262" s="319">
        <f ca="1">K249</f>
        <v>1.04</v>
      </c>
      <c r="L262" s="306"/>
      <c r="M262" s="2">
        <f ca="1">-ROUND(K262*$C262/100,0)</f>
        <v>0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>
      <c r="A263" s="1" t="s">
        <v>403</v>
      </c>
      <c r="B263" s="1"/>
      <c r="C263" s="304">
        <f>0</f>
        <v>0</v>
      </c>
      <c r="D263" s="319">
        <v>3.7</v>
      </c>
      <c r="E263" s="308"/>
      <c r="F263" s="2">
        <f t="shared" si="66"/>
        <v>0</v>
      </c>
      <c r="G263" s="319">
        <f ca="1">G251</f>
        <v>3.8</v>
      </c>
      <c r="H263" s="308"/>
      <c r="I263" s="2">
        <f ca="1">-ROUND(G263*$C263/100,0)</f>
        <v>0</v>
      </c>
      <c r="J263" s="2"/>
      <c r="K263" s="319" t="e">
        <f ca="1">K251</f>
        <v>#REF!</v>
      </c>
      <c r="L263" s="308"/>
      <c r="M263" s="2" t="e">
        <f ca="1">-ROUND(K263*$C263/100,0)</f>
        <v>#REF!</v>
      </c>
      <c r="N263" s="2"/>
      <c r="O263" s="319" t="e">
        <f ca="1">O251</f>
        <v>#DIV/0!</v>
      </c>
      <c r="P263" s="308"/>
      <c r="Q263" s="2" t="e">
        <f ca="1">-ROUND(O263*$C263/100,0)</f>
        <v>#DIV/0!</v>
      </c>
      <c r="R263" s="2"/>
      <c r="S263" s="319" t="e">
        <f ca="1">S251</f>
        <v>#DIV/0!</v>
      </c>
      <c r="T263" s="308"/>
      <c r="U263" s="2" t="e">
        <f ca="1">-ROUND(S263*$C263/100,0)</f>
        <v>#DIV/0!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>
      <c r="A264" s="1" t="s">
        <v>395</v>
      </c>
      <c r="B264" s="1"/>
      <c r="C264" s="304">
        <v>0</v>
      </c>
      <c r="D264" s="320">
        <v>10.628</v>
      </c>
      <c r="E264" s="308" t="s">
        <v>364</v>
      </c>
      <c r="F264" s="2">
        <f>ROUND(D264*$C264/100*D259,0)</f>
        <v>0</v>
      </c>
      <c r="G264" s="320">
        <f ca="1">G252</f>
        <v>10.878</v>
      </c>
      <c r="H264" s="308" t="s">
        <v>364</v>
      </c>
      <c r="I264" s="2">
        <f ca="1">ROUND(G264*$C264/100*G259,0)</f>
        <v>0</v>
      </c>
      <c r="J264" s="2"/>
      <c r="K264" s="320" t="e">
        <f ca="1">K252</f>
        <v>#REF!</v>
      </c>
      <c r="L264" s="308" t="s">
        <v>364</v>
      </c>
      <c r="M264" s="2" t="e">
        <f ca="1">ROUND(K264*$C264/100*K259,0)</f>
        <v>#REF!</v>
      </c>
      <c r="N264" s="2"/>
      <c r="O264" s="320" t="e">
        <f ca="1">O252</f>
        <v>#DIV/0!</v>
      </c>
      <c r="P264" s="308" t="s">
        <v>364</v>
      </c>
      <c r="Q264" s="2" t="e">
        <f ca="1">ROUND(O264*$C264/100*O259,0)</f>
        <v>#DIV/0!</v>
      </c>
      <c r="R264" s="2"/>
      <c r="S264" s="320" t="e">
        <f ca="1">S252</f>
        <v>#DIV/0!</v>
      </c>
      <c r="T264" s="308" t="s">
        <v>364</v>
      </c>
      <c r="U264" s="2" t="e">
        <f ca="1">ROUND(S264*$C264/100*S259,0)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>
      <c r="A265" s="1" t="s">
        <v>388</v>
      </c>
      <c r="B265" s="1"/>
      <c r="C265" s="304">
        <v>0</v>
      </c>
      <c r="D265" s="320">
        <v>7.3410000000000002</v>
      </c>
      <c r="E265" s="308" t="s">
        <v>364</v>
      </c>
      <c r="F265" s="2">
        <f>ROUND(D265*$C265/100*D259,0)</f>
        <v>0</v>
      </c>
      <c r="G265" s="320">
        <f ca="1">G253</f>
        <v>7.5140000000000002</v>
      </c>
      <c r="H265" s="308" t="s">
        <v>364</v>
      </c>
      <c r="I265" s="2">
        <f ca="1">ROUND(G265*$C265/100*G259,0)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ROUND(K265*$C265/100*K259,0)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ROUND(O265*$C265/100*O259,0)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ROUND(S265*$C265/100*S259,0)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>
      <c r="A266" s="1" t="s">
        <v>389</v>
      </c>
      <c r="B266" s="1"/>
      <c r="C266" s="304">
        <v>0</v>
      </c>
      <c r="D266" s="320">
        <v>6.3240000000000007</v>
      </c>
      <c r="E266" s="308" t="s">
        <v>364</v>
      </c>
      <c r="F266" s="2">
        <f>ROUND(D266*$C266/100*D259,0)</f>
        <v>0</v>
      </c>
      <c r="G266" s="320">
        <f ca="1">G254</f>
        <v>6.4720000000000004</v>
      </c>
      <c r="H266" s="308" t="s">
        <v>364</v>
      </c>
      <c r="I266" s="2">
        <f ca="1">ROUND(G266*$C266/100*G259,0)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ROUND(K266*$C266/100*K259,0)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ROUND(O266*$C266/100*O259,0)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ROUND(S266*$C266/100*S259,0)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>
      <c r="A267" s="1" t="s">
        <v>390</v>
      </c>
      <c r="B267" s="1"/>
      <c r="C267" s="304">
        <v>0</v>
      </c>
      <c r="D267" s="321">
        <v>57</v>
      </c>
      <c r="E267" s="308" t="s">
        <v>364</v>
      </c>
      <c r="F267" s="2">
        <f>ROUND(D267*$C267/100*D259,0)</f>
        <v>0</v>
      </c>
      <c r="G267" s="321">
        <f ca="1">G255</f>
        <v>58</v>
      </c>
      <c r="H267" s="308" t="s">
        <v>364</v>
      </c>
      <c r="I267" s="2">
        <f ca="1">ROUND(G267*$C267/100*G259,0)</f>
        <v>0</v>
      </c>
      <c r="J267" s="2"/>
      <c r="K267" s="321" t="str">
        <f>K255</f>
        <v xml:space="preserve"> </v>
      </c>
      <c r="L267" s="308" t="s">
        <v>364</v>
      </c>
      <c r="M267" s="2">
        <f>ROUND(K267*$C267/100*K259,0)</f>
        <v>0</v>
      </c>
      <c r="N267" s="2"/>
      <c r="O267" s="321" t="e">
        <f>O255</f>
        <v>#DIV/0!</v>
      </c>
      <c r="P267" s="308" t="s">
        <v>364</v>
      </c>
      <c r="Q267" s="2" t="e">
        <f>ROUND(O267*$C267/100*O259,0)</f>
        <v>#DIV/0!</v>
      </c>
      <c r="R267" s="2"/>
      <c r="S267" s="321" t="e">
        <f>S255</f>
        <v>#DIV/0!</v>
      </c>
      <c r="T267" s="308" t="s">
        <v>364</v>
      </c>
      <c r="U267" s="2" t="e">
        <f>ROUND(S267*$C267/100*S259,0)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>
      <c r="A268" s="1" t="s">
        <v>397</v>
      </c>
      <c r="B268" s="1"/>
      <c r="C268" s="304">
        <v>0</v>
      </c>
      <c r="D268" s="322">
        <v>60</v>
      </c>
      <c r="E268" s="308"/>
      <c r="F268" s="2">
        <f>ROUND(D268*C268,0)</f>
        <v>0</v>
      </c>
      <c r="G268" s="322">
        <f>$G$197</f>
        <v>60</v>
      </c>
      <c r="H268" s="308"/>
      <c r="I268" s="2">
        <f>ROUND(G268*$C268,0)</f>
        <v>0</v>
      </c>
      <c r="J268" s="2"/>
      <c r="K268" s="311" t="s">
        <v>31</v>
      </c>
      <c r="L268" s="308"/>
      <c r="M268" s="999">
        <f>K268*C268</f>
        <v>0</v>
      </c>
      <c r="N268" s="307"/>
      <c r="O268" s="286" t="e">
        <f>O197</f>
        <v>#DIV/0!</v>
      </c>
      <c r="P268" s="308"/>
      <c r="Q268" s="999" t="e">
        <f>I268*(W207/(W207+X207))</f>
        <v>#DIV/0!</v>
      </c>
      <c r="R268" s="307"/>
      <c r="S268" s="286" t="e">
        <f>S197</f>
        <v>#DIV/0!</v>
      </c>
      <c r="T268" s="308"/>
      <c r="U268" s="999" t="e">
        <f>I268*(X207/(W207+X207))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>
      <c r="A269" s="1" t="s">
        <v>398</v>
      </c>
      <c r="B269" s="1"/>
      <c r="C269" s="304">
        <v>0</v>
      </c>
      <c r="D269" s="324">
        <v>-30</v>
      </c>
      <c r="E269" s="308" t="s">
        <v>364</v>
      </c>
      <c r="F269" s="2">
        <f>ROUND(D269*C269/100,0)</f>
        <v>0</v>
      </c>
      <c r="G269" s="324">
        <f>$G$198</f>
        <v>-30</v>
      </c>
      <c r="H269" s="308" t="s">
        <v>364</v>
      </c>
      <c r="I269" s="2">
        <f>ROUND(G269*$C269/100,0)</f>
        <v>0</v>
      </c>
      <c r="J269" s="2"/>
      <c r="K269" s="324">
        <f>'Blocking - detail'!$I$173</f>
        <v>-30</v>
      </c>
      <c r="L269" s="308" t="s">
        <v>364</v>
      </c>
      <c r="M269" s="307">
        <f>I269</f>
        <v>0</v>
      </c>
      <c r="N269" s="307"/>
      <c r="O269" s="1281" t="s">
        <v>31</v>
      </c>
      <c r="P269" s="308" t="s">
        <v>31</v>
      </c>
      <c r="Q269" s="307">
        <f>O269*C269*O259</f>
        <v>0</v>
      </c>
      <c r="R269" s="307"/>
      <c r="S269" s="1281" t="s">
        <v>31</v>
      </c>
      <c r="T269" s="308" t="s">
        <v>31</v>
      </c>
      <c r="U269" s="307">
        <f>S269*D269*S259</f>
        <v>0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s="1118" customFormat="1" hidden="1">
      <c r="A270" s="968" t="s">
        <v>862</v>
      </c>
      <c r="C270" s="1122">
        <f>C252</f>
        <v>12838882.284157982</v>
      </c>
      <c r="D270" s="1423">
        <v>0</v>
      </c>
      <c r="E270" s="1119"/>
      <c r="F270" s="1123"/>
      <c r="G270" s="1128">
        <f>G182</f>
        <v>0</v>
      </c>
      <c r="H270" s="972" t="s">
        <v>364</v>
      </c>
      <c r="I270" s="1123">
        <f>ROUND(G270*$C270/100*G259,0)</f>
        <v>0</v>
      </c>
      <c r="J270" s="1123"/>
      <c r="K270" s="1128" t="str">
        <f>K182</f>
        <v xml:space="preserve"> </v>
      </c>
      <c r="L270" s="972" t="s">
        <v>364</v>
      </c>
      <c r="M270" s="1123">
        <f>ROUND(K270*$C270/100*K259,0)</f>
        <v>0</v>
      </c>
      <c r="N270" s="1123"/>
      <c r="O270" s="1128" t="str">
        <f>O182</f>
        <v xml:space="preserve"> </v>
      </c>
      <c r="P270" s="972" t="s">
        <v>364</v>
      </c>
      <c r="Q270" s="1123">
        <f>ROUND(O270*$C270/100*O259,0)</f>
        <v>0</v>
      </c>
      <c r="R270" s="1123"/>
      <c r="S270" s="1128">
        <f>S182</f>
        <v>0</v>
      </c>
      <c r="T270" s="972" t="s">
        <v>364</v>
      </c>
      <c r="U270" s="1123">
        <f>ROUND(S270*$C270/100*S259,0)</f>
        <v>0</v>
      </c>
      <c r="W270" s="784"/>
      <c r="Z270" s="1125"/>
      <c r="AA270" s="1125"/>
      <c r="AF270" s="1119"/>
      <c r="AG270" s="1119"/>
      <c r="AH270" s="1119"/>
      <c r="AI270" s="1119"/>
      <c r="AJ270" s="1119"/>
      <c r="AK270" s="1119"/>
      <c r="AL270" s="1119"/>
      <c r="AM270" s="1119"/>
      <c r="AN270" s="1119"/>
      <c r="AO270" s="1119"/>
      <c r="AP270" s="1119"/>
      <c r="AR270" s="1124"/>
    </row>
    <row r="271" spans="1:44" s="1118" customFormat="1" hidden="1">
      <c r="A271" s="968" t="s">
        <v>863</v>
      </c>
      <c r="C271" s="1122">
        <f>C253</f>
        <v>6928716.389879657</v>
      </c>
      <c r="D271" s="1423"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ROUND(G271*$C271/100*G259,0)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ROUND(K271*$C271/100*K259,0)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ROUND(O271*$C271/100*O259,0)</f>
        <v>0</v>
      </c>
      <c r="R271" s="1123"/>
      <c r="S271" s="1128">
        <f>S183</f>
        <v>0</v>
      </c>
      <c r="T271" s="972" t="s">
        <v>364</v>
      </c>
      <c r="U271" s="1123">
        <f>ROUND(S271*$C271/100*S259,0)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864</v>
      </c>
      <c r="C272" s="1122">
        <f>C254</f>
        <v>1198686.3021607364</v>
      </c>
      <c r="D272" s="1423"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ROUND(G272*$C272/100*G259,0)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ROUND(K272*$C272/100*K259,0)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ROUND(O272*$C272/100*O259,0)</f>
        <v>0</v>
      </c>
      <c r="R272" s="1123"/>
      <c r="S272" s="1128">
        <f>S184</f>
        <v>0</v>
      </c>
      <c r="T272" s="972" t="s">
        <v>364</v>
      </c>
      <c r="U272" s="1123">
        <f>ROUND(S272*$C272/100*S259,0)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>
      <c r="A273" s="1" t="s">
        <v>371</v>
      </c>
      <c r="B273" s="292"/>
      <c r="C273" s="304">
        <f>SUM(C252:C254)</f>
        <v>20966284.976198375</v>
      </c>
      <c r="D273" s="315"/>
      <c r="E273" s="308"/>
      <c r="F273" s="2">
        <f>SUM(F247:F269)</f>
        <v>2447471</v>
      </c>
      <c r="G273" s="315"/>
      <c r="H273" s="308"/>
      <c r="I273" s="2">
        <f ca="1">SUM(I247:I272)</f>
        <v>2505213</v>
      </c>
      <c r="J273" s="2"/>
      <c r="K273" s="315"/>
      <c r="L273" s="308"/>
      <c r="M273" s="2" t="e">
        <f ca="1">SUM(M247:M272)</f>
        <v>#REF!</v>
      </c>
      <c r="N273" s="2"/>
      <c r="O273" s="315"/>
      <c r="P273" s="308"/>
      <c r="Q273" s="2" t="e">
        <f ca="1">SUM(Q247:Q272)</f>
        <v>#DIV/0!</v>
      </c>
      <c r="R273" s="2"/>
      <c r="S273" s="315"/>
      <c r="T273" s="308"/>
      <c r="U273" s="2" t="e">
        <f ca="1">SUM(U247:U272)</f>
        <v>#DIV/0!</v>
      </c>
      <c r="V273" s="401"/>
      <c r="W273" s="74"/>
      <c r="X273" s="74"/>
      <c r="Y273" s="74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R273" s="84"/>
    </row>
    <row r="274" spans="1:44">
      <c r="A274" s="1" t="s">
        <v>353</v>
      </c>
      <c r="B274" s="1"/>
      <c r="C274" s="334">
        <f>'Table 2'!H18</f>
        <v>278028.18415744783</v>
      </c>
      <c r="D274" s="294"/>
      <c r="E274" s="294"/>
      <c r="F274" s="326">
        <f>'Table 3'!E18</f>
        <v>35708.181559390563</v>
      </c>
      <c r="G274" s="294"/>
      <c r="H274" s="294"/>
      <c r="I274" s="326">
        <f>F274</f>
        <v>35708.181559390563</v>
      </c>
      <c r="J274" s="307"/>
      <c r="K274" s="294"/>
      <c r="L274" s="294"/>
      <c r="M274" s="326" t="e">
        <f>$I$274*V207/($V$207+$W$207+$X$207)</f>
        <v>#DIV/0!</v>
      </c>
      <c r="N274" s="51"/>
      <c r="O274" s="294"/>
      <c r="P274" s="294"/>
      <c r="Q274" s="326" t="e">
        <f>$I$274*W207/($V$207+$W$207+$X$207)</f>
        <v>#DIV/0!</v>
      </c>
      <c r="R274" s="51"/>
      <c r="S274" s="294"/>
      <c r="T274" s="294"/>
      <c r="U274" s="326" t="e">
        <f>$I$274*X207/($V$207+$W$207+$X$207)</f>
        <v>#DIV/0!</v>
      </c>
      <c r="V274" s="429"/>
      <c r="W274" s="272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t="16.5" thickBot="1">
      <c r="A275" s="1" t="s">
        <v>372</v>
      </c>
      <c r="B275" s="1"/>
      <c r="C275" s="296">
        <f>SUM(C273:C274)</f>
        <v>21244313.160355821</v>
      </c>
      <c r="D275" s="327"/>
      <c r="E275" s="330"/>
      <c r="F275" s="329">
        <f>F273+F274</f>
        <v>2483179.1815593904</v>
      </c>
      <c r="G275" s="327"/>
      <c r="H275" s="330"/>
      <c r="I275" s="329">
        <f ca="1">I273+I274</f>
        <v>2540921.1815593904</v>
      </c>
      <c r="J275" s="307"/>
      <c r="K275" s="327"/>
      <c r="L275" s="330"/>
      <c r="M275" s="329" t="e">
        <f ca="1">M273+M274</f>
        <v>#REF!</v>
      </c>
      <c r="N275" s="329"/>
      <c r="O275" s="327"/>
      <c r="P275" s="330"/>
      <c r="Q275" s="329" t="e">
        <f ca="1">Q273+Q274</f>
        <v>#DIV/0!</v>
      </c>
      <c r="R275" s="329"/>
      <c r="S275" s="327"/>
      <c r="T275" s="330"/>
      <c r="U275" s="329" t="e">
        <f ca="1">U273+U274</f>
        <v>#DIV/0!</v>
      </c>
      <c r="V275" s="396"/>
      <c r="W275" s="455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thickTop="1">
      <c r="A276" s="1"/>
      <c r="B276" s="1"/>
      <c r="C276" s="21"/>
      <c r="D276" s="322"/>
      <c r="E276" s="1"/>
      <c r="F276" s="2"/>
      <c r="G276" s="322"/>
      <c r="H276" s="1"/>
      <c r="I276" s="2" t="s">
        <v>31</v>
      </c>
      <c r="J276" s="2"/>
      <c r="K276" s="322"/>
      <c r="L276" s="1"/>
      <c r="M276" s="2" t="s">
        <v>31</v>
      </c>
      <c r="N276" s="2"/>
      <c r="O276" s="322"/>
      <c r="P276" s="1"/>
      <c r="Q276" s="2" t="s">
        <v>31</v>
      </c>
      <c r="R276" s="2"/>
      <c r="S276" s="322"/>
      <c r="T276" s="1"/>
      <c r="U276" s="2" t="s">
        <v>31</v>
      </c>
      <c r="V276" s="20"/>
      <c r="W276" s="74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>
      <c r="A278" s="278" t="s">
        <v>377</v>
      </c>
      <c r="B278" s="1"/>
      <c r="C278" s="1"/>
      <c r="D278" s="2"/>
      <c r="E278" s="1"/>
      <c r="F278" s="1"/>
      <c r="G278" s="2"/>
      <c r="H278" s="1"/>
      <c r="I278" s="1"/>
      <c r="J278" s="1"/>
      <c r="K278" s="2"/>
      <c r="L278" s="1"/>
      <c r="M278" s="1"/>
      <c r="N278" s="1"/>
      <c r="O278" s="2"/>
      <c r="P278" s="1"/>
      <c r="Q278" s="1"/>
      <c r="R278" s="1"/>
      <c r="S278" s="2"/>
      <c r="T278" s="1"/>
      <c r="U278" s="1"/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>
      <c r="A279" s="1" t="s">
        <v>401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>
      <c r="A280" s="333" t="s">
        <v>402</v>
      </c>
      <c r="B280" s="1"/>
      <c r="C280" s="2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>
      <c r="A281" s="1" t="s">
        <v>383</v>
      </c>
      <c r="B281" s="1"/>
      <c r="C281" s="304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>
      <c r="A282" s="1" t="s">
        <v>380</v>
      </c>
      <c r="B282" s="1"/>
      <c r="C282" s="304">
        <v>121803.19999998537</v>
      </c>
      <c r="D282" s="283">
        <v>9.76</v>
      </c>
      <c r="E282" s="308"/>
      <c r="F282" s="2">
        <f>ROUND(D282*$C282,0)</f>
        <v>1188799</v>
      </c>
      <c r="G282" s="283">
        <f ca="1">$G$172</f>
        <v>9.99</v>
      </c>
      <c r="H282" s="308"/>
      <c r="I282" s="2">
        <f ca="1">ROUND(G282*$C282,0)</f>
        <v>1216814</v>
      </c>
      <c r="J282" s="2"/>
      <c r="K282" s="283">
        <f ca="1">$K$172</f>
        <v>9.99</v>
      </c>
      <c r="L282" s="308"/>
      <c r="M282" s="2">
        <f ca="1">ROUND(K282*$C282,0)</f>
        <v>1216814</v>
      </c>
      <c r="N282" s="2"/>
      <c r="O282" s="283" t="str">
        <f>$O$172</f>
        <v xml:space="preserve"> </v>
      </c>
      <c r="P282" s="308"/>
      <c r="Q282" s="2">
        <f>ROUND(O282*$C282,0)</f>
        <v>0</v>
      </c>
      <c r="R282" s="2"/>
      <c r="S282" s="283" t="str">
        <f>$S$172</f>
        <v xml:space="preserve"> </v>
      </c>
      <c r="T282" s="308"/>
      <c r="U282" s="2">
        <f>ROUND(S282*$C282,0)</f>
        <v>0</v>
      </c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>
      <c r="A283" s="1" t="s">
        <v>381</v>
      </c>
      <c r="B283" s="1"/>
      <c r="C283" s="304">
        <v>58310.700000000717</v>
      </c>
      <c r="D283" s="283">
        <v>14.54</v>
      </c>
      <c r="E283" s="310"/>
      <c r="F283" s="2">
        <f t="shared" ref="F283:F284" si="67">ROUND(D283*$C283,0)</f>
        <v>847838</v>
      </c>
      <c r="G283" s="283">
        <f ca="1">$G$173</f>
        <v>14.89</v>
      </c>
      <c r="H283" s="310"/>
      <c r="I283" s="2">
        <f ca="1">ROUND(G283*$C283,0)</f>
        <v>868246</v>
      </c>
      <c r="J283" s="2"/>
      <c r="K283" s="283">
        <f ca="1">$K$173</f>
        <v>14.89</v>
      </c>
      <c r="L283" s="310"/>
      <c r="M283" s="2">
        <f ca="1">ROUND(K283*$C283,0)</f>
        <v>868246</v>
      </c>
      <c r="N283" s="2"/>
      <c r="O283" s="283" t="str">
        <f>$O$173</f>
        <v xml:space="preserve"> </v>
      </c>
      <c r="P283" s="310"/>
      <c r="Q283" s="2">
        <f>ROUND(O283*$C283,0)</f>
        <v>0</v>
      </c>
      <c r="R283" s="2"/>
      <c r="S283" s="283" t="str">
        <f>$S$173</f>
        <v xml:space="preserve"> </v>
      </c>
      <c r="T283" s="310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>
      <c r="A284" s="1" t="s">
        <v>382</v>
      </c>
      <c r="B284" s="1"/>
      <c r="C284" s="304">
        <v>966505</v>
      </c>
      <c r="D284" s="283">
        <v>1.02</v>
      </c>
      <c r="E284" s="310"/>
      <c r="F284" s="2">
        <f t="shared" si="67"/>
        <v>985835</v>
      </c>
      <c r="G284" s="283">
        <f ca="1">$G$174</f>
        <v>1.04</v>
      </c>
      <c r="H284" s="310"/>
      <c r="I284" s="2">
        <f ca="1">ROUND(G284*$C284,0)</f>
        <v>1005165</v>
      </c>
      <c r="J284" s="2"/>
      <c r="K284" s="283">
        <f ca="1">$K$174</f>
        <v>1.04</v>
      </c>
      <c r="L284" s="310"/>
      <c r="M284" s="2">
        <f ca="1">ROUND(K284*$C284,0)</f>
        <v>1005165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>
      <c r="A285" s="1" t="s">
        <v>384</v>
      </c>
      <c r="B285" s="1"/>
      <c r="C285" s="304">
        <f>SUM(C282:C283)</f>
        <v>180113.89999998608</v>
      </c>
      <c r="D285" s="283"/>
      <c r="E285" s="308"/>
      <c r="F285" s="2"/>
      <c r="G285" s="283"/>
      <c r="H285" s="308"/>
      <c r="I285" s="2"/>
      <c r="J285" s="2"/>
      <c r="K285" s="283"/>
      <c r="L285" s="308"/>
      <c r="M285" s="2"/>
      <c r="N285" s="2"/>
      <c r="O285" s="283"/>
      <c r="P285" s="308"/>
      <c r="Q285" s="2"/>
      <c r="R285" s="2"/>
      <c r="S285" s="283"/>
      <c r="T285" s="308"/>
      <c r="U285" s="2"/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>
      <c r="A286" s="1" t="s">
        <v>385</v>
      </c>
      <c r="B286" s="1"/>
      <c r="C286" s="304">
        <v>782383</v>
      </c>
      <c r="D286" s="311">
        <v>3.7</v>
      </c>
      <c r="E286" s="308"/>
      <c r="F286" s="2">
        <f>ROUND(D286*C286,0)</f>
        <v>2894817</v>
      </c>
      <c r="G286" s="311">
        <f ca="1">$G$177</f>
        <v>3.8</v>
      </c>
      <c r="H286" s="308"/>
      <c r="I286" s="2">
        <f ca="1">ROUND(G286*$C286,0)</f>
        <v>2973055</v>
      </c>
      <c r="J286" s="2"/>
      <c r="K286" s="311" t="e">
        <f ca="1">$K$177</f>
        <v>#REF!</v>
      </c>
      <c r="L286" s="308"/>
      <c r="M286" s="2" t="e">
        <f ca="1">ROUND(K286*$C286,0)</f>
        <v>#REF!</v>
      </c>
      <c r="N286" s="2"/>
      <c r="O286" s="311" t="e">
        <f ca="1">$O$177</f>
        <v>#DIV/0!</v>
      </c>
      <c r="P286" s="308"/>
      <c r="Q286" s="2" t="e">
        <f ca="1">ROUND(O286*$C286,0)</f>
        <v>#DIV/0!</v>
      </c>
      <c r="R286" s="2"/>
      <c r="S286" s="311" t="e">
        <f ca="1">$S$177</f>
        <v>#DIV/0!</v>
      </c>
      <c r="T286" s="308"/>
      <c r="U286" s="2" t="e">
        <f ca="1">ROUND(S286*$C286,0)</f>
        <v>#DIV/0!</v>
      </c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>
      <c r="A287" s="1" t="s">
        <v>387</v>
      </c>
      <c r="B287" s="304"/>
      <c r="C287" s="304">
        <v>113594338.50038823</v>
      </c>
      <c r="D287" s="284">
        <v>10.628</v>
      </c>
      <c r="E287" s="308" t="s">
        <v>364</v>
      </c>
      <c r="F287" s="2">
        <f>ROUND(D287*C287/100,0)</f>
        <v>12072806</v>
      </c>
      <c r="G287" s="284">
        <f ca="1">$G$178</f>
        <v>10.878</v>
      </c>
      <c r="H287" s="308" t="s">
        <v>364</v>
      </c>
      <c r="I287" s="2">
        <f ca="1">ROUND(G287*$C287/100,0)</f>
        <v>12356792</v>
      </c>
      <c r="J287" s="2"/>
      <c r="K287" s="284" t="e">
        <f ca="1">$K$178</f>
        <v>#REF!</v>
      </c>
      <c r="L287" s="308" t="s">
        <v>364</v>
      </c>
      <c r="M287" s="2" t="e">
        <f ca="1">ROUND(K287*$C287/100,0)</f>
        <v>#REF!</v>
      </c>
      <c r="N287" s="2"/>
      <c r="O287" s="284" t="e">
        <f ca="1">$O$178</f>
        <v>#DIV/0!</v>
      </c>
      <c r="P287" s="308" t="s">
        <v>364</v>
      </c>
      <c r="Q287" s="2" t="e">
        <f ca="1">ROUND(O287*$C287/100,0)</f>
        <v>#DIV/0!</v>
      </c>
      <c r="R287" s="2"/>
      <c r="S287" s="284" t="e">
        <f ca="1">$S$178</f>
        <v>#DIV/0!</v>
      </c>
      <c r="T287" s="308" t="s">
        <v>364</v>
      </c>
      <c r="U287" s="2" t="e">
        <f ca="1">ROUND(S287*$C287/100,0)</f>
        <v>#DIV/0!</v>
      </c>
      <c r="V287" s="458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>
      <c r="A288" s="1" t="s">
        <v>388</v>
      </c>
      <c r="B288" s="304"/>
      <c r="C288" s="304">
        <v>264972441.64191934</v>
      </c>
      <c r="D288" s="284">
        <v>7.3410000000000002</v>
      </c>
      <c r="E288" s="308" t="s">
        <v>364</v>
      </c>
      <c r="F288" s="2">
        <f>ROUND(D288*C288/100,0)</f>
        <v>19451627</v>
      </c>
      <c r="G288" s="284">
        <f ca="1">$G$179</f>
        <v>7.5140000000000002</v>
      </c>
      <c r="H288" s="308" t="s">
        <v>364</v>
      </c>
      <c r="I288" s="2">
        <f ca="1">ROUND(G288*$C288/100,0)</f>
        <v>19910029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>
      <c r="A289" s="1" t="s">
        <v>389</v>
      </c>
      <c r="B289" s="304"/>
      <c r="C289" s="304">
        <v>114038405.0634262</v>
      </c>
      <c r="D289" s="284">
        <v>6.3240000000000007</v>
      </c>
      <c r="E289" s="308" t="s">
        <v>364</v>
      </c>
      <c r="F289" s="2">
        <f>ROUND(D289*C289/100,0)</f>
        <v>7211789</v>
      </c>
      <c r="G289" s="284">
        <f ca="1">$G$180</f>
        <v>6.4720000000000004</v>
      </c>
      <c r="H289" s="308" t="s">
        <v>364</v>
      </c>
      <c r="I289" s="2">
        <f ca="1">ROUND(G289*$C289/100,0)</f>
        <v>7380566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>
      <c r="A290" s="1" t="s">
        <v>390</v>
      </c>
      <c r="B290" s="21"/>
      <c r="C290" s="304">
        <v>107329.06666666651</v>
      </c>
      <c r="D290" s="315">
        <v>57</v>
      </c>
      <c r="E290" s="308" t="s">
        <v>364</v>
      </c>
      <c r="F290" s="2">
        <f>ROUND(D290*C290/100,0)</f>
        <v>61178</v>
      </c>
      <c r="G290" s="315">
        <f ca="1">$G$181</f>
        <v>58</v>
      </c>
      <c r="H290" s="308" t="s">
        <v>364</v>
      </c>
      <c r="I290" s="2">
        <f ca="1">ROUND(G290*$C290/100,0)</f>
        <v>62251</v>
      </c>
      <c r="J290" s="2"/>
      <c r="K290" s="315" t="str">
        <f>$K$181</f>
        <v xml:space="preserve"> </v>
      </c>
      <c r="L290" s="308" t="s">
        <v>364</v>
      </c>
      <c r="M290" s="2">
        <f>ROUND(K290*$C290/100,0)</f>
        <v>0</v>
      </c>
      <c r="N290" s="2"/>
      <c r="O290" s="315" t="e">
        <f>$O$181</f>
        <v>#DIV/0!</v>
      </c>
      <c r="P290" s="308" t="s">
        <v>364</v>
      </c>
      <c r="Q290" s="2" t="e">
        <f>ROUND(O290*$C290/100,0)</f>
        <v>#DIV/0!</v>
      </c>
      <c r="R290" s="2"/>
      <c r="S290" s="315" t="e">
        <f>$S$181</f>
        <v>#DIV/0!</v>
      </c>
      <c r="T290" s="308" t="s">
        <v>364</v>
      </c>
      <c r="U290" s="2" t="e">
        <f>ROUND(S290*$C290/100,0)</f>
        <v>#DIV/0!</v>
      </c>
      <c r="V290" s="20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s="1118" customFormat="1" hidden="1">
      <c r="A291" s="968" t="s">
        <v>862</v>
      </c>
      <c r="C291" s="1122">
        <f>C287</f>
        <v>113594338.50038823</v>
      </c>
      <c r="D291" s="1423">
        <v>0</v>
      </c>
      <c r="E291" s="1119"/>
      <c r="F291" s="1123"/>
      <c r="G291" s="1128">
        <f>G182</f>
        <v>0</v>
      </c>
      <c r="H291" s="972" t="s">
        <v>364</v>
      </c>
      <c r="I291" s="1123">
        <f t="shared" ref="I291:I293" si="68">ROUND(G291*$C291/100,0)</f>
        <v>0</v>
      </c>
      <c r="J291" s="1123"/>
      <c r="K291" s="1128" t="str">
        <f>K182</f>
        <v xml:space="preserve"> </v>
      </c>
      <c r="L291" s="972" t="s">
        <v>364</v>
      </c>
      <c r="M291" s="1123">
        <f t="shared" ref="M291:M293" si="69">ROUND(K291*$C291/100,0)</f>
        <v>0</v>
      </c>
      <c r="N291" s="1123"/>
      <c r="O291" s="1128" t="str">
        <f>O182</f>
        <v xml:space="preserve"> </v>
      </c>
      <c r="P291" s="972" t="s">
        <v>364</v>
      </c>
      <c r="Q291" s="1123">
        <f t="shared" ref="Q291:Q293" si="70">ROUND(O291*$C291/100,0)</f>
        <v>0</v>
      </c>
      <c r="R291" s="1123"/>
      <c r="S291" s="1128">
        <f>S182</f>
        <v>0</v>
      </c>
      <c r="T291" s="972" t="s">
        <v>364</v>
      </c>
      <c r="U291" s="1123">
        <f t="shared" ref="U291:U293" si="71">ROUND(S291*$C291/100,0)</f>
        <v>0</v>
      </c>
      <c r="W291" s="784"/>
      <c r="Z291" s="1125"/>
      <c r="AA291" s="1125"/>
      <c r="AF291" s="1119"/>
      <c r="AG291" s="1119"/>
      <c r="AH291" s="1119"/>
      <c r="AI291" s="1119"/>
      <c r="AJ291" s="1119"/>
      <c r="AK291" s="1119"/>
      <c r="AL291" s="1119"/>
      <c r="AM291" s="1119"/>
      <c r="AN291" s="1119"/>
      <c r="AO291" s="1119"/>
      <c r="AP291" s="1119"/>
      <c r="AR291" s="1124"/>
    </row>
    <row r="292" spans="1:44" s="1118" customFormat="1" hidden="1">
      <c r="A292" s="968" t="s">
        <v>863</v>
      </c>
      <c r="C292" s="1122">
        <f>C288</f>
        <v>264972441.64191934</v>
      </c>
      <c r="D292" s="1423">
        <v>0</v>
      </c>
      <c r="E292" s="1119"/>
      <c r="F292" s="1123"/>
      <c r="G292" s="1128">
        <f>G183</f>
        <v>0</v>
      </c>
      <c r="H292" s="972" t="s">
        <v>364</v>
      </c>
      <c r="I292" s="1123">
        <f t="shared" si="68"/>
        <v>0</v>
      </c>
      <c r="J292" s="1123"/>
      <c r="K292" s="1128" t="str">
        <f>K183</f>
        <v xml:space="preserve"> </v>
      </c>
      <c r="L292" s="972" t="s">
        <v>364</v>
      </c>
      <c r="M292" s="1123">
        <f t="shared" si="69"/>
        <v>0</v>
      </c>
      <c r="N292" s="1123"/>
      <c r="O292" s="1128" t="str">
        <f>O183</f>
        <v xml:space="preserve"> </v>
      </c>
      <c r="P292" s="972" t="s">
        <v>364</v>
      </c>
      <c r="Q292" s="1123">
        <f t="shared" si="70"/>
        <v>0</v>
      </c>
      <c r="R292" s="1123"/>
      <c r="S292" s="1128">
        <f>S183</f>
        <v>0</v>
      </c>
      <c r="T292" s="972" t="s">
        <v>364</v>
      </c>
      <c r="U292" s="1123">
        <f t="shared" si="71"/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864</v>
      </c>
      <c r="C293" s="1122">
        <f>C289</f>
        <v>114038405.0634262</v>
      </c>
      <c r="D293" s="1423"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8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9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70"/>
        <v>0</v>
      </c>
      <c r="R293" s="1123"/>
      <c r="S293" s="1128">
        <f>S184</f>
        <v>0</v>
      </c>
      <c r="T293" s="972" t="s">
        <v>364</v>
      </c>
      <c r="U293" s="1123">
        <f t="shared" si="71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>
      <c r="A294" s="316" t="s">
        <v>391</v>
      </c>
      <c r="B294" s="21"/>
      <c r="C294" s="304"/>
      <c r="D294" s="317">
        <v>-0.01</v>
      </c>
      <c r="E294" s="308"/>
      <c r="F294" s="2"/>
      <c r="G294" s="317">
        <v>-0.01</v>
      </c>
      <c r="H294" s="308"/>
      <c r="I294" s="2"/>
      <c r="J294" s="2"/>
      <c r="K294" s="317">
        <v>-0.01</v>
      </c>
      <c r="L294" s="308"/>
      <c r="M294" s="2"/>
      <c r="N294" s="2"/>
      <c r="O294" s="317">
        <v>-0.01</v>
      </c>
      <c r="P294" s="308"/>
      <c r="Q294" s="2"/>
      <c r="R294" s="2"/>
      <c r="S294" s="317">
        <v>-0.01</v>
      </c>
      <c r="T294" s="308"/>
      <c r="U294" s="2"/>
      <c r="V294" s="20"/>
      <c r="W294" s="74"/>
      <c r="X294" s="74"/>
      <c r="Y294" s="74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R294" s="84"/>
    </row>
    <row r="295" spans="1:44">
      <c r="A295" s="1" t="s">
        <v>380</v>
      </c>
      <c r="B295" s="1"/>
      <c r="C295" s="304">
        <v>74.633333333333297</v>
      </c>
      <c r="D295" s="319">
        <v>9.76</v>
      </c>
      <c r="E295" s="306"/>
      <c r="F295" s="2">
        <f>-ROUND(D295*$C295/100,0)</f>
        <v>-7</v>
      </c>
      <c r="G295" s="319">
        <f ca="1">G282</f>
        <v>9.99</v>
      </c>
      <c r="H295" s="306"/>
      <c r="I295" s="2">
        <f ca="1">-ROUND(G295*$C295/100,0)</f>
        <v>-7</v>
      </c>
      <c r="J295" s="2"/>
      <c r="K295" s="319">
        <f ca="1">K282</f>
        <v>9.99</v>
      </c>
      <c r="L295" s="306"/>
      <c r="M295" s="2">
        <f ca="1">-ROUND(K295*$C295/100,0)</f>
        <v>-7</v>
      </c>
      <c r="N295" s="2"/>
      <c r="O295" s="319" t="str">
        <f>O282</f>
        <v xml:space="preserve"> </v>
      </c>
      <c r="P295" s="306"/>
      <c r="Q295" s="2">
        <f>-ROUND(O295*$C295/100,0)</f>
        <v>0</v>
      </c>
      <c r="R295" s="2"/>
      <c r="S295" s="319" t="str">
        <f>S282</f>
        <v xml:space="preserve"> </v>
      </c>
      <c r="T295" s="306"/>
      <c r="U295" s="2">
        <f>-ROUND(S295*$C295/100,0)</f>
        <v>0</v>
      </c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>
      <c r="A296" s="1" t="s">
        <v>381</v>
      </c>
      <c r="B296" s="1"/>
      <c r="C296" s="304">
        <v>71.933333333333309</v>
      </c>
      <c r="D296" s="319">
        <v>14.54</v>
      </c>
      <c r="E296" s="306"/>
      <c r="F296" s="2">
        <f>-ROUND(D296*$C296/100,0)</f>
        <v>-10</v>
      </c>
      <c r="G296" s="319">
        <f ca="1">G283</f>
        <v>14.89</v>
      </c>
      <c r="H296" s="306"/>
      <c r="I296" s="2">
        <f ca="1">-ROUND(G296*$C296/100,0)</f>
        <v>-11</v>
      </c>
      <c r="J296" s="2"/>
      <c r="K296" s="319">
        <f ca="1">K283</f>
        <v>14.89</v>
      </c>
      <c r="L296" s="306"/>
      <c r="M296" s="2">
        <f ca="1">-ROUND(K296*$C296/100,0)</f>
        <v>-11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>
      <c r="A297" s="1" t="s">
        <v>392</v>
      </c>
      <c r="B297" s="1"/>
      <c r="C297" s="304">
        <v>1618</v>
      </c>
      <c r="D297" s="319">
        <v>1.02</v>
      </c>
      <c r="E297" s="306"/>
      <c r="F297" s="2">
        <f>-ROUND(D297*$C297/100,0)</f>
        <v>-17</v>
      </c>
      <c r="G297" s="319">
        <f ca="1">G284</f>
        <v>1.04</v>
      </c>
      <c r="H297" s="306"/>
      <c r="I297" s="2">
        <f ca="1">-ROUND(G297*$C297/100,0)</f>
        <v>-17</v>
      </c>
      <c r="J297" s="2"/>
      <c r="K297" s="319">
        <f ca="1">K284</f>
        <v>1.04</v>
      </c>
      <c r="L297" s="306"/>
      <c r="M297" s="2">
        <f ca="1">-ROUND(K297*$C297/100,0)</f>
        <v>-17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>
      <c r="A298" s="1" t="s">
        <v>403</v>
      </c>
      <c r="B298" s="1"/>
      <c r="C298" s="304">
        <v>765</v>
      </c>
      <c r="D298" s="319">
        <v>3.7</v>
      </c>
      <c r="E298" s="308"/>
      <c r="F298" s="2">
        <f t="shared" ref="F298" si="72">-ROUND(D298*$C298/100,0)</f>
        <v>-28</v>
      </c>
      <c r="G298" s="319">
        <f ca="1">G286</f>
        <v>3.8</v>
      </c>
      <c r="H298" s="308"/>
      <c r="I298" s="2">
        <f ca="1">-ROUND(G298*$C298/100,0)</f>
        <v>-29</v>
      </c>
      <c r="J298" s="2"/>
      <c r="K298" s="319" t="e">
        <f ca="1">K286</f>
        <v>#REF!</v>
      </c>
      <c r="L298" s="308"/>
      <c r="M298" s="2" t="e">
        <f ca="1">-ROUND(K298*$C298/100,0)</f>
        <v>#REF!</v>
      </c>
      <c r="N298" s="2"/>
      <c r="O298" s="319" t="e">
        <f ca="1">O286</f>
        <v>#DIV/0!</v>
      </c>
      <c r="P298" s="308"/>
      <c r="Q298" s="2" t="e">
        <f ca="1">-ROUND(O298*$C298/100,0)</f>
        <v>#DIV/0!</v>
      </c>
      <c r="R298" s="2"/>
      <c r="S298" s="319" t="e">
        <f ca="1">S286</f>
        <v>#DIV/0!</v>
      </c>
      <c r="T298" s="308"/>
      <c r="U298" s="2" t="e">
        <f ca="1">-ROUND(S298*$C298/100,0)</f>
        <v>#DIV/0!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>
      <c r="A299" s="1" t="s">
        <v>395</v>
      </c>
      <c r="B299" s="1"/>
      <c r="C299" s="304">
        <v>108585.6666666666</v>
      </c>
      <c r="D299" s="320">
        <v>10.628</v>
      </c>
      <c r="E299" s="308" t="s">
        <v>364</v>
      </c>
      <c r="F299" s="2">
        <f>ROUND(D299*$C299/100*D294,0)</f>
        <v>-115</v>
      </c>
      <c r="G299" s="320">
        <f ca="1">G287</f>
        <v>10.878</v>
      </c>
      <c r="H299" s="308" t="s">
        <v>364</v>
      </c>
      <c r="I299" s="2">
        <f ca="1">ROUND(G299*$C299/100*G294,0)</f>
        <v>-118</v>
      </c>
      <c r="J299" s="2"/>
      <c r="K299" s="320" t="e">
        <f ca="1">K287</f>
        <v>#REF!</v>
      </c>
      <c r="L299" s="308" t="s">
        <v>364</v>
      </c>
      <c r="M299" s="2" t="e">
        <f ca="1">ROUND(K299*$C299/100*K294,0)</f>
        <v>#REF!</v>
      </c>
      <c r="N299" s="2"/>
      <c r="O299" s="320" t="e">
        <f ca="1">O287</f>
        <v>#DIV/0!</v>
      </c>
      <c r="P299" s="308" t="s">
        <v>364</v>
      </c>
      <c r="Q299" s="2" t="e">
        <f ca="1">ROUND(O299*$C299/100*O294,0)</f>
        <v>#DIV/0!</v>
      </c>
      <c r="R299" s="2"/>
      <c r="S299" s="320" t="e">
        <f ca="1">S287</f>
        <v>#DIV/0!</v>
      </c>
      <c r="T299" s="308" t="s">
        <v>364</v>
      </c>
      <c r="U299" s="2" t="e">
        <f ca="1">ROUND(S299*$C299/100*S294,0)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>
      <c r="A300" s="1" t="s">
        <v>388</v>
      </c>
      <c r="B300" s="1"/>
      <c r="C300" s="304">
        <v>461939.33333333366</v>
      </c>
      <c r="D300" s="320">
        <v>7.3410000000000002</v>
      </c>
      <c r="E300" s="308" t="s">
        <v>364</v>
      </c>
      <c r="F300" s="2">
        <f>ROUND(D300*$C300/100*D294,0)</f>
        <v>-339</v>
      </c>
      <c r="G300" s="320">
        <f ca="1">G288</f>
        <v>7.5140000000000002</v>
      </c>
      <c r="H300" s="308" t="s">
        <v>364</v>
      </c>
      <c r="I300" s="2">
        <f ca="1">ROUND(G300*$C300/100*G294,0)</f>
        <v>-347</v>
      </c>
      <c r="J300" s="2"/>
      <c r="K300" s="320" t="e">
        <f ca="1">K288</f>
        <v>#REF!</v>
      </c>
      <c r="L300" s="308" t="s">
        <v>364</v>
      </c>
      <c r="M300" s="2" t="e">
        <f ca="1">ROUND(K300*$C300/100*K294,0)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ROUND(O300*$C300/100*O294,0)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ROUND(S300*$C300/100*S294,0)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>
      <c r="A301" s="1" t="s">
        <v>389</v>
      </c>
      <c r="B301" s="1"/>
      <c r="C301" s="304">
        <v>701665</v>
      </c>
      <c r="D301" s="320">
        <v>6.3240000000000007</v>
      </c>
      <c r="E301" s="308" t="s">
        <v>364</v>
      </c>
      <c r="F301" s="2">
        <f>ROUND(D301*$C301/100*D294,0)</f>
        <v>-444</v>
      </c>
      <c r="G301" s="320">
        <f ca="1">G289</f>
        <v>6.4720000000000004</v>
      </c>
      <c r="H301" s="308" t="s">
        <v>364</v>
      </c>
      <c r="I301" s="2">
        <f ca="1">ROUND(G301*$C301/100*G294,0)</f>
        <v>-454</v>
      </c>
      <c r="J301" s="2"/>
      <c r="K301" s="320" t="e">
        <f ca="1">K289</f>
        <v>#REF!</v>
      </c>
      <c r="L301" s="308" t="s">
        <v>364</v>
      </c>
      <c r="M301" s="2" t="e">
        <f ca="1">ROUND(K301*$C301/100*K294,0)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ROUND(O301*$C301/100*O294,0)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ROUND(S301*$C301/100*S294,0)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>
      <c r="A302" s="1" t="s">
        <v>390</v>
      </c>
      <c r="B302" s="1"/>
      <c r="C302" s="304">
        <v>913.93333333333339</v>
      </c>
      <c r="D302" s="321">
        <v>57</v>
      </c>
      <c r="E302" s="308" t="s">
        <v>364</v>
      </c>
      <c r="F302" s="2">
        <f>ROUND(D302*$C302/100*D294,0)</f>
        <v>-5</v>
      </c>
      <c r="G302" s="321">
        <f ca="1">G290</f>
        <v>58</v>
      </c>
      <c r="H302" s="308" t="s">
        <v>364</v>
      </c>
      <c r="I302" s="2">
        <f ca="1">ROUND(G302*$C302/100*G294,0)</f>
        <v>-5</v>
      </c>
      <c r="J302" s="2"/>
      <c r="K302" s="321" t="str">
        <f>K290</f>
        <v xml:space="preserve"> </v>
      </c>
      <c r="L302" s="308" t="s">
        <v>364</v>
      </c>
      <c r="M302" s="2">
        <f>ROUND(K302*$C302/100*K294,0)</f>
        <v>0</v>
      </c>
      <c r="N302" s="2"/>
      <c r="O302" s="321" t="e">
        <f>O290</f>
        <v>#DIV/0!</v>
      </c>
      <c r="P302" s="308" t="s">
        <v>364</v>
      </c>
      <c r="Q302" s="2" t="e">
        <f>ROUND(O302*$C302/100*O294,0)</f>
        <v>#DIV/0!</v>
      </c>
      <c r="R302" s="2"/>
      <c r="S302" s="321" t="e">
        <f>S290</f>
        <v>#DIV/0!</v>
      </c>
      <c r="T302" s="308" t="s">
        <v>364</v>
      </c>
      <c r="U302" s="2" t="e">
        <f>ROUND(S302*$C302/100*S294,0)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>
      <c r="A303" s="1" t="s">
        <v>397</v>
      </c>
      <c r="B303" s="1"/>
      <c r="C303" s="304">
        <v>122.5333333333333</v>
      </c>
      <c r="D303" s="322">
        <v>60</v>
      </c>
      <c r="E303" s="308"/>
      <c r="F303" s="2">
        <f>ROUND(D303*C303,0)</f>
        <v>7352</v>
      </c>
      <c r="G303" s="322">
        <f>$G$197</f>
        <v>60</v>
      </c>
      <c r="H303" s="308"/>
      <c r="I303" s="2">
        <f>ROUND(G303*$C303,0)</f>
        <v>7352</v>
      </c>
      <c r="J303" s="2"/>
      <c r="K303" s="311" t="s">
        <v>31</v>
      </c>
      <c r="L303" s="308"/>
      <c r="M303" s="999">
        <f>K303*C303</f>
        <v>0</v>
      </c>
      <c r="N303" s="307"/>
      <c r="O303" s="286" t="e">
        <f>O197</f>
        <v>#DIV/0!</v>
      </c>
      <c r="P303" s="308"/>
      <c r="Q303" s="2" t="e">
        <f>I303*(W207/(W207+X207))</f>
        <v>#DIV/0!</v>
      </c>
      <c r="R303" s="307"/>
      <c r="S303" s="286" t="e">
        <f>S197</f>
        <v>#DIV/0!</v>
      </c>
      <c r="T303" s="308"/>
      <c r="U303" s="2" t="e">
        <f>I303*(X207/(W207+X207))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>
      <c r="A304" s="1" t="s">
        <v>398</v>
      </c>
      <c r="B304" s="1"/>
      <c r="C304" s="304">
        <v>166.29999999999998</v>
      </c>
      <c r="D304" s="324">
        <v>-30</v>
      </c>
      <c r="E304" s="308" t="s">
        <v>364</v>
      </c>
      <c r="F304" s="2">
        <f>ROUND(D304*C304/100,0)</f>
        <v>-50</v>
      </c>
      <c r="G304" s="324">
        <f>$G$198</f>
        <v>-30</v>
      </c>
      <c r="H304" s="308" t="s">
        <v>364</v>
      </c>
      <c r="I304" s="2">
        <f>ROUND(G304*$C304/100,0)</f>
        <v>-50</v>
      </c>
      <c r="J304" s="2"/>
      <c r="K304" s="324">
        <f>'Blocking - detail'!$I$173</f>
        <v>-30</v>
      </c>
      <c r="L304" s="308" t="s">
        <v>364</v>
      </c>
      <c r="M304" s="307">
        <f>I304</f>
        <v>-50</v>
      </c>
      <c r="N304" s="307"/>
      <c r="O304" s="1281" t="s">
        <v>31</v>
      </c>
      <c r="P304" s="308" t="s">
        <v>31</v>
      </c>
      <c r="Q304" s="307">
        <f>O304*C304*O294</f>
        <v>0</v>
      </c>
      <c r="R304" s="307"/>
      <c r="S304" s="1281" t="s">
        <v>31</v>
      </c>
      <c r="T304" s="308" t="s">
        <v>31</v>
      </c>
      <c r="U304" s="307">
        <f>S304*D304*S294</f>
        <v>0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s="1118" customFormat="1" hidden="1">
      <c r="A305" s="968" t="s">
        <v>862</v>
      </c>
      <c r="C305" s="1122">
        <f>C299</f>
        <v>108585.6666666666</v>
      </c>
      <c r="D305" s="1423">
        <v>0</v>
      </c>
      <c r="E305" s="1119"/>
      <c r="F305" s="1123"/>
      <c r="G305" s="1128">
        <f>G182</f>
        <v>0</v>
      </c>
      <c r="H305" s="972" t="s">
        <v>364</v>
      </c>
      <c r="I305" s="1123">
        <f>ROUND(G305*$C305/100*G294,0)</f>
        <v>0</v>
      </c>
      <c r="J305" s="1123"/>
      <c r="K305" s="1128" t="str">
        <f>K182</f>
        <v xml:space="preserve"> </v>
      </c>
      <c r="L305" s="972" t="s">
        <v>364</v>
      </c>
      <c r="M305" s="1123">
        <f>ROUND(K305*$C305/100*K294,0)</f>
        <v>0</v>
      </c>
      <c r="N305" s="1123"/>
      <c r="O305" s="1128" t="str">
        <f>O182</f>
        <v xml:space="preserve"> </v>
      </c>
      <c r="P305" s="972" t="s">
        <v>364</v>
      </c>
      <c r="Q305" s="1123">
        <f>ROUND(O305*$C305/100*O294,0)</f>
        <v>0</v>
      </c>
      <c r="R305" s="1123"/>
      <c r="S305" s="1128">
        <f>S182</f>
        <v>0</v>
      </c>
      <c r="T305" s="972" t="s">
        <v>364</v>
      </c>
      <c r="U305" s="1123">
        <f>ROUND(S305*$C305/100*S294,0)</f>
        <v>0</v>
      </c>
      <c r="W305" s="784"/>
      <c r="Z305" s="1125"/>
      <c r="AA305" s="1125"/>
      <c r="AF305" s="1119"/>
      <c r="AG305" s="1119"/>
      <c r="AH305" s="1119"/>
      <c r="AI305" s="1119"/>
      <c r="AJ305" s="1119"/>
      <c r="AK305" s="1119"/>
      <c r="AL305" s="1119"/>
      <c r="AM305" s="1119"/>
      <c r="AN305" s="1119"/>
      <c r="AO305" s="1119"/>
      <c r="AP305" s="1119"/>
      <c r="AR305" s="1124"/>
    </row>
    <row r="306" spans="1:44" s="1118" customFormat="1" hidden="1">
      <c r="A306" s="968" t="s">
        <v>863</v>
      </c>
      <c r="C306" s="1122">
        <f>C300</f>
        <v>461939.33333333366</v>
      </c>
      <c r="D306" s="1423"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ROUND(G306*$C306/100*G294,0)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ROUND(K306*$C306/100*K294,0)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ROUND(O306*$C306/100*O294,0)</f>
        <v>0</v>
      </c>
      <c r="R306" s="1123"/>
      <c r="S306" s="1128">
        <f>S183</f>
        <v>0</v>
      </c>
      <c r="T306" s="972" t="s">
        <v>364</v>
      </c>
      <c r="U306" s="1123">
        <f>ROUND(S306*$C306/100*S294,0)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864</v>
      </c>
      <c r="C307" s="1122">
        <f>C301</f>
        <v>701665</v>
      </c>
      <c r="D307" s="1423"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ROUND(G307*$C307/100*G294,0)</f>
        <v>0</v>
      </c>
      <c r="J307" s="1123"/>
      <c r="K307" s="1128" t="str">
        <f>K184</f>
        <v xml:space="preserve"> </v>
      </c>
      <c r="L307" s="972" t="s">
        <v>364</v>
      </c>
      <c r="M307" s="1123">
        <f ca="1">ROUND(K307*$C307/100*K296*K294,0)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ROUND(O307*$C307/100*O296*O294,0)</f>
        <v>0</v>
      </c>
      <c r="R307" s="1123"/>
      <c r="S307" s="1128">
        <f>S184</f>
        <v>0</v>
      </c>
      <c r="T307" s="972" t="s">
        <v>364</v>
      </c>
      <c r="U307" s="1123">
        <f>ROUND(S307*$C307/100*S294,0)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>
      <c r="A308" s="1" t="s">
        <v>371</v>
      </c>
      <c r="B308" s="292"/>
      <c r="C308" s="304">
        <f>SUM(C287:C289)</f>
        <v>492605185.20573378</v>
      </c>
      <c r="D308" s="315"/>
      <c r="E308" s="308"/>
      <c r="F308" s="2">
        <f>SUM(F282:F304)</f>
        <v>44721026</v>
      </c>
      <c r="G308" s="315"/>
      <c r="H308" s="308"/>
      <c r="I308" s="2">
        <f ca="1">SUM(I282:I307)</f>
        <v>45779232</v>
      </c>
      <c r="J308" s="2"/>
      <c r="K308" s="315"/>
      <c r="L308" s="308"/>
      <c r="M308" s="2" t="e">
        <f ca="1">SUM(M282:M307)</f>
        <v>#REF!</v>
      </c>
      <c r="N308" s="2"/>
      <c r="O308" s="315"/>
      <c r="P308" s="308"/>
      <c r="Q308" s="2" t="e">
        <f ca="1">SUM(Q282:Q307)</f>
        <v>#DIV/0!</v>
      </c>
      <c r="R308" s="2"/>
      <c r="S308" s="315"/>
      <c r="T308" s="308"/>
      <c r="U308" s="2" t="e">
        <f ca="1">SUM(U282:U307)</f>
        <v>#DIV/0!</v>
      </c>
      <c r="V308" s="401"/>
      <c r="W308" s="74"/>
      <c r="X308" s="74"/>
      <c r="Y308" s="74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R308" s="84"/>
    </row>
    <row r="309" spans="1:44">
      <c r="A309" s="1" t="s">
        <v>353</v>
      </c>
      <c r="B309" s="1"/>
      <c r="C309" s="334">
        <f>'Table 2'!H41</f>
        <v>3477825.992467748</v>
      </c>
      <c r="D309" s="294"/>
      <c r="E309" s="294"/>
      <c r="F309" s="326">
        <f>'Table 3'!E41</f>
        <v>355356.90214655403</v>
      </c>
      <c r="G309" s="294"/>
      <c r="H309" s="294"/>
      <c r="I309" s="326">
        <f>F309</f>
        <v>355356.90214655403</v>
      </c>
      <c r="J309" s="307"/>
      <c r="K309" s="294"/>
      <c r="L309" s="294"/>
      <c r="M309" s="326" t="e">
        <f>$I$309*V207/($V$207+$W$207+$X$207)</f>
        <v>#DIV/0!</v>
      </c>
      <c r="N309" s="51"/>
      <c r="O309" s="294"/>
      <c r="P309" s="294"/>
      <c r="Q309" s="326" t="e">
        <f>$I$309*W207/($V$207+$W$207+$X$207)</f>
        <v>#DIV/0!</v>
      </c>
      <c r="R309" s="51"/>
      <c r="S309" s="294"/>
      <c r="T309" s="294"/>
      <c r="U309" s="326" t="e">
        <f>$I$309*X207/($V$207+$W$207+$X$207)</f>
        <v>#DIV/0!</v>
      </c>
      <c r="V309" s="429"/>
      <c r="W309" s="272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t="16.5" thickBot="1">
      <c r="A310" s="1" t="s">
        <v>372</v>
      </c>
      <c r="B310" s="1"/>
      <c r="C310" s="296">
        <f>SUM(C308:C309)</f>
        <v>496083011.19820154</v>
      </c>
      <c r="D310" s="327"/>
      <c r="E310" s="330"/>
      <c r="F310" s="329">
        <f>F308+F309</f>
        <v>45076382.902146555</v>
      </c>
      <c r="G310" s="327"/>
      <c r="H310" s="330"/>
      <c r="I310" s="329">
        <f ca="1">I308+I309</f>
        <v>46134588.902146555</v>
      </c>
      <c r="J310" s="307"/>
      <c r="K310" s="327"/>
      <c r="L310" s="330"/>
      <c r="M310" s="329" t="e">
        <f ca="1">M308+M309</f>
        <v>#REF!</v>
      </c>
      <c r="N310" s="329"/>
      <c r="O310" s="327"/>
      <c r="P310" s="330"/>
      <c r="Q310" s="329" t="e">
        <f ca="1">Q308+Q309</f>
        <v>#DIV/0!</v>
      </c>
      <c r="R310" s="329"/>
      <c r="S310" s="327"/>
      <c r="T310" s="330"/>
      <c r="U310" s="329" t="e">
        <f ca="1">U308+U309</f>
        <v>#DIV/0!</v>
      </c>
      <c r="V310" s="396"/>
      <c r="W310" s="455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thickTop="1">
      <c r="A311" s="1"/>
      <c r="B311" s="1"/>
      <c r="C311" s="21"/>
      <c r="D311" s="322"/>
      <c r="E311" s="1"/>
      <c r="F311" s="2"/>
      <c r="G311" s="322"/>
      <c r="H311" s="1"/>
      <c r="I311" s="2" t="s">
        <v>31</v>
      </c>
      <c r="J311" s="2"/>
      <c r="K311" s="322"/>
      <c r="L311" s="1"/>
      <c r="M311" s="2" t="s">
        <v>31</v>
      </c>
      <c r="N311" s="2"/>
      <c r="O311" s="322"/>
      <c r="P311" s="1"/>
      <c r="Q311" s="2" t="s">
        <v>31</v>
      </c>
      <c r="R311" s="2"/>
      <c r="S311" s="322"/>
      <c r="T311" s="1"/>
      <c r="U311" s="2" t="s">
        <v>31</v>
      </c>
      <c r="V311" s="20"/>
      <c r="W311" s="74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>
      <c r="A312" s="278" t="s">
        <v>377</v>
      </c>
      <c r="B312" s="1"/>
      <c r="C312" s="1"/>
      <c r="D312" s="2"/>
      <c r="E312" s="1"/>
      <c r="F312" s="1381"/>
      <c r="G312" s="2"/>
      <c r="H312" s="1"/>
      <c r="I312" s="1"/>
      <c r="J312" s="1"/>
      <c r="K312" s="2"/>
      <c r="L312" s="1"/>
      <c r="M312" s="1"/>
      <c r="N312" s="1"/>
      <c r="O312" s="2"/>
      <c r="P312" s="1"/>
      <c r="Q312" s="1"/>
      <c r="R312" s="1"/>
      <c r="S312" s="2"/>
      <c r="T312" s="1"/>
      <c r="U312" s="1"/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>
      <c r="A313" s="1" t="s">
        <v>404</v>
      </c>
      <c r="B313" s="1"/>
      <c r="C313" s="2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>
      <c r="A314" s="1"/>
      <c r="B314" s="1"/>
      <c r="C314" s="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>
      <c r="A315" s="1" t="s">
        <v>383</v>
      </c>
      <c r="B315" s="1"/>
      <c r="C315" s="304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>
      <c r="A316" s="1" t="s">
        <v>380</v>
      </c>
      <c r="B316" s="1"/>
      <c r="C316" s="304">
        <v>1659.4666666666701</v>
      </c>
      <c r="D316" s="283">
        <v>9.76</v>
      </c>
      <c r="E316" s="308"/>
      <c r="F316" s="2">
        <f>ROUND(D316*$C316,0)</f>
        <v>16196</v>
      </c>
      <c r="G316" s="283">
        <f ca="1">$G$172</f>
        <v>9.99</v>
      </c>
      <c r="H316" s="308"/>
      <c r="I316" s="2">
        <f ca="1">ROUND(G316*$C316,0)</f>
        <v>16578</v>
      </c>
      <c r="J316" s="2"/>
      <c r="K316" s="283">
        <f ca="1">$K$172</f>
        <v>9.99</v>
      </c>
      <c r="L316" s="308"/>
      <c r="M316" s="2">
        <f ca="1">ROUND(K316*$C316,0)</f>
        <v>16578</v>
      </c>
      <c r="N316" s="2"/>
      <c r="O316" s="283" t="str">
        <f>$O$172</f>
        <v xml:space="preserve"> </v>
      </c>
      <c r="P316" s="308"/>
      <c r="Q316" s="2">
        <f>ROUND(O316*$C316,0)</f>
        <v>0</v>
      </c>
      <c r="R316" s="2"/>
      <c r="S316" s="283" t="str">
        <f>$S$172</f>
        <v xml:space="preserve"> </v>
      </c>
      <c r="T316" s="308"/>
      <c r="U316" s="2">
        <f>ROUND(S316*$C316,0)</f>
        <v>0</v>
      </c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>
      <c r="A317" s="1" t="s">
        <v>381</v>
      </c>
      <c r="B317" s="1"/>
      <c r="C317" s="304">
        <v>2898.2333333333399</v>
      </c>
      <c r="D317" s="283">
        <v>14.54</v>
      </c>
      <c r="E317" s="310"/>
      <c r="F317" s="2">
        <f t="shared" ref="F317:F318" si="73">ROUND(D317*$C317,0)</f>
        <v>42140</v>
      </c>
      <c r="G317" s="283">
        <f ca="1">$G$173</f>
        <v>14.89</v>
      </c>
      <c r="H317" s="310"/>
      <c r="I317" s="2">
        <f ca="1">ROUND(G317*$C317,0)</f>
        <v>43155</v>
      </c>
      <c r="J317" s="2"/>
      <c r="K317" s="283">
        <f ca="1">$K$173</f>
        <v>14.89</v>
      </c>
      <c r="L317" s="310"/>
      <c r="M317" s="2">
        <f ca="1">ROUND(K317*$C317,0)</f>
        <v>43155</v>
      </c>
      <c r="N317" s="2"/>
      <c r="O317" s="283" t="str">
        <f>$O$173</f>
        <v xml:space="preserve"> </v>
      </c>
      <c r="P317" s="310"/>
      <c r="Q317" s="2">
        <f>ROUND(O317*$C317,0)</f>
        <v>0</v>
      </c>
      <c r="R317" s="2"/>
      <c r="S317" s="283" t="str">
        <f>$S$173</f>
        <v xml:space="preserve"> </v>
      </c>
      <c r="T317" s="310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>
      <c r="A318" s="1" t="s">
        <v>382</v>
      </c>
      <c r="B318" s="1"/>
      <c r="C318" s="304">
        <v>47405</v>
      </c>
      <c r="D318" s="283">
        <v>1.02</v>
      </c>
      <c r="E318" s="310"/>
      <c r="F318" s="2">
        <f t="shared" si="73"/>
        <v>48353</v>
      </c>
      <c r="G318" s="283">
        <f ca="1">$G$174</f>
        <v>1.04</v>
      </c>
      <c r="H318" s="310"/>
      <c r="I318" s="2">
        <f ca="1">ROUND(G318*$C318,0)</f>
        <v>49301</v>
      </c>
      <c r="J318" s="2"/>
      <c r="K318" s="283">
        <f ca="1">$K$174</f>
        <v>1.04</v>
      </c>
      <c r="L318" s="310"/>
      <c r="M318" s="2">
        <f ca="1">ROUND(K318*$C318,0)</f>
        <v>49301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>
      <c r="A319" s="1" t="s">
        <v>384</v>
      </c>
      <c r="B319" s="1"/>
      <c r="C319" s="304">
        <f>SUM(C316:C317)</f>
        <v>4557.7000000000098</v>
      </c>
      <c r="D319" s="283"/>
      <c r="E319" s="308"/>
      <c r="F319" s="2"/>
      <c r="G319" s="283"/>
      <c r="H319" s="308"/>
      <c r="I319" s="2"/>
      <c r="J319" s="2"/>
      <c r="K319" s="283"/>
      <c r="L319" s="308"/>
      <c r="M319" s="2"/>
      <c r="N319" s="2"/>
      <c r="O319" s="283"/>
      <c r="P319" s="308"/>
      <c r="Q319" s="2"/>
      <c r="R319" s="2"/>
      <c r="S319" s="283"/>
      <c r="T319" s="308"/>
      <c r="U319" s="2"/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>
      <c r="A320" s="1" t="s">
        <v>385</v>
      </c>
      <c r="B320" s="1"/>
      <c r="C320" s="304">
        <v>37943</v>
      </c>
      <c r="D320" s="311">
        <v>3.7</v>
      </c>
      <c r="E320" s="308"/>
      <c r="F320" s="2">
        <f>ROUND(D320*C320,0)</f>
        <v>140389</v>
      </c>
      <c r="G320" s="311">
        <f ca="1">$G$177</f>
        <v>3.8</v>
      </c>
      <c r="H320" s="308"/>
      <c r="I320" s="2">
        <f ca="1">ROUND(G320*$C320,0)</f>
        <v>144183</v>
      </c>
      <c r="J320" s="2"/>
      <c r="K320" s="311" t="e">
        <f ca="1">$K$177</f>
        <v>#REF!</v>
      </c>
      <c r="L320" s="308"/>
      <c r="M320" s="2" t="e">
        <f ca="1">ROUND(K320*$C320,0)</f>
        <v>#REF!</v>
      </c>
      <c r="N320" s="2"/>
      <c r="O320" s="311" t="e">
        <f ca="1">$O$177</f>
        <v>#DIV/0!</v>
      </c>
      <c r="P320" s="308"/>
      <c r="Q320" s="2" t="e">
        <f ca="1">ROUND(O320*$C320,0)</f>
        <v>#DIV/0!</v>
      </c>
      <c r="R320" s="2"/>
      <c r="S320" s="311" t="e">
        <f ca="1">$S$177</f>
        <v>#DIV/0!</v>
      </c>
      <c r="T320" s="308"/>
      <c r="U320" s="2" t="e">
        <f ca="1">ROUND(S320*$C320,0)</f>
        <v>#DIV/0!</v>
      </c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>
      <c r="A321" s="1" t="s">
        <v>387</v>
      </c>
      <c r="B321" s="1"/>
      <c r="C321" s="304">
        <v>3121618.3333333335</v>
      </c>
      <c r="D321" s="284">
        <v>10.628</v>
      </c>
      <c r="E321" s="308" t="s">
        <v>364</v>
      </c>
      <c r="F321" s="2">
        <f>ROUND(D321*C321/100,0)</f>
        <v>331766</v>
      </c>
      <c r="G321" s="284">
        <f ca="1">$G$178</f>
        <v>10.878</v>
      </c>
      <c r="H321" s="308" t="s">
        <v>364</v>
      </c>
      <c r="I321" s="2">
        <f ca="1">ROUND(G321*$C321/100,0)</f>
        <v>339570</v>
      </c>
      <c r="J321" s="2"/>
      <c r="K321" s="284" t="e">
        <f ca="1">$K$178</f>
        <v>#REF!</v>
      </c>
      <c r="L321" s="308" t="s">
        <v>364</v>
      </c>
      <c r="M321" s="2" t="e">
        <f ca="1">ROUND(K321*$C321/100,0)</f>
        <v>#REF!</v>
      </c>
      <c r="N321" s="2"/>
      <c r="O321" s="284" t="e">
        <f ca="1">$O$178</f>
        <v>#DIV/0!</v>
      </c>
      <c r="P321" s="308" t="s">
        <v>364</v>
      </c>
      <c r="Q321" s="2" t="e">
        <f ca="1">ROUND(O321*$C321/100,0)</f>
        <v>#DIV/0!</v>
      </c>
      <c r="R321" s="2"/>
      <c r="S321" s="284" t="e">
        <f ca="1">$S$178</f>
        <v>#DIV/0!</v>
      </c>
      <c r="T321" s="308" t="s">
        <v>364</v>
      </c>
      <c r="U321" s="2" t="e">
        <f ca="1">ROUND(S321*$C321/100,0)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>
      <c r="A322" s="1" t="s">
        <v>388</v>
      </c>
      <c r="B322" s="1"/>
      <c r="C322" s="304">
        <v>9404351.6666666642</v>
      </c>
      <c r="D322" s="284">
        <v>7.3410000000000002</v>
      </c>
      <c r="E322" s="308" t="s">
        <v>364</v>
      </c>
      <c r="F322" s="2">
        <f>ROUND(D322*C322/100,0)</f>
        <v>690373</v>
      </c>
      <c r="G322" s="284">
        <f ca="1">$G$179</f>
        <v>7.5140000000000002</v>
      </c>
      <c r="H322" s="308" t="s">
        <v>364</v>
      </c>
      <c r="I322" s="2">
        <f ca="1">ROUND(G322*$C322/100,0)</f>
        <v>706643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>
      <c r="A323" s="1" t="s">
        <v>389</v>
      </c>
      <c r="B323" s="1"/>
      <c r="C323" s="304">
        <v>4754181.0000000019</v>
      </c>
      <c r="D323" s="284">
        <v>6.3240000000000007</v>
      </c>
      <c r="E323" s="308" t="s">
        <v>364</v>
      </c>
      <c r="F323" s="2">
        <f>ROUND(D323*C323/100,0)</f>
        <v>300654</v>
      </c>
      <c r="G323" s="284">
        <f ca="1">$G$180</f>
        <v>6.4720000000000004</v>
      </c>
      <c r="H323" s="308" t="s">
        <v>364</v>
      </c>
      <c r="I323" s="2">
        <f ca="1">ROUND(G323*$C323/100,0)</f>
        <v>307691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>
      <c r="A324" s="1" t="s">
        <v>390</v>
      </c>
      <c r="B324" s="1"/>
      <c r="C324" s="304">
        <v>13463.333333333332</v>
      </c>
      <c r="D324" s="315">
        <v>57</v>
      </c>
      <c r="E324" s="308" t="s">
        <v>364</v>
      </c>
      <c r="F324" s="2">
        <f>ROUND(D324*C324/100,0)</f>
        <v>7674</v>
      </c>
      <c r="G324" s="315">
        <f ca="1">$G$181</f>
        <v>58</v>
      </c>
      <c r="H324" s="308" t="s">
        <v>364</v>
      </c>
      <c r="I324" s="2">
        <f ca="1">ROUND(G324*$C324/100,0)</f>
        <v>7809</v>
      </c>
      <c r="J324" s="2"/>
      <c r="K324" s="315" t="str">
        <f>$K$181</f>
        <v xml:space="preserve"> </v>
      </c>
      <c r="L324" s="308" t="s">
        <v>364</v>
      </c>
      <c r="M324" s="2">
        <f>ROUND(K324*$C324/100,0)</f>
        <v>0</v>
      </c>
      <c r="N324" s="2"/>
      <c r="O324" s="315" t="e">
        <f>$O$181</f>
        <v>#DIV/0!</v>
      </c>
      <c r="P324" s="308" t="s">
        <v>364</v>
      </c>
      <c r="Q324" s="2" t="e">
        <f>ROUND(O324*$C324/100,0)</f>
        <v>#DIV/0!</v>
      </c>
      <c r="R324" s="2"/>
      <c r="S324" s="315" t="e">
        <f>$S$181</f>
        <v>#DIV/0!</v>
      </c>
      <c r="T324" s="308" t="s">
        <v>364</v>
      </c>
      <c r="U324" s="2" t="e">
        <f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s="1118" customFormat="1" hidden="1">
      <c r="A325" s="968" t="s">
        <v>862</v>
      </c>
      <c r="C325" s="1122">
        <f>C321</f>
        <v>3121618.3333333335</v>
      </c>
      <c r="D325" s="1423">
        <v>0</v>
      </c>
      <c r="E325" s="1119"/>
      <c r="F325" s="1123"/>
      <c r="G325" s="1128">
        <f>G182</f>
        <v>0</v>
      </c>
      <c r="H325" s="972" t="s">
        <v>364</v>
      </c>
      <c r="I325" s="1123">
        <f t="shared" ref="I325:I327" si="74">ROUND(G325*$C325/100,0)</f>
        <v>0</v>
      </c>
      <c r="J325" s="1123"/>
      <c r="K325" s="1128" t="str">
        <f>K182</f>
        <v xml:space="preserve"> </v>
      </c>
      <c r="L325" s="972" t="s">
        <v>364</v>
      </c>
      <c r="M325" s="1123">
        <f t="shared" ref="M325:M327" si="75">ROUND(K325*$C325/100,0)</f>
        <v>0</v>
      </c>
      <c r="N325" s="1123"/>
      <c r="O325" s="1128" t="str">
        <f>O182</f>
        <v xml:space="preserve"> </v>
      </c>
      <c r="P325" s="972" t="s">
        <v>364</v>
      </c>
      <c r="Q325" s="1123">
        <f t="shared" ref="Q325:Q327" si="76">ROUND(O325*$C325/100,0)</f>
        <v>0</v>
      </c>
      <c r="R325" s="1123"/>
      <c r="S325" s="1128">
        <f>S182</f>
        <v>0</v>
      </c>
      <c r="T325" s="972" t="s">
        <v>364</v>
      </c>
      <c r="U325" s="1123">
        <f t="shared" ref="U325:U327" si="77">ROUND(S325*$C325/100,0)</f>
        <v>0</v>
      </c>
      <c r="W325" s="784"/>
      <c r="Z325" s="1125"/>
      <c r="AA325" s="1125"/>
      <c r="AF325" s="1119"/>
      <c r="AG325" s="1119"/>
      <c r="AH325" s="1119"/>
      <c r="AI325" s="1119"/>
      <c r="AJ325" s="1119"/>
      <c r="AK325" s="1119"/>
      <c r="AL325" s="1119"/>
      <c r="AM325" s="1119"/>
      <c r="AN325" s="1119"/>
      <c r="AO325" s="1119"/>
      <c r="AP325" s="1119"/>
      <c r="AR325" s="1124"/>
    </row>
    <row r="326" spans="1:44" s="1118" customFormat="1" hidden="1">
      <c r="A326" s="968" t="s">
        <v>863</v>
      </c>
      <c r="C326" s="1122">
        <f>C322</f>
        <v>9404351.6666666642</v>
      </c>
      <c r="D326" s="1423">
        <v>0</v>
      </c>
      <c r="E326" s="1119"/>
      <c r="F326" s="1123"/>
      <c r="G326" s="1128">
        <f>G183</f>
        <v>0</v>
      </c>
      <c r="H326" s="972" t="s">
        <v>364</v>
      </c>
      <c r="I326" s="1123">
        <f t="shared" si="74"/>
        <v>0</v>
      </c>
      <c r="J326" s="1123"/>
      <c r="K326" s="1128" t="str">
        <f>K183</f>
        <v xml:space="preserve"> </v>
      </c>
      <c r="L326" s="972" t="s">
        <v>364</v>
      </c>
      <c r="M326" s="1123">
        <f t="shared" si="75"/>
        <v>0</v>
      </c>
      <c r="N326" s="1123"/>
      <c r="O326" s="1128" t="str">
        <f>O183</f>
        <v xml:space="preserve"> </v>
      </c>
      <c r="P326" s="972" t="s">
        <v>364</v>
      </c>
      <c r="Q326" s="1123">
        <f t="shared" si="76"/>
        <v>0</v>
      </c>
      <c r="R326" s="1123"/>
      <c r="S326" s="1128">
        <f>S183</f>
        <v>0</v>
      </c>
      <c r="T326" s="972" t="s">
        <v>364</v>
      </c>
      <c r="U326" s="1123">
        <f t="shared" si="77"/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864</v>
      </c>
      <c r="C327" s="1122">
        <f>C323</f>
        <v>4754181.0000000019</v>
      </c>
      <c r="D327" s="1423"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74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75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76"/>
        <v>0</v>
      </c>
      <c r="R327" s="1123"/>
      <c r="S327" s="1128">
        <f>S184</f>
        <v>0</v>
      </c>
      <c r="T327" s="972" t="s">
        <v>364</v>
      </c>
      <c r="U327" s="1123">
        <f t="shared" si="77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>
      <c r="A328" s="316" t="s">
        <v>391</v>
      </c>
      <c r="B328" s="1"/>
      <c r="C328" s="304"/>
      <c r="D328" s="317">
        <v>-0.01</v>
      </c>
      <c r="E328" s="308"/>
      <c r="F328" s="2"/>
      <c r="G328" s="317">
        <v>-0.01</v>
      </c>
      <c r="H328" s="308"/>
      <c r="I328" s="2"/>
      <c r="J328" s="2"/>
      <c r="K328" s="317">
        <v>-0.01</v>
      </c>
      <c r="L328" s="308"/>
      <c r="M328" s="2"/>
      <c r="N328" s="2"/>
      <c r="O328" s="317">
        <v>-0.01</v>
      </c>
      <c r="P328" s="308"/>
      <c r="Q328" s="2"/>
      <c r="R328" s="2"/>
      <c r="S328" s="317">
        <v>-0.01</v>
      </c>
      <c r="T328" s="308"/>
      <c r="U328" s="2"/>
      <c r="V328" s="20"/>
      <c r="W328" s="74"/>
      <c r="X328" s="74"/>
      <c r="Y328" s="74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R328" s="84"/>
    </row>
    <row r="329" spans="1:44">
      <c r="A329" s="1" t="s">
        <v>380</v>
      </c>
      <c r="B329" s="1"/>
      <c r="C329" s="304">
        <v>0</v>
      </c>
      <c r="D329" s="319">
        <v>9.76</v>
      </c>
      <c r="E329" s="306"/>
      <c r="F329" s="2">
        <f>-ROUND(D329*$C329/100,0)</f>
        <v>0</v>
      </c>
      <c r="G329" s="319">
        <f ca="1">G316</f>
        <v>9.99</v>
      </c>
      <c r="H329" s="306"/>
      <c r="I329" s="2">
        <f ca="1">-ROUND(G329*$C329/100,0)</f>
        <v>0</v>
      </c>
      <c r="J329" s="2"/>
      <c r="K329" s="319">
        <f ca="1">K316</f>
        <v>9.99</v>
      </c>
      <c r="L329" s="306"/>
      <c r="M329" s="2">
        <f ca="1">-ROUND(K329*$C329/100,0)</f>
        <v>0</v>
      </c>
      <c r="N329" s="2"/>
      <c r="O329" s="319" t="str">
        <f>O316</f>
        <v xml:space="preserve"> </v>
      </c>
      <c r="P329" s="306"/>
      <c r="Q329" s="2">
        <f>-ROUND(O329*$C329/100,0)</f>
        <v>0</v>
      </c>
      <c r="R329" s="2"/>
      <c r="S329" s="319" t="str">
        <f>S316</f>
        <v xml:space="preserve"> </v>
      </c>
      <c r="T329" s="306"/>
      <c r="U329" s="2">
        <f>-ROUND(S329*$C329/100,0)</f>
        <v>0</v>
      </c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>
      <c r="A330" s="1" t="s">
        <v>381</v>
      </c>
      <c r="B330" s="1"/>
      <c r="C330" s="304">
        <v>7.8666666666666698</v>
      </c>
      <c r="D330" s="319">
        <v>14.54</v>
      </c>
      <c r="E330" s="306"/>
      <c r="F330" s="2">
        <f t="shared" ref="F330:F332" si="78">-ROUND(D330*$C330/100,0)</f>
        <v>-1</v>
      </c>
      <c r="G330" s="319">
        <f ca="1">G317</f>
        <v>14.89</v>
      </c>
      <c r="H330" s="306"/>
      <c r="I330" s="2">
        <f ca="1">-ROUND(G330*$C330/100,0)</f>
        <v>-1</v>
      </c>
      <c r="J330" s="2"/>
      <c r="K330" s="319">
        <f ca="1">K317</f>
        <v>14.89</v>
      </c>
      <c r="L330" s="306"/>
      <c r="M330" s="2">
        <f ca="1">-ROUND(K330*$C330/100,0)</f>
        <v>-1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>
      <c r="A331" s="1" t="s">
        <v>392</v>
      </c>
      <c r="B331" s="1"/>
      <c r="C331" s="304">
        <v>543</v>
      </c>
      <c r="D331" s="319">
        <v>1.02</v>
      </c>
      <c r="E331" s="306"/>
      <c r="F331" s="2">
        <f t="shared" si="78"/>
        <v>-6</v>
      </c>
      <c r="G331" s="319">
        <f ca="1">G318</f>
        <v>1.04</v>
      </c>
      <c r="H331" s="306"/>
      <c r="I331" s="2">
        <f ca="1">-ROUND(G331*$C331/100,0)</f>
        <v>-6</v>
      </c>
      <c r="J331" s="2"/>
      <c r="K331" s="319">
        <f ca="1">K318</f>
        <v>1.04</v>
      </c>
      <c r="L331" s="306"/>
      <c r="M331" s="2">
        <f ca="1">-ROUND(K331*$C331/100,0)</f>
        <v>-6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>
      <c r="A332" s="1" t="s">
        <v>393</v>
      </c>
      <c r="B332" s="1"/>
      <c r="C332" s="304">
        <v>722</v>
      </c>
      <c r="D332" s="319">
        <v>3.7</v>
      </c>
      <c r="E332" s="308"/>
      <c r="F332" s="2">
        <f t="shared" si="78"/>
        <v>-27</v>
      </c>
      <c r="G332" s="319">
        <f ca="1">G320</f>
        <v>3.8</v>
      </c>
      <c r="H332" s="308"/>
      <c r="I332" s="2">
        <f ca="1">-ROUND(G332*$C332/100,0)</f>
        <v>-27</v>
      </c>
      <c r="J332" s="2"/>
      <c r="K332" s="319" t="e">
        <f ca="1">K320</f>
        <v>#REF!</v>
      </c>
      <c r="L332" s="308"/>
      <c r="M332" s="2" t="e">
        <f ca="1">-ROUND(K332*$C332/100,0)</f>
        <v>#REF!</v>
      </c>
      <c r="N332" s="2"/>
      <c r="O332" s="319" t="e">
        <f ca="1">O320</f>
        <v>#DIV/0!</v>
      </c>
      <c r="P332" s="308"/>
      <c r="Q332" s="2" t="e">
        <f ca="1">-ROUND(O332*$C332/100,0)</f>
        <v>#DIV/0!</v>
      </c>
      <c r="R332" s="2"/>
      <c r="S332" s="319" t="e">
        <f ca="1">S320</f>
        <v>#DIV/0!</v>
      </c>
      <c r="T332" s="308"/>
      <c r="U332" s="2" t="e">
        <f ca="1">-ROUND(S332*$C332/100,0)</f>
        <v>#DIV/0!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>
      <c r="A333" s="1" t="s">
        <v>395</v>
      </c>
      <c r="B333" s="1"/>
      <c r="C333" s="304">
        <v>7866.6666666666697</v>
      </c>
      <c r="D333" s="320">
        <v>10.628</v>
      </c>
      <c r="E333" s="308" t="s">
        <v>364</v>
      </c>
      <c r="F333" s="2">
        <f>ROUND(D333*$C333/100*D328,0)</f>
        <v>-8</v>
      </c>
      <c r="G333" s="320">
        <f ca="1">G321</f>
        <v>10.878</v>
      </c>
      <c r="H333" s="308" t="s">
        <v>364</v>
      </c>
      <c r="I333" s="2">
        <f ca="1">ROUND(G333*$C333/100*G328,0)</f>
        <v>-9</v>
      </c>
      <c r="J333" s="2"/>
      <c r="K333" s="320" t="e">
        <f ca="1">K321</f>
        <v>#REF!</v>
      </c>
      <c r="L333" s="308" t="s">
        <v>364</v>
      </c>
      <c r="M333" s="2" t="e">
        <f ca="1">ROUND(K333*$C333/100*K328,0)</f>
        <v>#REF!</v>
      </c>
      <c r="N333" s="2"/>
      <c r="O333" s="320" t="e">
        <f ca="1">O321</f>
        <v>#DIV/0!</v>
      </c>
      <c r="P333" s="308" t="s">
        <v>364</v>
      </c>
      <c r="Q333" s="2" t="e">
        <f ca="1">ROUND(O333*$C333/100*O328,0)</f>
        <v>#DIV/0!</v>
      </c>
      <c r="R333" s="2"/>
      <c r="S333" s="320" t="e">
        <f ca="1">S321</f>
        <v>#DIV/0!</v>
      </c>
      <c r="T333" s="308" t="s">
        <v>364</v>
      </c>
      <c r="U333" s="2" t="e">
        <f ca="1">ROUND(S333*$C333/100*S328,0)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>
      <c r="A334" s="1" t="s">
        <v>388</v>
      </c>
      <c r="B334" s="1"/>
      <c r="C334" s="304">
        <v>62933.333333333299</v>
      </c>
      <c r="D334" s="320">
        <v>7.3410000000000002</v>
      </c>
      <c r="E334" s="308" t="s">
        <v>364</v>
      </c>
      <c r="F334" s="2">
        <f>ROUND(D334*$C334/100*D328,0)</f>
        <v>-46</v>
      </c>
      <c r="G334" s="320">
        <f ca="1">G322</f>
        <v>7.5140000000000002</v>
      </c>
      <c r="H334" s="308" t="s">
        <v>364</v>
      </c>
      <c r="I334" s="2">
        <f ca="1">ROUND(G334*$C334/100*G328,0)</f>
        <v>-47</v>
      </c>
      <c r="J334" s="2"/>
      <c r="K334" s="320" t="e">
        <f ca="1">K322</f>
        <v>#REF!</v>
      </c>
      <c r="L334" s="308" t="s">
        <v>364</v>
      </c>
      <c r="M334" s="2" t="e">
        <f ca="1">ROUND(K334*$C334/100*K328,0)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ROUND(O334*$C334/100*O328,0)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ROUND(S334*$C334/100*S328,0)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>
      <c r="A335" s="1" t="s">
        <v>389</v>
      </c>
      <c r="B335" s="1"/>
      <c r="C335" s="304">
        <v>232200.00000000003</v>
      </c>
      <c r="D335" s="320">
        <v>6.3240000000000007</v>
      </c>
      <c r="E335" s="308" t="s">
        <v>364</v>
      </c>
      <c r="F335" s="2">
        <f>ROUND(D335*$C335/100*D328,0)</f>
        <v>-147</v>
      </c>
      <c r="G335" s="320">
        <f ca="1">G323</f>
        <v>6.4720000000000004</v>
      </c>
      <c r="H335" s="308" t="s">
        <v>364</v>
      </c>
      <c r="I335" s="2">
        <f ca="1">ROUND(G335*$C335/100*G328,0)</f>
        <v>-150</v>
      </c>
      <c r="J335" s="2"/>
      <c r="K335" s="320" t="e">
        <f ca="1">K323</f>
        <v>#REF!</v>
      </c>
      <c r="L335" s="308" t="s">
        <v>364</v>
      </c>
      <c r="M335" s="2" t="e">
        <f ca="1">ROUND(K335*$C335/100*K328,0)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ROUND(O335*$C335/100*O328,0)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ROUND(S335*$C335/100*S328,0)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>
      <c r="A336" s="1" t="s">
        <v>390</v>
      </c>
      <c r="B336" s="1"/>
      <c r="C336" s="304">
        <v>475.4</v>
      </c>
      <c r="D336" s="321">
        <v>57</v>
      </c>
      <c r="E336" s="308" t="s">
        <v>364</v>
      </c>
      <c r="F336" s="2">
        <f>ROUND(D336*$C336/100*D328,0)</f>
        <v>-3</v>
      </c>
      <c r="G336" s="321">
        <f ca="1">G324</f>
        <v>58</v>
      </c>
      <c r="H336" s="308" t="s">
        <v>364</v>
      </c>
      <c r="I336" s="2">
        <f ca="1">ROUND(G336*$C336/100*G328,0)</f>
        <v>-3</v>
      </c>
      <c r="J336" s="2"/>
      <c r="K336" s="321" t="str">
        <f>K324</f>
        <v xml:space="preserve"> </v>
      </c>
      <c r="L336" s="308" t="s">
        <v>364</v>
      </c>
      <c r="M336" s="2">
        <f>ROUND(K336*$C336/100*K328,0)</f>
        <v>0</v>
      </c>
      <c r="N336" s="2"/>
      <c r="O336" s="321" t="e">
        <f>O324</f>
        <v>#DIV/0!</v>
      </c>
      <c r="P336" s="308" t="s">
        <v>364</v>
      </c>
      <c r="Q336" s="2" t="e">
        <f>ROUND(O336*$C336/100*O328,0)</f>
        <v>#DIV/0!</v>
      </c>
      <c r="R336" s="2"/>
      <c r="S336" s="321" t="e">
        <f>S324</f>
        <v>#DIV/0!</v>
      </c>
      <c r="T336" s="308" t="s">
        <v>364</v>
      </c>
      <c r="U336" s="2" t="e">
        <f>ROUND(S336*$C336/100*S328,0)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>
      <c r="A337" s="1" t="s">
        <v>397</v>
      </c>
      <c r="B337" s="1"/>
      <c r="C337" s="304">
        <v>7.8666666666666698</v>
      </c>
      <c r="D337" s="322">
        <v>60</v>
      </c>
      <c r="E337" s="308"/>
      <c r="F337" s="2">
        <f>ROUND(D337*C337,0)</f>
        <v>472</v>
      </c>
      <c r="G337" s="322">
        <f>$G$197</f>
        <v>60</v>
      </c>
      <c r="H337" s="308"/>
      <c r="I337" s="2">
        <f>ROUND(G337*$C337,0)</f>
        <v>472</v>
      </c>
      <c r="J337" s="2"/>
      <c r="K337" s="311" t="s">
        <v>31</v>
      </c>
      <c r="L337" s="308"/>
      <c r="M337" s="999">
        <f>K337*C337</f>
        <v>0</v>
      </c>
      <c r="N337" s="307"/>
      <c r="O337" s="286" t="e">
        <f>O197</f>
        <v>#DIV/0!</v>
      </c>
      <c r="P337" s="308"/>
      <c r="Q337" s="2" t="e">
        <f>I337*(W207/(W207+X207))</f>
        <v>#DIV/0!</v>
      </c>
      <c r="R337" s="307"/>
      <c r="S337" s="286" t="e">
        <f>S197</f>
        <v>#DIV/0!</v>
      </c>
      <c r="T337" s="308"/>
      <c r="U337" s="2" t="e">
        <f>I337*(X207/(W207+X207))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>
      <c r="A338" s="1" t="s">
        <v>398</v>
      </c>
      <c r="B338" s="1"/>
      <c r="C338" s="304">
        <v>543</v>
      </c>
      <c r="D338" s="324">
        <v>-30</v>
      </c>
      <c r="E338" s="308" t="s">
        <v>364</v>
      </c>
      <c r="F338" s="2">
        <f>ROUND(D338*C338/100,0)</f>
        <v>-163</v>
      </c>
      <c r="G338" s="324">
        <f>$G$198</f>
        <v>-30</v>
      </c>
      <c r="H338" s="308" t="s">
        <v>364</v>
      </c>
      <c r="I338" s="2">
        <f>ROUND(G338*$C338/100,0)</f>
        <v>-163</v>
      </c>
      <c r="J338" s="2"/>
      <c r="K338" s="324">
        <f>'Blocking - detail'!$I$173</f>
        <v>-30</v>
      </c>
      <c r="L338" s="308" t="s">
        <v>364</v>
      </c>
      <c r="M338" s="307">
        <f>I338</f>
        <v>-163</v>
      </c>
      <c r="N338" s="307"/>
      <c r="O338" s="1281" t="s">
        <v>31</v>
      </c>
      <c r="P338" s="308" t="s">
        <v>31</v>
      </c>
      <c r="Q338" s="307">
        <f>O338*C338*O328</f>
        <v>0</v>
      </c>
      <c r="R338" s="307"/>
      <c r="S338" s="1281" t="s">
        <v>31</v>
      </c>
      <c r="T338" s="308" t="s">
        <v>31</v>
      </c>
      <c r="U338" s="307">
        <f>S338*D338*S328</f>
        <v>0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s="1118" customFormat="1" hidden="1">
      <c r="A339" s="968" t="s">
        <v>862</v>
      </c>
      <c r="C339" s="1122">
        <f>C333</f>
        <v>7866.6666666666697</v>
      </c>
      <c r="D339" s="1423">
        <v>0</v>
      </c>
      <c r="E339" s="1119"/>
      <c r="F339" s="1123"/>
      <c r="G339" s="1128">
        <f>G182</f>
        <v>0</v>
      </c>
      <c r="H339" s="972" t="s">
        <v>364</v>
      </c>
      <c r="I339" s="1123">
        <f>ROUND(G339*$C339/100*G328,0)</f>
        <v>0</v>
      </c>
      <c r="J339" s="1123"/>
      <c r="K339" s="1128" t="str">
        <f>K182</f>
        <v xml:space="preserve"> </v>
      </c>
      <c r="L339" s="972" t="s">
        <v>364</v>
      </c>
      <c r="M339" s="1123">
        <f>ROUND(K339*$C339/100*K328,0)</f>
        <v>0</v>
      </c>
      <c r="N339" s="1123"/>
      <c r="O339" s="1128" t="str">
        <f>O182</f>
        <v xml:space="preserve"> </v>
      </c>
      <c r="P339" s="972" t="s">
        <v>364</v>
      </c>
      <c r="Q339" s="1123">
        <f>ROUND(O339*$C339/100*O328,0)</f>
        <v>0</v>
      </c>
      <c r="R339" s="1123"/>
      <c r="S339" s="1128">
        <f>S182</f>
        <v>0</v>
      </c>
      <c r="T339" s="972" t="s">
        <v>364</v>
      </c>
      <c r="U339" s="1123">
        <f>ROUND(S339*$C339/100*S328,0)</f>
        <v>0</v>
      </c>
      <c r="W339" s="784"/>
      <c r="Z339" s="1125"/>
      <c r="AA339" s="1125"/>
      <c r="AF339" s="1119"/>
      <c r="AG339" s="1119"/>
      <c r="AH339" s="1119"/>
      <c r="AI339" s="1119"/>
      <c r="AJ339" s="1119"/>
      <c r="AK339" s="1119"/>
      <c r="AL339" s="1119"/>
      <c r="AM339" s="1119"/>
      <c r="AN339" s="1119"/>
      <c r="AO339" s="1119"/>
      <c r="AP339" s="1119"/>
      <c r="AR339" s="1124"/>
    </row>
    <row r="340" spans="1:44" s="1118" customFormat="1" hidden="1">
      <c r="A340" s="968" t="s">
        <v>863</v>
      </c>
      <c r="C340" s="1122">
        <f>C334</f>
        <v>62933.333333333299</v>
      </c>
      <c r="D340" s="1423"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ROUND(G340*$C340/100*G328,0)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ROUND(K340*$C340/100*K328,0)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ROUND(O340*$C340/100*O328,0)</f>
        <v>0</v>
      </c>
      <c r="R340" s="1123"/>
      <c r="S340" s="1128">
        <f>S183</f>
        <v>0</v>
      </c>
      <c r="T340" s="972" t="s">
        <v>364</v>
      </c>
      <c r="U340" s="1123">
        <f>ROUND(S340*$C340/100*S328,0)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864</v>
      </c>
      <c r="C341" s="1122">
        <f>C335</f>
        <v>232200.00000000003</v>
      </c>
      <c r="D341" s="1423"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ROUND(G341*$C341/100*G328,0)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ROUND(K341*$C341/100*K328,0)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ROUND(O341*$C341/100*O328,0)</f>
        <v>0</v>
      </c>
      <c r="R341" s="1123"/>
      <c r="S341" s="1128">
        <f>S184</f>
        <v>0</v>
      </c>
      <c r="T341" s="972" t="s">
        <v>364</v>
      </c>
      <c r="U341" s="1123">
        <f>ROUND(S341*$C341/100*S328,0)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>
      <c r="A342" s="1" t="s">
        <v>371</v>
      </c>
      <c r="B342" s="1"/>
      <c r="C342" s="304">
        <f>SUM(C321:C323)</f>
        <v>17280151</v>
      </c>
      <c r="D342" s="315"/>
      <c r="E342" s="308"/>
      <c r="F342" s="2">
        <f>SUM(F316:F338)</f>
        <v>1577616</v>
      </c>
      <c r="G342" s="315"/>
      <c r="H342" s="308"/>
      <c r="I342" s="2">
        <f ca="1">SUM(I316:I341)</f>
        <v>1614996</v>
      </c>
      <c r="J342" s="2"/>
      <c r="K342" s="315"/>
      <c r="L342" s="308"/>
      <c r="M342" s="2" t="e">
        <f ca="1">SUM(M316:M341)</f>
        <v>#REF!</v>
      </c>
      <c r="N342" s="2"/>
      <c r="O342" s="315"/>
      <c r="P342" s="308"/>
      <c r="Q342" s="2" t="e">
        <f ca="1">SUM(Q316:Q341)</f>
        <v>#DIV/0!</v>
      </c>
      <c r="R342" s="2"/>
      <c r="S342" s="315"/>
      <c r="T342" s="308"/>
      <c r="U342" s="2" t="e">
        <f ca="1">SUM(U316:U341)</f>
        <v>#DIV/0!</v>
      </c>
      <c r="V342" s="20"/>
      <c r="W342" s="74"/>
      <c r="X342" s="74"/>
      <c r="Y342" s="74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R342" s="84"/>
    </row>
    <row r="343" spans="1:44">
      <c r="A343" s="1" t="s">
        <v>353</v>
      </c>
      <c r="B343" s="1"/>
      <c r="C343" s="334">
        <f ca="1">'Table 2'!H71</f>
        <v>53727.522773253761</v>
      </c>
      <c r="D343" s="294"/>
      <c r="E343" s="294"/>
      <c r="F343" s="326">
        <f ca="1">'Table 3'!E71</f>
        <v>4976.1641860674354</v>
      </c>
      <c r="G343" s="294"/>
      <c r="H343" s="294"/>
      <c r="I343" s="326">
        <f ca="1">F343</f>
        <v>4976.1641860674354</v>
      </c>
      <c r="J343" s="307"/>
      <c r="K343" s="294"/>
      <c r="L343" s="294"/>
      <c r="M343" s="326" t="e">
        <f ca="1">$I$343*V207/($V$207+$W$207+$X$207)</f>
        <v>#DIV/0!</v>
      </c>
      <c r="N343" s="51"/>
      <c r="O343" s="294"/>
      <c r="P343" s="294"/>
      <c r="Q343" s="326" t="e">
        <f ca="1">$I$343*W207/($V$207+$W$207+$X$207)</f>
        <v>#DIV/0!</v>
      </c>
      <c r="R343" s="51"/>
      <c r="S343" s="294"/>
      <c r="T343" s="294"/>
      <c r="U343" s="326" t="e">
        <f ca="1">$I$343*X207/($V$207+$W$207+$X$207)</f>
        <v>#DIV/0!</v>
      </c>
      <c r="V343" s="429"/>
      <c r="W343" s="272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t="16.5" thickBot="1">
      <c r="A344" s="1" t="s">
        <v>372</v>
      </c>
      <c r="B344" s="1"/>
      <c r="C344" s="296">
        <f ca="1">SUM(C342:C343)</f>
        <v>17333878.522773255</v>
      </c>
      <c r="D344" s="327"/>
      <c r="E344" s="330"/>
      <c r="F344" s="329">
        <f ca="1">F342+F343</f>
        <v>1582592.1641860674</v>
      </c>
      <c r="G344" s="327"/>
      <c r="H344" s="330"/>
      <c r="I344" s="329">
        <f ca="1">I342+I343</f>
        <v>1619972.1641860674</v>
      </c>
      <c r="J344" s="307"/>
      <c r="K344" s="327"/>
      <c r="L344" s="330"/>
      <c r="M344" s="329" t="e">
        <f ca="1">M342+M343</f>
        <v>#REF!</v>
      </c>
      <c r="N344" s="329"/>
      <c r="O344" s="327"/>
      <c r="P344" s="330"/>
      <c r="Q344" s="329" t="e">
        <f ca="1">Q342+Q343</f>
        <v>#DIV/0!</v>
      </c>
      <c r="R344" s="329"/>
      <c r="S344" s="327"/>
      <c r="T344" s="330"/>
      <c r="U344" s="329" t="e">
        <f ca="1">U342+U343</f>
        <v>#DIV/0!</v>
      </c>
      <c r="V344" s="396"/>
      <c r="W344" s="455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thickTop="1">
      <c r="A345" s="1"/>
      <c r="B345" s="1"/>
      <c r="C345" s="335"/>
      <c r="D345" s="336"/>
      <c r="E345" s="23"/>
      <c r="F345" s="307"/>
      <c r="G345" s="336"/>
      <c r="H345" s="23"/>
      <c r="I345" s="307"/>
      <c r="J345" s="307"/>
      <c r="K345" s="336"/>
      <c r="L345" s="23"/>
      <c r="M345" s="307"/>
      <c r="N345" s="307"/>
      <c r="O345" s="336"/>
      <c r="P345" s="23"/>
      <c r="Q345" s="307"/>
      <c r="R345" s="307"/>
      <c r="S345" s="336"/>
      <c r="T345" s="23"/>
      <c r="U345" s="307"/>
      <c r="V345" s="20"/>
      <c r="W345" s="74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>
      <c r="A346" s="278" t="s">
        <v>405</v>
      </c>
      <c r="B346" s="1"/>
      <c r="C346" s="1"/>
      <c r="D346" s="2"/>
      <c r="E346" s="1"/>
      <c r="F346" s="1"/>
      <c r="G346" s="2"/>
      <c r="H346" s="1"/>
      <c r="I346" s="1"/>
      <c r="J346" s="1"/>
      <c r="K346" s="2"/>
      <c r="L346" s="1"/>
      <c r="M346" s="1"/>
      <c r="N346" s="1"/>
      <c r="O346" s="2"/>
      <c r="P346" s="1"/>
      <c r="Q346" s="1"/>
      <c r="R346" s="1"/>
      <c r="S346" s="2"/>
      <c r="T346" s="1"/>
      <c r="U346" s="1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>
      <c r="A347" s="1" t="s">
        <v>400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>
      <c r="A348" s="1"/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>
      <c r="A349" s="1" t="s">
        <v>383</v>
      </c>
      <c r="B349" s="1"/>
      <c r="C349" s="304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>
      <c r="A350" s="1" t="s">
        <v>406</v>
      </c>
      <c r="B350" s="1"/>
      <c r="C350" s="304">
        <f>C385+C420</f>
        <v>4499.0963483023515</v>
      </c>
      <c r="D350" s="283">
        <v>9.76</v>
      </c>
      <c r="E350" s="308"/>
      <c r="F350" s="2">
        <f>ROUND(D350*$C350,0)</f>
        <v>43911</v>
      </c>
      <c r="G350" s="283">
        <f ca="1">$G$172</f>
        <v>9.99</v>
      </c>
      <c r="H350" s="308"/>
      <c r="I350" s="2">
        <f ca="1">I385+I420</f>
        <v>44946</v>
      </c>
      <c r="J350" s="2"/>
      <c r="K350" s="283">
        <f ca="1">$K$172</f>
        <v>9.99</v>
      </c>
      <c r="L350" s="308"/>
      <c r="M350" s="2">
        <f ca="1">M385+M420</f>
        <v>44946</v>
      </c>
      <c r="N350" s="2"/>
      <c r="O350" s="283" t="str">
        <f>$O$172</f>
        <v xml:space="preserve"> </v>
      </c>
      <c r="P350" s="308"/>
      <c r="Q350" s="2">
        <f>Q385+Q420</f>
        <v>0</v>
      </c>
      <c r="R350" s="2"/>
      <c r="S350" s="283" t="str">
        <f>$S$172</f>
        <v xml:space="preserve"> </v>
      </c>
      <c r="T350" s="308"/>
      <c r="U350" s="2">
        <f>U385+U420</f>
        <v>0</v>
      </c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>
      <c r="A351" s="1" t="s">
        <v>381</v>
      </c>
      <c r="B351" s="1"/>
      <c r="C351" s="304">
        <f>C386+C421</f>
        <v>0</v>
      </c>
      <c r="D351" s="283">
        <v>14.54</v>
      </c>
      <c r="E351" s="310"/>
      <c r="F351" s="2">
        <f t="shared" ref="F351:F352" si="79">ROUND(D351*$C351,0)</f>
        <v>0</v>
      </c>
      <c r="G351" s="283">
        <f ca="1">$G$173</f>
        <v>14.89</v>
      </c>
      <c r="H351" s="310"/>
      <c r="I351" s="2">
        <f ca="1">I386+I421</f>
        <v>0</v>
      </c>
      <c r="J351" s="2"/>
      <c r="K351" s="283">
        <f ca="1">$K$173</f>
        <v>14.89</v>
      </c>
      <c r="L351" s="310"/>
      <c r="M351" s="2">
        <f ca="1">M386+M421</f>
        <v>0</v>
      </c>
      <c r="N351" s="2"/>
      <c r="O351" s="283" t="str">
        <f>$O$173</f>
        <v xml:space="preserve"> </v>
      </c>
      <c r="P351" s="310"/>
      <c r="Q351" s="2">
        <f>Q386+Q421</f>
        <v>0</v>
      </c>
      <c r="R351" s="2"/>
      <c r="S351" s="283" t="str">
        <f>$S$173</f>
        <v xml:space="preserve"> </v>
      </c>
      <c r="T351" s="310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>
      <c r="A352" s="1" t="s">
        <v>382</v>
      </c>
      <c r="B352" s="1"/>
      <c r="C352" s="304">
        <f>C387+C422</f>
        <v>0</v>
      </c>
      <c r="D352" s="283">
        <v>1.02</v>
      </c>
      <c r="E352" s="310"/>
      <c r="F352" s="2">
        <f t="shared" si="79"/>
        <v>0</v>
      </c>
      <c r="G352" s="283">
        <f ca="1">$G$174</f>
        <v>1.04</v>
      </c>
      <c r="H352" s="310"/>
      <c r="I352" s="2">
        <f ca="1">I387+I422</f>
        <v>0</v>
      </c>
      <c r="J352" s="2"/>
      <c r="K352" s="283">
        <f ca="1">$K$174</f>
        <v>1.04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>
      <c r="A353" s="1" t="s">
        <v>384</v>
      </c>
      <c r="B353" s="1"/>
      <c r="C353" s="304">
        <f>SUM(C350:C351)</f>
        <v>4499.0963483023515</v>
      </c>
      <c r="D353" s="283"/>
      <c r="E353" s="308"/>
      <c r="F353" s="2"/>
      <c r="G353" s="283"/>
      <c r="H353" s="308"/>
      <c r="I353" s="2"/>
      <c r="J353" s="2"/>
      <c r="K353" s="283"/>
      <c r="L353" s="308"/>
      <c r="M353" s="2"/>
      <c r="N353" s="2"/>
      <c r="O353" s="283"/>
      <c r="P353" s="308"/>
      <c r="Q353" s="2"/>
      <c r="R353" s="2"/>
      <c r="S353" s="283"/>
      <c r="T353" s="308"/>
      <c r="U353" s="2"/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>
      <c r="A354" s="1" t="s">
        <v>352</v>
      </c>
      <c r="B354" s="1"/>
      <c r="C354" s="304">
        <f t="shared" ref="C354:C359" si="80">C389+C424</f>
        <v>1449.1000000000033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>
      <c r="A355" s="1" t="s">
        <v>385</v>
      </c>
      <c r="B355" s="1"/>
      <c r="C355" s="304">
        <f t="shared" si="80"/>
        <v>0</v>
      </c>
      <c r="D355" s="311">
        <v>3.7</v>
      </c>
      <c r="E355" s="308"/>
      <c r="F355" s="2">
        <f>ROUND(D355*C355,0)</f>
        <v>0</v>
      </c>
      <c r="G355" s="311">
        <f ca="1">$G$177</f>
        <v>3.8</v>
      </c>
      <c r="H355" s="308"/>
      <c r="I355" s="2">
        <f ca="1">I390+I425</f>
        <v>0</v>
      </c>
      <c r="J355" s="2"/>
      <c r="K355" s="311" t="e">
        <f ca="1">$K$177</f>
        <v>#REF!</v>
      </c>
      <c r="L355" s="308"/>
      <c r="M355" s="2" t="e">
        <f ca="1">M390+M425</f>
        <v>#REF!</v>
      </c>
      <c r="N355" s="2"/>
      <c r="O355" s="311" t="e">
        <f ca="1">$O$177</f>
        <v>#DIV/0!</v>
      </c>
      <c r="P355" s="308"/>
      <c r="Q355" s="2" t="e">
        <f ca="1">Q390+Q425</f>
        <v>#DIV/0!</v>
      </c>
      <c r="R355" s="2"/>
      <c r="S355" s="311" t="e">
        <f ca="1">$S$177</f>
        <v>#DIV/0!</v>
      </c>
      <c r="T355" s="308"/>
      <c r="U355" s="2" t="e">
        <f ca="1">U390+U425</f>
        <v>#DIV/0!</v>
      </c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>
      <c r="A356" s="1" t="s">
        <v>387</v>
      </c>
      <c r="B356" s="1"/>
      <c r="C356" s="304">
        <f t="shared" si="80"/>
        <v>1238906.7942953119</v>
      </c>
      <c r="D356" s="284">
        <v>10.628</v>
      </c>
      <c r="E356" s="308" t="s">
        <v>364</v>
      </c>
      <c r="F356" s="2">
        <f>ROUND(D356*C356/100,0)</f>
        <v>131671</v>
      </c>
      <c r="G356" s="284">
        <f ca="1">$G$178</f>
        <v>10.878</v>
      </c>
      <c r="H356" s="308" t="s">
        <v>364</v>
      </c>
      <c r="I356" s="2">
        <f ca="1">I391+I426</f>
        <v>134769</v>
      </c>
      <c r="J356" s="2"/>
      <c r="K356" s="284" t="e">
        <f ca="1">$K$178</f>
        <v>#REF!</v>
      </c>
      <c r="L356" s="308" t="s">
        <v>364</v>
      </c>
      <c r="M356" s="2" t="e">
        <f ca="1">M391+M426</f>
        <v>#REF!</v>
      </c>
      <c r="N356" s="2"/>
      <c r="O356" s="284" t="e">
        <f ca="1">$O$178</f>
        <v>#DIV/0!</v>
      </c>
      <c r="P356" s="308" t="s">
        <v>364</v>
      </c>
      <c r="Q356" s="2" t="e">
        <f ca="1">Q391+Q426</f>
        <v>#DIV/0!</v>
      </c>
      <c r="R356" s="2"/>
      <c r="S356" s="284" t="e">
        <f ca="1">$S$178</f>
        <v>#DIV/0!</v>
      </c>
      <c r="T356" s="308" t="s">
        <v>364</v>
      </c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>
      <c r="A357" s="1" t="s">
        <v>388</v>
      </c>
      <c r="B357" s="1"/>
      <c r="C357" s="304">
        <f t="shared" si="80"/>
        <v>64875</v>
      </c>
      <c r="D357" s="284">
        <v>7.3410000000000002</v>
      </c>
      <c r="E357" s="308" t="s">
        <v>364</v>
      </c>
      <c r="F357" s="2">
        <f>ROUND(D357*C357/100,0)</f>
        <v>4762</v>
      </c>
      <c r="G357" s="284">
        <f ca="1">$G$179</f>
        <v>7.5140000000000002</v>
      </c>
      <c r="H357" s="308" t="s">
        <v>364</v>
      </c>
      <c r="I357" s="2">
        <f ca="1">I392+I427</f>
        <v>4875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>
      <c r="A358" s="1" t="s">
        <v>389</v>
      </c>
      <c r="B358" s="1"/>
      <c r="C358" s="304">
        <f t="shared" si="80"/>
        <v>0</v>
      </c>
      <c r="D358" s="284">
        <v>6.3240000000000007</v>
      </c>
      <c r="E358" s="308" t="s">
        <v>364</v>
      </c>
      <c r="F358" s="2">
        <f>ROUND(D358*C358/100,0)</f>
        <v>0</v>
      </c>
      <c r="G358" s="284">
        <f ca="1">$G$180</f>
        <v>6.4720000000000004</v>
      </c>
      <c r="H358" s="308" t="s">
        <v>364</v>
      </c>
      <c r="I358" s="2">
        <f t="shared" ref="I358:I361" ca="1" si="81">I393+I428</f>
        <v>0</v>
      </c>
      <c r="J358" s="2"/>
      <c r="K358" s="284" t="e">
        <f ca="1">$K$180</f>
        <v>#REF!</v>
      </c>
      <c r="L358" s="308" t="s">
        <v>364</v>
      </c>
      <c r="M358" s="2" t="e">
        <f t="shared" ref="M358:M361" ca="1" si="82">M393+M428</f>
        <v>#REF!</v>
      </c>
      <c r="N358" s="2"/>
      <c r="O358" s="284" t="e">
        <f ca="1">$O$180</f>
        <v>#DIV/0!</v>
      </c>
      <c r="P358" s="308" t="s">
        <v>364</v>
      </c>
      <c r="Q358" s="2" t="e">
        <f t="shared" ref="Q358:Q361" ca="1" si="83">Q393+Q428</f>
        <v>#DIV/0!</v>
      </c>
      <c r="R358" s="2"/>
      <c r="S358" s="284" t="e">
        <f ca="1">$S$180</f>
        <v>#DIV/0!</v>
      </c>
      <c r="T358" s="308" t="s">
        <v>364</v>
      </c>
      <c r="U358" s="2" t="e">
        <f t="shared" ref="U358:U361" ca="1" si="84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>
      <c r="A359" s="1" t="s">
        <v>390</v>
      </c>
      <c r="B359" s="1"/>
      <c r="C359" s="304">
        <f t="shared" si="80"/>
        <v>0</v>
      </c>
      <c r="D359" s="315">
        <v>57</v>
      </c>
      <c r="E359" s="308" t="s">
        <v>364</v>
      </c>
      <c r="F359" s="2">
        <f>ROUND(D359*C359/100,0)</f>
        <v>0</v>
      </c>
      <c r="G359" s="315">
        <f ca="1">$G$181</f>
        <v>58</v>
      </c>
      <c r="H359" s="308" t="s">
        <v>364</v>
      </c>
      <c r="I359" s="2">
        <f t="shared" ca="1" si="81"/>
        <v>0</v>
      </c>
      <c r="J359" s="2"/>
      <c r="K359" s="315" t="str">
        <f>$K$181</f>
        <v xml:space="preserve"> </v>
      </c>
      <c r="L359" s="308" t="s">
        <v>364</v>
      </c>
      <c r="M359" s="2">
        <f t="shared" si="82"/>
        <v>0</v>
      </c>
      <c r="N359" s="2"/>
      <c r="O359" s="315" t="e">
        <f>$O$181</f>
        <v>#DIV/0!</v>
      </c>
      <c r="P359" s="308" t="s">
        <v>364</v>
      </c>
      <c r="Q359" s="2" t="e">
        <f t="shared" si="83"/>
        <v>#DIV/0!</v>
      </c>
      <c r="R359" s="2"/>
      <c r="S359" s="315" t="e">
        <f>$S$181</f>
        <v>#DIV/0!</v>
      </c>
      <c r="T359" s="308" t="s">
        <v>364</v>
      </c>
      <c r="U359" s="2" t="e">
        <f t="shared" si="84"/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s="1118" customFormat="1" hidden="1">
      <c r="A360" s="968" t="s">
        <v>862</v>
      </c>
      <c r="C360" s="987">
        <f>C401+C442</f>
        <v>0</v>
      </c>
      <c r="D360" s="1423">
        <v>0</v>
      </c>
      <c r="E360" s="1119"/>
      <c r="F360" s="1123"/>
      <c r="G360" s="1128">
        <f>G182</f>
        <v>0</v>
      </c>
      <c r="H360" s="972" t="s">
        <v>364</v>
      </c>
      <c r="I360" s="2">
        <f t="shared" si="81"/>
        <v>0</v>
      </c>
      <c r="J360" s="2"/>
      <c r="K360" s="1128" t="str">
        <f>K182</f>
        <v xml:space="preserve"> </v>
      </c>
      <c r="L360" s="972" t="s">
        <v>364</v>
      </c>
      <c r="M360" s="2">
        <f t="shared" si="82"/>
        <v>0</v>
      </c>
      <c r="N360" s="2"/>
      <c r="O360" s="1128" t="str">
        <f>O182</f>
        <v xml:space="preserve"> </v>
      </c>
      <c r="P360" s="972" t="s">
        <v>364</v>
      </c>
      <c r="Q360" s="2">
        <f t="shared" si="83"/>
        <v>0</v>
      </c>
      <c r="R360" s="2"/>
      <c r="S360" s="1128">
        <f>S182</f>
        <v>0</v>
      </c>
      <c r="T360" s="972" t="s">
        <v>364</v>
      </c>
      <c r="U360" s="2">
        <f t="shared" si="84"/>
        <v>0</v>
      </c>
      <c r="W360" s="784"/>
      <c r="Z360" s="1125"/>
      <c r="AA360" s="1125"/>
      <c r="AF360" s="1119"/>
      <c r="AG360" s="1119"/>
      <c r="AH360" s="1119"/>
      <c r="AI360" s="1119"/>
      <c r="AJ360" s="1119"/>
      <c r="AK360" s="1119"/>
      <c r="AL360" s="1119"/>
      <c r="AM360" s="1119"/>
      <c r="AN360" s="1119"/>
      <c r="AO360" s="1119"/>
      <c r="AP360" s="1119"/>
      <c r="AR360" s="1124"/>
    </row>
    <row r="361" spans="1:44" s="1118" customFormat="1" hidden="1">
      <c r="A361" s="968" t="s">
        <v>863</v>
      </c>
      <c r="C361" s="987">
        <f>C402+C443</f>
        <v>0</v>
      </c>
      <c r="D361" s="1423">
        <v>0</v>
      </c>
      <c r="E361" s="1119"/>
      <c r="F361" s="1123"/>
      <c r="G361" s="1128">
        <f>G183</f>
        <v>0</v>
      </c>
      <c r="H361" s="972" t="s">
        <v>364</v>
      </c>
      <c r="I361" s="2">
        <f t="shared" si="81"/>
        <v>0</v>
      </c>
      <c r="J361" s="2"/>
      <c r="K361" s="1128" t="str">
        <f>K183</f>
        <v xml:space="preserve"> </v>
      </c>
      <c r="L361" s="972" t="s">
        <v>364</v>
      </c>
      <c r="M361" s="2">
        <f t="shared" si="82"/>
        <v>0</v>
      </c>
      <c r="N361" s="2"/>
      <c r="O361" s="1128" t="str">
        <f>O183</f>
        <v xml:space="preserve"> </v>
      </c>
      <c r="P361" s="972" t="s">
        <v>364</v>
      </c>
      <c r="Q361" s="2">
        <f t="shared" si="83"/>
        <v>0</v>
      </c>
      <c r="R361" s="2"/>
      <c r="S361" s="1128">
        <f>S183</f>
        <v>0</v>
      </c>
      <c r="T361" s="972" t="s">
        <v>364</v>
      </c>
      <c r="U361" s="2">
        <f t="shared" si="84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864</v>
      </c>
      <c r="C362" s="987">
        <f>C403+C447</f>
        <v>33312</v>
      </c>
      <c r="D362" s="1423">
        <v>0</v>
      </c>
      <c r="E362" s="1119"/>
      <c r="F362" s="1123"/>
      <c r="G362" s="1128">
        <f>G184</f>
        <v>0</v>
      </c>
      <c r="H362" s="972" t="s">
        <v>364</v>
      </c>
      <c r="I362" s="1123">
        <f ca="1">I403+I447</f>
        <v>8774</v>
      </c>
      <c r="J362" s="1123"/>
      <c r="K362" s="1128" t="str">
        <f>K184</f>
        <v xml:space="preserve"> </v>
      </c>
      <c r="L362" s="972" t="s">
        <v>364</v>
      </c>
      <c r="M362" s="1123" t="e">
        <f ca="1">M403+M447</f>
        <v>#REF!</v>
      </c>
      <c r="N362" s="1123"/>
      <c r="O362" s="1128" t="str">
        <f>O184</f>
        <v xml:space="preserve"> </v>
      </c>
      <c r="P362" s="972" t="s">
        <v>364</v>
      </c>
      <c r="Q362" s="1123" t="e">
        <f ca="1">Q403+Q447</f>
        <v>#DIV/0!</v>
      </c>
      <c r="R362" s="1123"/>
      <c r="S362" s="1128">
        <f>S184</f>
        <v>0</v>
      </c>
      <c r="T362" s="972" t="s">
        <v>364</v>
      </c>
      <c r="U362" s="1123" t="e">
        <f ca="1">U403+U447</f>
        <v>#DIV/0!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>
      <c r="A363" s="316" t="s">
        <v>391</v>
      </c>
      <c r="B363" s="1"/>
      <c r="C363" s="304"/>
      <c r="D363" s="317">
        <v>-0.01</v>
      </c>
      <c r="E363" s="308"/>
      <c r="F363" s="2"/>
      <c r="G363" s="317">
        <v>-0.01</v>
      </c>
      <c r="H363" s="308"/>
      <c r="I363" s="2"/>
      <c r="J363" s="2"/>
      <c r="K363" s="317">
        <v>-0.01</v>
      </c>
      <c r="L363" s="308"/>
      <c r="M363" s="2"/>
      <c r="N363" s="2"/>
      <c r="O363" s="317">
        <v>-0.01</v>
      </c>
      <c r="P363" s="308"/>
      <c r="Q363" s="2"/>
      <c r="R363" s="2"/>
      <c r="S363" s="317">
        <v>-0.01</v>
      </c>
      <c r="T363" s="308"/>
      <c r="U363" s="2"/>
      <c r="V363" s="20"/>
      <c r="W363" s="74"/>
      <c r="X363" s="74"/>
      <c r="Y363" s="74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R363" s="84"/>
    </row>
    <row r="364" spans="1:44">
      <c r="A364" s="1" t="s">
        <v>380</v>
      </c>
      <c r="B364" s="1"/>
      <c r="C364" s="304">
        <v>0</v>
      </c>
      <c r="D364" s="319">
        <v>9.76</v>
      </c>
      <c r="E364" s="306"/>
      <c r="F364" s="2">
        <f>-ROUND(D364*$C364/100,0)</f>
        <v>0</v>
      </c>
      <c r="G364" s="319">
        <f ca="1">G350</f>
        <v>9.99</v>
      </c>
      <c r="H364" s="306"/>
      <c r="I364" s="2">
        <f t="shared" ref="I364:I377" ca="1" si="85">I399+I434</f>
        <v>0</v>
      </c>
      <c r="J364" s="2"/>
      <c r="K364" s="319">
        <f ca="1">K350</f>
        <v>9.99</v>
      </c>
      <c r="L364" s="306"/>
      <c r="M364" s="2">
        <f t="shared" ref="M364:M377" ca="1" si="86">M399+M434</f>
        <v>0</v>
      </c>
      <c r="N364" s="2"/>
      <c r="O364" s="319" t="str">
        <f>O350</f>
        <v xml:space="preserve"> </v>
      </c>
      <c r="P364" s="306"/>
      <c r="Q364" s="2">
        <f t="shared" ref="Q364:Q377" si="87">Q399+Q434</f>
        <v>0</v>
      </c>
      <c r="R364" s="2"/>
      <c r="S364" s="319" t="str">
        <f>S350</f>
        <v xml:space="preserve"> </v>
      </c>
      <c r="T364" s="306"/>
      <c r="U364" s="2">
        <f t="shared" ref="U364:U377" si="88">U399+U434</f>
        <v>0</v>
      </c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>
      <c r="A365" s="1" t="s">
        <v>381</v>
      </c>
      <c r="B365" s="1"/>
      <c r="C365" s="304">
        <v>0</v>
      </c>
      <c r="D365" s="319">
        <v>14.54</v>
      </c>
      <c r="E365" s="306"/>
      <c r="F365" s="2">
        <f t="shared" ref="F365:F367" si="89">-ROUND(D365*$C365/100,0)</f>
        <v>0</v>
      </c>
      <c r="G365" s="319">
        <f ca="1">G351</f>
        <v>14.89</v>
      </c>
      <c r="H365" s="306"/>
      <c r="I365" s="2">
        <f t="shared" ca="1" si="85"/>
        <v>0</v>
      </c>
      <c r="J365" s="2"/>
      <c r="K365" s="319">
        <f ca="1">K351</f>
        <v>14.89</v>
      </c>
      <c r="L365" s="306"/>
      <c r="M365" s="2">
        <f t="shared" ca="1" si="86"/>
        <v>0</v>
      </c>
      <c r="N365" s="2"/>
      <c r="O365" s="319" t="str">
        <f>O351</f>
        <v xml:space="preserve"> </v>
      </c>
      <c r="P365" s="306"/>
      <c r="Q365" s="2">
        <f t="shared" si="87"/>
        <v>0</v>
      </c>
      <c r="R365" s="2"/>
      <c r="S365" s="319" t="str">
        <f>S351</f>
        <v xml:space="preserve"> </v>
      </c>
      <c r="T365" s="306"/>
      <c r="U365" s="2">
        <f t="shared" si="88"/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>
      <c r="A366" s="1" t="s">
        <v>392</v>
      </c>
      <c r="B366" s="1"/>
      <c r="C366" s="304">
        <v>0</v>
      </c>
      <c r="D366" s="319">
        <v>1.02</v>
      </c>
      <c r="E366" s="306"/>
      <c r="F366" s="2">
        <f t="shared" si="89"/>
        <v>0</v>
      </c>
      <c r="G366" s="319">
        <f ca="1">G352</f>
        <v>1.04</v>
      </c>
      <c r="H366" s="306"/>
      <c r="I366" s="2">
        <f t="shared" ca="1" si="85"/>
        <v>0</v>
      </c>
      <c r="J366" s="2"/>
      <c r="K366" s="319">
        <f ca="1">K352</f>
        <v>1.04</v>
      </c>
      <c r="L366" s="306"/>
      <c r="M366" s="2">
        <f t="shared" ca="1" si="86"/>
        <v>0</v>
      </c>
      <c r="N366" s="2"/>
      <c r="O366" s="319" t="str">
        <f>O352</f>
        <v xml:space="preserve"> </v>
      </c>
      <c r="P366" s="306"/>
      <c r="Q366" s="2">
        <f t="shared" si="87"/>
        <v>0</v>
      </c>
      <c r="R366" s="2"/>
      <c r="S366" s="319" t="str">
        <f>S352</f>
        <v xml:space="preserve"> </v>
      </c>
      <c r="T366" s="306"/>
      <c r="U366" s="2">
        <f t="shared" si="88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>
      <c r="A367" s="1" t="s">
        <v>393</v>
      </c>
      <c r="B367" s="1"/>
      <c r="C367" s="304">
        <v>0</v>
      </c>
      <c r="D367" s="319">
        <v>3.7</v>
      </c>
      <c r="E367" s="308"/>
      <c r="F367" s="2">
        <f t="shared" si="89"/>
        <v>0</v>
      </c>
      <c r="G367" s="319">
        <f ca="1">G355</f>
        <v>3.8</v>
      </c>
      <c r="H367" s="308"/>
      <c r="I367" s="2">
        <f t="shared" ca="1" si="85"/>
        <v>0</v>
      </c>
      <c r="J367" s="2"/>
      <c r="K367" s="319" t="e">
        <f ca="1">K355</f>
        <v>#REF!</v>
      </c>
      <c r="L367" s="308"/>
      <c r="M367" s="2" t="e">
        <f t="shared" ca="1" si="86"/>
        <v>#REF!</v>
      </c>
      <c r="N367" s="2"/>
      <c r="O367" s="319" t="e">
        <f ca="1">O355</f>
        <v>#DIV/0!</v>
      </c>
      <c r="P367" s="308"/>
      <c r="Q367" s="2" t="e">
        <f t="shared" ca="1" si="87"/>
        <v>#DIV/0!</v>
      </c>
      <c r="R367" s="2"/>
      <c r="S367" s="319" t="e">
        <f ca="1">S355</f>
        <v>#DIV/0!</v>
      </c>
      <c r="T367" s="308"/>
      <c r="U367" s="2" t="e">
        <f t="shared" ca="1" si="88"/>
        <v>#DIV/0!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>
      <c r="A368" s="1" t="s">
        <v>395</v>
      </c>
      <c r="B368" s="1"/>
      <c r="C368" s="304">
        <v>0</v>
      </c>
      <c r="D368" s="320">
        <v>10.628</v>
      </c>
      <c r="E368" s="308" t="s">
        <v>364</v>
      </c>
      <c r="F368" s="2">
        <f>ROUND(D368*$C368/100*D363,0)</f>
        <v>0</v>
      </c>
      <c r="G368" s="320">
        <f ca="1">G356</f>
        <v>10.878</v>
      </c>
      <c r="H368" s="308" t="s">
        <v>364</v>
      </c>
      <c r="I368" s="2">
        <f t="shared" ca="1" si="85"/>
        <v>0</v>
      </c>
      <c r="J368" s="2"/>
      <c r="K368" s="320" t="e">
        <f ca="1">K356</f>
        <v>#REF!</v>
      </c>
      <c r="L368" s="308" t="s">
        <v>364</v>
      </c>
      <c r="M368" s="2" t="e">
        <f t="shared" ca="1" si="86"/>
        <v>#REF!</v>
      </c>
      <c r="N368" s="2"/>
      <c r="O368" s="320" t="e">
        <f ca="1">O356</f>
        <v>#DIV/0!</v>
      </c>
      <c r="P368" s="308" t="s">
        <v>364</v>
      </c>
      <c r="Q368" s="2" t="e">
        <f t="shared" ca="1" si="87"/>
        <v>#DIV/0!</v>
      </c>
      <c r="R368" s="2"/>
      <c r="S368" s="320" t="e">
        <f ca="1">S356</f>
        <v>#DIV/0!</v>
      </c>
      <c r="T368" s="308" t="s">
        <v>364</v>
      </c>
      <c r="U368" s="2" t="e">
        <f t="shared" ca="1" si="88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>
      <c r="A369" s="1" t="s">
        <v>388</v>
      </c>
      <c r="B369" s="1"/>
      <c r="C369" s="304">
        <v>0</v>
      </c>
      <c r="D369" s="320">
        <v>7.3410000000000002</v>
      </c>
      <c r="E369" s="308" t="s">
        <v>364</v>
      </c>
      <c r="F369" s="2">
        <f>ROUND(D369*$C369/100*D363,0)</f>
        <v>0</v>
      </c>
      <c r="G369" s="320">
        <f ca="1">G357</f>
        <v>7.5140000000000002</v>
      </c>
      <c r="H369" s="308" t="s">
        <v>364</v>
      </c>
      <c r="I369" s="2">
        <f t="shared" ca="1" si="85"/>
        <v>0</v>
      </c>
      <c r="J369" s="2"/>
      <c r="K369" s="320" t="e">
        <f ca="1">K357</f>
        <v>#REF!</v>
      </c>
      <c r="L369" s="308" t="s">
        <v>364</v>
      </c>
      <c r="M369" s="2" t="e">
        <f t="shared" ca="1" si="86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87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8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>
      <c r="A370" s="1" t="s">
        <v>389</v>
      </c>
      <c r="B370" s="1"/>
      <c r="C370" s="304">
        <v>0</v>
      </c>
      <c r="D370" s="320">
        <v>6.3240000000000007</v>
      </c>
      <c r="E370" s="308" t="s">
        <v>364</v>
      </c>
      <c r="F370" s="2">
        <f>ROUND(D370*$C370/100*D363,0)</f>
        <v>0</v>
      </c>
      <c r="G370" s="320">
        <f ca="1">G358</f>
        <v>6.4720000000000004</v>
      </c>
      <c r="H370" s="308" t="s">
        <v>364</v>
      </c>
      <c r="I370" s="2">
        <f t="shared" ca="1" si="85"/>
        <v>0</v>
      </c>
      <c r="J370" s="2"/>
      <c r="K370" s="320" t="e">
        <f ca="1">K358</f>
        <v>#REF!</v>
      </c>
      <c r="L370" s="308" t="s">
        <v>364</v>
      </c>
      <c r="M370" s="2" t="e">
        <f t="shared" ca="1" si="86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87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8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>
      <c r="A371" s="1" t="s">
        <v>390</v>
      </c>
      <c r="B371" s="1"/>
      <c r="C371" s="304">
        <v>0</v>
      </c>
      <c r="D371" s="321">
        <v>57</v>
      </c>
      <c r="E371" s="308" t="s">
        <v>364</v>
      </c>
      <c r="F371" s="2">
        <f>ROUND(D371*$C371/100*D363,0)</f>
        <v>0</v>
      </c>
      <c r="G371" s="321">
        <f ca="1">G359</f>
        <v>58</v>
      </c>
      <c r="H371" s="308" t="s">
        <v>364</v>
      </c>
      <c r="I371" s="2">
        <f t="shared" ca="1" si="85"/>
        <v>0</v>
      </c>
      <c r="J371" s="2"/>
      <c r="K371" s="321" t="str">
        <f>K359</f>
        <v xml:space="preserve"> </v>
      </c>
      <c r="L371" s="308" t="s">
        <v>364</v>
      </c>
      <c r="M371" s="2">
        <f t="shared" si="86"/>
        <v>0</v>
      </c>
      <c r="N371" s="2"/>
      <c r="O371" s="321" t="e">
        <f>O359</f>
        <v>#DIV/0!</v>
      </c>
      <c r="P371" s="308" t="s">
        <v>364</v>
      </c>
      <c r="Q371" s="2" t="e">
        <f t="shared" si="87"/>
        <v>#DIV/0!</v>
      </c>
      <c r="R371" s="2"/>
      <c r="S371" s="321" t="e">
        <f>S359</f>
        <v>#DIV/0!</v>
      </c>
      <c r="T371" s="308" t="s">
        <v>364</v>
      </c>
      <c r="U371" s="2" t="e">
        <f t="shared" si="88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>
      <c r="A372" s="1" t="s">
        <v>397</v>
      </c>
      <c r="B372" s="1"/>
      <c r="C372" s="304">
        <v>0</v>
      </c>
      <c r="D372" s="322">
        <v>60</v>
      </c>
      <c r="E372" s="308"/>
      <c r="F372" s="2">
        <f>ROUND(D372*C372,0)</f>
        <v>0</v>
      </c>
      <c r="G372" s="322">
        <f>$G$197</f>
        <v>60</v>
      </c>
      <c r="H372" s="308"/>
      <c r="I372" s="2">
        <f t="shared" si="85"/>
        <v>0</v>
      </c>
      <c r="J372" s="2"/>
      <c r="K372" s="322">
        <f>$G$197</f>
        <v>60</v>
      </c>
      <c r="L372" s="308"/>
      <c r="M372" s="2">
        <f t="shared" si="86"/>
        <v>0</v>
      </c>
      <c r="N372" s="2"/>
      <c r="O372" s="322">
        <f>$G$197</f>
        <v>60</v>
      </c>
      <c r="P372" s="308"/>
      <c r="Q372" s="2" t="e">
        <f t="shared" si="87"/>
        <v>#DIV/0!</v>
      </c>
      <c r="R372" s="2"/>
      <c r="S372" s="322">
        <f>$G$197</f>
        <v>60</v>
      </c>
      <c r="T372" s="308"/>
      <c r="U372" s="2" t="e">
        <f t="shared" si="88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>
      <c r="A373" s="1" t="s">
        <v>398</v>
      </c>
      <c r="B373" s="1"/>
      <c r="C373" s="304">
        <v>0</v>
      </c>
      <c r="D373" s="324">
        <v>-30</v>
      </c>
      <c r="E373" s="308" t="s">
        <v>364</v>
      </c>
      <c r="F373" s="2">
        <f>ROUND(D373*C373/100,0)</f>
        <v>0</v>
      </c>
      <c r="G373" s="324">
        <f>$G$198</f>
        <v>-30</v>
      </c>
      <c r="H373" s="308" t="s">
        <v>364</v>
      </c>
      <c r="I373" s="2">
        <f t="shared" si="85"/>
        <v>0</v>
      </c>
      <c r="J373" s="2"/>
      <c r="K373" s="324">
        <f>$G$198</f>
        <v>-30</v>
      </c>
      <c r="L373" s="308" t="s">
        <v>364</v>
      </c>
      <c r="M373" s="2">
        <f t="shared" si="86"/>
        <v>0</v>
      </c>
      <c r="N373" s="2"/>
      <c r="O373" s="324">
        <f>$G$198</f>
        <v>-30</v>
      </c>
      <c r="P373" s="308" t="s">
        <v>364</v>
      </c>
      <c r="Q373" s="2">
        <f t="shared" si="87"/>
        <v>0</v>
      </c>
      <c r="R373" s="2"/>
      <c r="S373" s="324">
        <f>$G$198</f>
        <v>-30</v>
      </c>
      <c r="T373" s="308" t="s">
        <v>364</v>
      </c>
      <c r="U373" s="2">
        <f t="shared" si="88"/>
        <v>0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s="1118" customFormat="1" hidden="1">
      <c r="A374" s="968" t="s">
        <v>862</v>
      </c>
      <c r="C374" s="987">
        <v>0</v>
      </c>
      <c r="D374" s="1423">
        <v>0</v>
      </c>
      <c r="E374" s="1119"/>
      <c r="F374" s="1123"/>
      <c r="G374" s="1128">
        <f>G182</f>
        <v>0</v>
      </c>
      <c r="H374" s="972" t="s">
        <v>364</v>
      </c>
      <c r="I374" s="2">
        <f t="shared" si="85"/>
        <v>0</v>
      </c>
      <c r="J374" s="2"/>
      <c r="K374" s="1128" t="str">
        <f>K182</f>
        <v xml:space="preserve"> </v>
      </c>
      <c r="L374" s="972" t="s">
        <v>364</v>
      </c>
      <c r="M374" s="2">
        <f t="shared" si="86"/>
        <v>0</v>
      </c>
      <c r="N374" s="2"/>
      <c r="O374" s="1128" t="str">
        <f>O182</f>
        <v xml:space="preserve"> </v>
      </c>
      <c r="P374" s="972" t="s">
        <v>364</v>
      </c>
      <c r="Q374" s="2">
        <f t="shared" si="87"/>
        <v>0</v>
      </c>
      <c r="R374" s="2"/>
      <c r="S374" s="1128">
        <f>S182</f>
        <v>0</v>
      </c>
      <c r="T374" s="972" t="s">
        <v>364</v>
      </c>
      <c r="U374" s="2">
        <f t="shared" si="88"/>
        <v>0</v>
      </c>
      <c r="W374" s="784"/>
      <c r="Z374" s="1125"/>
      <c r="AA374" s="1125"/>
      <c r="AF374" s="1119"/>
      <c r="AG374" s="1119"/>
      <c r="AH374" s="1119"/>
      <c r="AI374" s="1119"/>
      <c r="AJ374" s="1119"/>
      <c r="AK374" s="1119"/>
      <c r="AL374" s="1119"/>
      <c r="AM374" s="1119"/>
      <c r="AN374" s="1119"/>
      <c r="AO374" s="1119"/>
      <c r="AP374" s="1119"/>
      <c r="AR374" s="1124"/>
    </row>
    <row r="375" spans="1:44" s="1118" customFormat="1" hidden="1">
      <c r="A375" s="968" t="s">
        <v>863</v>
      </c>
      <c r="C375" s="987">
        <v>0</v>
      </c>
      <c r="D375" s="1423">
        <v>0</v>
      </c>
      <c r="E375" s="1119"/>
      <c r="F375" s="1123"/>
      <c r="G375" s="1128">
        <f>G183</f>
        <v>0</v>
      </c>
      <c r="H375" s="972" t="s">
        <v>364</v>
      </c>
      <c r="I375" s="2">
        <f t="shared" si="85"/>
        <v>0</v>
      </c>
      <c r="J375" s="2"/>
      <c r="K375" s="1128" t="str">
        <f>K183</f>
        <v xml:space="preserve"> </v>
      </c>
      <c r="L375" s="972" t="s">
        <v>364</v>
      </c>
      <c r="M375" s="2">
        <f t="shared" si="86"/>
        <v>0</v>
      </c>
      <c r="N375" s="2"/>
      <c r="O375" s="1128" t="str">
        <f>O183</f>
        <v xml:space="preserve"> </v>
      </c>
      <c r="P375" s="972" t="s">
        <v>364</v>
      </c>
      <c r="Q375" s="2">
        <f t="shared" si="87"/>
        <v>0</v>
      </c>
      <c r="R375" s="2"/>
      <c r="S375" s="1128">
        <f>S183</f>
        <v>0</v>
      </c>
      <c r="T375" s="972" t="s">
        <v>364</v>
      </c>
      <c r="U375" s="2">
        <f t="shared" si="88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864</v>
      </c>
      <c r="C376" s="987">
        <v>0</v>
      </c>
      <c r="D376" s="1423">
        <v>0</v>
      </c>
      <c r="E376" s="1119"/>
      <c r="F376" s="1123"/>
      <c r="G376" s="1128">
        <f>G184</f>
        <v>0</v>
      </c>
      <c r="H376" s="972" t="s">
        <v>364</v>
      </c>
      <c r="I376" s="2">
        <f t="shared" si="85"/>
        <v>0</v>
      </c>
      <c r="J376" s="2"/>
      <c r="K376" s="1128" t="str">
        <f>K184</f>
        <v xml:space="preserve"> </v>
      </c>
      <c r="L376" s="972" t="s">
        <v>364</v>
      </c>
      <c r="M376" s="2">
        <f t="shared" si="86"/>
        <v>0</v>
      </c>
      <c r="N376" s="2"/>
      <c r="O376" s="1128" t="str">
        <f>O184</f>
        <v xml:space="preserve"> </v>
      </c>
      <c r="P376" s="972" t="s">
        <v>364</v>
      </c>
      <c r="Q376" s="2">
        <f t="shared" si="87"/>
        <v>0</v>
      </c>
      <c r="R376" s="2"/>
      <c r="S376" s="1128">
        <f>S184</f>
        <v>0</v>
      </c>
      <c r="T376" s="972" t="s">
        <v>364</v>
      </c>
      <c r="U376" s="2">
        <f t="shared" si="88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>
      <c r="A377" s="1" t="s">
        <v>371</v>
      </c>
      <c r="B377" s="1"/>
      <c r="C377" s="304">
        <f>C412+C447</f>
        <v>1303781.7942953119</v>
      </c>
      <c r="D377" s="315"/>
      <c r="E377" s="308"/>
      <c r="F377" s="2">
        <f>F412+F447</f>
        <v>180345</v>
      </c>
      <c r="G377" s="315"/>
      <c r="H377" s="308"/>
      <c r="I377" s="2">
        <f t="shared" ca="1" si="85"/>
        <v>184590</v>
      </c>
      <c r="J377" s="2"/>
      <c r="K377" s="315"/>
      <c r="L377" s="308"/>
      <c r="M377" s="2" t="e">
        <f t="shared" ca="1" si="86"/>
        <v>#REF!</v>
      </c>
      <c r="N377" s="2"/>
      <c r="O377" s="315"/>
      <c r="P377" s="308"/>
      <c r="Q377" s="2" t="e">
        <f t="shared" ca="1" si="87"/>
        <v>#DIV/0!</v>
      </c>
      <c r="R377" s="2"/>
      <c r="S377" s="315"/>
      <c r="T377" s="308"/>
      <c r="U377" s="2" t="e">
        <f t="shared" ca="1" si="88"/>
        <v>#DIV/0!</v>
      </c>
      <c r="V377" s="20"/>
      <c r="W377" s="74"/>
      <c r="X377" s="74"/>
      <c r="Y377" s="74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R377" s="84"/>
    </row>
    <row r="378" spans="1:44">
      <c r="A378" s="1" t="s">
        <v>353</v>
      </c>
      <c r="B378" s="1"/>
      <c r="C378" s="325">
        <f ca="1">C413+C448</f>
        <v>8866.1474847682257</v>
      </c>
      <c r="D378" s="294"/>
      <c r="E378" s="294"/>
      <c r="F378" s="326">
        <f ca="1">F413+F448</f>
        <v>1349.4416224178776</v>
      </c>
      <c r="G378" s="294"/>
      <c r="H378" s="294"/>
      <c r="I378" s="326">
        <f ca="1">F378</f>
        <v>1349.4416224178776</v>
      </c>
      <c r="J378" s="307"/>
      <c r="K378" s="294"/>
      <c r="L378" s="294"/>
      <c r="M378" s="326" t="e">
        <f ca="1">$I$378*V207/($V$207+$W$207+$X$207)</f>
        <v>#DIV/0!</v>
      </c>
      <c r="N378" s="51"/>
      <c r="O378" s="294"/>
      <c r="P378" s="294"/>
      <c r="Q378" s="326" t="e">
        <f ca="1">$I$378*W207/($V$207+$W$207+$X$207)</f>
        <v>#DIV/0!</v>
      </c>
      <c r="R378" s="51"/>
      <c r="S378" s="294"/>
      <c r="T378" s="294"/>
      <c r="U378" s="326" t="e">
        <f ca="1">$I$378*X207/($V$207+$W$207+$X$207)</f>
        <v>#DIV/0!</v>
      </c>
      <c r="V378" s="429"/>
      <c r="W378" s="272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t="16.5" thickBot="1">
      <c r="A379" s="1" t="s">
        <v>372</v>
      </c>
      <c r="B379" s="1"/>
      <c r="C379" s="296">
        <f ca="1">SUM(C377:C378)</f>
        <v>1312647.9417800801</v>
      </c>
      <c r="D379" s="327"/>
      <c r="E379" s="330"/>
      <c r="F379" s="329">
        <f ca="1">F377+F378</f>
        <v>181694.44162241789</v>
      </c>
      <c r="G379" s="327"/>
      <c r="H379" s="330"/>
      <c r="I379" s="329">
        <f ca="1">I377+I378</f>
        <v>185939.44162241789</v>
      </c>
      <c r="J379" s="307"/>
      <c r="K379" s="327"/>
      <c r="L379" s="330"/>
      <c r="M379" s="329" t="e">
        <f ca="1">M377+M378</f>
        <v>#REF!</v>
      </c>
      <c r="N379" s="329"/>
      <c r="O379" s="327"/>
      <c r="P379" s="330"/>
      <c r="Q379" s="329" t="e">
        <f ca="1">Q377+Q378</f>
        <v>#DIV/0!</v>
      </c>
      <c r="R379" s="329"/>
      <c r="S379" s="327"/>
      <c r="T379" s="330"/>
      <c r="U379" s="329" t="e">
        <f ca="1">U377+U378</f>
        <v>#DIV/0!</v>
      </c>
      <c r="V379" s="396"/>
      <c r="W379" s="455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thickTop="1">
      <c r="A380" s="1"/>
      <c r="B380" s="1"/>
      <c r="C380" s="21"/>
      <c r="D380" s="322"/>
      <c r="E380" s="1"/>
      <c r="F380" s="2"/>
      <c r="G380" s="322"/>
      <c r="H380" s="1"/>
      <c r="I380" s="2" t="s">
        <v>31</v>
      </c>
      <c r="J380" s="2"/>
      <c r="K380" s="322"/>
      <c r="L380" s="1"/>
      <c r="M380" s="2" t="s">
        <v>31</v>
      </c>
      <c r="N380" s="2"/>
      <c r="O380" s="322"/>
      <c r="P380" s="1"/>
      <c r="Q380" s="2" t="s">
        <v>31</v>
      </c>
      <c r="R380" s="2"/>
      <c r="S380" s="322"/>
      <c r="T380" s="1"/>
      <c r="U380" s="2" t="s">
        <v>31</v>
      </c>
      <c r="V380" s="20"/>
      <c r="W380" s="74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>
      <c r="A381" s="278" t="s">
        <v>405</v>
      </c>
      <c r="B381" s="1"/>
      <c r="C381" s="1"/>
      <c r="D381" s="2"/>
      <c r="E381" s="1"/>
      <c r="F381" s="1"/>
      <c r="G381" s="2"/>
      <c r="H381" s="1"/>
      <c r="I381" s="1"/>
      <c r="J381" s="1"/>
      <c r="K381" s="2"/>
      <c r="L381" s="1"/>
      <c r="M381" s="1"/>
      <c r="N381" s="1"/>
      <c r="O381" s="2"/>
      <c r="P381" s="1"/>
      <c r="Q381" s="1"/>
      <c r="R381" s="1"/>
      <c r="S381" s="2"/>
      <c r="T381" s="1"/>
      <c r="U381" s="1"/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>
      <c r="A382" s="1" t="s">
        <v>401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>
      <c r="A383" s="1"/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>
      <c r="A384" s="1" t="s">
        <v>383</v>
      </c>
      <c r="B384" s="1"/>
      <c r="C384" s="304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>
      <c r="A385" s="1" t="s">
        <v>406</v>
      </c>
      <c r="B385" s="1"/>
      <c r="C385" s="304">
        <v>3983.5574873188079</v>
      </c>
      <c r="D385" s="283">
        <v>9.76</v>
      </c>
      <c r="E385" s="308"/>
      <c r="F385" s="2">
        <f>ROUND(D385*$C385,0)</f>
        <v>38880</v>
      </c>
      <c r="G385" s="283">
        <f ca="1">$G$172</f>
        <v>9.99</v>
      </c>
      <c r="H385" s="308"/>
      <c r="I385" s="2">
        <f ca="1">ROUND(G385*$C385,0)</f>
        <v>39796</v>
      </c>
      <c r="J385" s="2"/>
      <c r="K385" s="283">
        <f ca="1">$K$172</f>
        <v>9.99</v>
      </c>
      <c r="L385" s="308"/>
      <c r="M385" s="2">
        <f ca="1">ROUND(K385*$C385,0)</f>
        <v>39796</v>
      </c>
      <c r="N385" s="2"/>
      <c r="O385" s="283" t="str">
        <f>$O$172</f>
        <v xml:space="preserve"> </v>
      </c>
      <c r="P385" s="308"/>
      <c r="Q385" s="2">
        <f>ROUND(O385*$C385,0)</f>
        <v>0</v>
      </c>
      <c r="R385" s="2"/>
      <c r="S385" s="283" t="str">
        <f>$S$172</f>
        <v xml:space="preserve"> </v>
      </c>
      <c r="T385" s="308"/>
      <c r="U385" s="2">
        <f>ROUND(S385*$C385,0)</f>
        <v>0</v>
      </c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>
      <c r="A386" s="1" t="s">
        <v>381</v>
      </c>
      <c r="B386" s="1"/>
      <c r="C386" s="304">
        <v>0</v>
      </c>
      <c r="D386" s="283">
        <v>14.54</v>
      </c>
      <c r="E386" s="310"/>
      <c r="F386" s="2">
        <f t="shared" ref="F386:F387" si="90">ROUND(D386*$C386,0)</f>
        <v>0</v>
      </c>
      <c r="G386" s="283">
        <f ca="1">$G$173</f>
        <v>14.89</v>
      </c>
      <c r="H386" s="310"/>
      <c r="I386" s="2">
        <f ca="1">ROUND(G386*$C386,0)</f>
        <v>0</v>
      </c>
      <c r="J386" s="2"/>
      <c r="K386" s="283">
        <f ca="1">$K$173</f>
        <v>14.89</v>
      </c>
      <c r="L386" s="310"/>
      <c r="M386" s="2">
        <f ca="1">ROUND(K386*$C386,0)</f>
        <v>0</v>
      </c>
      <c r="N386" s="2"/>
      <c r="O386" s="283" t="str">
        <f>$O$173</f>
        <v xml:space="preserve"> </v>
      </c>
      <c r="P386" s="310"/>
      <c r="Q386" s="2">
        <f>ROUND(O386*$C386,0)</f>
        <v>0</v>
      </c>
      <c r="R386" s="2"/>
      <c r="S386" s="283" t="str">
        <f>$S$173</f>
        <v xml:space="preserve"> </v>
      </c>
      <c r="T386" s="310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>
      <c r="A387" s="1" t="s">
        <v>382</v>
      </c>
      <c r="B387" s="1"/>
      <c r="C387" s="304">
        <v>0</v>
      </c>
      <c r="D387" s="283">
        <v>1.02</v>
      </c>
      <c r="E387" s="310"/>
      <c r="F387" s="2">
        <f t="shared" si="90"/>
        <v>0</v>
      </c>
      <c r="G387" s="283">
        <f ca="1">$G$174</f>
        <v>1.04</v>
      </c>
      <c r="H387" s="310"/>
      <c r="I387" s="2">
        <f ca="1">ROUND(G387*$C387,0)</f>
        <v>0</v>
      </c>
      <c r="J387" s="2"/>
      <c r="K387" s="283">
        <f ca="1">$K$174</f>
        <v>1.04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>
      <c r="A388" s="1" t="s">
        <v>384</v>
      </c>
      <c r="B388" s="1"/>
      <c r="C388" s="304">
        <f>SUM(C385:C386)</f>
        <v>3983.5574873188079</v>
      </c>
      <c r="D388" s="283"/>
      <c r="E388" s="308"/>
      <c r="F388" s="2"/>
      <c r="G388" s="283"/>
      <c r="H388" s="308"/>
      <c r="I388" s="2"/>
      <c r="J388" s="2"/>
      <c r="K388" s="283"/>
      <c r="L388" s="308"/>
      <c r="M388" s="2"/>
      <c r="N388" s="2"/>
      <c r="O388" s="283"/>
      <c r="P388" s="308"/>
      <c r="Q388" s="2"/>
      <c r="R388" s="2"/>
      <c r="S388" s="283"/>
      <c r="T388" s="308"/>
      <c r="U388" s="2"/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>
      <c r="A389" s="1" t="s">
        <v>352</v>
      </c>
      <c r="B389" s="1"/>
      <c r="C389" s="304">
        <v>1401.1000000000033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>
      <c r="A390" s="1" t="s">
        <v>385</v>
      </c>
      <c r="B390" s="1"/>
      <c r="C390" s="304">
        <v>0</v>
      </c>
      <c r="D390" s="311">
        <v>3.7</v>
      </c>
      <c r="E390" s="308"/>
      <c r="F390" s="2">
        <f>ROUND(D390*C390,0)</f>
        <v>0</v>
      </c>
      <c r="G390" s="311">
        <f ca="1">$G$177</f>
        <v>3.8</v>
      </c>
      <c r="H390" s="308"/>
      <c r="I390" s="2">
        <f ca="1">ROUND(G390*$C390,0)</f>
        <v>0</v>
      </c>
      <c r="J390" s="2"/>
      <c r="K390" s="311" t="e">
        <f ca="1">$K$177</f>
        <v>#REF!</v>
      </c>
      <c r="L390" s="308"/>
      <c r="M390" s="2" t="e">
        <f ca="1">ROUND(K390*$C390,0)</f>
        <v>#REF!</v>
      </c>
      <c r="N390" s="2"/>
      <c r="O390" s="311" t="e">
        <f ca="1">$O$177</f>
        <v>#DIV/0!</v>
      </c>
      <c r="P390" s="308"/>
      <c r="Q390" s="2" t="e">
        <f ca="1">ROUND(O390*$C390,0)</f>
        <v>#DIV/0!</v>
      </c>
      <c r="R390" s="2"/>
      <c r="S390" s="311" t="e">
        <f ca="1">$S$177</f>
        <v>#DIV/0!</v>
      </c>
      <c r="T390" s="308"/>
      <c r="U390" s="2" t="e">
        <f ca="1">ROUND(S390*$C390,0)</f>
        <v>#DIV/0!</v>
      </c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>
      <c r="A391" s="1" t="s">
        <v>387</v>
      </c>
      <c r="B391" s="1"/>
      <c r="C391" s="304">
        <v>1205594.7942953119</v>
      </c>
      <c r="D391" s="284">
        <v>10.628</v>
      </c>
      <c r="E391" s="308" t="s">
        <v>364</v>
      </c>
      <c r="F391" s="2">
        <f>ROUND(D391*C391/100,0)</f>
        <v>128131</v>
      </c>
      <c r="G391" s="284">
        <f ca="1">$G$178</f>
        <v>10.878</v>
      </c>
      <c r="H391" s="308" t="s">
        <v>364</v>
      </c>
      <c r="I391" s="2">
        <f ca="1">ROUND(G391*$C391/100,0)</f>
        <v>131145</v>
      </c>
      <c r="J391" s="2"/>
      <c r="K391" s="284" t="e">
        <f ca="1">$K$178</f>
        <v>#REF!</v>
      </c>
      <c r="L391" s="308" t="s">
        <v>364</v>
      </c>
      <c r="M391" s="2" t="e">
        <f ca="1">ROUND(K391*$C391/100,0)</f>
        <v>#REF!</v>
      </c>
      <c r="N391" s="2"/>
      <c r="O391" s="284" t="e">
        <f ca="1">$O$178</f>
        <v>#DIV/0!</v>
      </c>
      <c r="P391" s="308" t="s">
        <v>364</v>
      </c>
      <c r="Q391" s="2" t="e">
        <f ca="1">ROUND(O391*$C391/100,0)</f>
        <v>#DIV/0!</v>
      </c>
      <c r="R391" s="2"/>
      <c r="S391" s="284" t="e">
        <f ca="1">$S$178</f>
        <v>#DIV/0!</v>
      </c>
      <c r="T391" s="308" t="s">
        <v>364</v>
      </c>
      <c r="U391" s="2" t="e">
        <f ca="1">ROUND(S391*$C391/100,0)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>
      <c r="A392" s="1" t="s">
        <v>388</v>
      </c>
      <c r="B392" s="21"/>
      <c r="C392" s="304">
        <v>64875</v>
      </c>
      <c r="D392" s="284">
        <v>7.3410000000000002</v>
      </c>
      <c r="E392" s="308" t="s">
        <v>364</v>
      </c>
      <c r="F392" s="2">
        <f>ROUND(D392*C392/100,0)</f>
        <v>4762</v>
      </c>
      <c r="G392" s="284">
        <f ca="1">$G$179</f>
        <v>7.5140000000000002</v>
      </c>
      <c r="H392" s="308" t="s">
        <v>364</v>
      </c>
      <c r="I392" s="2">
        <f ca="1">ROUND(G392*$C392/100,0)</f>
        <v>4875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>
      <c r="A393" s="1" t="s">
        <v>389</v>
      </c>
      <c r="B393" s="1"/>
      <c r="C393" s="304">
        <f>0</f>
        <v>0</v>
      </c>
      <c r="D393" s="284">
        <v>6.3240000000000007</v>
      </c>
      <c r="E393" s="308" t="s">
        <v>364</v>
      </c>
      <c r="F393" s="2">
        <f>ROUND(D393*C393/100,0)</f>
        <v>0</v>
      </c>
      <c r="G393" s="284">
        <f ca="1">$G$180</f>
        <v>6.4720000000000004</v>
      </c>
      <c r="H393" s="308" t="s">
        <v>364</v>
      </c>
      <c r="I393" s="2">
        <f ca="1">ROUND(G393*$C393/100,0)</f>
        <v>0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>
      <c r="A394" s="1" t="s">
        <v>390</v>
      </c>
      <c r="B394" s="1"/>
      <c r="C394" s="304">
        <v>0</v>
      </c>
      <c r="D394" s="315">
        <v>57</v>
      </c>
      <c r="E394" s="308" t="s">
        <v>364</v>
      </c>
      <c r="F394" s="2">
        <f>ROUND(D394*C394/100,0)</f>
        <v>0</v>
      </c>
      <c r="G394" s="315">
        <f ca="1">$G$181</f>
        <v>58</v>
      </c>
      <c r="H394" s="308" t="s">
        <v>364</v>
      </c>
      <c r="I394" s="2">
        <f ca="1">ROUND(G394*$C394/100,0)</f>
        <v>0</v>
      </c>
      <c r="J394" s="2"/>
      <c r="K394" s="315" t="str">
        <f>$K$181</f>
        <v xml:space="preserve"> </v>
      </c>
      <c r="L394" s="308" t="s">
        <v>364</v>
      </c>
      <c r="M394" s="2">
        <f>ROUND(K394*$C394/100,0)</f>
        <v>0</v>
      </c>
      <c r="N394" s="2"/>
      <c r="O394" s="315" t="e">
        <f>$O$181</f>
        <v>#DIV/0!</v>
      </c>
      <c r="P394" s="308" t="s">
        <v>364</v>
      </c>
      <c r="Q394" s="2" t="e">
        <f>ROUND(O394*$C394/100,0)</f>
        <v>#DIV/0!</v>
      </c>
      <c r="R394" s="2"/>
      <c r="S394" s="315" t="e">
        <f>$S$181</f>
        <v>#DIV/0!</v>
      </c>
      <c r="T394" s="308" t="s">
        <v>364</v>
      </c>
      <c r="U394" s="2" t="e">
        <f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s="1118" customFormat="1" hidden="1">
      <c r="A395" s="968" t="s">
        <v>862</v>
      </c>
      <c r="C395" s="1122">
        <f>C391</f>
        <v>1205594.7942953119</v>
      </c>
      <c r="D395" s="1423">
        <v>0</v>
      </c>
      <c r="E395" s="1119"/>
      <c r="F395" s="1123"/>
      <c r="G395" s="1128">
        <f>G182</f>
        <v>0</v>
      </c>
      <c r="H395" s="972" t="s">
        <v>364</v>
      </c>
      <c r="I395" s="1123">
        <f t="shared" ref="I395:I397" si="91">ROUND(G395*$C395/100,0)</f>
        <v>0</v>
      </c>
      <c r="J395" s="1123"/>
      <c r="K395" s="1128" t="str">
        <f>K182</f>
        <v xml:space="preserve"> </v>
      </c>
      <c r="L395" s="972" t="s">
        <v>364</v>
      </c>
      <c r="M395" s="1123">
        <f t="shared" ref="M395:M397" si="92">ROUND(K395*$C395/100,0)</f>
        <v>0</v>
      </c>
      <c r="N395" s="1123"/>
      <c r="O395" s="1128" t="str">
        <f>O182</f>
        <v xml:space="preserve"> </v>
      </c>
      <c r="P395" s="972" t="s">
        <v>364</v>
      </c>
      <c r="Q395" s="1123">
        <f t="shared" ref="Q395:Q397" si="93">ROUND(O395*$C395/100,0)</f>
        <v>0</v>
      </c>
      <c r="R395" s="1123"/>
      <c r="S395" s="1128">
        <f>S182</f>
        <v>0</v>
      </c>
      <c r="T395" s="972" t="s">
        <v>364</v>
      </c>
      <c r="U395" s="1123">
        <f t="shared" ref="U395:U397" si="94">ROUND(S395*$C395/100,0)</f>
        <v>0</v>
      </c>
      <c r="W395" s="784"/>
      <c r="Z395" s="1125"/>
      <c r="AA395" s="1125"/>
      <c r="AF395" s="1119"/>
      <c r="AG395" s="1119"/>
      <c r="AH395" s="1119"/>
      <c r="AI395" s="1119"/>
      <c r="AJ395" s="1119"/>
      <c r="AK395" s="1119"/>
      <c r="AL395" s="1119"/>
      <c r="AM395" s="1119"/>
      <c r="AN395" s="1119"/>
      <c r="AO395" s="1119"/>
      <c r="AP395" s="1119"/>
      <c r="AR395" s="1124"/>
    </row>
    <row r="396" spans="1:44" s="1118" customFormat="1" hidden="1">
      <c r="A396" s="968" t="s">
        <v>863</v>
      </c>
      <c r="C396" s="1122">
        <f>C392</f>
        <v>64875</v>
      </c>
      <c r="D396" s="1423">
        <v>0</v>
      </c>
      <c r="E396" s="1119"/>
      <c r="F396" s="1123"/>
      <c r="G396" s="1128">
        <f>G183</f>
        <v>0</v>
      </c>
      <c r="H396" s="972" t="s">
        <v>364</v>
      </c>
      <c r="I396" s="1123">
        <f t="shared" si="91"/>
        <v>0</v>
      </c>
      <c r="J396" s="1123"/>
      <c r="K396" s="1128" t="str">
        <f>K183</f>
        <v xml:space="preserve"> </v>
      </c>
      <c r="L396" s="972" t="s">
        <v>364</v>
      </c>
      <c r="M396" s="1123">
        <f t="shared" si="92"/>
        <v>0</v>
      </c>
      <c r="N396" s="1123"/>
      <c r="O396" s="1128" t="str">
        <f>O183</f>
        <v xml:space="preserve"> </v>
      </c>
      <c r="P396" s="972" t="s">
        <v>364</v>
      </c>
      <c r="Q396" s="1123">
        <f t="shared" si="93"/>
        <v>0</v>
      </c>
      <c r="R396" s="1123"/>
      <c r="S396" s="1128">
        <f>S183</f>
        <v>0</v>
      </c>
      <c r="T396" s="972" t="s">
        <v>364</v>
      </c>
      <c r="U396" s="1123">
        <f t="shared" si="94"/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864</v>
      </c>
      <c r="C397" s="1122">
        <f>C393</f>
        <v>0</v>
      </c>
      <c r="D397" s="1423"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91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92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93"/>
        <v>0</v>
      </c>
      <c r="R397" s="1123"/>
      <c r="S397" s="1128">
        <f>S184</f>
        <v>0</v>
      </c>
      <c r="T397" s="972" t="s">
        <v>364</v>
      </c>
      <c r="U397" s="1123">
        <f t="shared" si="94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>
      <c r="A398" s="316" t="s">
        <v>391</v>
      </c>
      <c r="B398" s="1"/>
      <c r="C398" s="304"/>
      <c r="D398" s="317">
        <v>-0.01</v>
      </c>
      <c r="E398" s="308"/>
      <c r="F398" s="2"/>
      <c r="G398" s="317">
        <v>-0.01</v>
      </c>
      <c r="H398" s="308"/>
      <c r="I398" s="2"/>
      <c r="J398" s="2"/>
      <c r="K398" s="317">
        <v>-0.01</v>
      </c>
      <c r="L398" s="308"/>
      <c r="M398" s="2"/>
      <c r="N398" s="2"/>
      <c r="O398" s="317">
        <v>-0.01</v>
      </c>
      <c r="P398" s="308"/>
      <c r="Q398" s="2"/>
      <c r="R398" s="2"/>
      <c r="S398" s="317">
        <v>-0.01</v>
      </c>
      <c r="T398" s="308"/>
      <c r="U398" s="2"/>
      <c r="V398" s="20"/>
      <c r="W398" s="74"/>
      <c r="X398" s="74"/>
      <c r="Y398" s="74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R398" s="84"/>
    </row>
    <row r="399" spans="1:44">
      <c r="A399" s="1" t="s">
        <v>380</v>
      </c>
      <c r="B399" s="1"/>
      <c r="C399" s="304">
        <v>0</v>
      </c>
      <c r="D399" s="319">
        <v>9.76</v>
      </c>
      <c r="E399" s="306"/>
      <c r="F399" s="2">
        <f>-ROUND(D399*$C399/100,0)</f>
        <v>0</v>
      </c>
      <c r="G399" s="319">
        <f ca="1">G385</f>
        <v>9.99</v>
      </c>
      <c r="H399" s="306"/>
      <c r="I399" s="2">
        <f ca="1">-ROUND(G399*$C399/100,0)</f>
        <v>0</v>
      </c>
      <c r="J399" s="2"/>
      <c r="K399" s="319">
        <f ca="1">K385</f>
        <v>9.99</v>
      </c>
      <c r="L399" s="306"/>
      <c r="M399" s="2">
        <f ca="1">-ROUND(K399*$C399/100,0)</f>
        <v>0</v>
      </c>
      <c r="N399" s="2"/>
      <c r="O399" s="319" t="str">
        <f>O385</f>
        <v xml:space="preserve"> </v>
      </c>
      <c r="P399" s="306"/>
      <c r="Q399" s="2">
        <f>-ROUND(O399*$C399/100,0)</f>
        <v>0</v>
      </c>
      <c r="R399" s="2"/>
      <c r="S399" s="319" t="str">
        <f>S385</f>
        <v xml:space="preserve"> </v>
      </c>
      <c r="T399" s="306"/>
      <c r="U399" s="2">
        <f>-ROUND(S399*$C399/100,0)</f>
        <v>0</v>
      </c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>
      <c r="A400" s="1" t="s">
        <v>381</v>
      </c>
      <c r="B400" s="1"/>
      <c r="C400" s="304">
        <v>0</v>
      </c>
      <c r="D400" s="319">
        <v>14.54</v>
      </c>
      <c r="E400" s="306"/>
      <c r="F400" s="2">
        <f t="shared" ref="F400:F402" si="95">-ROUND(D400*$C400/100,0)</f>
        <v>0</v>
      </c>
      <c r="G400" s="319">
        <f ca="1">G386</f>
        <v>14.89</v>
      </c>
      <c r="H400" s="306"/>
      <c r="I400" s="2">
        <f ca="1">-ROUND(G400*$C400/100,0)</f>
        <v>0</v>
      </c>
      <c r="J400" s="2"/>
      <c r="K400" s="319">
        <f ca="1">K386</f>
        <v>14.89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>
      <c r="A401" s="1" t="s">
        <v>392</v>
      </c>
      <c r="B401" s="1"/>
      <c r="C401" s="304">
        <v>0</v>
      </c>
      <c r="D401" s="319">
        <v>1.02</v>
      </c>
      <c r="E401" s="306"/>
      <c r="F401" s="2">
        <f t="shared" si="95"/>
        <v>0</v>
      </c>
      <c r="G401" s="319">
        <f ca="1">G387</f>
        <v>1.04</v>
      </c>
      <c r="H401" s="306"/>
      <c r="I401" s="2">
        <f ca="1">-ROUND(G401*$C401/100,0)</f>
        <v>0</v>
      </c>
      <c r="J401" s="2"/>
      <c r="K401" s="319">
        <f ca="1">K387</f>
        <v>1.04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>
      <c r="A402" s="1" t="s">
        <v>393</v>
      </c>
      <c r="B402" s="1"/>
      <c r="C402" s="304">
        <v>0</v>
      </c>
      <c r="D402" s="319">
        <v>3.7</v>
      </c>
      <c r="E402" s="308"/>
      <c r="F402" s="2">
        <f t="shared" si="95"/>
        <v>0</v>
      </c>
      <c r="G402" s="319">
        <f ca="1">G390</f>
        <v>3.8</v>
      </c>
      <c r="H402" s="308"/>
      <c r="I402" s="2">
        <f ca="1">-ROUND(G402*$C402/100,0)</f>
        <v>0</v>
      </c>
      <c r="J402" s="2"/>
      <c r="K402" s="319" t="e">
        <f ca="1">K390</f>
        <v>#REF!</v>
      </c>
      <c r="L402" s="308"/>
      <c r="M402" s="2" t="e">
        <f ca="1">-ROUND(K402*$C402/100,0)</f>
        <v>#REF!</v>
      </c>
      <c r="N402" s="2"/>
      <c r="O402" s="319" t="e">
        <f ca="1">O390</f>
        <v>#DIV/0!</v>
      </c>
      <c r="P402" s="308"/>
      <c r="Q402" s="2" t="e">
        <f ca="1">-ROUND(O402*$C402/100,0)</f>
        <v>#DIV/0!</v>
      </c>
      <c r="R402" s="2"/>
      <c r="S402" s="319" t="e">
        <f ca="1">S390</f>
        <v>#DIV/0!</v>
      </c>
      <c r="T402" s="308"/>
      <c r="U402" s="2" t="e">
        <f ca="1">-ROUND(S402*$C402/100,0)</f>
        <v>#DIV/0!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>
      <c r="A403" s="1" t="s">
        <v>395</v>
      </c>
      <c r="B403" s="1"/>
      <c r="C403" s="304">
        <v>0</v>
      </c>
      <c r="D403" s="320">
        <v>10.628</v>
      </c>
      <c r="E403" s="308" t="s">
        <v>364</v>
      </c>
      <c r="F403" s="2">
        <f>ROUND(D403*$C403/100*D398,0)</f>
        <v>0</v>
      </c>
      <c r="G403" s="320">
        <f ca="1">G391</f>
        <v>10.878</v>
      </c>
      <c r="H403" s="308" t="s">
        <v>364</v>
      </c>
      <c r="I403" s="2">
        <f ca="1">ROUND(G403*$C403/100*G398,0)</f>
        <v>0</v>
      </c>
      <c r="J403" s="2"/>
      <c r="K403" s="320" t="e">
        <f ca="1">K391</f>
        <v>#REF!</v>
      </c>
      <c r="L403" s="308" t="s">
        <v>364</v>
      </c>
      <c r="M403" s="2" t="e">
        <f ca="1">ROUND(K403*$C403/100*K398,0)</f>
        <v>#REF!</v>
      </c>
      <c r="N403" s="2"/>
      <c r="O403" s="320" t="e">
        <f ca="1">O391</f>
        <v>#DIV/0!</v>
      </c>
      <c r="P403" s="308" t="s">
        <v>364</v>
      </c>
      <c r="Q403" s="2" t="e">
        <f ca="1">ROUND(O403*$C403/100*O398,0)</f>
        <v>#DIV/0!</v>
      </c>
      <c r="R403" s="2"/>
      <c r="S403" s="320" t="e">
        <f ca="1">S391</f>
        <v>#DIV/0!</v>
      </c>
      <c r="T403" s="308" t="s">
        <v>364</v>
      </c>
      <c r="U403" s="2" t="e">
        <f ca="1">ROUND(S403*$C403/100*S398,0)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>
      <c r="A404" s="1" t="s">
        <v>388</v>
      </c>
      <c r="B404" s="1"/>
      <c r="C404" s="304">
        <v>0</v>
      </c>
      <c r="D404" s="320">
        <v>7.3410000000000002</v>
      </c>
      <c r="E404" s="308" t="s">
        <v>364</v>
      </c>
      <c r="F404" s="2">
        <f>ROUND(D404*$C404/100*D398,0)</f>
        <v>0</v>
      </c>
      <c r="G404" s="320">
        <f ca="1">G392</f>
        <v>7.5140000000000002</v>
      </c>
      <c r="H404" s="308" t="s">
        <v>364</v>
      </c>
      <c r="I404" s="2">
        <f ca="1">ROUND(G404*$C404/100*G398,0)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ROUND(K404*$C404/100*K398,0)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ROUND(O404*$C404/100*O398,0)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ROUND(S404*$C404/100*S398,0)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>
      <c r="A405" s="1" t="s">
        <v>389</v>
      </c>
      <c r="B405" s="1"/>
      <c r="C405" s="304">
        <v>0</v>
      </c>
      <c r="D405" s="320">
        <v>6.3240000000000007</v>
      </c>
      <c r="E405" s="308" t="s">
        <v>364</v>
      </c>
      <c r="F405" s="2">
        <f>ROUND(D405*$C405/100*D398,0)</f>
        <v>0</v>
      </c>
      <c r="G405" s="320">
        <f ca="1">G393</f>
        <v>6.4720000000000004</v>
      </c>
      <c r="H405" s="308" t="s">
        <v>364</v>
      </c>
      <c r="I405" s="2">
        <f ca="1">ROUND(G405*$C405/100*G398,0)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ROUND(K405*$C405/100*K398,0)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ROUND(O405*$C405/100*O398,0)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ROUND(S405*$C405/100*S398,0)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>
      <c r="A406" s="1" t="s">
        <v>390</v>
      </c>
      <c r="B406" s="1"/>
      <c r="C406" s="304">
        <v>0</v>
      </c>
      <c r="D406" s="321">
        <v>57</v>
      </c>
      <c r="E406" s="308" t="s">
        <v>364</v>
      </c>
      <c r="F406" s="2">
        <f>ROUND(D406*$C406/100*D398,0)</f>
        <v>0</v>
      </c>
      <c r="G406" s="321">
        <f ca="1">G394</f>
        <v>58</v>
      </c>
      <c r="H406" s="308" t="s">
        <v>364</v>
      </c>
      <c r="I406" s="2">
        <f ca="1">ROUND(G406*$C406/100*G398,0)</f>
        <v>0</v>
      </c>
      <c r="J406" s="2"/>
      <c r="K406" s="321" t="str">
        <f>K394</f>
        <v xml:space="preserve"> </v>
      </c>
      <c r="L406" s="308" t="s">
        <v>364</v>
      </c>
      <c r="M406" s="2">
        <f>ROUND(K406*$C406/100*K398,0)</f>
        <v>0</v>
      </c>
      <c r="N406" s="2"/>
      <c r="O406" s="321" t="e">
        <f>O394</f>
        <v>#DIV/0!</v>
      </c>
      <c r="P406" s="308" t="s">
        <v>364</v>
      </c>
      <c r="Q406" s="2" t="e">
        <f>ROUND(O406*$C406/100*O398,0)</f>
        <v>#DIV/0!</v>
      </c>
      <c r="R406" s="2"/>
      <c r="S406" s="321" t="e">
        <f>S394</f>
        <v>#DIV/0!</v>
      </c>
      <c r="T406" s="308" t="s">
        <v>364</v>
      </c>
      <c r="U406" s="2" t="e">
        <f>ROUND(S406*$C406/100*S398,0)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>
      <c r="A407" s="1" t="s">
        <v>397</v>
      </c>
      <c r="B407" s="1"/>
      <c r="C407" s="304">
        <v>0</v>
      </c>
      <c r="D407" s="322">
        <v>60</v>
      </c>
      <c r="E407" s="308"/>
      <c r="F407" s="2">
        <f>ROUND(D407*C407,0)</f>
        <v>0</v>
      </c>
      <c r="G407" s="322">
        <f>$G$197</f>
        <v>60</v>
      </c>
      <c r="H407" s="308"/>
      <c r="I407" s="2">
        <f>ROUND(G407*$C407,0)</f>
        <v>0</v>
      </c>
      <c r="J407" s="2"/>
      <c r="K407" s="322">
        <v>0</v>
      </c>
      <c r="L407" s="308"/>
      <c r="M407" s="2">
        <f>ROUND(K407*$C407,0)</f>
        <v>0</v>
      </c>
      <c r="N407" s="2"/>
      <c r="O407" s="322" t="e">
        <f>O197</f>
        <v>#DIV/0!</v>
      </c>
      <c r="P407" s="308"/>
      <c r="Q407" s="2" t="e">
        <f>ROUND(O407*$C407,0)</f>
        <v>#DIV/0!</v>
      </c>
      <c r="R407" s="2"/>
      <c r="S407" s="322" t="e">
        <f>S197</f>
        <v>#DIV/0!</v>
      </c>
      <c r="T407" s="308"/>
      <c r="U407" s="2" t="e">
        <f>ROUND(S407*$C407,0)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>
      <c r="A408" s="1" t="s">
        <v>398</v>
      </c>
      <c r="B408" s="1"/>
      <c r="C408" s="304">
        <v>0</v>
      </c>
      <c r="D408" s="324">
        <v>-30</v>
      </c>
      <c r="E408" s="308" t="s">
        <v>364</v>
      </c>
      <c r="F408" s="2">
        <f>ROUND(D408*C408/100,0)</f>
        <v>0</v>
      </c>
      <c r="G408" s="324">
        <f>$G$198</f>
        <v>-30</v>
      </c>
      <c r="H408" s="308" t="s">
        <v>364</v>
      </c>
      <c r="I408" s="2">
        <f>ROUND(G408*$C408/100,0)</f>
        <v>0</v>
      </c>
      <c r="J408" s="2"/>
      <c r="K408" s="324">
        <f>$G$198</f>
        <v>-30</v>
      </c>
      <c r="L408" s="308" t="s">
        <v>364</v>
      </c>
      <c r="M408" s="2">
        <f>ROUND(K408*$C408/100,0)</f>
        <v>0</v>
      </c>
      <c r="N408" s="2"/>
      <c r="O408" s="324">
        <v>0</v>
      </c>
      <c r="P408" s="308" t="s">
        <v>364</v>
      </c>
      <c r="Q408" s="2">
        <f>ROUND(O408*$C408/100,0)</f>
        <v>0</v>
      </c>
      <c r="R408" s="2"/>
      <c r="S408" s="324">
        <v>0</v>
      </c>
      <c r="T408" s="308" t="s">
        <v>364</v>
      </c>
      <c r="U408" s="2">
        <f>ROUND(S408*$C408/100,0)</f>
        <v>0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s="1118" customFormat="1" hidden="1">
      <c r="A409" s="968" t="s">
        <v>862</v>
      </c>
      <c r="C409" s="1122">
        <f>C403</f>
        <v>0</v>
      </c>
      <c r="D409" s="1423">
        <v>0</v>
      </c>
      <c r="E409" s="1119"/>
      <c r="F409" s="1123"/>
      <c r="G409" s="1128">
        <f>G182</f>
        <v>0</v>
      </c>
      <c r="H409" s="972" t="s">
        <v>364</v>
      </c>
      <c r="I409" s="2">
        <f>ROUND(G409*$C409/100*G398,0)</f>
        <v>0</v>
      </c>
      <c r="J409" s="2"/>
      <c r="K409" s="1128" t="str">
        <f>K182</f>
        <v xml:space="preserve"> </v>
      </c>
      <c r="L409" s="972" t="s">
        <v>364</v>
      </c>
      <c r="M409" s="2">
        <f>ROUND(K409*$C409/100*K398,0)</f>
        <v>0</v>
      </c>
      <c r="N409" s="2"/>
      <c r="O409" s="1128" t="str">
        <f>O182</f>
        <v xml:space="preserve"> </v>
      </c>
      <c r="P409" s="972" t="s">
        <v>364</v>
      </c>
      <c r="Q409" s="2">
        <f>ROUND(O409*$C409/100*O398,0)</f>
        <v>0</v>
      </c>
      <c r="R409" s="2"/>
      <c r="S409" s="1128">
        <f>S182</f>
        <v>0</v>
      </c>
      <c r="T409" s="972" t="s">
        <v>364</v>
      </c>
      <c r="U409" s="2">
        <f>ROUND(S409*$C409/100*S398,0)</f>
        <v>0</v>
      </c>
      <c r="W409" s="784"/>
      <c r="Z409" s="1125"/>
      <c r="AA409" s="1125"/>
      <c r="AF409" s="1119"/>
      <c r="AG409" s="1119"/>
      <c r="AH409" s="1119"/>
      <c r="AI409" s="1119"/>
      <c r="AJ409" s="1119"/>
      <c r="AK409" s="1119"/>
      <c r="AL409" s="1119"/>
      <c r="AM409" s="1119"/>
      <c r="AN409" s="1119"/>
      <c r="AO409" s="1119"/>
      <c r="AP409" s="1119"/>
      <c r="AR409" s="1124"/>
    </row>
    <row r="410" spans="1:44" s="1118" customFormat="1" hidden="1">
      <c r="A410" s="968" t="s">
        <v>863</v>
      </c>
      <c r="C410" s="1122">
        <f>C404</f>
        <v>0</v>
      </c>
      <c r="D410" s="1423"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ROUND(G410*$C410/100*G398,0)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ROUND(K410*$C410/100*K398,0)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ROUND(O410*$C410/100*O398,0)</f>
        <v>0</v>
      </c>
      <c r="R410" s="2"/>
      <c r="S410" s="1128">
        <f>S183</f>
        <v>0</v>
      </c>
      <c r="T410" s="972" t="s">
        <v>364</v>
      </c>
      <c r="U410" s="2">
        <f>ROUND(S410*$C410/100*S398,0)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864</v>
      </c>
      <c r="C411" s="1122">
        <f>C405</f>
        <v>0</v>
      </c>
      <c r="D411" s="1423"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ROUND(G411*$C411/100*G398,0)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ROUND(K411*$C411/100*K398,0)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ROUND(O411*$C411/100*O398,0)</f>
        <v>0</v>
      </c>
      <c r="R411" s="2"/>
      <c r="S411" s="1128">
        <f>S184</f>
        <v>0</v>
      </c>
      <c r="T411" s="972" t="s">
        <v>364</v>
      </c>
      <c r="U411" s="2">
        <f>ROUND(S411*$C411/100*S398,0)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>
      <c r="A412" s="1" t="s">
        <v>371</v>
      </c>
      <c r="B412" s="1"/>
      <c r="C412" s="304">
        <f>SUM(C391:C393)</f>
        <v>1270469.7942953119</v>
      </c>
      <c r="D412" s="315"/>
      <c r="E412" s="308"/>
      <c r="F412" s="2">
        <f>SUM(F385:F408)</f>
        <v>171773</v>
      </c>
      <c r="G412" s="315"/>
      <c r="H412" s="308"/>
      <c r="I412" s="2">
        <f ca="1">SUM(I385:I411)</f>
        <v>175816</v>
      </c>
      <c r="J412" s="2"/>
      <c r="K412" s="315"/>
      <c r="L412" s="308"/>
      <c r="M412" s="2" t="e">
        <f ca="1">SUM(M385:M411)</f>
        <v>#REF!</v>
      </c>
      <c r="N412" s="2"/>
      <c r="O412" s="315"/>
      <c r="P412" s="308"/>
      <c r="Q412" s="2" t="e">
        <f ca="1">SUM(Q385:Q411)</f>
        <v>#DIV/0!</v>
      </c>
      <c r="R412" s="2"/>
      <c r="S412" s="315"/>
      <c r="T412" s="308"/>
      <c r="U412" s="2" t="e">
        <f ca="1">SUM(U385:U411)</f>
        <v>#DIV/0!</v>
      </c>
      <c r="V412" s="20"/>
      <c r="W412" s="74"/>
      <c r="X412" s="74"/>
      <c r="Y412" s="74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R412" s="84"/>
    </row>
    <row r="413" spans="1:44">
      <c r="A413" s="1" t="s">
        <v>353</v>
      </c>
      <c r="B413" s="1"/>
      <c r="C413" s="334">
        <f>'Table 2'!H42</f>
        <v>8762.5736653830463</v>
      </c>
      <c r="D413" s="294"/>
      <c r="E413" s="294"/>
      <c r="F413" s="326">
        <f>'Table 3'!E42</f>
        <v>1323.3384329358348</v>
      </c>
      <c r="G413" s="294"/>
      <c r="H413" s="294"/>
      <c r="I413" s="326">
        <f>F413</f>
        <v>1323.3384329358348</v>
      </c>
      <c r="J413" s="307"/>
      <c r="K413" s="294"/>
      <c r="L413" s="294"/>
      <c r="M413" s="326" t="e">
        <f>$I$413*V207/($V$207+$W$207+$X$207)</f>
        <v>#DIV/0!</v>
      </c>
      <c r="N413" s="51"/>
      <c r="O413" s="294"/>
      <c r="P413" s="294"/>
      <c r="Q413" s="326" t="e">
        <f>$I$413*W207/($V$207+$W$207+$X$207)</f>
        <v>#DIV/0!</v>
      </c>
      <c r="R413" s="51"/>
      <c r="S413" s="294"/>
      <c r="T413" s="294"/>
      <c r="U413" s="326" t="e">
        <f>$I$413*X207/($V$207+$W$207+$X$207)</f>
        <v>#DIV/0!</v>
      </c>
      <c r="V413" s="429"/>
      <c r="W413" s="272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t="16.5" thickBot="1">
      <c r="A414" s="1" t="s">
        <v>372</v>
      </c>
      <c r="B414" s="1"/>
      <c r="C414" s="296">
        <f>SUM(C412:C413)</f>
        <v>1279232.3679606949</v>
      </c>
      <c r="D414" s="327"/>
      <c r="E414" s="330"/>
      <c r="F414" s="329">
        <f>F412+F413</f>
        <v>173096.33843293582</v>
      </c>
      <c r="G414" s="327"/>
      <c r="H414" s="330"/>
      <c r="I414" s="329">
        <f ca="1">I412+I413</f>
        <v>177139.33843293582</v>
      </c>
      <c r="J414" s="307"/>
      <c r="K414" s="327"/>
      <c r="L414" s="330"/>
      <c r="M414" s="329" t="e">
        <f ca="1">M412+M413</f>
        <v>#REF!</v>
      </c>
      <c r="N414" s="329"/>
      <c r="O414" s="327"/>
      <c r="P414" s="330"/>
      <c r="Q414" s="329" t="e">
        <f ca="1">Q412+Q413</f>
        <v>#DIV/0!</v>
      </c>
      <c r="R414" s="329"/>
      <c r="S414" s="327"/>
      <c r="T414" s="330"/>
      <c r="U414" s="329" t="e">
        <f ca="1">U412+U413</f>
        <v>#DIV/0!</v>
      </c>
      <c r="V414" s="396"/>
      <c r="W414" s="455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thickTop="1">
      <c r="A415" s="1"/>
      <c r="B415" s="1"/>
      <c r="C415" s="21"/>
      <c r="D415" s="322"/>
      <c r="E415" s="1"/>
      <c r="F415" s="2"/>
      <c r="G415" s="322"/>
      <c r="H415" s="1"/>
      <c r="I415" s="2" t="s">
        <v>31</v>
      </c>
      <c r="J415" s="2"/>
      <c r="K415" s="322"/>
      <c r="L415" s="1"/>
      <c r="M415" s="2" t="s">
        <v>31</v>
      </c>
      <c r="N415" s="2"/>
      <c r="O415" s="322"/>
      <c r="P415" s="1"/>
      <c r="Q415" s="2" t="s">
        <v>31</v>
      </c>
      <c r="R415" s="2"/>
      <c r="S415" s="322"/>
      <c r="T415" s="1"/>
      <c r="U415" s="2" t="s">
        <v>31</v>
      </c>
      <c r="V415" s="20"/>
      <c r="W415" s="74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>
      <c r="A416" s="278" t="s">
        <v>405</v>
      </c>
      <c r="B416" s="1"/>
      <c r="C416" s="1"/>
      <c r="D416" s="2"/>
      <c r="E416" s="1"/>
      <c r="F416" s="1"/>
      <c r="G416" s="2"/>
      <c r="H416" s="1"/>
      <c r="I416" s="1"/>
      <c r="J416" s="1"/>
      <c r="K416" s="2"/>
      <c r="L416" s="1"/>
      <c r="M416" s="1"/>
      <c r="N416" s="1"/>
      <c r="O416" s="2"/>
      <c r="P416" s="1"/>
      <c r="Q416" s="1"/>
      <c r="R416" s="1"/>
      <c r="S416" s="2"/>
      <c r="T416" s="1"/>
      <c r="U416" s="1"/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>
      <c r="A417" s="1" t="s">
        <v>404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>
      <c r="A418" s="1"/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>
      <c r="A419" s="1" t="s">
        <v>383</v>
      </c>
      <c r="B419" s="1"/>
      <c r="C419" s="304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>
      <c r="A420" s="1" t="s">
        <v>406</v>
      </c>
      <c r="B420" s="1"/>
      <c r="C420" s="304">
        <v>515.53886098354405</v>
      </c>
      <c r="D420" s="283">
        <v>9.76</v>
      </c>
      <c r="E420" s="308"/>
      <c r="F420" s="2">
        <f>ROUND(D420*$C420,0)</f>
        <v>5032</v>
      </c>
      <c r="G420" s="283">
        <f ca="1">$G$172</f>
        <v>9.99</v>
      </c>
      <c r="H420" s="308"/>
      <c r="I420" s="2">
        <f ca="1">ROUND(G420*$C420,0)</f>
        <v>5150</v>
      </c>
      <c r="J420" s="2"/>
      <c r="K420" s="283">
        <f ca="1">$K$172</f>
        <v>9.99</v>
      </c>
      <c r="L420" s="308"/>
      <c r="M420" s="2">
        <f ca="1">ROUND(K420*$C420,0)</f>
        <v>5150</v>
      </c>
      <c r="N420" s="2"/>
      <c r="O420" s="283" t="str">
        <f>$O$172</f>
        <v xml:space="preserve"> </v>
      </c>
      <c r="P420" s="308"/>
      <c r="Q420" s="2">
        <f>ROUND(O420*$C420,0)</f>
        <v>0</v>
      </c>
      <c r="R420" s="2"/>
      <c r="S420" s="283" t="str">
        <f>$S$172</f>
        <v xml:space="preserve"> </v>
      </c>
      <c r="T420" s="308"/>
      <c r="U420" s="2">
        <f>ROUND(S420*$C420,0)</f>
        <v>0</v>
      </c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>
      <c r="A421" s="1" t="s">
        <v>381</v>
      </c>
      <c r="B421" s="1"/>
      <c r="C421" s="304">
        <v>0</v>
      </c>
      <c r="D421" s="283">
        <v>14.54</v>
      </c>
      <c r="E421" s="310"/>
      <c r="F421" s="2">
        <f t="shared" ref="F421:F422" si="96">ROUND(D421*$C421,0)</f>
        <v>0</v>
      </c>
      <c r="G421" s="283">
        <f ca="1">$G$173</f>
        <v>14.89</v>
      </c>
      <c r="H421" s="310"/>
      <c r="I421" s="2">
        <f ca="1">ROUND(G421*$C421,0)</f>
        <v>0</v>
      </c>
      <c r="J421" s="2"/>
      <c r="K421" s="283">
        <f ca="1">$K$173</f>
        <v>14.89</v>
      </c>
      <c r="L421" s="310"/>
      <c r="M421" s="2">
        <f ca="1">ROUND(K421*$C421,0)</f>
        <v>0</v>
      </c>
      <c r="N421" s="2"/>
      <c r="O421" s="283" t="str">
        <f>$O$173</f>
        <v xml:space="preserve"> </v>
      </c>
      <c r="P421" s="310"/>
      <c r="Q421" s="2">
        <f>ROUND(O421*$C421,0)</f>
        <v>0</v>
      </c>
      <c r="R421" s="2"/>
      <c r="S421" s="283" t="str">
        <f>$S$173</f>
        <v xml:space="preserve"> </v>
      </c>
      <c r="T421" s="310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>
      <c r="A422" s="1" t="s">
        <v>382</v>
      </c>
      <c r="B422" s="1"/>
      <c r="C422" s="304">
        <v>0</v>
      </c>
      <c r="D422" s="283">
        <v>1.02</v>
      </c>
      <c r="E422" s="310"/>
      <c r="F422" s="2">
        <f t="shared" si="96"/>
        <v>0</v>
      </c>
      <c r="G422" s="283">
        <f ca="1">$G$174</f>
        <v>1.04</v>
      </c>
      <c r="H422" s="310"/>
      <c r="I422" s="2">
        <f ca="1">ROUND(G422*$C422,0)</f>
        <v>0</v>
      </c>
      <c r="J422" s="2"/>
      <c r="K422" s="283">
        <f ca="1">$K$174</f>
        <v>1.04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>
      <c r="A423" s="1" t="s">
        <v>384</v>
      </c>
      <c r="B423" s="1"/>
      <c r="C423" s="304">
        <f>SUM(C420:C421)</f>
        <v>515.53886098354405</v>
      </c>
      <c r="D423" s="283"/>
      <c r="E423" s="308"/>
      <c r="F423" s="2"/>
      <c r="G423" s="283"/>
      <c r="H423" s="308"/>
      <c r="I423" s="2"/>
      <c r="J423" s="2"/>
      <c r="K423" s="283"/>
      <c r="L423" s="308"/>
      <c r="M423" s="2"/>
      <c r="N423" s="2"/>
      <c r="O423" s="283"/>
      <c r="P423" s="308"/>
      <c r="Q423" s="2"/>
      <c r="R423" s="2"/>
      <c r="S423" s="283"/>
      <c r="T423" s="308"/>
      <c r="U423" s="2"/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>
      <c r="A424" s="1" t="s">
        <v>352</v>
      </c>
      <c r="B424" s="1"/>
      <c r="C424" s="304">
        <v>48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>
      <c r="A425" s="1" t="s">
        <v>385</v>
      </c>
      <c r="B425" s="1"/>
      <c r="C425" s="304">
        <v>0</v>
      </c>
      <c r="D425" s="311">
        <v>3.7</v>
      </c>
      <c r="E425" s="308"/>
      <c r="F425" s="2">
        <f>ROUND(D425*C425,0)</f>
        <v>0</v>
      </c>
      <c r="G425" s="311">
        <f ca="1">$G$177</f>
        <v>3.8</v>
      </c>
      <c r="H425" s="308"/>
      <c r="I425" s="2">
        <f ca="1">ROUND(G425*$C425,0)</f>
        <v>0</v>
      </c>
      <c r="J425" s="2"/>
      <c r="K425" s="311" t="e">
        <f ca="1">$K$177</f>
        <v>#REF!</v>
      </c>
      <c r="L425" s="308"/>
      <c r="M425" s="2" t="e">
        <f ca="1">ROUND(K425*$C425,0)</f>
        <v>#REF!</v>
      </c>
      <c r="N425" s="2"/>
      <c r="O425" s="311" t="e">
        <f ca="1">$O$177</f>
        <v>#DIV/0!</v>
      </c>
      <c r="P425" s="308"/>
      <c r="Q425" s="2" t="e">
        <f ca="1">ROUND(O425*$C425,0)</f>
        <v>#DIV/0!</v>
      </c>
      <c r="R425" s="2"/>
      <c r="S425" s="311" t="e">
        <f ca="1">$S$177</f>
        <v>#DIV/0!</v>
      </c>
      <c r="T425" s="308"/>
      <c r="U425" s="2" t="e">
        <f ca="1">ROUND(S425*$C425,0)</f>
        <v>#DIV/0!</v>
      </c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>
      <c r="A426" s="1" t="s">
        <v>387</v>
      </c>
      <c r="B426" s="1"/>
      <c r="C426" s="304">
        <v>33312</v>
      </c>
      <c r="D426" s="284">
        <v>10.628</v>
      </c>
      <c r="E426" s="308" t="s">
        <v>364</v>
      </c>
      <c r="F426" s="2">
        <f>ROUND(D426*C426/100,0)</f>
        <v>3540</v>
      </c>
      <c r="G426" s="284">
        <f ca="1">$G$178</f>
        <v>10.878</v>
      </c>
      <c r="H426" s="308" t="s">
        <v>364</v>
      </c>
      <c r="I426" s="2">
        <f ca="1">ROUND(G426*$C426/100,0)</f>
        <v>3624</v>
      </c>
      <c r="J426" s="2"/>
      <c r="K426" s="284" t="e">
        <f ca="1">$K$178</f>
        <v>#REF!</v>
      </c>
      <c r="L426" s="308" t="s">
        <v>364</v>
      </c>
      <c r="M426" s="2" t="e">
        <f ca="1">ROUND(K426*$C426/100,0)</f>
        <v>#REF!</v>
      </c>
      <c r="N426" s="2"/>
      <c r="O426" s="284" t="e">
        <f ca="1">$O$178</f>
        <v>#DIV/0!</v>
      </c>
      <c r="P426" s="308" t="s">
        <v>364</v>
      </c>
      <c r="Q426" s="2" t="e">
        <f ca="1">ROUND(O426*$C426/100,0)</f>
        <v>#DIV/0!</v>
      </c>
      <c r="R426" s="2"/>
      <c r="S426" s="284" t="e">
        <f ca="1">$S$178</f>
        <v>#DIV/0!</v>
      </c>
      <c r="T426" s="308" t="s">
        <v>364</v>
      </c>
      <c r="U426" s="2" t="e">
        <f ca="1">ROUND(S426*$C426/100,0)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>
      <c r="A427" s="1" t="s">
        <v>388</v>
      </c>
      <c r="B427" s="1"/>
      <c r="C427" s="304">
        <v>0</v>
      </c>
      <c r="D427" s="284">
        <v>7.3410000000000002</v>
      </c>
      <c r="E427" s="308" t="s">
        <v>364</v>
      </c>
      <c r="F427" s="2">
        <f>ROUND(D427*C427/100,0)</f>
        <v>0</v>
      </c>
      <c r="G427" s="284">
        <f ca="1">$G$179</f>
        <v>7.5140000000000002</v>
      </c>
      <c r="H427" s="308" t="s">
        <v>364</v>
      </c>
      <c r="I427" s="2">
        <f ca="1">ROUND(G427*$C427/100,0)</f>
        <v>0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>
      <c r="A428" s="1" t="s">
        <v>389</v>
      </c>
      <c r="B428" s="1"/>
      <c r="C428" s="304">
        <v>0</v>
      </c>
      <c r="D428" s="284">
        <v>6.3240000000000007</v>
      </c>
      <c r="E428" s="308" t="s">
        <v>364</v>
      </c>
      <c r="F428" s="2">
        <f>ROUND(D428*C428/100,0)</f>
        <v>0</v>
      </c>
      <c r="G428" s="284">
        <f ca="1">$G$180</f>
        <v>6.4720000000000004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>
      <c r="A429" s="1" t="s">
        <v>390</v>
      </c>
      <c r="B429" s="1"/>
      <c r="C429" s="304">
        <v>0</v>
      </c>
      <c r="D429" s="315">
        <v>57</v>
      </c>
      <c r="E429" s="308" t="s">
        <v>364</v>
      </c>
      <c r="F429" s="2">
        <f>ROUND(D429*C429/100,0)</f>
        <v>0</v>
      </c>
      <c r="G429" s="315">
        <f ca="1">$G$181</f>
        <v>58</v>
      </c>
      <c r="H429" s="308" t="s">
        <v>364</v>
      </c>
      <c r="I429" s="2">
        <f ca="1">ROUND(G429*$C429/100,0)</f>
        <v>0</v>
      </c>
      <c r="J429" s="2"/>
      <c r="K429" s="315" t="str">
        <f>$K$181</f>
        <v xml:space="preserve"> </v>
      </c>
      <c r="L429" s="308" t="s">
        <v>364</v>
      </c>
      <c r="M429" s="2">
        <f>ROUND(K429*$C429/100,0)</f>
        <v>0</v>
      </c>
      <c r="N429" s="2"/>
      <c r="O429" s="315" t="e">
        <f>$O$181</f>
        <v>#DIV/0!</v>
      </c>
      <c r="P429" s="308" t="s">
        <v>364</v>
      </c>
      <c r="Q429" s="2" t="e">
        <f>ROUND(O429*$C429/100,0)</f>
        <v>#DIV/0!</v>
      </c>
      <c r="R429" s="2"/>
      <c r="S429" s="315" t="e">
        <f>$S$181</f>
        <v>#DIV/0!</v>
      </c>
      <c r="T429" s="308" t="s">
        <v>364</v>
      </c>
      <c r="U429" s="2" t="e">
        <f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s="1118" customFormat="1" hidden="1">
      <c r="A430" s="968" t="s">
        <v>862</v>
      </c>
      <c r="C430" s="1122">
        <f>C426</f>
        <v>33312</v>
      </c>
      <c r="D430" s="1423">
        <v>0</v>
      </c>
      <c r="E430" s="1119"/>
      <c r="F430" s="1123"/>
      <c r="G430" s="1128">
        <f>G182</f>
        <v>0</v>
      </c>
      <c r="H430" s="972" t="s">
        <v>364</v>
      </c>
      <c r="I430" s="1123">
        <f t="shared" ref="I430:I432" si="97">ROUND(G430*$C430/100,0)</f>
        <v>0</v>
      </c>
      <c r="J430" s="1123"/>
      <c r="K430" s="1128" t="str">
        <f>K182</f>
        <v xml:space="preserve"> </v>
      </c>
      <c r="L430" s="972" t="s">
        <v>364</v>
      </c>
      <c r="M430" s="1123">
        <f t="shared" ref="M430:M432" si="98">ROUND(K430*$C430/100,0)</f>
        <v>0</v>
      </c>
      <c r="N430" s="1123"/>
      <c r="O430" s="1128" t="str">
        <f>O182</f>
        <v xml:space="preserve"> </v>
      </c>
      <c r="P430" s="972" t="s">
        <v>364</v>
      </c>
      <c r="Q430" s="1123">
        <f t="shared" ref="Q430:Q432" si="99">ROUND(O430*$C430/100,0)</f>
        <v>0</v>
      </c>
      <c r="R430" s="1123"/>
      <c r="S430" s="1128">
        <f>S182</f>
        <v>0</v>
      </c>
      <c r="T430" s="972" t="s">
        <v>364</v>
      </c>
      <c r="U430" s="1123">
        <f t="shared" ref="U430:U432" si="100">ROUND(S430*$C430/100,0)</f>
        <v>0</v>
      </c>
      <c r="W430" s="784"/>
      <c r="Z430" s="1125"/>
      <c r="AA430" s="1125"/>
      <c r="AF430" s="1119"/>
      <c r="AG430" s="1119"/>
      <c r="AH430" s="1119"/>
      <c r="AI430" s="1119"/>
      <c r="AJ430" s="1119"/>
      <c r="AK430" s="1119"/>
      <c r="AL430" s="1119"/>
      <c r="AM430" s="1119"/>
      <c r="AN430" s="1119"/>
      <c r="AO430" s="1119"/>
      <c r="AP430" s="1119"/>
      <c r="AR430" s="1124"/>
    </row>
    <row r="431" spans="1:44" s="1118" customFormat="1" hidden="1">
      <c r="A431" s="968" t="s">
        <v>863</v>
      </c>
      <c r="C431" s="1122">
        <f>C427</f>
        <v>0</v>
      </c>
      <c r="D431" s="1423">
        <v>0</v>
      </c>
      <c r="E431" s="1119"/>
      <c r="F431" s="1123"/>
      <c r="G431" s="1128">
        <f>G183</f>
        <v>0</v>
      </c>
      <c r="H431" s="972" t="s">
        <v>364</v>
      </c>
      <c r="I431" s="1123">
        <f t="shared" si="97"/>
        <v>0</v>
      </c>
      <c r="J431" s="1123"/>
      <c r="K431" s="1128" t="str">
        <f>K183</f>
        <v xml:space="preserve"> </v>
      </c>
      <c r="L431" s="972" t="s">
        <v>364</v>
      </c>
      <c r="M431" s="1123">
        <f t="shared" si="98"/>
        <v>0</v>
      </c>
      <c r="N431" s="1123"/>
      <c r="O431" s="1128" t="str">
        <f>O183</f>
        <v xml:space="preserve"> </v>
      </c>
      <c r="P431" s="972" t="s">
        <v>364</v>
      </c>
      <c r="Q431" s="1123">
        <f t="shared" si="99"/>
        <v>0</v>
      </c>
      <c r="R431" s="1123"/>
      <c r="S431" s="1128">
        <f>S183</f>
        <v>0</v>
      </c>
      <c r="T431" s="972" t="s">
        <v>364</v>
      </c>
      <c r="U431" s="1123">
        <f t="shared" si="100"/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864</v>
      </c>
      <c r="C432" s="1122">
        <f>C428</f>
        <v>0</v>
      </c>
      <c r="D432" s="1423"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97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8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9"/>
        <v>0</v>
      </c>
      <c r="R432" s="1123"/>
      <c r="S432" s="1128">
        <f>S184</f>
        <v>0</v>
      </c>
      <c r="T432" s="972" t="s">
        <v>364</v>
      </c>
      <c r="U432" s="1123">
        <f t="shared" si="100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>
      <c r="A433" s="316" t="s">
        <v>391</v>
      </c>
      <c r="B433" s="1"/>
      <c r="C433" s="304"/>
      <c r="D433" s="317">
        <v>-0.01</v>
      </c>
      <c r="E433" s="308"/>
      <c r="F433" s="2"/>
      <c r="G433" s="317">
        <v>-0.01</v>
      </c>
      <c r="H433" s="308"/>
      <c r="I433" s="2"/>
      <c r="J433" s="2"/>
      <c r="K433" s="317">
        <v>-0.01</v>
      </c>
      <c r="L433" s="308"/>
      <c r="M433" s="2"/>
      <c r="N433" s="2"/>
      <c r="O433" s="317">
        <v>-0.01</v>
      </c>
      <c r="P433" s="308"/>
      <c r="Q433" s="2"/>
      <c r="R433" s="2"/>
      <c r="S433" s="317">
        <v>-0.01</v>
      </c>
      <c r="T433" s="308"/>
      <c r="U433" s="2"/>
      <c r="V433" s="20"/>
      <c r="W433" s="74"/>
      <c r="X433" s="74"/>
      <c r="Y433" s="74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R433" s="84"/>
    </row>
    <row r="434" spans="1:44">
      <c r="A434" s="1" t="s">
        <v>380</v>
      </c>
      <c r="B434" s="1"/>
      <c r="C434" s="304">
        <v>0</v>
      </c>
      <c r="D434" s="319">
        <v>9.76</v>
      </c>
      <c r="E434" s="306"/>
      <c r="F434" s="2">
        <f>-ROUND(D434*$C434/100,0)</f>
        <v>0</v>
      </c>
      <c r="G434" s="319">
        <f ca="1">G420</f>
        <v>9.99</v>
      </c>
      <c r="H434" s="306"/>
      <c r="I434" s="2">
        <f ca="1">-ROUND(G434*$C434/100,0)</f>
        <v>0</v>
      </c>
      <c r="J434" s="2"/>
      <c r="K434" s="319">
        <f ca="1">K420</f>
        <v>9.99</v>
      </c>
      <c r="L434" s="306"/>
      <c r="M434" s="2">
        <f ca="1">-ROUND(K434*$C434/100,0)</f>
        <v>0</v>
      </c>
      <c r="N434" s="2"/>
      <c r="O434" s="319" t="str">
        <f>O420</f>
        <v xml:space="preserve"> </v>
      </c>
      <c r="P434" s="306"/>
      <c r="Q434" s="2">
        <f>-ROUND(O434*$C434/100,0)</f>
        <v>0</v>
      </c>
      <c r="R434" s="2"/>
      <c r="S434" s="319" t="str">
        <f>S420</f>
        <v xml:space="preserve"> </v>
      </c>
      <c r="T434" s="306"/>
      <c r="U434" s="2">
        <f>-ROUND(S434*$C434/100,0)</f>
        <v>0</v>
      </c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>
      <c r="A435" s="1" t="s">
        <v>381</v>
      </c>
      <c r="B435" s="1"/>
      <c r="C435" s="304">
        <v>0</v>
      </c>
      <c r="D435" s="319">
        <v>14.54</v>
      </c>
      <c r="E435" s="306"/>
      <c r="F435" s="2">
        <f t="shared" ref="F435:F437" si="101">-ROUND(D435*$C435/100,0)</f>
        <v>0</v>
      </c>
      <c r="G435" s="319">
        <f ca="1">G421</f>
        <v>14.89</v>
      </c>
      <c r="H435" s="306"/>
      <c r="I435" s="2">
        <f ca="1">-ROUND(G435*$C435/100,0)</f>
        <v>0</v>
      </c>
      <c r="J435" s="2"/>
      <c r="K435" s="319">
        <f ca="1">K421</f>
        <v>14.89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>
      <c r="A436" s="1" t="s">
        <v>392</v>
      </c>
      <c r="B436" s="1"/>
      <c r="C436" s="304">
        <v>0</v>
      </c>
      <c r="D436" s="319">
        <v>1.02</v>
      </c>
      <c r="E436" s="306"/>
      <c r="F436" s="2">
        <f t="shared" si="101"/>
        <v>0</v>
      </c>
      <c r="G436" s="319">
        <f ca="1">G422</f>
        <v>1.04</v>
      </c>
      <c r="H436" s="306"/>
      <c r="I436" s="2">
        <f ca="1">-ROUND(G436*$C436/100,0)</f>
        <v>0</v>
      </c>
      <c r="J436" s="2"/>
      <c r="K436" s="319">
        <f ca="1">K422</f>
        <v>1.04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>
      <c r="A437" s="1" t="s">
        <v>393</v>
      </c>
      <c r="B437" s="1"/>
      <c r="C437" s="304">
        <v>0</v>
      </c>
      <c r="D437" s="319">
        <v>3.7</v>
      </c>
      <c r="E437" s="308"/>
      <c r="F437" s="2">
        <f t="shared" si="101"/>
        <v>0</v>
      </c>
      <c r="G437" s="319">
        <f ca="1">G425</f>
        <v>3.8</v>
      </c>
      <c r="H437" s="308"/>
      <c r="I437" s="2">
        <f ca="1">-ROUND(G437*$C437/100,0)</f>
        <v>0</v>
      </c>
      <c r="J437" s="2"/>
      <c r="K437" s="319" t="e">
        <f ca="1">K425</f>
        <v>#REF!</v>
      </c>
      <c r="L437" s="308"/>
      <c r="M437" s="2" t="e">
        <f ca="1">-ROUND(K437*$C437/100,0)</f>
        <v>#REF!</v>
      </c>
      <c r="N437" s="2"/>
      <c r="O437" s="319" t="e">
        <f ca="1">O425</f>
        <v>#DIV/0!</v>
      </c>
      <c r="P437" s="308"/>
      <c r="Q437" s="2" t="e">
        <f ca="1">-ROUND(O437*$C437/100,0)</f>
        <v>#DIV/0!</v>
      </c>
      <c r="R437" s="2"/>
      <c r="S437" s="319" t="e">
        <f ca="1">S425</f>
        <v>#DIV/0!</v>
      </c>
      <c r="T437" s="308"/>
      <c r="U437" s="2" t="e">
        <f ca="1">-ROUND(S437*$C437/100,0)</f>
        <v>#DIV/0!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>
      <c r="A438" s="1" t="s">
        <v>395</v>
      </c>
      <c r="B438" s="1"/>
      <c r="C438" s="304">
        <v>0</v>
      </c>
      <c r="D438" s="320">
        <v>10.628</v>
      </c>
      <c r="E438" s="308" t="s">
        <v>364</v>
      </c>
      <c r="F438" s="2">
        <f>ROUND(D438*$C438/100*D433,0)</f>
        <v>0</v>
      </c>
      <c r="G438" s="320">
        <f ca="1">G426</f>
        <v>10.878</v>
      </c>
      <c r="H438" s="308" t="s">
        <v>364</v>
      </c>
      <c r="I438" s="2">
        <f ca="1">ROUND(G438*$C438/100*G433,0)</f>
        <v>0</v>
      </c>
      <c r="J438" s="2"/>
      <c r="K438" s="320" t="e">
        <f ca="1">K426</f>
        <v>#REF!</v>
      </c>
      <c r="L438" s="308" t="s">
        <v>364</v>
      </c>
      <c r="M438" s="2" t="e">
        <f ca="1">ROUND(K438*$C438/100*K433,0)</f>
        <v>#REF!</v>
      </c>
      <c r="N438" s="2"/>
      <c r="O438" s="320" t="e">
        <f ca="1">O426</f>
        <v>#DIV/0!</v>
      </c>
      <c r="P438" s="308" t="s">
        <v>364</v>
      </c>
      <c r="Q438" s="2" t="e">
        <f ca="1">ROUND(O438*$C438/100*O433,0)</f>
        <v>#DIV/0!</v>
      </c>
      <c r="R438" s="2"/>
      <c r="S438" s="320" t="e">
        <f ca="1">S426</f>
        <v>#DIV/0!</v>
      </c>
      <c r="T438" s="308" t="s">
        <v>364</v>
      </c>
      <c r="U438" s="2" t="e">
        <f ca="1">ROUND(S438*$C438/100*S433,0)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>
      <c r="A439" s="1" t="s">
        <v>388</v>
      </c>
      <c r="B439" s="1"/>
      <c r="C439" s="304">
        <v>0</v>
      </c>
      <c r="D439" s="320">
        <v>7.3410000000000002</v>
      </c>
      <c r="E439" s="308" t="s">
        <v>364</v>
      </c>
      <c r="F439" s="2">
        <f>ROUND(D439*$C439/100*D433,0)</f>
        <v>0</v>
      </c>
      <c r="G439" s="320">
        <f ca="1">G427</f>
        <v>7.5140000000000002</v>
      </c>
      <c r="H439" s="308" t="s">
        <v>364</v>
      </c>
      <c r="I439" s="2">
        <f ca="1">ROUND(G439*$C439/100*G433,0)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ROUND(K439*$C439/100*K433,0)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ROUND(O439*$C439/100*O433,0)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ROUND(S439*$C439/100*S433,0)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>
      <c r="A440" s="1" t="s">
        <v>389</v>
      </c>
      <c r="B440" s="1"/>
      <c r="C440" s="304">
        <v>0</v>
      </c>
      <c r="D440" s="320">
        <v>6.3240000000000007</v>
      </c>
      <c r="E440" s="308" t="s">
        <v>364</v>
      </c>
      <c r="F440" s="2">
        <f>ROUND(D440*$C440/100*D433,0)</f>
        <v>0</v>
      </c>
      <c r="G440" s="320">
        <f ca="1">G428</f>
        <v>6.4720000000000004</v>
      </c>
      <c r="H440" s="308" t="s">
        <v>364</v>
      </c>
      <c r="I440" s="2">
        <f ca="1">ROUND(G440*$C440/100*G433,0)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ROUND(K440*$C440/100*K433,0)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ROUND(O440*$C440/100*O433,0)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ROUND(S440*$C440/100*S433,0)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>
      <c r="A441" s="1" t="s">
        <v>390</v>
      </c>
      <c r="B441" s="1"/>
      <c r="C441" s="304">
        <v>0</v>
      </c>
      <c r="D441" s="321">
        <v>57</v>
      </c>
      <c r="E441" s="308" t="s">
        <v>364</v>
      </c>
      <c r="F441" s="2">
        <f>ROUND(D441*$C441/100*D433,0)</f>
        <v>0</v>
      </c>
      <c r="G441" s="321">
        <f ca="1">G429</f>
        <v>58</v>
      </c>
      <c r="H441" s="308" t="s">
        <v>364</v>
      </c>
      <c r="I441" s="2">
        <f ca="1">ROUND(G441*$C441/100*G433,0)</f>
        <v>0</v>
      </c>
      <c r="J441" s="2"/>
      <c r="K441" s="321" t="str">
        <f>K429</f>
        <v xml:space="preserve"> </v>
      </c>
      <c r="L441" s="308" t="s">
        <v>364</v>
      </c>
      <c r="M441" s="2">
        <f>ROUND(K441*$C441/100*K433,0)</f>
        <v>0</v>
      </c>
      <c r="N441" s="2"/>
      <c r="O441" s="321" t="e">
        <f>O429</f>
        <v>#DIV/0!</v>
      </c>
      <c r="P441" s="308" t="s">
        <v>364</v>
      </c>
      <c r="Q441" s="2" t="e">
        <f>ROUND(O441*$C441/100*O433,0)</f>
        <v>#DIV/0!</v>
      </c>
      <c r="R441" s="2"/>
      <c r="S441" s="321" t="e">
        <f>S429</f>
        <v>#DIV/0!</v>
      </c>
      <c r="T441" s="308" t="s">
        <v>364</v>
      </c>
      <c r="U441" s="2" t="e">
        <f>ROUND(S441*$C441/100*S433,0)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>
      <c r="A442" s="1" t="s">
        <v>397</v>
      </c>
      <c r="B442" s="1"/>
      <c r="C442" s="304">
        <v>0</v>
      </c>
      <c r="D442" s="322">
        <v>60</v>
      </c>
      <c r="E442" s="308"/>
      <c r="F442" s="2">
        <f>ROUND(D442*C442,0)</f>
        <v>0</v>
      </c>
      <c r="G442" s="322">
        <f>$G$197</f>
        <v>60</v>
      </c>
      <c r="H442" s="308"/>
      <c r="I442" s="2">
        <f>ROUND(G442*$C442,0)</f>
        <v>0</v>
      </c>
      <c r="J442" s="2"/>
      <c r="K442" s="322">
        <v>0</v>
      </c>
      <c r="L442" s="308"/>
      <c r="M442" s="2">
        <f>ROUND(K442*$C442,0)</f>
        <v>0</v>
      </c>
      <c r="N442" s="2"/>
      <c r="O442" s="322" t="e">
        <f>O197</f>
        <v>#DIV/0!</v>
      </c>
      <c r="P442" s="308"/>
      <c r="Q442" s="2" t="e">
        <f>ROUND(O442*$C442,0)</f>
        <v>#DIV/0!</v>
      </c>
      <c r="R442" s="2"/>
      <c r="S442" s="322" t="e">
        <f>S197</f>
        <v>#DIV/0!</v>
      </c>
      <c r="T442" s="308"/>
      <c r="U442" s="2" t="e">
        <f>ROUND(S442*$C442,0)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>
      <c r="A443" s="1" t="s">
        <v>398</v>
      </c>
      <c r="B443" s="1"/>
      <c r="C443" s="304">
        <v>0</v>
      </c>
      <c r="D443" s="324">
        <v>-30</v>
      </c>
      <c r="E443" s="308" t="s">
        <v>364</v>
      </c>
      <c r="F443" s="2">
        <f>ROUND(D443*C443/100,0)</f>
        <v>0</v>
      </c>
      <c r="G443" s="324">
        <f>$G$198</f>
        <v>-30</v>
      </c>
      <c r="H443" s="308" t="s">
        <v>364</v>
      </c>
      <c r="I443" s="2">
        <f>ROUND(G443*$C443/100,0)</f>
        <v>0</v>
      </c>
      <c r="J443" s="2"/>
      <c r="K443" s="324">
        <f>$G$198</f>
        <v>-30</v>
      </c>
      <c r="L443" s="308" t="s">
        <v>364</v>
      </c>
      <c r="M443" s="2">
        <f>ROUND(K443*$C443/100,0)</f>
        <v>0</v>
      </c>
      <c r="N443" s="2"/>
      <c r="O443" s="324">
        <v>0</v>
      </c>
      <c r="P443" s="308" t="s">
        <v>364</v>
      </c>
      <c r="Q443" s="2">
        <f>ROUND(O443*$C443/100,0)</f>
        <v>0</v>
      </c>
      <c r="R443" s="2"/>
      <c r="S443" s="324">
        <v>0</v>
      </c>
      <c r="T443" s="308" t="s">
        <v>364</v>
      </c>
      <c r="U443" s="2">
        <f>ROUND(S443*$C443/100,0)</f>
        <v>0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s="1118" customFormat="1" hidden="1">
      <c r="A444" s="968" t="s">
        <v>862</v>
      </c>
      <c r="C444" s="1122">
        <f>C438</f>
        <v>0</v>
      </c>
      <c r="D444" s="1423">
        <v>0</v>
      </c>
      <c r="E444" s="1119"/>
      <c r="F444" s="1123"/>
      <c r="G444" s="1128">
        <f>G182</f>
        <v>0</v>
      </c>
      <c r="H444" s="972" t="s">
        <v>364</v>
      </c>
      <c r="I444" s="2">
        <f>ROUND(G444*$C444/100*G433,0)</f>
        <v>0</v>
      </c>
      <c r="J444" s="2"/>
      <c r="K444" s="1128" t="str">
        <f>K182</f>
        <v xml:space="preserve"> </v>
      </c>
      <c r="L444" s="972" t="s">
        <v>364</v>
      </c>
      <c r="M444" s="2">
        <f>ROUND(K444*$C444/100*K433,0)</f>
        <v>0</v>
      </c>
      <c r="N444" s="2"/>
      <c r="O444" s="1128" t="str">
        <f>O182</f>
        <v xml:space="preserve"> </v>
      </c>
      <c r="P444" s="972" t="s">
        <v>364</v>
      </c>
      <c r="Q444" s="2">
        <f>ROUND(O444*$C444/100*O433,0)</f>
        <v>0</v>
      </c>
      <c r="R444" s="2"/>
      <c r="S444" s="1128">
        <f>S182</f>
        <v>0</v>
      </c>
      <c r="T444" s="972" t="s">
        <v>364</v>
      </c>
      <c r="U444" s="2">
        <f>ROUND(S444*$C444/100*S433,0)</f>
        <v>0</v>
      </c>
      <c r="W444" s="784"/>
      <c r="Z444" s="1125"/>
      <c r="AA444" s="1125"/>
      <c r="AF444" s="1119"/>
      <c r="AG444" s="1119"/>
      <c r="AH444" s="1119"/>
      <c r="AI444" s="1119"/>
      <c r="AJ444" s="1119"/>
      <c r="AK444" s="1119"/>
      <c r="AL444" s="1119"/>
      <c r="AM444" s="1119"/>
      <c r="AN444" s="1119"/>
      <c r="AO444" s="1119"/>
      <c r="AP444" s="1119"/>
      <c r="AR444" s="1124"/>
    </row>
    <row r="445" spans="1:44" s="1118" customFormat="1" hidden="1">
      <c r="A445" s="968" t="s">
        <v>863</v>
      </c>
      <c r="C445" s="1122">
        <f>C439</f>
        <v>0</v>
      </c>
      <c r="D445" s="1423"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ROUND(G445*$C445/100*G433,0)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ROUND(K445*$C445/100*K433,0)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ROUND(O445*$C445/100*O433,0)</f>
        <v>0</v>
      </c>
      <c r="R445" s="2"/>
      <c r="S445" s="1128">
        <f>S183</f>
        <v>0</v>
      </c>
      <c r="T445" s="972" t="s">
        <v>364</v>
      </c>
      <c r="U445" s="2">
        <f>ROUND(S445*$C445/100*S433,0)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864</v>
      </c>
      <c r="C446" s="1122">
        <f>C440</f>
        <v>0</v>
      </c>
      <c r="D446" s="1423"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ROUND(G446*$C446/100*G433,0)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ROUND(K446*$C446/100*K433,0)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ROUND(O446*$C446/100*O433,0)</f>
        <v>0</v>
      </c>
      <c r="R446" s="2"/>
      <c r="S446" s="1128">
        <f>S184</f>
        <v>0</v>
      </c>
      <c r="T446" s="972" t="s">
        <v>364</v>
      </c>
      <c r="U446" s="2">
        <f>ROUND(S446*$C446/100*S433,0)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>
      <c r="A447" s="1" t="s">
        <v>371</v>
      </c>
      <c r="B447" s="1"/>
      <c r="C447" s="304">
        <f>SUM(C426:C428)</f>
        <v>33312</v>
      </c>
      <c r="D447" s="315"/>
      <c r="E447" s="308"/>
      <c r="F447" s="2">
        <f>SUM(F420:F443)</f>
        <v>8572</v>
      </c>
      <c r="G447" s="315"/>
      <c r="H447" s="308"/>
      <c r="I447" s="2">
        <f ca="1">SUM(I420:I446)</f>
        <v>8774</v>
      </c>
      <c r="J447" s="2"/>
      <c r="K447" s="315"/>
      <c r="L447" s="308"/>
      <c r="M447" s="2" t="e">
        <f ca="1">SUM(M420:M446)</f>
        <v>#REF!</v>
      </c>
      <c r="N447" s="2"/>
      <c r="O447" s="315"/>
      <c r="P447" s="308"/>
      <c r="Q447" s="2" t="e">
        <f ca="1">SUM(Q420:Q446)</f>
        <v>#DIV/0!</v>
      </c>
      <c r="R447" s="2"/>
      <c r="S447" s="315"/>
      <c r="T447" s="308"/>
      <c r="U447" s="2" t="e">
        <f ca="1">SUM(U420:U446)</f>
        <v>#DIV/0!</v>
      </c>
      <c r="V447" s="20"/>
      <c r="W447" s="74"/>
      <c r="X447" s="74"/>
      <c r="Y447" s="74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R447" s="84"/>
    </row>
    <row r="448" spans="1:44">
      <c r="A448" s="1" t="s">
        <v>353</v>
      </c>
      <c r="B448" s="1"/>
      <c r="C448" s="334">
        <f ca="1">'Table 2'!H72</f>
        <v>103.57381938517956</v>
      </c>
      <c r="D448" s="294"/>
      <c r="E448" s="294"/>
      <c r="F448" s="326">
        <f ca="1">'Table 3'!E72</f>
        <v>26.103189482042787</v>
      </c>
      <c r="G448" s="294"/>
      <c r="H448" s="294"/>
      <c r="I448" s="326">
        <f ca="1">F448</f>
        <v>26.103189482042787</v>
      </c>
      <c r="J448" s="307"/>
      <c r="K448" s="294"/>
      <c r="L448" s="294"/>
      <c r="M448" s="326" t="e">
        <f ca="1">$I$448*V207/($V$207+$W$207+$X$207)</f>
        <v>#DIV/0!</v>
      </c>
      <c r="N448" s="51"/>
      <c r="O448" s="294"/>
      <c r="P448" s="294"/>
      <c r="Q448" s="326" t="e">
        <f ca="1">$I$448*W207/($V$207+$W$207+$X$207)</f>
        <v>#DIV/0!</v>
      </c>
      <c r="R448" s="51"/>
      <c r="S448" s="294"/>
      <c r="T448" s="294"/>
      <c r="U448" s="326" t="e">
        <f ca="1">$I$448*X207/($V$207+$W$207+$X$207)</f>
        <v>#DIV/0!</v>
      </c>
      <c r="V448" s="429"/>
      <c r="W448" s="272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t="16.5" thickBot="1">
      <c r="A449" s="1" t="s">
        <v>372</v>
      </c>
      <c r="B449" s="1"/>
      <c r="C449" s="296">
        <f ca="1">SUM(C447:C448)</f>
        <v>33415.573819385179</v>
      </c>
      <c r="D449" s="327"/>
      <c r="E449" s="330"/>
      <c r="F449" s="329">
        <f ca="1">F447+F448</f>
        <v>8598.1031894820426</v>
      </c>
      <c r="G449" s="327"/>
      <c r="H449" s="330"/>
      <c r="I449" s="329">
        <f ca="1">I447+I448</f>
        <v>8800.1031894820426</v>
      </c>
      <c r="J449" s="307"/>
      <c r="K449" s="327"/>
      <c r="L449" s="330"/>
      <c r="M449" s="329" t="e">
        <f ca="1">M447+M448</f>
        <v>#REF!</v>
      </c>
      <c r="N449" s="329"/>
      <c r="O449" s="327"/>
      <c r="P449" s="330"/>
      <c r="Q449" s="329" t="e">
        <f ca="1">Q447+Q448</f>
        <v>#DIV/0!</v>
      </c>
      <c r="R449" s="329"/>
      <c r="S449" s="327"/>
      <c r="T449" s="330"/>
      <c r="U449" s="329" t="e">
        <f ca="1">U447+U448</f>
        <v>#DIV/0!</v>
      </c>
      <c r="V449" s="396"/>
      <c r="W449" s="455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thickTop="1">
      <c r="A450" s="1"/>
      <c r="B450" s="1"/>
      <c r="C450" s="21"/>
      <c r="D450" s="322" t="s">
        <v>31</v>
      </c>
      <c r="E450" s="1"/>
      <c r="F450" s="2"/>
      <c r="G450" s="338" t="s">
        <v>31</v>
      </c>
      <c r="H450" s="1"/>
      <c r="I450" s="2" t="s">
        <v>31</v>
      </c>
      <c r="J450" s="2"/>
      <c r="K450" s="338" t="s">
        <v>31</v>
      </c>
      <c r="L450" s="1"/>
      <c r="M450" s="2" t="s">
        <v>31</v>
      </c>
      <c r="N450" s="2"/>
      <c r="O450" s="338" t="s">
        <v>31</v>
      </c>
      <c r="P450" s="1"/>
      <c r="Q450" s="2" t="s">
        <v>31</v>
      </c>
      <c r="R450" s="2"/>
      <c r="S450" s="338" t="s">
        <v>31</v>
      </c>
      <c r="T450" s="1"/>
      <c r="U450" s="2" t="s">
        <v>31</v>
      </c>
      <c r="V450" s="20"/>
      <c r="W450" s="74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>
      <c r="A452" s="278" t="s">
        <v>407</v>
      </c>
      <c r="B452" s="1"/>
      <c r="C452" s="1"/>
      <c r="D452" s="2"/>
      <c r="E452" s="1"/>
      <c r="F452" s="1"/>
      <c r="G452" s="2"/>
      <c r="H452" s="1"/>
      <c r="I452" s="1"/>
      <c r="J452" s="1"/>
      <c r="K452" s="2"/>
      <c r="L452" s="1"/>
      <c r="M452" s="1"/>
      <c r="N452" s="1"/>
      <c r="O452" s="2"/>
      <c r="P452" s="1"/>
      <c r="Q452" s="1"/>
      <c r="R452" s="1"/>
      <c r="S452" s="2"/>
      <c r="T452" s="1"/>
      <c r="U452" s="1"/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>
      <c r="A453" s="1" t="s">
        <v>400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</row>
    <row r="454" spans="1:44">
      <c r="A454" s="1" t="s">
        <v>408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>
      <c r="A455" s="1" t="s">
        <v>383</v>
      </c>
      <c r="B455" s="1"/>
      <c r="C455" s="304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>
      <c r="A456" s="1" t="s">
        <v>380</v>
      </c>
      <c r="B456" s="1"/>
      <c r="C456" s="304">
        <f t="shared" ref="C456:C465" si="102">C491+C526</f>
        <v>2</v>
      </c>
      <c r="D456" s="283">
        <v>117.12</v>
      </c>
      <c r="E456" s="308"/>
      <c r="F456" s="2">
        <f>F491+F526</f>
        <v>234</v>
      </c>
      <c r="G456" s="283">
        <f ca="1">$G$168</f>
        <v>119.88</v>
      </c>
      <c r="H456" s="308"/>
      <c r="I456" s="2">
        <f ca="1">I491+I526</f>
        <v>240</v>
      </c>
      <c r="J456" s="2"/>
      <c r="K456" s="283">
        <f ca="1">$K$168</f>
        <v>119.88</v>
      </c>
      <c r="L456" s="308"/>
      <c r="M456" s="2">
        <f ca="1">M491+M526</f>
        <v>240</v>
      </c>
      <c r="N456" s="2"/>
      <c r="O456" s="283" t="str">
        <f>$O$168</f>
        <v xml:space="preserve"> </v>
      </c>
      <c r="P456" s="308"/>
      <c r="Q456" s="2">
        <f>Q491+Q526</f>
        <v>0</v>
      </c>
      <c r="R456" s="2"/>
      <c r="S456" s="283" t="str">
        <f>$S$168</f>
        <v xml:space="preserve"> </v>
      </c>
      <c r="T456" s="308"/>
      <c r="U456" s="2">
        <f>U491+U526</f>
        <v>0</v>
      </c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>
      <c r="A457" s="1" t="s">
        <v>381</v>
      </c>
      <c r="B457" s="1"/>
      <c r="C457" s="304">
        <f t="shared" si="102"/>
        <v>82.084931506849301</v>
      </c>
      <c r="D457" s="283">
        <v>174.48</v>
      </c>
      <c r="E457" s="310"/>
      <c r="F457" s="2">
        <f>F492+F527</f>
        <v>14322</v>
      </c>
      <c r="G457" s="283">
        <f ca="1">$G$169</f>
        <v>178.68</v>
      </c>
      <c r="H457" s="310"/>
      <c r="I457" s="2">
        <f ca="1">I492+I527</f>
        <v>14667</v>
      </c>
      <c r="J457" s="2"/>
      <c r="K457" s="283">
        <f ca="1">$K$169</f>
        <v>178.68</v>
      </c>
      <c r="L457" s="310"/>
      <c r="M457" s="2">
        <f ca="1">M492+M527</f>
        <v>14667</v>
      </c>
      <c r="N457" s="2"/>
      <c r="O457" s="283" t="str">
        <f>$O$169</f>
        <v xml:space="preserve"> </v>
      </c>
      <c r="P457" s="310"/>
      <c r="Q457" s="2">
        <f>Q492+Q527</f>
        <v>0</v>
      </c>
      <c r="R457" s="2"/>
      <c r="S457" s="283" t="str">
        <f>$S$169</f>
        <v xml:space="preserve"> </v>
      </c>
      <c r="T457" s="310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>
      <c r="A458" s="1" t="s">
        <v>382</v>
      </c>
      <c r="B458" s="1"/>
      <c r="C458" s="304">
        <f t="shared" si="102"/>
        <v>2770.9452054794501</v>
      </c>
      <c r="D458" s="283">
        <v>12.24</v>
      </c>
      <c r="E458" s="310"/>
      <c r="F458" s="2">
        <f>F493+F528</f>
        <v>33916</v>
      </c>
      <c r="G458" s="283">
        <f ca="1">$G$170</f>
        <v>12.48</v>
      </c>
      <c r="H458" s="310"/>
      <c r="I458" s="2">
        <f ca="1">I493+I528</f>
        <v>34581</v>
      </c>
      <c r="J458" s="2"/>
      <c r="K458" s="283">
        <f ca="1">$K$170</f>
        <v>12.48</v>
      </c>
      <c r="L458" s="310"/>
      <c r="M458" s="2">
        <f ca="1">M493+M528</f>
        <v>34581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>
      <c r="A459" s="1" t="s">
        <v>384</v>
      </c>
      <c r="B459" s="1"/>
      <c r="C459" s="304">
        <f t="shared" si="102"/>
        <v>84.084931506849301</v>
      </c>
      <c r="D459" s="283"/>
      <c r="E459" s="308"/>
      <c r="F459" s="2"/>
      <c r="G459" s="283"/>
      <c r="H459" s="308"/>
      <c r="I459" s="2"/>
      <c r="J459" s="2"/>
      <c r="K459" s="283"/>
      <c r="L459" s="308"/>
      <c r="M459" s="2"/>
      <c r="N459" s="2"/>
      <c r="O459" s="283"/>
      <c r="P459" s="308"/>
      <c r="Q459" s="2"/>
      <c r="R459" s="2"/>
      <c r="S459" s="283"/>
      <c r="T459" s="308"/>
      <c r="U459" s="2"/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>
      <c r="A460" s="1" t="s">
        <v>409</v>
      </c>
      <c r="B460" s="1"/>
      <c r="C460" s="304">
        <f t="shared" si="102"/>
        <v>979.36817460317491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>
      <c r="A461" s="1" t="s">
        <v>385</v>
      </c>
      <c r="B461" s="1"/>
      <c r="C461" s="304">
        <f t="shared" si="102"/>
        <v>8076.5367188213504</v>
      </c>
      <c r="D461" s="311">
        <v>3.7</v>
      </c>
      <c r="E461" s="308"/>
      <c r="F461" s="2">
        <f>F496+F531</f>
        <v>29883</v>
      </c>
      <c r="G461" s="311">
        <f ca="1">$G$177</f>
        <v>3.8</v>
      </c>
      <c r="H461" s="308"/>
      <c r="I461" s="2">
        <f ca="1">I496+I531</f>
        <v>30691</v>
      </c>
      <c r="J461" s="2"/>
      <c r="K461" s="311" t="e">
        <f ca="1">$K$177</f>
        <v>#REF!</v>
      </c>
      <c r="L461" s="308"/>
      <c r="M461" s="2" t="e">
        <f ca="1">M496+M531</f>
        <v>#REF!</v>
      </c>
      <c r="N461" s="2"/>
      <c r="O461" s="311" t="e">
        <f ca="1">$O$177</f>
        <v>#DIV/0!</v>
      </c>
      <c r="P461" s="308"/>
      <c r="Q461" s="2" t="e">
        <f ca="1">Q496+Q531</f>
        <v>#DIV/0!</v>
      </c>
      <c r="R461" s="2"/>
      <c r="S461" s="311" t="e">
        <f ca="1">$S$177</f>
        <v>#DIV/0!</v>
      </c>
      <c r="T461" s="308"/>
      <c r="U461" s="2" t="e">
        <f ca="1">U496+U531</f>
        <v>#DIV/0!</v>
      </c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>
      <c r="A462" s="1" t="s">
        <v>387</v>
      </c>
      <c r="B462" s="1"/>
      <c r="C462" s="304">
        <f t="shared" si="102"/>
        <v>158922</v>
      </c>
      <c r="D462" s="284">
        <v>10.628</v>
      </c>
      <c r="E462" s="308" t="s">
        <v>364</v>
      </c>
      <c r="F462" s="2">
        <f>F497+F532</f>
        <v>16890</v>
      </c>
      <c r="G462" s="284">
        <f ca="1">$G$178</f>
        <v>10.878</v>
      </c>
      <c r="H462" s="308" t="s">
        <v>364</v>
      </c>
      <c r="I462" s="2">
        <f ca="1">I497+I532</f>
        <v>17288</v>
      </c>
      <c r="J462" s="2"/>
      <c r="K462" s="284" t="e">
        <f ca="1">$K$178</f>
        <v>#REF!</v>
      </c>
      <c r="L462" s="308" t="s">
        <v>364</v>
      </c>
      <c r="M462" s="2" t="e">
        <f ca="1">M497+M532</f>
        <v>#REF!</v>
      </c>
      <c r="N462" s="2"/>
      <c r="O462" s="284" t="e">
        <f ca="1">$O$178</f>
        <v>#DIV/0!</v>
      </c>
      <c r="P462" s="308" t="s">
        <v>364</v>
      </c>
      <c r="Q462" s="2" t="e">
        <f ca="1">Q497+Q532</f>
        <v>#DIV/0!</v>
      </c>
      <c r="R462" s="2"/>
      <c r="S462" s="284" t="e">
        <f ca="1">$S$178</f>
        <v>#DIV/0!</v>
      </c>
      <c r="T462" s="308" t="s">
        <v>364</v>
      </c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>
      <c r="A463" s="1" t="s">
        <v>388</v>
      </c>
      <c r="B463" s="1"/>
      <c r="C463" s="304">
        <f t="shared" si="102"/>
        <v>131844</v>
      </c>
      <c r="D463" s="284">
        <v>7.3410000000000002</v>
      </c>
      <c r="E463" s="308" t="s">
        <v>364</v>
      </c>
      <c r="F463" s="2">
        <f>F498+F533</f>
        <v>9678</v>
      </c>
      <c r="G463" s="284">
        <f ca="1">$G$179</f>
        <v>7.5140000000000002</v>
      </c>
      <c r="H463" s="308" t="s">
        <v>364</v>
      </c>
      <c r="I463" s="2">
        <f ca="1">I498+I533</f>
        <v>9907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>
      <c r="A464" s="1" t="s">
        <v>389</v>
      </c>
      <c r="B464" s="1"/>
      <c r="C464" s="304">
        <f t="shared" si="102"/>
        <v>0</v>
      </c>
      <c r="D464" s="284">
        <v>6.3240000000000007</v>
      </c>
      <c r="E464" s="308" t="s">
        <v>364</v>
      </c>
      <c r="F464" s="2">
        <f>F499+F534</f>
        <v>0</v>
      </c>
      <c r="G464" s="284">
        <f ca="1">$G$180</f>
        <v>6.4720000000000004</v>
      </c>
      <c r="H464" s="308" t="s">
        <v>364</v>
      </c>
      <c r="I464" s="2">
        <f ca="1">I499+I534</f>
        <v>0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>
      <c r="A465" s="1" t="s">
        <v>390</v>
      </c>
      <c r="B465" s="1"/>
      <c r="C465" s="304">
        <f t="shared" si="102"/>
        <v>1569.0261904761901</v>
      </c>
      <c r="D465" s="315">
        <v>57</v>
      </c>
      <c r="E465" s="308" t="s">
        <v>364</v>
      </c>
      <c r="F465" s="2">
        <f>F500+F535</f>
        <v>894</v>
      </c>
      <c r="G465" s="315">
        <f ca="1">$G$181</f>
        <v>58</v>
      </c>
      <c r="H465" s="308" t="s">
        <v>364</v>
      </c>
      <c r="I465" s="2">
        <f ca="1">I500+I535</f>
        <v>910</v>
      </c>
      <c r="J465" s="2"/>
      <c r="K465" s="315" t="str">
        <f>$K$181</f>
        <v xml:space="preserve"> </v>
      </c>
      <c r="L465" s="308" t="s">
        <v>364</v>
      </c>
      <c r="M465" s="2">
        <f>M500+M535</f>
        <v>0</v>
      </c>
      <c r="N465" s="2"/>
      <c r="O465" s="315" t="e">
        <f>$O$181</f>
        <v>#DIV/0!</v>
      </c>
      <c r="P465" s="308" t="s">
        <v>364</v>
      </c>
      <c r="Q465" s="2" t="e">
        <f>Q500+Q535</f>
        <v>#DIV/0!</v>
      </c>
      <c r="R465" s="2"/>
      <c r="S465" s="315" t="e">
        <f>$S$181</f>
        <v>#DIV/0!</v>
      </c>
      <c r="T465" s="308" t="s">
        <v>364</v>
      </c>
      <c r="U465" s="2" t="e">
        <f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s="1118" customFormat="1" hidden="1">
      <c r="A466" s="968" t="s">
        <v>862</v>
      </c>
      <c r="C466" s="987">
        <f>C462</f>
        <v>158922</v>
      </c>
      <c r="D466" s="1423">
        <v>0</v>
      </c>
      <c r="E466" s="1119"/>
      <c r="F466" s="1123"/>
      <c r="G466" s="1128">
        <f>G182</f>
        <v>0</v>
      </c>
      <c r="H466" s="972" t="s">
        <v>364</v>
      </c>
      <c r="I466" s="2">
        <f t="shared" ref="I466:I468" si="103">I501+I536</f>
        <v>0</v>
      </c>
      <c r="J466" s="2"/>
      <c r="K466" s="1128" t="str">
        <f>K182</f>
        <v xml:space="preserve"> </v>
      </c>
      <c r="L466" s="972" t="s">
        <v>364</v>
      </c>
      <c r="M466" s="2">
        <f t="shared" ref="M466:M468" si="104">M501+M536</f>
        <v>0</v>
      </c>
      <c r="N466" s="2"/>
      <c r="O466" s="1128" t="str">
        <f>O182</f>
        <v xml:space="preserve"> </v>
      </c>
      <c r="P466" s="972" t="s">
        <v>364</v>
      </c>
      <c r="Q466" s="2">
        <f t="shared" ref="Q466:Q468" si="105">Q501+Q536</f>
        <v>0</v>
      </c>
      <c r="R466" s="2"/>
      <c r="S466" s="1128">
        <f>S182</f>
        <v>0</v>
      </c>
      <c r="T466" s="972" t="s">
        <v>364</v>
      </c>
      <c r="U466" s="2">
        <f t="shared" ref="U466:U468" si="106">U501+U536</f>
        <v>0</v>
      </c>
      <c r="W466" s="784"/>
      <c r="Z466" s="1125"/>
      <c r="AA466" s="1125"/>
      <c r="AF466" s="1119"/>
      <c r="AG466" s="1119"/>
      <c r="AH466" s="1119"/>
      <c r="AI466" s="1119"/>
      <c r="AJ466" s="1119"/>
      <c r="AK466" s="1119"/>
      <c r="AL466" s="1119"/>
      <c r="AM466" s="1119"/>
      <c r="AN466" s="1119"/>
      <c r="AO466" s="1119"/>
      <c r="AP466" s="1119"/>
      <c r="AR466" s="1124"/>
    </row>
    <row r="467" spans="1:44" s="1118" customFormat="1" hidden="1">
      <c r="A467" s="968" t="s">
        <v>863</v>
      </c>
      <c r="C467" s="987">
        <f t="shared" ref="C467:C468" si="107">C463</f>
        <v>131844</v>
      </c>
      <c r="D467" s="1423">
        <v>0</v>
      </c>
      <c r="E467" s="1119"/>
      <c r="F467" s="1123"/>
      <c r="G467" s="1128">
        <f>G183</f>
        <v>0</v>
      </c>
      <c r="H467" s="972" t="s">
        <v>364</v>
      </c>
      <c r="I467" s="2">
        <f t="shared" si="103"/>
        <v>0</v>
      </c>
      <c r="J467" s="2"/>
      <c r="K467" s="1128" t="str">
        <f>K183</f>
        <v xml:space="preserve"> </v>
      </c>
      <c r="L467" s="972" t="s">
        <v>364</v>
      </c>
      <c r="M467" s="2">
        <f t="shared" si="104"/>
        <v>0</v>
      </c>
      <c r="N467" s="2"/>
      <c r="O467" s="1128" t="str">
        <f>O183</f>
        <v xml:space="preserve"> </v>
      </c>
      <c r="P467" s="972" t="s">
        <v>364</v>
      </c>
      <c r="Q467" s="2">
        <f t="shared" si="105"/>
        <v>0</v>
      </c>
      <c r="R467" s="2"/>
      <c r="S467" s="1128">
        <f>S183</f>
        <v>0</v>
      </c>
      <c r="T467" s="972" t="s">
        <v>364</v>
      </c>
      <c r="U467" s="2">
        <f t="shared" si="106"/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864</v>
      </c>
      <c r="C468" s="987">
        <f t="shared" si="107"/>
        <v>0</v>
      </c>
      <c r="D468" s="1423">
        <v>0</v>
      </c>
      <c r="E468" s="1119"/>
      <c r="F468" s="1123"/>
      <c r="G468" s="1128">
        <f>G184</f>
        <v>0</v>
      </c>
      <c r="H468" s="972" t="s">
        <v>364</v>
      </c>
      <c r="I468" s="2">
        <f t="shared" si="103"/>
        <v>0</v>
      </c>
      <c r="J468" s="2"/>
      <c r="K468" s="1128" t="str">
        <f>K184</f>
        <v xml:space="preserve"> </v>
      </c>
      <c r="L468" s="972" t="s">
        <v>364</v>
      </c>
      <c r="M468" s="2">
        <f t="shared" si="104"/>
        <v>0</v>
      </c>
      <c r="N468" s="2"/>
      <c r="O468" s="1128" t="str">
        <f>O184</f>
        <v xml:space="preserve"> </v>
      </c>
      <c r="P468" s="972" t="s">
        <v>364</v>
      </c>
      <c r="Q468" s="2">
        <f t="shared" si="105"/>
        <v>0</v>
      </c>
      <c r="R468" s="2"/>
      <c r="S468" s="1128">
        <f>S184</f>
        <v>0</v>
      </c>
      <c r="T468" s="972" t="s">
        <v>364</v>
      </c>
      <c r="U468" s="2">
        <f t="shared" si="106"/>
        <v>0</v>
      </c>
      <c r="V468" s="968" t="s">
        <v>31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>
      <c r="A469" s="316" t="s">
        <v>391</v>
      </c>
      <c r="B469" s="1"/>
      <c r="C469" s="304"/>
      <c r="D469" s="317">
        <v>-0.01</v>
      </c>
      <c r="E469" s="308"/>
      <c r="F469" s="2"/>
      <c r="G469" s="317">
        <v>-0.01</v>
      </c>
      <c r="H469" s="308"/>
      <c r="I469" s="2"/>
      <c r="J469" s="2"/>
      <c r="K469" s="317">
        <v>-0.01</v>
      </c>
      <c r="L469" s="308"/>
      <c r="M469" s="2"/>
      <c r="N469" s="2"/>
      <c r="O469" s="317">
        <v>-0.01</v>
      </c>
      <c r="P469" s="308"/>
      <c r="Q469" s="2"/>
      <c r="R469" s="2"/>
      <c r="S469" s="317">
        <v>-0.01</v>
      </c>
      <c r="T469" s="308"/>
      <c r="U469" s="2"/>
      <c r="V469" s="20"/>
      <c r="W469" s="74"/>
      <c r="X469" s="74"/>
      <c r="Y469" s="74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</row>
    <row r="470" spans="1:44">
      <c r="A470" s="1" t="s">
        <v>380</v>
      </c>
      <c r="B470" s="1"/>
      <c r="C470" s="304">
        <v>0</v>
      </c>
      <c r="D470" s="319">
        <v>117.12</v>
      </c>
      <c r="E470" s="306"/>
      <c r="F470" s="2">
        <f t="shared" ref="F470:F479" si="108">F505+F540</f>
        <v>0</v>
      </c>
      <c r="G470" s="319">
        <f ca="1">G456</f>
        <v>119.88</v>
      </c>
      <c r="H470" s="306"/>
      <c r="I470" s="2">
        <f t="shared" ref="I470:I479" ca="1" si="109">I505+I540</f>
        <v>0</v>
      </c>
      <c r="J470" s="2"/>
      <c r="K470" s="319">
        <f ca="1">K456</f>
        <v>119.88</v>
      </c>
      <c r="L470" s="306"/>
      <c r="M470" s="2">
        <f t="shared" ref="M470:M479" ca="1" si="110">M505+M540</f>
        <v>0</v>
      </c>
      <c r="N470" s="2"/>
      <c r="O470" s="319" t="str">
        <f>O456</f>
        <v xml:space="preserve"> </v>
      </c>
      <c r="P470" s="306"/>
      <c r="Q470" s="2">
        <f t="shared" ref="Q470:Q479" si="111">Q505+Q540</f>
        <v>0</v>
      </c>
      <c r="R470" s="2"/>
      <c r="S470" s="319" t="str">
        <f>S456</f>
        <v xml:space="preserve"> </v>
      </c>
      <c r="T470" s="306"/>
      <c r="U470" s="2">
        <f t="shared" ref="U470:U479" si="112">U505+U540</f>
        <v>0</v>
      </c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>
      <c r="A471" s="1" t="s">
        <v>381</v>
      </c>
      <c r="B471" s="1"/>
      <c r="C471" s="304">
        <v>0</v>
      </c>
      <c r="D471" s="319">
        <v>174.48</v>
      </c>
      <c r="E471" s="306"/>
      <c r="F471" s="2">
        <f t="shared" si="108"/>
        <v>0</v>
      </c>
      <c r="G471" s="319">
        <f ca="1">G457</f>
        <v>178.68</v>
      </c>
      <c r="H471" s="306"/>
      <c r="I471" s="2">
        <f t="shared" ca="1" si="109"/>
        <v>0</v>
      </c>
      <c r="J471" s="2"/>
      <c r="K471" s="319">
        <f ca="1">K457</f>
        <v>178.68</v>
      </c>
      <c r="L471" s="306"/>
      <c r="M471" s="2">
        <f t="shared" ca="1" si="110"/>
        <v>0</v>
      </c>
      <c r="N471" s="2"/>
      <c r="O471" s="319" t="str">
        <f>O457</f>
        <v xml:space="preserve"> </v>
      </c>
      <c r="P471" s="306"/>
      <c r="Q471" s="2">
        <f t="shared" si="111"/>
        <v>0</v>
      </c>
      <c r="R471" s="2"/>
      <c r="S471" s="319" t="str">
        <f>S457</f>
        <v xml:space="preserve"> </v>
      </c>
      <c r="T471" s="306"/>
      <c r="U471" s="2">
        <f t="shared" si="112"/>
        <v>0</v>
      </c>
      <c r="V471" s="20"/>
      <c r="W471" s="74"/>
      <c r="X471" s="32" t="s">
        <v>31</v>
      </c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>
      <c r="A472" s="1" t="s">
        <v>392</v>
      </c>
      <c r="B472" s="1"/>
      <c r="C472" s="304">
        <v>0</v>
      </c>
      <c r="D472" s="319">
        <v>12.24</v>
      </c>
      <c r="E472" s="306"/>
      <c r="F472" s="2">
        <f t="shared" si="108"/>
        <v>0</v>
      </c>
      <c r="G472" s="319">
        <f ca="1">G458</f>
        <v>12.48</v>
      </c>
      <c r="H472" s="306"/>
      <c r="I472" s="2">
        <f t="shared" ca="1" si="109"/>
        <v>0</v>
      </c>
      <c r="J472" s="2"/>
      <c r="K472" s="319">
        <f ca="1">K458</f>
        <v>12.48</v>
      </c>
      <c r="L472" s="306"/>
      <c r="M472" s="2">
        <f t="shared" ca="1" si="110"/>
        <v>0</v>
      </c>
      <c r="N472" s="2"/>
      <c r="O472" s="319" t="str">
        <f>O458</f>
        <v xml:space="preserve"> </v>
      </c>
      <c r="P472" s="306"/>
      <c r="Q472" s="2">
        <f t="shared" si="111"/>
        <v>0</v>
      </c>
      <c r="R472" s="2"/>
      <c r="S472" s="319" t="str">
        <f>S458</f>
        <v xml:space="preserve"> </v>
      </c>
      <c r="T472" s="306"/>
      <c r="U472" s="2">
        <f t="shared" si="112"/>
        <v>0</v>
      </c>
      <c r="V472" s="20"/>
      <c r="W472" s="74"/>
      <c r="X472" s="74"/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>
      <c r="A473" s="1" t="s">
        <v>393</v>
      </c>
      <c r="B473" s="1"/>
      <c r="C473" s="304">
        <v>0</v>
      </c>
      <c r="D473" s="319">
        <v>3.7</v>
      </c>
      <c r="E473" s="308"/>
      <c r="F473" s="2">
        <f t="shared" si="108"/>
        <v>0</v>
      </c>
      <c r="G473" s="319">
        <f ca="1">G461</f>
        <v>3.8</v>
      </c>
      <c r="H473" s="308"/>
      <c r="I473" s="2">
        <f t="shared" ca="1" si="109"/>
        <v>0</v>
      </c>
      <c r="J473" s="2"/>
      <c r="K473" s="319" t="e">
        <f ca="1">K461</f>
        <v>#REF!</v>
      </c>
      <c r="L473" s="308"/>
      <c r="M473" s="2" t="e">
        <f t="shared" ca="1" si="110"/>
        <v>#REF!</v>
      </c>
      <c r="N473" s="2"/>
      <c r="O473" s="319" t="e">
        <f ca="1">O461</f>
        <v>#DIV/0!</v>
      </c>
      <c r="P473" s="308"/>
      <c r="Q473" s="2" t="e">
        <f t="shared" ca="1" si="111"/>
        <v>#DIV/0!</v>
      </c>
      <c r="R473" s="2"/>
      <c r="S473" s="319" t="e">
        <f ca="1">S461</f>
        <v>#DIV/0!</v>
      </c>
      <c r="T473" s="308"/>
      <c r="U473" s="2" t="e">
        <f t="shared" ca="1" si="112"/>
        <v>#DIV/0!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>
      <c r="A474" s="1" t="s">
        <v>395</v>
      </c>
      <c r="B474" s="1"/>
      <c r="C474" s="304">
        <v>0</v>
      </c>
      <c r="D474" s="320">
        <v>10.628</v>
      </c>
      <c r="E474" s="308" t="s">
        <v>364</v>
      </c>
      <c r="F474" s="2">
        <f t="shared" si="108"/>
        <v>0</v>
      </c>
      <c r="G474" s="320">
        <f ca="1">G462</f>
        <v>10.878</v>
      </c>
      <c r="H474" s="308" t="s">
        <v>364</v>
      </c>
      <c r="I474" s="2">
        <f t="shared" ca="1" si="109"/>
        <v>0</v>
      </c>
      <c r="J474" s="2"/>
      <c r="K474" s="320" t="e">
        <f ca="1">K462</f>
        <v>#REF!</v>
      </c>
      <c r="L474" s="308" t="s">
        <v>364</v>
      </c>
      <c r="M474" s="2" t="e">
        <f t="shared" ca="1" si="110"/>
        <v>#REF!</v>
      </c>
      <c r="N474" s="2"/>
      <c r="O474" s="320" t="e">
        <f ca="1">O462</f>
        <v>#DIV/0!</v>
      </c>
      <c r="P474" s="308" t="s">
        <v>364</v>
      </c>
      <c r="Q474" s="2" t="e">
        <f t="shared" ca="1" si="111"/>
        <v>#DIV/0!</v>
      </c>
      <c r="R474" s="2"/>
      <c r="S474" s="320" t="e">
        <f ca="1">S462</f>
        <v>#DIV/0!</v>
      </c>
      <c r="T474" s="308" t="s">
        <v>364</v>
      </c>
      <c r="U474" s="2" t="e">
        <f t="shared" ca="1" si="112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>
      <c r="A475" s="1" t="s">
        <v>388</v>
      </c>
      <c r="B475" s="1"/>
      <c r="C475" s="304">
        <v>0</v>
      </c>
      <c r="D475" s="320">
        <v>7.3410000000000002</v>
      </c>
      <c r="E475" s="308" t="s">
        <v>364</v>
      </c>
      <c r="F475" s="2">
        <f t="shared" si="108"/>
        <v>0</v>
      </c>
      <c r="G475" s="320">
        <f ca="1">G463</f>
        <v>7.5140000000000002</v>
      </c>
      <c r="H475" s="308" t="s">
        <v>364</v>
      </c>
      <c r="I475" s="2">
        <f t="shared" ca="1" si="109"/>
        <v>0</v>
      </c>
      <c r="J475" s="2"/>
      <c r="K475" s="320" t="e">
        <f ca="1">K463</f>
        <v>#REF!</v>
      </c>
      <c r="L475" s="308" t="s">
        <v>364</v>
      </c>
      <c r="M475" s="2" t="e">
        <f t="shared" ca="1" si="110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11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12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>
      <c r="A476" s="1" t="s">
        <v>389</v>
      </c>
      <c r="B476" s="1"/>
      <c r="C476" s="304">
        <v>0</v>
      </c>
      <c r="D476" s="320">
        <v>6.3240000000000007</v>
      </c>
      <c r="E476" s="308" t="s">
        <v>364</v>
      </c>
      <c r="F476" s="2">
        <f t="shared" si="108"/>
        <v>0</v>
      </c>
      <c r="G476" s="320">
        <f ca="1">G464</f>
        <v>6.4720000000000004</v>
      </c>
      <c r="H476" s="308" t="s">
        <v>364</v>
      </c>
      <c r="I476" s="2">
        <f t="shared" ca="1" si="109"/>
        <v>0</v>
      </c>
      <c r="J476" s="2"/>
      <c r="K476" s="320" t="e">
        <f ca="1">K464</f>
        <v>#REF!</v>
      </c>
      <c r="L476" s="308" t="s">
        <v>364</v>
      </c>
      <c r="M476" s="2" t="e">
        <f t="shared" ca="1" si="110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11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12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>
      <c r="A477" s="1" t="s">
        <v>390</v>
      </c>
      <c r="B477" s="1"/>
      <c r="C477" s="304">
        <v>0</v>
      </c>
      <c r="D477" s="321">
        <v>57</v>
      </c>
      <c r="E477" s="308" t="s">
        <v>364</v>
      </c>
      <c r="F477" s="2">
        <f t="shared" si="108"/>
        <v>0</v>
      </c>
      <c r="G477" s="321">
        <f ca="1">G465</f>
        <v>58</v>
      </c>
      <c r="H477" s="308" t="s">
        <v>364</v>
      </c>
      <c r="I477" s="2">
        <f t="shared" ca="1" si="109"/>
        <v>0</v>
      </c>
      <c r="J477" s="2"/>
      <c r="K477" s="321" t="str">
        <f>K465</f>
        <v xml:space="preserve"> </v>
      </c>
      <c r="L477" s="308" t="s">
        <v>364</v>
      </c>
      <c r="M477" s="2">
        <f t="shared" si="110"/>
        <v>0</v>
      </c>
      <c r="N477" s="2"/>
      <c r="O477" s="321" t="e">
        <f>O465</f>
        <v>#DIV/0!</v>
      </c>
      <c r="P477" s="308" t="s">
        <v>364</v>
      </c>
      <c r="Q477" s="2" t="e">
        <f t="shared" si="111"/>
        <v>#DIV/0!</v>
      </c>
      <c r="R477" s="2"/>
      <c r="S477" s="321" t="e">
        <f>S465</f>
        <v>#DIV/0!</v>
      </c>
      <c r="T477" s="308" t="s">
        <v>364</v>
      </c>
      <c r="U477" s="2" t="e">
        <f t="shared" si="112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>
      <c r="A478" s="1" t="s">
        <v>397</v>
      </c>
      <c r="B478" s="1"/>
      <c r="C478" s="304">
        <v>0</v>
      </c>
      <c r="D478" s="322">
        <v>60</v>
      </c>
      <c r="E478" s="308"/>
      <c r="F478" s="2">
        <f t="shared" si="108"/>
        <v>0</v>
      </c>
      <c r="G478" s="322">
        <f>$G$197</f>
        <v>60</v>
      </c>
      <c r="H478" s="308"/>
      <c r="I478" s="2">
        <f t="shared" si="109"/>
        <v>0</v>
      </c>
      <c r="J478" s="2"/>
      <c r="K478" s="311">
        <v>0</v>
      </c>
      <c r="L478" s="308"/>
      <c r="M478" s="2">
        <f t="shared" si="110"/>
        <v>0</v>
      </c>
      <c r="N478" s="2"/>
      <c r="O478" s="322" t="e">
        <f>O197</f>
        <v>#DIV/0!</v>
      </c>
      <c r="P478" s="308"/>
      <c r="Q478" s="2" t="e">
        <f t="shared" si="111"/>
        <v>#DIV/0!</v>
      </c>
      <c r="R478" s="2"/>
      <c r="S478" s="322" t="e">
        <f>S197</f>
        <v>#DIV/0!</v>
      </c>
      <c r="T478" s="308"/>
      <c r="U478" s="2" t="e">
        <f t="shared" si="112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>
      <c r="A479" s="1" t="s">
        <v>398</v>
      </c>
      <c r="B479" s="1"/>
      <c r="C479" s="304">
        <v>0</v>
      </c>
      <c r="D479" s="324">
        <v>-30</v>
      </c>
      <c r="E479" s="308" t="s">
        <v>364</v>
      </c>
      <c r="F479" s="2">
        <f t="shared" si="108"/>
        <v>0</v>
      </c>
      <c r="G479" s="324">
        <f>$G$198</f>
        <v>-30</v>
      </c>
      <c r="H479" s="308" t="s">
        <v>364</v>
      </c>
      <c r="I479" s="2">
        <f t="shared" si="109"/>
        <v>0</v>
      </c>
      <c r="J479" s="2"/>
      <c r="K479" s="324">
        <f>$G$198</f>
        <v>-30</v>
      </c>
      <c r="L479" s="308" t="s">
        <v>364</v>
      </c>
      <c r="M479" s="2">
        <f t="shared" si="110"/>
        <v>0</v>
      </c>
      <c r="N479" s="2"/>
      <c r="O479" s="324">
        <v>0</v>
      </c>
      <c r="P479" s="308" t="s">
        <v>364</v>
      </c>
      <c r="Q479" s="2">
        <f t="shared" si="111"/>
        <v>0</v>
      </c>
      <c r="R479" s="2"/>
      <c r="S479" s="324">
        <v>0</v>
      </c>
      <c r="T479" s="308" t="s">
        <v>364</v>
      </c>
      <c r="U479" s="2">
        <f t="shared" si="112"/>
        <v>0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s="1118" customFormat="1" hidden="1">
      <c r="A480" s="968" t="s">
        <v>862</v>
      </c>
      <c r="C480" s="1122">
        <f>C474</f>
        <v>0</v>
      </c>
      <c r="D480" s="1423">
        <v>0</v>
      </c>
      <c r="E480" s="1119"/>
      <c r="F480" s="1123"/>
      <c r="G480" s="1128">
        <f>G182</f>
        <v>0</v>
      </c>
      <c r="H480" s="972" t="s">
        <v>364</v>
      </c>
      <c r="I480" s="1123">
        <f ca="1">I521+I561</f>
        <v>0</v>
      </c>
      <c r="J480" s="1123"/>
      <c r="K480" s="1128" t="str">
        <f>K182</f>
        <v xml:space="preserve"> </v>
      </c>
      <c r="L480" s="972" t="s">
        <v>364</v>
      </c>
      <c r="M480" s="1123">
        <f ca="1">M521+M561</f>
        <v>0</v>
      </c>
      <c r="N480" s="1123"/>
      <c r="O480" s="1128" t="str">
        <f>O182</f>
        <v xml:space="preserve"> </v>
      </c>
      <c r="P480" s="972" t="s">
        <v>364</v>
      </c>
      <c r="Q480" s="1123">
        <f>Q521+Q561</f>
        <v>0</v>
      </c>
      <c r="R480" s="1123"/>
      <c r="S480" s="1128">
        <f>S182</f>
        <v>0</v>
      </c>
      <c r="T480" s="972" t="s">
        <v>364</v>
      </c>
      <c r="U480" s="1123">
        <f>U521+U561</f>
        <v>0</v>
      </c>
      <c r="W480" s="784"/>
      <c r="Z480" s="1125"/>
      <c r="AA480" s="1125"/>
      <c r="AF480" s="1119"/>
      <c r="AG480" s="1119"/>
      <c r="AH480" s="1119"/>
      <c r="AI480" s="1119"/>
      <c r="AJ480" s="1119"/>
      <c r="AK480" s="1119"/>
      <c r="AL480" s="1119"/>
      <c r="AM480" s="1119"/>
      <c r="AN480" s="1119"/>
      <c r="AO480" s="1119"/>
      <c r="AP480" s="1119"/>
      <c r="AR480" s="1124"/>
    </row>
    <row r="481" spans="1:44" s="1118" customFormat="1" hidden="1">
      <c r="A481" s="968" t="s">
        <v>863</v>
      </c>
      <c r="C481" s="1122">
        <f>C475</f>
        <v>0</v>
      </c>
      <c r="D481" s="1423"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864</v>
      </c>
      <c r="C482" s="1122">
        <f>C476</f>
        <v>0</v>
      </c>
      <c r="D482" s="1423"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>
      <c r="A483" s="1" t="s">
        <v>371</v>
      </c>
      <c r="B483" s="1"/>
      <c r="C483" s="304">
        <f>C518+C553</f>
        <v>290766</v>
      </c>
      <c r="D483" s="309"/>
      <c r="E483" s="308"/>
      <c r="F483" s="2">
        <f>F518+F553</f>
        <v>105817</v>
      </c>
      <c r="G483" s="2"/>
      <c r="H483" s="308"/>
      <c r="I483" s="2">
        <f t="shared" ref="I483" ca="1" si="113">I518+I553</f>
        <v>108284</v>
      </c>
      <c r="J483" s="2"/>
      <c r="K483" s="2"/>
      <c r="L483" s="308"/>
      <c r="M483" s="2" t="e">
        <f t="shared" ref="M483" ca="1" si="114">M518+M553</f>
        <v>#REF!</v>
      </c>
      <c r="N483" s="2"/>
      <c r="O483" s="2"/>
      <c r="P483" s="308"/>
      <c r="Q483" s="2" t="e">
        <f t="shared" ref="Q483" ca="1" si="115">Q518+Q553</f>
        <v>#DIV/0!</v>
      </c>
      <c r="R483" s="2"/>
      <c r="S483" s="2"/>
      <c r="T483" s="308"/>
      <c r="U483" s="2" t="e">
        <f t="shared" ref="U483" ca="1" si="116">U518+U553</f>
        <v>#DIV/0!</v>
      </c>
      <c r="V483" s="20"/>
      <c r="W483" s="74"/>
      <c r="X483" s="74"/>
      <c r="Y483" s="74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</row>
    <row r="484" spans="1:44">
      <c r="A484" s="1" t="s">
        <v>353</v>
      </c>
      <c r="B484" s="1"/>
      <c r="C484" s="325">
        <f ca="1">C519+C554</f>
        <v>1983.5291043492841</v>
      </c>
      <c r="D484" s="294"/>
      <c r="E484" s="294"/>
      <c r="F484" s="326">
        <f ca="1">F519+F554</f>
        <v>790.20164473136481</v>
      </c>
      <c r="G484" s="294"/>
      <c r="H484" s="294"/>
      <c r="I484" s="326">
        <f ca="1">F484</f>
        <v>790.20164473136481</v>
      </c>
      <c r="J484" s="307"/>
      <c r="K484" s="294"/>
      <c r="L484" s="294"/>
      <c r="M484" s="326" t="e">
        <f ca="1">$I$484*V207/($V$207+$W$207+$X$207)</f>
        <v>#DIV/0!</v>
      </c>
      <c r="N484" s="51"/>
      <c r="O484" s="294"/>
      <c r="P484" s="294"/>
      <c r="Q484" s="326" t="e">
        <f ca="1">$I$484*W207/($V$207+$W$207+$X$207)</f>
        <v>#DIV/0!</v>
      </c>
      <c r="R484" s="51"/>
      <c r="S484" s="294"/>
      <c r="T484" s="294"/>
      <c r="U484" s="326" t="e">
        <f ca="1">$I$484*X207/($V$207+$W$207+$X$207)</f>
        <v>#DIV/0!</v>
      </c>
      <c r="V484" s="429"/>
      <c r="W484" s="272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t="16.5" thickBot="1">
      <c r="A485" s="1" t="s">
        <v>372</v>
      </c>
      <c r="B485" s="1"/>
      <c r="C485" s="296">
        <f ca="1">SUM(C483:C484)</f>
        <v>292749.52910434926</v>
      </c>
      <c r="D485" s="327"/>
      <c r="E485" s="330"/>
      <c r="F485" s="329">
        <f ca="1">F483+F484</f>
        <v>106607.20164473137</v>
      </c>
      <c r="G485" s="327"/>
      <c r="H485" s="330"/>
      <c r="I485" s="329">
        <f ca="1">I483+I484</f>
        <v>109074.20164473137</v>
      </c>
      <c r="J485" s="307"/>
      <c r="K485" s="327"/>
      <c r="L485" s="330"/>
      <c r="M485" s="329" t="e">
        <f ca="1">M483+M484</f>
        <v>#REF!</v>
      </c>
      <c r="N485" s="329"/>
      <c r="O485" s="327"/>
      <c r="P485" s="330"/>
      <c r="Q485" s="329" t="e">
        <f ca="1">Q483+Q484</f>
        <v>#DIV/0!</v>
      </c>
      <c r="R485" s="329"/>
      <c r="S485" s="327"/>
      <c r="T485" s="330"/>
      <c r="U485" s="329" t="e">
        <f ca="1">U483+U484</f>
        <v>#DIV/0!</v>
      </c>
      <c r="V485" s="396"/>
      <c r="W485" s="455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thickTop="1">
      <c r="A486" s="1"/>
      <c r="B486" s="1"/>
      <c r="C486" s="21"/>
      <c r="D486" s="322" t="s">
        <v>31</v>
      </c>
      <c r="E486" s="1"/>
      <c r="F486" s="2"/>
      <c r="G486" s="338" t="s">
        <v>31</v>
      </c>
      <c r="H486" s="1"/>
      <c r="I486" s="2" t="s">
        <v>31</v>
      </c>
      <c r="J486" s="2"/>
      <c r="K486" s="338" t="s">
        <v>31</v>
      </c>
      <c r="L486" s="1"/>
      <c r="M486" s="2" t="s">
        <v>31</v>
      </c>
      <c r="N486" s="2"/>
      <c r="O486" s="338" t="s">
        <v>31</v>
      </c>
      <c r="P486" s="1"/>
      <c r="Q486" s="2" t="s">
        <v>31</v>
      </c>
      <c r="R486" s="2"/>
      <c r="S486" s="338" t="s">
        <v>31</v>
      </c>
      <c r="T486" s="1"/>
      <c r="U486" s="2" t="s">
        <v>31</v>
      </c>
      <c r="V486" s="20"/>
      <c r="W486" s="74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>
      <c r="A487" s="278" t="s">
        <v>407</v>
      </c>
      <c r="B487" s="1"/>
      <c r="C487" s="1"/>
      <c r="D487" s="2"/>
      <c r="E487" s="1"/>
      <c r="F487" s="1"/>
      <c r="G487" s="2"/>
      <c r="H487" s="1"/>
      <c r="I487" s="1"/>
      <c r="J487" s="1"/>
      <c r="K487" s="2"/>
      <c r="L487" s="1"/>
      <c r="M487" s="1"/>
      <c r="N487" s="1"/>
      <c r="O487" s="2"/>
      <c r="P487" s="1"/>
      <c r="Q487" s="1"/>
      <c r="R487" s="1"/>
      <c r="S487" s="2"/>
      <c r="T487" s="1"/>
      <c r="U487" s="1"/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>
      <c r="A488" s="1" t="s">
        <v>401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>
      <c r="A489" s="1" t="s">
        <v>408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>
      <c r="A490" s="1" t="s">
        <v>383</v>
      </c>
      <c r="B490" s="1"/>
      <c r="C490" s="304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>
      <c r="A491" s="1" t="s">
        <v>380</v>
      </c>
      <c r="B491" s="1"/>
      <c r="C491" s="304">
        <v>2</v>
      </c>
      <c r="D491" s="283">
        <v>117.12</v>
      </c>
      <c r="E491" s="308"/>
      <c r="F491" s="2">
        <f>ROUND(D491*$C491,0)</f>
        <v>234</v>
      </c>
      <c r="G491" s="283">
        <f ca="1">$G$168</f>
        <v>119.88</v>
      </c>
      <c r="H491" s="308"/>
      <c r="I491" s="2">
        <f ca="1">ROUND(G491*$C491,0)</f>
        <v>240</v>
      </c>
      <c r="J491" s="2"/>
      <c r="K491" s="283">
        <f ca="1">$K$168</f>
        <v>119.88</v>
      </c>
      <c r="L491" s="308"/>
      <c r="M491" s="2">
        <f ca="1">ROUND(K491*$C491,0)</f>
        <v>240</v>
      </c>
      <c r="N491" s="2"/>
      <c r="O491" s="283" t="str">
        <f>$O$168</f>
        <v xml:space="preserve"> </v>
      </c>
      <c r="P491" s="308"/>
      <c r="Q491" s="2">
        <f>ROUND(O491*$C491,0)</f>
        <v>0</v>
      </c>
      <c r="R491" s="2"/>
      <c r="S491" s="283" t="str">
        <f>$S$168</f>
        <v xml:space="preserve"> </v>
      </c>
      <c r="T491" s="308"/>
      <c r="U491" s="2">
        <f>ROUND(S491*$C491,0)</f>
        <v>0</v>
      </c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>
      <c r="A492" s="1" t="s">
        <v>381</v>
      </c>
      <c r="B492" s="1"/>
      <c r="C492" s="304">
        <v>81.084931506849301</v>
      </c>
      <c r="D492" s="283">
        <v>174.48</v>
      </c>
      <c r="E492" s="310"/>
      <c r="F492" s="2">
        <f t="shared" ref="F492:F493" si="117">ROUND(D492*$C492,0)</f>
        <v>14148</v>
      </c>
      <c r="G492" s="283">
        <f ca="1">$G$169</f>
        <v>178.68</v>
      </c>
      <c r="H492" s="310"/>
      <c r="I492" s="2">
        <f ca="1">ROUND(G492*$C492,0)</f>
        <v>14488</v>
      </c>
      <c r="J492" s="2"/>
      <c r="K492" s="283">
        <f ca="1">$K$169</f>
        <v>178.68</v>
      </c>
      <c r="L492" s="310"/>
      <c r="M492" s="2">
        <f ca="1">ROUND(K492*$C492,0)</f>
        <v>14488</v>
      </c>
      <c r="N492" s="2"/>
      <c r="O492" s="283" t="str">
        <f>$O$169</f>
        <v xml:space="preserve"> </v>
      </c>
      <c r="P492" s="310"/>
      <c r="Q492" s="2">
        <f>ROUND(O492*$C492,0)</f>
        <v>0</v>
      </c>
      <c r="R492" s="2"/>
      <c r="S492" s="283" t="str">
        <f>$S$169</f>
        <v xml:space="preserve"> </v>
      </c>
      <c r="T492" s="310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>
      <c r="A493" s="1" t="s">
        <v>382</v>
      </c>
      <c r="B493" s="1"/>
      <c r="C493" s="304">
        <v>2711.9452054794501</v>
      </c>
      <c r="D493" s="283">
        <v>12.24</v>
      </c>
      <c r="E493" s="310"/>
      <c r="F493" s="2">
        <f t="shared" si="117"/>
        <v>33194</v>
      </c>
      <c r="G493" s="283">
        <f ca="1">$G$170</f>
        <v>12.48</v>
      </c>
      <c r="H493" s="310"/>
      <c r="I493" s="2">
        <f ca="1">ROUND(G493*$C493,0)</f>
        <v>33845</v>
      </c>
      <c r="J493" s="2"/>
      <c r="K493" s="283">
        <f ca="1">$K$170</f>
        <v>12.48</v>
      </c>
      <c r="L493" s="310"/>
      <c r="M493" s="2">
        <f ca="1">ROUND(K493*$C493,0)</f>
        <v>33845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>
      <c r="A494" s="1" t="s">
        <v>384</v>
      </c>
      <c r="B494" s="1"/>
      <c r="C494" s="304">
        <f>SUM(C491:C492)</f>
        <v>83.084931506849301</v>
      </c>
      <c r="D494" s="283"/>
      <c r="E494" s="308"/>
      <c r="F494" s="2"/>
      <c r="G494" s="283"/>
      <c r="H494" s="308"/>
      <c r="I494" s="2"/>
      <c r="J494" s="2"/>
      <c r="K494" s="283"/>
      <c r="L494" s="308"/>
      <c r="M494" s="2"/>
      <c r="N494" s="2"/>
      <c r="O494" s="283"/>
      <c r="P494" s="308"/>
      <c r="Q494" s="2"/>
      <c r="R494" s="2"/>
      <c r="S494" s="283"/>
      <c r="T494" s="308"/>
      <c r="U494" s="2"/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>
      <c r="A495" s="1" t="s">
        <v>409</v>
      </c>
      <c r="B495" s="1"/>
      <c r="C495" s="304">
        <v>967.71261904761934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>
      <c r="A496" s="1" t="s">
        <v>385</v>
      </c>
      <c r="B496" s="1"/>
      <c r="C496" s="304">
        <v>7906.5367188213504</v>
      </c>
      <c r="D496" s="311">
        <v>3.7</v>
      </c>
      <c r="E496" s="308"/>
      <c r="F496" s="2">
        <f>ROUND(D496*C496,0)</f>
        <v>29254</v>
      </c>
      <c r="G496" s="311">
        <f ca="1">$G$177</f>
        <v>3.8</v>
      </c>
      <c r="H496" s="308"/>
      <c r="I496" s="2">
        <f ca="1">ROUND(G496*$C496,0)</f>
        <v>30045</v>
      </c>
      <c r="J496" s="2"/>
      <c r="K496" s="311" t="e">
        <f ca="1">$K$177</f>
        <v>#REF!</v>
      </c>
      <c r="L496" s="308"/>
      <c r="M496" s="2" t="e">
        <f ca="1">ROUND(K496*$C496,0)</f>
        <v>#REF!</v>
      </c>
      <c r="N496" s="2"/>
      <c r="O496" s="311" t="e">
        <f ca="1">$O$177</f>
        <v>#DIV/0!</v>
      </c>
      <c r="P496" s="308"/>
      <c r="Q496" s="2" t="e">
        <f ca="1">ROUND(O496*$C496,0)</f>
        <v>#DIV/0!</v>
      </c>
      <c r="R496" s="2"/>
      <c r="S496" s="311" t="e">
        <f ca="1">$S$177</f>
        <v>#DIV/0!</v>
      </c>
      <c r="T496" s="308"/>
      <c r="U496" s="2" t="e">
        <f ca="1">ROUND(S496*$C496,0)</f>
        <v>#DIV/0!</v>
      </c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>
      <c r="A497" s="1" t="s">
        <v>387</v>
      </c>
      <c r="B497" s="1"/>
      <c r="C497" s="304">
        <v>154025</v>
      </c>
      <c r="D497" s="284">
        <v>10.628</v>
      </c>
      <c r="E497" s="308" t="s">
        <v>364</v>
      </c>
      <c r="F497" s="2">
        <f>ROUND(D497*C497/100,0)</f>
        <v>16370</v>
      </c>
      <c r="G497" s="284">
        <f ca="1">$G$178</f>
        <v>10.878</v>
      </c>
      <c r="H497" s="308" t="s">
        <v>364</v>
      </c>
      <c r="I497" s="2">
        <f ca="1">ROUND(G497*$C497/100,0)</f>
        <v>16755</v>
      </c>
      <c r="J497" s="2"/>
      <c r="K497" s="284" t="e">
        <f ca="1">$K$178</f>
        <v>#REF!</v>
      </c>
      <c r="L497" s="308" t="s">
        <v>364</v>
      </c>
      <c r="M497" s="2" t="e">
        <f ca="1">ROUND(K497*$C497/100,0)</f>
        <v>#REF!</v>
      </c>
      <c r="N497" s="2"/>
      <c r="O497" s="284" t="e">
        <f ca="1">$O$178</f>
        <v>#DIV/0!</v>
      </c>
      <c r="P497" s="308" t="s">
        <v>364</v>
      </c>
      <c r="Q497" s="2" t="e">
        <f ca="1">ROUND(O497*$C497/100,0)</f>
        <v>#DIV/0!</v>
      </c>
      <c r="R497" s="2"/>
      <c r="S497" s="284" t="e">
        <f ca="1">$S$178</f>
        <v>#DIV/0!</v>
      </c>
      <c r="T497" s="308" t="s">
        <v>364</v>
      </c>
      <c r="U497" s="2" t="e">
        <f ca="1">ROUND(S497*$C497/100,0)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>
      <c r="A498" s="1" t="s">
        <v>388</v>
      </c>
      <c r="B498" s="1"/>
      <c r="C498" s="304">
        <v>130955</v>
      </c>
      <c r="D498" s="284">
        <v>7.3410000000000002</v>
      </c>
      <c r="E498" s="308" t="s">
        <v>364</v>
      </c>
      <c r="F498" s="2">
        <f>ROUND(D498*C498/100,0)</f>
        <v>9613</v>
      </c>
      <c r="G498" s="284">
        <f ca="1">$G$179</f>
        <v>7.5140000000000002</v>
      </c>
      <c r="H498" s="308" t="s">
        <v>364</v>
      </c>
      <c r="I498" s="2">
        <f ca="1">ROUND(G498*$C498/100,0)</f>
        <v>9840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>
      <c r="A499" s="1" t="s">
        <v>389</v>
      </c>
      <c r="B499" s="1"/>
      <c r="C499" s="304">
        <v>0</v>
      </c>
      <c r="D499" s="284">
        <v>6.3240000000000007</v>
      </c>
      <c r="E499" s="308" t="s">
        <v>364</v>
      </c>
      <c r="F499" s="2">
        <f>ROUND(D499*C499/100,0)</f>
        <v>0</v>
      </c>
      <c r="G499" s="284">
        <f ca="1">$G$180</f>
        <v>6.4720000000000004</v>
      </c>
      <c r="H499" s="308" t="s">
        <v>364</v>
      </c>
      <c r="I499" s="2">
        <f ca="1">ROUND(G499*$C499/100,0)</f>
        <v>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>
      <c r="A500" s="1" t="s">
        <v>390</v>
      </c>
      <c r="B500" s="1"/>
      <c r="C500" s="304">
        <v>1569.0261904761901</v>
      </c>
      <c r="D500" s="315">
        <v>57</v>
      </c>
      <c r="E500" s="308" t="s">
        <v>364</v>
      </c>
      <c r="F500" s="2">
        <f>ROUND(D500*C500/100,0)</f>
        <v>894</v>
      </c>
      <c r="G500" s="315">
        <f ca="1">$G$181</f>
        <v>58</v>
      </c>
      <c r="H500" s="308" t="s">
        <v>364</v>
      </c>
      <c r="I500" s="2">
        <f ca="1">ROUND(G500*$C500/100,0)</f>
        <v>910</v>
      </c>
      <c r="J500" s="2"/>
      <c r="K500" s="315" t="str">
        <f>$K$181</f>
        <v xml:space="preserve"> </v>
      </c>
      <c r="L500" s="308" t="s">
        <v>364</v>
      </c>
      <c r="M500" s="2">
        <f>ROUND(K500*$C500/100,0)</f>
        <v>0</v>
      </c>
      <c r="N500" s="2"/>
      <c r="O500" s="315" t="e">
        <f>$O$181</f>
        <v>#DIV/0!</v>
      </c>
      <c r="P500" s="308" t="s">
        <v>364</v>
      </c>
      <c r="Q500" s="2" t="e">
        <f>ROUND(O500*$C500/100,0)</f>
        <v>#DIV/0!</v>
      </c>
      <c r="R500" s="2"/>
      <c r="S500" s="315" t="e">
        <f>$S$181</f>
        <v>#DIV/0!</v>
      </c>
      <c r="T500" s="308" t="s">
        <v>364</v>
      </c>
      <c r="U500" s="2" t="e">
        <f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s="1118" customFormat="1" hidden="1">
      <c r="A501" s="968" t="s">
        <v>862</v>
      </c>
      <c r="C501" s="1122">
        <f>C497</f>
        <v>154025</v>
      </c>
      <c r="D501" s="1423">
        <v>0</v>
      </c>
      <c r="E501" s="1119"/>
      <c r="F501" s="1123"/>
      <c r="G501" s="1128">
        <f>G182</f>
        <v>0</v>
      </c>
      <c r="H501" s="972" t="s">
        <v>364</v>
      </c>
      <c r="I501" s="1123">
        <f t="shared" ref="I501:I503" si="118">ROUND(G501*$C501/100,0)</f>
        <v>0</v>
      </c>
      <c r="J501" s="1123"/>
      <c r="K501" s="1128" t="str">
        <f>K182</f>
        <v xml:space="preserve"> </v>
      </c>
      <c r="L501" s="972" t="s">
        <v>364</v>
      </c>
      <c r="M501" s="1123">
        <f t="shared" ref="M501:M503" si="119">ROUND(K501*$C501/100,0)</f>
        <v>0</v>
      </c>
      <c r="N501" s="1123"/>
      <c r="O501" s="1128" t="str">
        <f>O182</f>
        <v xml:space="preserve"> </v>
      </c>
      <c r="P501" s="972" t="s">
        <v>364</v>
      </c>
      <c r="Q501" s="1123">
        <f t="shared" ref="Q501:Q503" si="120">ROUND(O501*$C501/100,0)</f>
        <v>0</v>
      </c>
      <c r="R501" s="1123"/>
      <c r="S501" s="1128">
        <f>S182</f>
        <v>0</v>
      </c>
      <c r="T501" s="972" t="s">
        <v>364</v>
      </c>
      <c r="U501" s="1123">
        <f t="shared" ref="U501:U503" si="121">ROUND(S501*$C501/100,0)</f>
        <v>0</v>
      </c>
      <c r="W501" s="784"/>
      <c r="Z501" s="1125"/>
      <c r="AA501" s="1125"/>
      <c r="AF501" s="1119"/>
      <c r="AG501" s="1119"/>
      <c r="AH501" s="1119"/>
      <c r="AI501" s="1119"/>
      <c r="AJ501" s="1119"/>
      <c r="AK501" s="1119"/>
      <c r="AL501" s="1119"/>
      <c r="AM501" s="1119"/>
      <c r="AN501" s="1119"/>
      <c r="AO501" s="1119"/>
      <c r="AP501" s="1119"/>
      <c r="AR501" s="1124"/>
    </row>
    <row r="502" spans="1:44" s="1118" customFormat="1" hidden="1">
      <c r="A502" s="968" t="s">
        <v>863</v>
      </c>
      <c r="C502" s="1122">
        <f t="shared" ref="C502:C503" si="122">C498</f>
        <v>130955</v>
      </c>
      <c r="D502" s="1423">
        <v>0</v>
      </c>
      <c r="E502" s="1119"/>
      <c r="F502" s="1123"/>
      <c r="G502" s="1128">
        <f>G183</f>
        <v>0</v>
      </c>
      <c r="H502" s="972" t="s">
        <v>364</v>
      </c>
      <c r="I502" s="1123">
        <f t="shared" si="118"/>
        <v>0</v>
      </c>
      <c r="J502" s="1123"/>
      <c r="K502" s="1128" t="str">
        <f>K183</f>
        <v xml:space="preserve"> </v>
      </c>
      <c r="L502" s="972" t="s">
        <v>364</v>
      </c>
      <c r="M502" s="1123">
        <f t="shared" si="119"/>
        <v>0</v>
      </c>
      <c r="N502" s="1123"/>
      <c r="O502" s="1128" t="str">
        <f>O183</f>
        <v xml:space="preserve"> </v>
      </c>
      <c r="P502" s="972" t="s">
        <v>364</v>
      </c>
      <c r="Q502" s="1123">
        <f t="shared" si="120"/>
        <v>0</v>
      </c>
      <c r="R502" s="1123"/>
      <c r="S502" s="1128">
        <f>S183</f>
        <v>0</v>
      </c>
      <c r="T502" s="972" t="s">
        <v>364</v>
      </c>
      <c r="U502" s="1123">
        <f t="shared" si="121"/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864</v>
      </c>
      <c r="C503" s="1122">
        <f t="shared" si="122"/>
        <v>0</v>
      </c>
      <c r="D503" s="1423"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8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9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20"/>
        <v>0</v>
      </c>
      <c r="R503" s="1123"/>
      <c r="S503" s="1128">
        <f>S184</f>
        <v>0</v>
      </c>
      <c r="T503" s="972" t="s">
        <v>364</v>
      </c>
      <c r="U503" s="1123">
        <f t="shared" si="121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>
      <c r="A504" s="316" t="s">
        <v>391</v>
      </c>
      <c r="B504" s="1"/>
      <c r="C504" s="304"/>
      <c r="D504" s="317">
        <v>-0.01</v>
      </c>
      <c r="E504" s="308"/>
      <c r="F504" s="2"/>
      <c r="G504" s="317">
        <v>-0.01</v>
      </c>
      <c r="H504" s="308"/>
      <c r="I504" s="2"/>
      <c r="J504" s="2"/>
      <c r="K504" s="317">
        <v>-0.01</v>
      </c>
      <c r="L504" s="308"/>
      <c r="M504" s="2"/>
      <c r="N504" s="2"/>
      <c r="O504" s="317">
        <v>-0.01</v>
      </c>
      <c r="P504" s="308"/>
      <c r="Q504" s="2"/>
      <c r="R504" s="2"/>
      <c r="S504" s="317">
        <v>-0.01</v>
      </c>
      <c r="T504" s="308"/>
      <c r="U504" s="2"/>
      <c r="V504" s="20"/>
      <c r="W504" s="74"/>
      <c r="X504" s="74"/>
      <c r="Y504" s="74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</row>
    <row r="505" spans="1:44">
      <c r="A505" s="1" t="s">
        <v>380</v>
      </c>
      <c r="B505" s="1"/>
      <c r="C505" s="304">
        <v>0</v>
      </c>
      <c r="D505" s="319">
        <v>117.12</v>
      </c>
      <c r="E505" s="306"/>
      <c r="F505" s="2">
        <f>-ROUND(D505*$C505/100,0)</f>
        <v>0</v>
      </c>
      <c r="G505" s="319">
        <f ca="1">G491</f>
        <v>119.88</v>
      </c>
      <c r="H505" s="306"/>
      <c r="I505" s="2">
        <f ca="1">-ROUND(G505*$C505/100,0)</f>
        <v>0</v>
      </c>
      <c r="J505" s="2"/>
      <c r="K505" s="319">
        <f ca="1">K491</f>
        <v>119.88</v>
      </c>
      <c r="L505" s="306"/>
      <c r="M505" s="2">
        <f ca="1">-ROUND(K505*$C505/100,0)</f>
        <v>0</v>
      </c>
      <c r="N505" s="2"/>
      <c r="O505" s="319" t="str">
        <f>O491</f>
        <v xml:space="preserve"> </v>
      </c>
      <c r="P505" s="306"/>
      <c r="Q505" s="2">
        <f>-ROUND(O505*$C505/100,0)</f>
        <v>0</v>
      </c>
      <c r="R505" s="2"/>
      <c r="S505" s="319" t="str">
        <f>S491</f>
        <v xml:space="preserve"> </v>
      </c>
      <c r="T505" s="306"/>
      <c r="U505" s="2">
        <f>-ROUND(S505*$C505/100,0)</f>
        <v>0</v>
      </c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>
      <c r="A506" s="1" t="s">
        <v>381</v>
      </c>
      <c r="B506" s="1"/>
      <c r="C506" s="304">
        <v>0</v>
      </c>
      <c r="D506" s="319">
        <v>174.48</v>
      </c>
      <c r="E506" s="306"/>
      <c r="F506" s="2">
        <f t="shared" ref="F506:F508" si="123">-ROUND(D506*$C506/100,0)</f>
        <v>0</v>
      </c>
      <c r="G506" s="319">
        <f ca="1">G492</f>
        <v>178.68</v>
      </c>
      <c r="H506" s="306"/>
      <c r="I506" s="2">
        <f ca="1">-ROUND(G506*$C506/100,0)</f>
        <v>0</v>
      </c>
      <c r="J506" s="2"/>
      <c r="K506" s="319">
        <f ca="1">K492</f>
        <v>178.68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>
      <c r="A507" s="1" t="s">
        <v>392</v>
      </c>
      <c r="B507" s="1"/>
      <c r="C507" s="304">
        <v>0</v>
      </c>
      <c r="D507" s="319">
        <v>12.24</v>
      </c>
      <c r="E507" s="306"/>
      <c r="F507" s="2">
        <f t="shared" si="123"/>
        <v>0</v>
      </c>
      <c r="G507" s="319">
        <f ca="1">G493</f>
        <v>12.48</v>
      </c>
      <c r="H507" s="306"/>
      <c r="I507" s="2">
        <f ca="1">-ROUND(G507*$C507/100,0)</f>
        <v>0</v>
      </c>
      <c r="J507" s="2"/>
      <c r="K507" s="319">
        <f ca="1">K493</f>
        <v>12.48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>
      <c r="A508" s="1" t="s">
        <v>393</v>
      </c>
      <c r="B508" s="1"/>
      <c r="C508" s="304">
        <v>0</v>
      </c>
      <c r="D508" s="319">
        <v>3.7</v>
      </c>
      <c r="E508" s="308"/>
      <c r="F508" s="2">
        <f t="shared" si="123"/>
        <v>0</v>
      </c>
      <c r="G508" s="319">
        <f ca="1">G496</f>
        <v>3.8</v>
      </c>
      <c r="H508" s="308"/>
      <c r="I508" s="2">
        <f ca="1">-ROUND(G508*$C508/100,0)</f>
        <v>0</v>
      </c>
      <c r="J508" s="2"/>
      <c r="K508" s="319" t="e">
        <f ca="1">K496</f>
        <v>#REF!</v>
      </c>
      <c r="L508" s="308"/>
      <c r="M508" s="2" t="e">
        <f ca="1">-ROUND(K508*$C508/100,0)</f>
        <v>#REF!</v>
      </c>
      <c r="N508" s="2"/>
      <c r="O508" s="319" t="e">
        <f ca="1">O496</f>
        <v>#DIV/0!</v>
      </c>
      <c r="P508" s="308"/>
      <c r="Q508" s="2" t="e">
        <f ca="1">-ROUND(O508*$C508/100,0)</f>
        <v>#DIV/0!</v>
      </c>
      <c r="R508" s="2"/>
      <c r="S508" s="319" t="e">
        <f ca="1">S496</f>
        <v>#DIV/0!</v>
      </c>
      <c r="T508" s="308"/>
      <c r="U508" s="2" t="e">
        <f ca="1">-ROUND(S508*$C508/100,0)</f>
        <v>#DIV/0!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>
      <c r="A509" s="1" t="s">
        <v>395</v>
      </c>
      <c r="B509" s="1"/>
      <c r="C509" s="304">
        <v>0</v>
      </c>
      <c r="D509" s="320">
        <v>10.628</v>
      </c>
      <c r="E509" s="308" t="s">
        <v>364</v>
      </c>
      <c r="F509" s="2">
        <f>ROUND(D509*$C509/100*D504,0)</f>
        <v>0</v>
      </c>
      <c r="G509" s="320">
        <f ca="1">G497</f>
        <v>10.878</v>
      </c>
      <c r="H509" s="308" t="s">
        <v>364</v>
      </c>
      <c r="I509" s="2">
        <f ca="1">ROUND(G509*$C509/100*G504,0)</f>
        <v>0</v>
      </c>
      <c r="J509" s="2"/>
      <c r="K509" s="320" t="e">
        <f ca="1">K497</f>
        <v>#REF!</v>
      </c>
      <c r="L509" s="308" t="s">
        <v>364</v>
      </c>
      <c r="M509" s="2" t="e">
        <f ca="1">ROUND(K509*$C509/100*K504,0)</f>
        <v>#REF!</v>
      </c>
      <c r="N509" s="2"/>
      <c r="O509" s="320" t="e">
        <f ca="1">O497</f>
        <v>#DIV/0!</v>
      </c>
      <c r="P509" s="308" t="s">
        <v>364</v>
      </c>
      <c r="Q509" s="2" t="e">
        <f ca="1">ROUND(O509*$C509/100*O504,0)</f>
        <v>#DIV/0!</v>
      </c>
      <c r="R509" s="2"/>
      <c r="S509" s="320" t="e">
        <f ca="1">S497</f>
        <v>#DIV/0!</v>
      </c>
      <c r="T509" s="308" t="s">
        <v>364</v>
      </c>
      <c r="U509" s="2" t="e">
        <f ca="1">ROUND(S509*$C509/100*S504,0)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>
      <c r="A510" s="1" t="s">
        <v>388</v>
      </c>
      <c r="B510" s="1"/>
      <c r="C510" s="304">
        <v>0</v>
      </c>
      <c r="D510" s="320">
        <v>7.3410000000000002</v>
      </c>
      <c r="E510" s="308" t="s">
        <v>364</v>
      </c>
      <c r="F510" s="2">
        <f>ROUND(D510*$C510/100*D504,0)</f>
        <v>0</v>
      </c>
      <c r="G510" s="320">
        <f ca="1">G498</f>
        <v>7.5140000000000002</v>
      </c>
      <c r="H510" s="308" t="s">
        <v>364</v>
      </c>
      <c r="I510" s="2">
        <f ca="1">ROUND(G510*$C510/100*G504,0)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ROUND(K510*$C510/100*K504,0)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ROUND(O510*$C510/100*O504,0)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ROUND(S510*$C510/100*S504,0)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>
      <c r="A511" s="1" t="s">
        <v>389</v>
      </c>
      <c r="B511" s="1"/>
      <c r="C511" s="304">
        <v>0</v>
      </c>
      <c r="D511" s="320">
        <v>6.3240000000000007</v>
      </c>
      <c r="E511" s="308" t="s">
        <v>364</v>
      </c>
      <c r="F511" s="2">
        <f>ROUND(D511*$C511/100*D504,0)</f>
        <v>0</v>
      </c>
      <c r="G511" s="320">
        <f ca="1">G499</f>
        <v>6.4720000000000004</v>
      </c>
      <c r="H511" s="308" t="s">
        <v>364</v>
      </c>
      <c r="I511" s="2">
        <f ca="1">ROUND(G511*$C511/100*G504,0)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ROUND(K511*$C511/100*K504,0)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ROUND(O511*$C511/100*O504,0)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ROUND(S511*$C511/100*S504,0)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>
      <c r="A512" s="1" t="s">
        <v>390</v>
      </c>
      <c r="B512" s="1"/>
      <c r="C512" s="304">
        <v>0</v>
      </c>
      <c r="D512" s="321">
        <v>57</v>
      </c>
      <c r="E512" s="308" t="s">
        <v>364</v>
      </c>
      <c r="F512" s="2">
        <f>ROUND(D512*$C512/100*D504,0)</f>
        <v>0</v>
      </c>
      <c r="G512" s="321">
        <f ca="1">G500</f>
        <v>58</v>
      </c>
      <c r="H512" s="308" t="s">
        <v>364</v>
      </c>
      <c r="I512" s="2">
        <f ca="1">ROUND(G512*$C512/100*G504,0)</f>
        <v>0</v>
      </c>
      <c r="J512" s="2"/>
      <c r="K512" s="321" t="str">
        <f>K500</f>
        <v xml:space="preserve"> </v>
      </c>
      <c r="L512" s="308" t="s">
        <v>364</v>
      </c>
      <c r="M512" s="2">
        <f>ROUND(K512*$C512/100*K504,0)</f>
        <v>0</v>
      </c>
      <c r="N512" s="2"/>
      <c r="O512" s="321" t="e">
        <f>O500</f>
        <v>#DIV/0!</v>
      </c>
      <c r="P512" s="308" t="s">
        <v>364</v>
      </c>
      <c r="Q512" s="2" t="e">
        <f>ROUND(O512*$C512/100*O504,0)</f>
        <v>#DIV/0!</v>
      </c>
      <c r="R512" s="2"/>
      <c r="S512" s="321" t="e">
        <f>S500</f>
        <v>#DIV/0!</v>
      </c>
      <c r="T512" s="308" t="s">
        <v>364</v>
      </c>
      <c r="U512" s="2" t="e">
        <f>ROUND(S512*$C512/100*S504,0)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>
      <c r="A513" s="1" t="s">
        <v>397</v>
      </c>
      <c r="B513" s="1"/>
      <c r="C513" s="304">
        <v>0</v>
      </c>
      <c r="D513" s="322">
        <v>60</v>
      </c>
      <c r="E513" s="308"/>
      <c r="F513" s="2">
        <f>ROUND(D513*C513,0)</f>
        <v>0</v>
      </c>
      <c r="G513" s="322">
        <f>$G$197</f>
        <v>60</v>
      </c>
      <c r="H513" s="308"/>
      <c r="I513" s="2">
        <f>ROUND(G513*$C513,0)</f>
        <v>0</v>
      </c>
      <c r="J513" s="2"/>
      <c r="K513" s="311" t="s">
        <v>31</v>
      </c>
      <c r="L513" s="308"/>
      <c r="M513" s="2">
        <f>ROUND(K513*$C513,0)</f>
        <v>0</v>
      </c>
      <c r="N513" s="2"/>
      <c r="O513" s="322" t="e">
        <f>O197</f>
        <v>#DIV/0!</v>
      </c>
      <c r="P513" s="308"/>
      <c r="Q513" s="2" t="e">
        <f>ROUND(O513*$C513,0)</f>
        <v>#DIV/0!</v>
      </c>
      <c r="R513" s="2"/>
      <c r="S513" s="322" t="e">
        <f>S197</f>
        <v>#DIV/0!</v>
      </c>
      <c r="T513" s="308"/>
      <c r="U513" s="2" t="e">
        <f>ROUND(S513*$C513,0)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>
      <c r="A514" s="1" t="s">
        <v>398</v>
      </c>
      <c r="B514" s="1"/>
      <c r="C514" s="304">
        <v>0</v>
      </c>
      <c r="D514" s="324">
        <v>-30</v>
      </c>
      <c r="E514" s="308" t="s">
        <v>364</v>
      </c>
      <c r="F514" s="2">
        <f>ROUND(D514*C514/100,0)</f>
        <v>0</v>
      </c>
      <c r="G514" s="324">
        <f>$G$198</f>
        <v>-30</v>
      </c>
      <c r="H514" s="308" t="s">
        <v>364</v>
      </c>
      <c r="I514" s="2">
        <f>ROUND(G514*$C514/100,0)</f>
        <v>0</v>
      </c>
      <c r="J514" s="2"/>
      <c r="K514" s="324">
        <f>$G$198</f>
        <v>-30</v>
      </c>
      <c r="L514" s="308" t="s">
        <v>364</v>
      </c>
      <c r="M514" s="2">
        <f>ROUND(K514*$C514/100,0)</f>
        <v>0</v>
      </c>
      <c r="N514" s="2"/>
      <c r="O514" s="324">
        <v>0</v>
      </c>
      <c r="P514" s="308" t="s">
        <v>364</v>
      </c>
      <c r="Q514" s="2">
        <f>ROUND(O514*$C514/100,0)</f>
        <v>0</v>
      </c>
      <c r="R514" s="2"/>
      <c r="S514" s="324">
        <v>0</v>
      </c>
      <c r="T514" s="308" t="s">
        <v>364</v>
      </c>
      <c r="U514" s="2">
        <f>ROUND(S514*$C514/100,0)</f>
        <v>0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s="1118" customFormat="1" hidden="1">
      <c r="A515" s="968" t="s">
        <v>862</v>
      </c>
      <c r="C515" s="1122">
        <f>C509</f>
        <v>0</v>
      </c>
      <c r="D515" s="1423">
        <v>0</v>
      </c>
      <c r="E515" s="1119"/>
      <c r="F515" s="1123"/>
      <c r="G515" s="1128">
        <f>G182</f>
        <v>0</v>
      </c>
      <c r="H515" s="972" t="s">
        <v>364</v>
      </c>
      <c r="I515" s="2">
        <f>ROUND(G515*$C515/100*G504,0)</f>
        <v>0</v>
      </c>
      <c r="J515" s="2"/>
      <c r="K515" s="1128" t="str">
        <f>K182</f>
        <v xml:space="preserve"> </v>
      </c>
      <c r="L515" s="972" t="s">
        <v>364</v>
      </c>
      <c r="M515" s="2">
        <f>ROUND(K515*$C515/100*K504,0)</f>
        <v>0</v>
      </c>
      <c r="N515" s="2"/>
      <c r="O515" s="1128" t="str">
        <f>O182</f>
        <v xml:space="preserve"> </v>
      </c>
      <c r="P515" s="972" t="s">
        <v>364</v>
      </c>
      <c r="Q515" s="2">
        <f>ROUND(O515*$C515/100*O504,0)</f>
        <v>0</v>
      </c>
      <c r="R515" s="2"/>
      <c r="S515" s="1128">
        <f>S182</f>
        <v>0</v>
      </c>
      <c r="T515" s="972" t="s">
        <v>364</v>
      </c>
      <c r="U515" s="2">
        <f>ROUND(S515*$C515/100*S504,0)</f>
        <v>0</v>
      </c>
      <c r="W515" s="784"/>
      <c r="Z515" s="1125"/>
      <c r="AA515" s="1125"/>
      <c r="AF515" s="1119"/>
      <c r="AG515" s="1119"/>
      <c r="AH515" s="1119"/>
      <c r="AI515" s="1119"/>
      <c r="AJ515" s="1119"/>
      <c r="AK515" s="1119"/>
      <c r="AL515" s="1119"/>
      <c r="AM515" s="1119"/>
      <c r="AN515" s="1119"/>
      <c r="AO515" s="1119"/>
      <c r="AP515" s="1119"/>
      <c r="AR515" s="1124"/>
    </row>
    <row r="516" spans="1:44" s="1118" customFormat="1" hidden="1">
      <c r="A516" s="968" t="s">
        <v>863</v>
      </c>
      <c r="C516" s="1122">
        <f t="shared" ref="C516:C517" si="124">C510</f>
        <v>0</v>
      </c>
      <c r="D516" s="1423"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ROUND(G516*$C516/100*G504,0)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ROUND(K516*$C516/100*K504,0)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ROUND(O516*$C516/100*O504,0)</f>
        <v>0</v>
      </c>
      <c r="R516" s="2"/>
      <c r="S516" s="1128">
        <f>S183</f>
        <v>0</v>
      </c>
      <c r="T516" s="972" t="s">
        <v>364</v>
      </c>
      <c r="U516" s="2">
        <f>ROUND(S516*$C516/100*S504,0)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864</v>
      </c>
      <c r="C517" s="1122">
        <f t="shared" si="124"/>
        <v>0</v>
      </c>
      <c r="D517" s="1423"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ROUND(G517*$C517/100*G504,0)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ROUND(K517*$C517/100*K504,0)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ROUND(O517*$C517/100*O504,0)</f>
        <v>0</v>
      </c>
      <c r="R517" s="2"/>
      <c r="S517" s="1128">
        <f>S184</f>
        <v>0</v>
      </c>
      <c r="T517" s="972" t="s">
        <v>364</v>
      </c>
      <c r="U517" s="2">
        <f>ROUND(S517*$C517/100*S504,0)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>
      <c r="A518" s="1" t="s">
        <v>371</v>
      </c>
      <c r="B518" s="1"/>
      <c r="C518" s="304">
        <f>SUM(C497:C499)</f>
        <v>284980</v>
      </c>
      <c r="D518" s="315"/>
      <c r="E518" s="308"/>
      <c r="F518" s="2">
        <f>SUM(F491:F514)</f>
        <v>103707</v>
      </c>
      <c r="G518" s="315"/>
      <c r="H518" s="308"/>
      <c r="I518" s="2">
        <f ca="1">SUM(I491:I517)</f>
        <v>106123</v>
      </c>
      <c r="J518" s="2"/>
      <c r="K518" s="315"/>
      <c r="L518" s="308"/>
      <c r="M518" s="2" t="e">
        <f ca="1">SUM(M491:M517)</f>
        <v>#REF!</v>
      </c>
      <c r="N518" s="2"/>
      <c r="O518" s="315"/>
      <c r="P518" s="308"/>
      <c r="Q518" s="2" t="e">
        <f ca="1">SUM(Q491:Q517)</f>
        <v>#DIV/0!</v>
      </c>
      <c r="R518" s="2"/>
      <c r="S518" s="315"/>
      <c r="T518" s="308"/>
      <c r="U518" s="2" t="e">
        <f ca="1">SUM(U491:U517)</f>
        <v>#DIV/0!</v>
      </c>
      <c r="V518" s="20"/>
      <c r="W518" s="74"/>
      <c r="X518" s="74"/>
      <c r="Y518" s="74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</row>
    <row r="519" spans="1:44">
      <c r="A519" s="1" t="s">
        <v>353</v>
      </c>
      <c r="B519" s="1"/>
      <c r="C519" s="334">
        <f>'Table 2'!H43</f>
        <v>1965.5392472718752</v>
      </c>
      <c r="D519" s="294"/>
      <c r="E519" s="294"/>
      <c r="F519" s="326">
        <f>'Table 3'!E43</f>
        <v>783.73149966378082</v>
      </c>
      <c r="G519" s="294"/>
      <c r="H519" s="294"/>
      <c r="I519" s="326">
        <f>F519</f>
        <v>783.73149966378082</v>
      </c>
      <c r="J519" s="307"/>
      <c r="K519" s="294"/>
      <c r="L519" s="294"/>
      <c r="M519" s="326" t="e">
        <f>$I$519*V207/($V$207+$W$207+$X$207)</f>
        <v>#DIV/0!</v>
      </c>
      <c r="N519" s="51"/>
      <c r="O519" s="294"/>
      <c r="P519" s="294"/>
      <c r="Q519" s="326" t="e">
        <f>$I$519*W207/($V$207+$W$207+$X$207)</f>
        <v>#DIV/0!</v>
      </c>
      <c r="R519" s="51"/>
      <c r="S519" s="294"/>
      <c r="T519" s="294"/>
      <c r="U519" s="326" t="e">
        <f>$I$519*X207/($V$207+$W$207+$X$207)</f>
        <v>#DIV/0!</v>
      </c>
      <c r="V519" s="429"/>
      <c r="W519" s="272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t="16.5" thickBot="1">
      <c r="A520" s="1" t="s">
        <v>372</v>
      </c>
      <c r="B520" s="1"/>
      <c r="C520" s="296">
        <f>SUM(C518:C519)</f>
        <v>286945.5392472719</v>
      </c>
      <c r="D520" s="327"/>
      <c r="E520" s="330"/>
      <c r="F520" s="329">
        <f>F518+F519</f>
        <v>104490.73149966379</v>
      </c>
      <c r="G520" s="327"/>
      <c r="H520" s="330"/>
      <c r="I520" s="329">
        <f ca="1">I518+I519</f>
        <v>106906.73149966379</v>
      </c>
      <c r="J520" s="307"/>
      <c r="K520" s="327"/>
      <c r="L520" s="330"/>
      <c r="M520" s="329" t="e">
        <f ca="1">M518+M519</f>
        <v>#REF!</v>
      </c>
      <c r="N520" s="329"/>
      <c r="O520" s="327"/>
      <c r="P520" s="330"/>
      <c r="Q520" s="329" t="e">
        <f ca="1">Q518+Q519</f>
        <v>#DIV/0!</v>
      </c>
      <c r="R520" s="329"/>
      <c r="S520" s="327"/>
      <c r="T520" s="330"/>
      <c r="U520" s="329" t="e">
        <f ca="1">U518+U519</f>
        <v>#DIV/0!</v>
      </c>
      <c r="V520" s="396"/>
      <c r="W520" s="455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thickTop="1">
      <c r="A521" s="1"/>
      <c r="B521" s="1"/>
      <c r="C521" s="21"/>
      <c r="D521" s="322" t="s">
        <v>31</v>
      </c>
      <c r="E521" s="1"/>
      <c r="F521" s="2"/>
      <c r="G521" s="338" t="s">
        <v>31</v>
      </c>
      <c r="H521" s="1"/>
      <c r="I521" s="2" t="s">
        <v>31</v>
      </c>
      <c r="J521" s="2"/>
      <c r="K521" s="338" t="s">
        <v>31</v>
      </c>
      <c r="L521" s="1"/>
      <c r="M521" s="2" t="s">
        <v>31</v>
      </c>
      <c r="N521" s="2"/>
      <c r="O521" s="338" t="s">
        <v>31</v>
      </c>
      <c r="P521" s="1"/>
      <c r="Q521" s="2" t="s">
        <v>31</v>
      </c>
      <c r="R521" s="2"/>
      <c r="S521" s="338" t="s">
        <v>31</v>
      </c>
      <c r="T521" s="1"/>
      <c r="U521" s="2" t="s">
        <v>31</v>
      </c>
      <c r="V521" s="20"/>
      <c r="W521" s="74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>
      <c r="A522" s="278" t="s">
        <v>407</v>
      </c>
      <c r="B522" s="1"/>
      <c r="C522" s="1"/>
      <c r="D522" s="2"/>
      <c r="E522" s="1"/>
      <c r="F522" s="1"/>
      <c r="G522" s="2"/>
      <c r="H522" s="1"/>
      <c r="I522" s="1"/>
      <c r="J522" s="1"/>
      <c r="K522" s="2"/>
      <c r="L522" s="1"/>
      <c r="M522" s="1"/>
      <c r="N522" s="1"/>
      <c r="O522" s="2"/>
      <c r="P522" s="1"/>
      <c r="Q522" s="1"/>
      <c r="R522" s="1"/>
      <c r="S522" s="2"/>
      <c r="T522" s="1"/>
      <c r="U522" s="1"/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>
      <c r="A523" s="1" t="s">
        <v>404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>
      <c r="A524" s="1" t="s">
        <v>408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>
      <c r="A525" s="1" t="s">
        <v>383</v>
      </c>
      <c r="B525" s="1"/>
      <c r="C525" s="304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>
      <c r="A526" s="1" t="s">
        <v>380</v>
      </c>
      <c r="B526" s="1"/>
      <c r="C526" s="304">
        <v>0</v>
      </c>
      <c r="D526" s="283">
        <v>117.12</v>
      </c>
      <c r="E526" s="308"/>
      <c r="F526" s="2">
        <f>ROUND(D526*$C526,0)</f>
        <v>0</v>
      </c>
      <c r="G526" s="283">
        <f ca="1">$G$168</f>
        <v>119.88</v>
      </c>
      <c r="H526" s="308"/>
      <c r="I526" s="2">
        <f ca="1">ROUND(G526*$C526,0)</f>
        <v>0</v>
      </c>
      <c r="J526" s="2"/>
      <c r="K526" s="283">
        <f ca="1">$K$168</f>
        <v>119.88</v>
      </c>
      <c r="L526" s="308"/>
      <c r="M526" s="2">
        <f ca="1">ROUND(K526*$C526,0)</f>
        <v>0</v>
      </c>
      <c r="N526" s="2"/>
      <c r="O526" s="283" t="str">
        <f>$O$168</f>
        <v xml:space="preserve"> </v>
      </c>
      <c r="P526" s="308"/>
      <c r="Q526" s="2">
        <f>ROUND(O526*$C526,0)</f>
        <v>0</v>
      </c>
      <c r="R526" s="2"/>
      <c r="S526" s="283" t="str">
        <f>$S$168</f>
        <v xml:space="preserve"> </v>
      </c>
      <c r="T526" s="308"/>
      <c r="U526" s="2">
        <f>ROUND(S526*$C526,0)</f>
        <v>0</v>
      </c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>
      <c r="A527" s="1" t="s">
        <v>381</v>
      </c>
      <c r="B527" s="1"/>
      <c r="C527" s="304">
        <v>1</v>
      </c>
      <c r="D527" s="283">
        <v>174.48</v>
      </c>
      <c r="E527" s="310"/>
      <c r="F527" s="2">
        <f t="shared" ref="F527:F528" si="125">ROUND(D527*$C527,0)</f>
        <v>174</v>
      </c>
      <c r="G527" s="283">
        <f ca="1">$G$169</f>
        <v>178.68</v>
      </c>
      <c r="H527" s="310"/>
      <c r="I527" s="2">
        <f ca="1">ROUND(G527*$C527,0)</f>
        <v>179</v>
      </c>
      <c r="J527" s="2"/>
      <c r="K527" s="283">
        <f ca="1">$K$169</f>
        <v>178.68</v>
      </c>
      <c r="L527" s="310"/>
      <c r="M527" s="2">
        <f ca="1">ROUND(K527*$C527,0)</f>
        <v>179</v>
      </c>
      <c r="N527" s="2"/>
      <c r="O527" s="283" t="str">
        <f>$O$169</f>
        <v xml:space="preserve"> </v>
      </c>
      <c r="P527" s="310"/>
      <c r="Q527" s="2">
        <f>ROUND(O527*$C527,0)</f>
        <v>0</v>
      </c>
      <c r="R527" s="2"/>
      <c r="S527" s="283" t="str">
        <f>$S$169</f>
        <v xml:space="preserve"> </v>
      </c>
      <c r="T527" s="310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>
      <c r="A528" s="1" t="s">
        <v>382</v>
      </c>
      <c r="B528" s="1"/>
      <c r="C528" s="304">
        <v>59</v>
      </c>
      <c r="D528" s="283">
        <v>12.24</v>
      </c>
      <c r="E528" s="310"/>
      <c r="F528" s="2">
        <f t="shared" si="125"/>
        <v>722</v>
      </c>
      <c r="G528" s="283">
        <f ca="1">$G$170</f>
        <v>12.48</v>
      </c>
      <c r="H528" s="310"/>
      <c r="I528" s="2">
        <f ca="1">ROUND(G528*$C528,0)</f>
        <v>736</v>
      </c>
      <c r="J528" s="2"/>
      <c r="K528" s="283">
        <f ca="1">$K$170</f>
        <v>12.48</v>
      </c>
      <c r="L528" s="310"/>
      <c r="M528" s="2">
        <f ca="1">ROUND(K528*$C528,0)</f>
        <v>736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>
      <c r="A529" s="1" t="s">
        <v>384</v>
      </c>
      <c r="B529" s="1"/>
      <c r="C529" s="304">
        <f>SUM(C526:C527)</f>
        <v>1</v>
      </c>
      <c r="D529" s="283"/>
      <c r="E529" s="308"/>
      <c r="F529" s="2"/>
      <c r="G529" s="283"/>
      <c r="H529" s="308"/>
      <c r="I529" s="2"/>
      <c r="J529" s="2"/>
      <c r="K529" s="283"/>
      <c r="L529" s="308"/>
      <c r="M529" s="2"/>
      <c r="N529" s="2"/>
      <c r="O529" s="283"/>
      <c r="P529" s="308"/>
      <c r="Q529" s="2"/>
      <c r="R529" s="2"/>
      <c r="S529" s="283"/>
      <c r="T529" s="308"/>
      <c r="U529" s="2"/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>
      <c r="A530" s="1" t="s">
        <v>409</v>
      </c>
      <c r="B530" s="1"/>
      <c r="C530" s="304">
        <v>11.655555555555599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>
      <c r="A531" s="1" t="s">
        <v>385</v>
      </c>
      <c r="B531" s="1"/>
      <c r="C531" s="304">
        <v>170</v>
      </c>
      <c r="D531" s="311">
        <v>3.7</v>
      </c>
      <c r="E531" s="308"/>
      <c r="F531" s="2">
        <f>ROUND(D531*C531,0)</f>
        <v>629</v>
      </c>
      <c r="G531" s="311">
        <f ca="1">$G$177</f>
        <v>3.8</v>
      </c>
      <c r="H531" s="308"/>
      <c r="I531" s="2">
        <f ca="1">ROUND(G531*$C531,0)</f>
        <v>646</v>
      </c>
      <c r="J531" s="2"/>
      <c r="K531" s="311" t="e">
        <f ca="1">$K$177</f>
        <v>#REF!</v>
      </c>
      <c r="L531" s="308"/>
      <c r="M531" s="2" t="e">
        <f ca="1">ROUND(K531*$C531,0)</f>
        <v>#REF!</v>
      </c>
      <c r="N531" s="2"/>
      <c r="O531" s="311" t="e">
        <f ca="1">$O$177</f>
        <v>#DIV/0!</v>
      </c>
      <c r="P531" s="308"/>
      <c r="Q531" s="2" t="e">
        <f ca="1">ROUND(O531*$C531,0)</f>
        <v>#DIV/0!</v>
      </c>
      <c r="R531" s="2"/>
      <c r="S531" s="311" t="e">
        <f ca="1">$S$177</f>
        <v>#DIV/0!</v>
      </c>
      <c r="T531" s="308"/>
      <c r="U531" s="2" t="e">
        <f ca="1">ROUND(S531*$C531,0)</f>
        <v>#DIV/0!</v>
      </c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>
      <c r="A532" s="1" t="s">
        <v>387</v>
      </c>
      <c r="B532" s="1"/>
      <c r="C532" s="304">
        <v>4897</v>
      </c>
      <c r="D532" s="284">
        <v>10.628</v>
      </c>
      <c r="E532" s="308" t="s">
        <v>364</v>
      </c>
      <c r="F532" s="2">
        <f>ROUND(D532*C532/100,0)</f>
        <v>520</v>
      </c>
      <c r="G532" s="284">
        <f ca="1">$G$178</f>
        <v>10.878</v>
      </c>
      <c r="H532" s="308" t="s">
        <v>364</v>
      </c>
      <c r="I532" s="2">
        <f ca="1">ROUND(G532*$C532/100,0)</f>
        <v>533</v>
      </c>
      <c r="J532" s="2"/>
      <c r="K532" s="284" t="e">
        <f ca="1">$K$178</f>
        <v>#REF!</v>
      </c>
      <c r="L532" s="308" t="s">
        <v>364</v>
      </c>
      <c r="M532" s="2" t="e">
        <f ca="1">ROUND(K532*$C532/100,0)</f>
        <v>#REF!</v>
      </c>
      <c r="N532" s="2"/>
      <c r="O532" s="284" t="e">
        <f ca="1">$O$178</f>
        <v>#DIV/0!</v>
      </c>
      <c r="P532" s="308" t="s">
        <v>364</v>
      </c>
      <c r="Q532" s="2" t="e">
        <f ca="1">ROUND(O532*$C532/100,0)</f>
        <v>#DIV/0!</v>
      </c>
      <c r="R532" s="2"/>
      <c r="S532" s="284" t="e">
        <f ca="1">$S$178</f>
        <v>#DIV/0!</v>
      </c>
      <c r="T532" s="308" t="s">
        <v>364</v>
      </c>
      <c r="U532" s="2" t="e">
        <f ca="1">ROUND(S532*$C532/100,0)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>
      <c r="A533" s="1" t="s">
        <v>388</v>
      </c>
      <c r="B533" s="1"/>
      <c r="C533" s="304">
        <v>889</v>
      </c>
      <c r="D533" s="284">
        <v>7.3410000000000002</v>
      </c>
      <c r="E533" s="308" t="s">
        <v>364</v>
      </c>
      <c r="F533" s="2">
        <f>ROUND(D533*C533/100,0)</f>
        <v>65</v>
      </c>
      <c r="G533" s="284">
        <f ca="1">$G$179</f>
        <v>7.5140000000000002</v>
      </c>
      <c r="H533" s="308" t="s">
        <v>364</v>
      </c>
      <c r="I533" s="2">
        <f ca="1">ROUND(G533*$C533/100,0)</f>
        <v>67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>
      <c r="A534" s="1" t="s">
        <v>389</v>
      </c>
      <c r="B534" s="1"/>
      <c r="C534" s="304">
        <v>0</v>
      </c>
      <c r="D534" s="284">
        <v>6.3240000000000007</v>
      </c>
      <c r="E534" s="308" t="s">
        <v>364</v>
      </c>
      <c r="F534" s="2">
        <f>ROUND(D534*C534/100,0)</f>
        <v>0</v>
      </c>
      <c r="G534" s="284">
        <f ca="1">$G$180</f>
        <v>6.4720000000000004</v>
      </c>
      <c r="H534" s="308" t="s">
        <v>364</v>
      </c>
      <c r="I534" s="2">
        <f ca="1">ROUND(G534*$C534/100,0)</f>
        <v>0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>
      <c r="A535" s="1" t="s">
        <v>390</v>
      </c>
      <c r="B535" s="1"/>
      <c r="C535" s="304">
        <v>0</v>
      </c>
      <c r="D535" s="315">
        <v>57</v>
      </c>
      <c r="E535" s="308" t="s">
        <v>364</v>
      </c>
      <c r="F535" s="2">
        <f>ROUND(D535*C535/100,0)</f>
        <v>0</v>
      </c>
      <c r="G535" s="315">
        <f ca="1">$G$181</f>
        <v>58</v>
      </c>
      <c r="H535" s="308" t="s">
        <v>364</v>
      </c>
      <c r="I535" s="2">
        <f ca="1">ROUND(G535*$C535/100,0)</f>
        <v>0</v>
      </c>
      <c r="J535" s="2"/>
      <c r="K535" s="315" t="str">
        <f>$K$181</f>
        <v xml:space="preserve"> </v>
      </c>
      <c r="L535" s="308" t="s">
        <v>364</v>
      </c>
      <c r="M535" s="2">
        <f>ROUND(K535*$C535/100,0)</f>
        <v>0</v>
      </c>
      <c r="N535" s="2"/>
      <c r="O535" s="315" t="e">
        <f>$O$181</f>
        <v>#DIV/0!</v>
      </c>
      <c r="P535" s="308" t="s">
        <v>364</v>
      </c>
      <c r="Q535" s="2" t="e">
        <f>ROUND(O535*$C535/100,0)</f>
        <v>#DIV/0!</v>
      </c>
      <c r="R535" s="2"/>
      <c r="S535" s="315" t="e">
        <f>$S$181</f>
        <v>#DIV/0!</v>
      </c>
      <c r="T535" s="308" t="s">
        <v>364</v>
      </c>
      <c r="U535" s="2" t="e">
        <f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s="1118" customFormat="1" hidden="1">
      <c r="A536" s="968" t="s">
        <v>862</v>
      </c>
      <c r="C536" s="1122">
        <f>C532</f>
        <v>4897</v>
      </c>
      <c r="D536" s="1423">
        <v>0</v>
      </c>
      <c r="E536" s="1119"/>
      <c r="F536" s="1123"/>
      <c r="G536" s="1128">
        <f>G182</f>
        <v>0</v>
      </c>
      <c r="H536" s="972" t="s">
        <v>364</v>
      </c>
      <c r="I536" s="1123">
        <f t="shared" ref="I536:I538" si="126">ROUND(G536*$C536/100,0)</f>
        <v>0</v>
      </c>
      <c r="J536" s="1123"/>
      <c r="K536" s="1128" t="str">
        <f>K182</f>
        <v xml:space="preserve"> </v>
      </c>
      <c r="L536" s="972" t="s">
        <v>364</v>
      </c>
      <c r="M536" s="1123">
        <f t="shared" ref="M536:M538" si="127">ROUND(K536*$C536/100,0)</f>
        <v>0</v>
      </c>
      <c r="N536" s="1123"/>
      <c r="O536" s="1128" t="str">
        <f>O182</f>
        <v xml:space="preserve"> </v>
      </c>
      <c r="P536" s="972" t="s">
        <v>364</v>
      </c>
      <c r="Q536" s="1123">
        <f t="shared" ref="Q536:Q538" si="128">ROUND(O536*$C536/100,0)</f>
        <v>0</v>
      </c>
      <c r="R536" s="1123"/>
      <c r="S536" s="1128">
        <f>S182</f>
        <v>0</v>
      </c>
      <c r="T536" s="972" t="s">
        <v>364</v>
      </c>
      <c r="U536" s="1123">
        <f t="shared" ref="U536:U538" si="129">ROUND(S536*$C536/100,0)</f>
        <v>0</v>
      </c>
      <c r="W536" s="784"/>
      <c r="Z536" s="1125"/>
      <c r="AA536" s="1125"/>
      <c r="AF536" s="1119"/>
      <c r="AG536" s="1119"/>
      <c r="AH536" s="1119"/>
      <c r="AI536" s="1119"/>
      <c r="AJ536" s="1119"/>
      <c r="AK536" s="1119"/>
      <c r="AL536" s="1119"/>
      <c r="AM536" s="1119"/>
      <c r="AN536" s="1119"/>
      <c r="AO536" s="1119"/>
      <c r="AP536" s="1119"/>
      <c r="AR536" s="1124"/>
    </row>
    <row r="537" spans="1:44" s="1118" customFormat="1" hidden="1">
      <c r="A537" s="968" t="s">
        <v>863</v>
      </c>
      <c r="C537" s="1122">
        <f>C533</f>
        <v>889</v>
      </c>
      <c r="D537" s="1423">
        <v>0</v>
      </c>
      <c r="E537" s="1119"/>
      <c r="F537" s="1123"/>
      <c r="G537" s="1128">
        <f>G183</f>
        <v>0</v>
      </c>
      <c r="H537" s="972" t="s">
        <v>364</v>
      </c>
      <c r="I537" s="1123">
        <f t="shared" si="126"/>
        <v>0</v>
      </c>
      <c r="J537" s="1123"/>
      <c r="K537" s="1128" t="str">
        <f>K183</f>
        <v xml:space="preserve"> </v>
      </c>
      <c r="L537" s="972" t="s">
        <v>364</v>
      </c>
      <c r="M537" s="1123">
        <f t="shared" si="127"/>
        <v>0</v>
      </c>
      <c r="N537" s="1123"/>
      <c r="O537" s="1128" t="str">
        <f>O183</f>
        <v xml:space="preserve"> </v>
      </c>
      <c r="P537" s="972" t="s">
        <v>364</v>
      </c>
      <c r="Q537" s="1123">
        <f t="shared" si="128"/>
        <v>0</v>
      </c>
      <c r="R537" s="1123"/>
      <c r="S537" s="1128">
        <f>S183</f>
        <v>0</v>
      </c>
      <c r="T537" s="972" t="s">
        <v>364</v>
      </c>
      <c r="U537" s="1123">
        <f t="shared" si="129"/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864</v>
      </c>
      <c r="C538" s="1122">
        <f>C534</f>
        <v>0</v>
      </c>
      <c r="D538" s="1423"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26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27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8"/>
        <v>0</v>
      </c>
      <c r="R538" s="1123"/>
      <c r="S538" s="1128">
        <f>S184</f>
        <v>0</v>
      </c>
      <c r="T538" s="972" t="s">
        <v>364</v>
      </c>
      <c r="U538" s="1123">
        <f t="shared" si="129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>
      <c r="A539" s="316" t="s">
        <v>391</v>
      </c>
      <c r="B539" s="1"/>
      <c r="C539" s="304"/>
      <c r="D539" s="317">
        <v>-0.01</v>
      </c>
      <c r="E539" s="308"/>
      <c r="F539" s="2"/>
      <c r="G539" s="317">
        <v>-0.01</v>
      </c>
      <c r="H539" s="308"/>
      <c r="I539" s="2"/>
      <c r="J539" s="2"/>
      <c r="K539" s="317">
        <v>-0.01</v>
      </c>
      <c r="L539" s="308"/>
      <c r="M539" s="2"/>
      <c r="N539" s="2"/>
      <c r="O539" s="317">
        <v>-0.01</v>
      </c>
      <c r="P539" s="308"/>
      <c r="Q539" s="2"/>
      <c r="R539" s="2"/>
      <c r="S539" s="317">
        <v>-0.01</v>
      </c>
      <c r="T539" s="308"/>
      <c r="U539" s="2"/>
      <c r="V539" s="20"/>
      <c r="W539" s="74"/>
      <c r="X539" s="74"/>
      <c r="Y539" s="74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</row>
    <row r="540" spans="1:44">
      <c r="A540" s="1" t="s">
        <v>380</v>
      </c>
      <c r="B540" s="1"/>
      <c r="C540" s="304">
        <v>0</v>
      </c>
      <c r="D540" s="319">
        <v>117.12</v>
      </c>
      <c r="E540" s="306"/>
      <c r="F540" s="2">
        <f>-ROUND(D540*$C540/100,0)</f>
        <v>0</v>
      </c>
      <c r="G540" s="319">
        <f ca="1">G526</f>
        <v>119.88</v>
      </c>
      <c r="H540" s="306"/>
      <c r="I540" s="2">
        <f ca="1">-ROUND(G540*$C540/100,0)</f>
        <v>0</v>
      </c>
      <c r="J540" s="2"/>
      <c r="K540" s="319">
        <f ca="1">K526</f>
        <v>119.88</v>
      </c>
      <c r="L540" s="306"/>
      <c r="M540" s="2">
        <f ca="1">-ROUND(K540*$C540/100,0)</f>
        <v>0</v>
      </c>
      <c r="N540" s="2"/>
      <c r="O540" s="319" t="str">
        <f>O526</f>
        <v xml:space="preserve"> </v>
      </c>
      <c r="P540" s="306"/>
      <c r="Q540" s="2">
        <f>-ROUND(O540*$C540/100,0)</f>
        <v>0</v>
      </c>
      <c r="R540" s="2"/>
      <c r="S540" s="319" t="str">
        <f>S526</f>
        <v xml:space="preserve"> </v>
      </c>
      <c r="T540" s="306"/>
      <c r="U540" s="2">
        <f>-ROUND(S540*$C540/100,0)</f>
        <v>0</v>
      </c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>
      <c r="A541" s="1" t="s">
        <v>381</v>
      </c>
      <c r="B541" s="1"/>
      <c r="C541" s="304">
        <v>0</v>
      </c>
      <c r="D541" s="319">
        <v>174.48</v>
      </c>
      <c r="E541" s="306"/>
      <c r="F541" s="2">
        <f t="shared" ref="F541:F543" si="130">-ROUND(D541*$C541/100,0)</f>
        <v>0</v>
      </c>
      <c r="G541" s="319">
        <f ca="1">G527</f>
        <v>178.68</v>
      </c>
      <c r="H541" s="306"/>
      <c r="I541" s="2">
        <f ca="1">-ROUND(G541*$C541/100,0)</f>
        <v>0</v>
      </c>
      <c r="J541" s="2"/>
      <c r="K541" s="319">
        <f ca="1">K527</f>
        <v>178.68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>
      <c r="A542" s="1" t="s">
        <v>392</v>
      </c>
      <c r="B542" s="1"/>
      <c r="C542" s="304">
        <v>0</v>
      </c>
      <c r="D542" s="319">
        <v>12.24</v>
      </c>
      <c r="E542" s="306"/>
      <c r="F542" s="2">
        <f t="shared" si="130"/>
        <v>0</v>
      </c>
      <c r="G542" s="319">
        <f ca="1">G528</f>
        <v>12.48</v>
      </c>
      <c r="H542" s="306"/>
      <c r="I542" s="2">
        <f ca="1">-ROUND(G542*$C542/100,0)</f>
        <v>0</v>
      </c>
      <c r="J542" s="2"/>
      <c r="K542" s="319">
        <f ca="1">K528</f>
        <v>12.48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>
      <c r="A543" s="1" t="s">
        <v>393</v>
      </c>
      <c r="B543" s="1"/>
      <c r="C543" s="304">
        <v>0</v>
      </c>
      <c r="D543" s="319">
        <v>3.7</v>
      </c>
      <c r="E543" s="308"/>
      <c r="F543" s="2">
        <f t="shared" si="130"/>
        <v>0</v>
      </c>
      <c r="G543" s="319">
        <f ca="1">G531</f>
        <v>3.8</v>
      </c>
      <c r="H543" s="308"/>
      <c r="I543" s="2">
        <f ca="1">-ROUND(G543*$C543/100,0)</f>
        <v>0</v>
      </c>
      <c r="J543" s="2"/>
      <c r="K543" s="319" t="e">
        <f ca="1">K531</f>
        <v>#REF!</v>
      </c>
      <c r="L543" s="308"/>
      <c r="M543" s="2" t="e">
        <f ca="1">-ROUND(K543*$C543/100,0)</f>
        <v>#REF!</v>
      </c>
      <c r="N543" s="2"/>
      <c r="O543" s="319" t="e">
        <f ca="1">O531</f>
        <v>#DIV/0!</v>
      </c>
      <c r="P543" s="308"/>
      <c r="Q543" s="2" t="e">
        <f ca="1">-ROUND(O543*$C543/100,0)</f>
        <v>#DIV/0!</v>
      </c>
      <c r="R543" s="2"/>
      <c r="S543" s="319" t="e">
        <f ca="1">S531</f>
        <v>#DIV/0!</v>
      </c>
      <c r="T543" s="308"/>
      <c r="U543" s="2" t="e">
        <f ca="1">-ROUND(S543*$C543/100,0)</f>
        <v>#DIV/0!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>
      <c r="A544" s="1" t="s">
        <v>395</v>
      </c>
      <c r="B544" s="1"/>
      <c r="C544" s="304">
        <v>0</v>
      </c>
      <c r="D544" s="320">
        <v>10.628</v>
      </c>
      <c r="E544" s="308" t="s">
        <v>364</v>
      </c>
      <c r="F544" s="2">
        <f>ROUND(D544*$C544/100*D539,0)</f>
        <v>0</v>
      </c>
      <c r="G544" s="320">
        <f ca="1">G532</f>
        <v>10.878</v>
      </c>
      <c r="H544" s="308" t="s">
        <v>364</v>
      </c>
      <c r="I544" s="2">
        <f ca="1">ROUND(G544*$C544/100*G539,0)</f>
        <v>0</v>
      </c>
      <c r="J544" s="2"/>
      <c r="K544" s="320" t="e">
        <f ca="1">K532</f>
        <v>#REF!</v>
      </c>
      <c r="L544" s="308" t="s">
        <v>364</v>
      </c>
      <c r="M544" s="2" t="e">
        <f ca="1">ROUND(K544*$C544/100*K539,0)</f>
        <v>#REF!</v>
      </c>
      <c r="N544" s="2"/>
      <c r="O544" s="320" t="e">
        <f ca="1">O532</f>
        <v>#DIV/0!</v>
      </c>
      <c r="P544" s="308" t="s">
        <v>364</v>
      </c>
      <c r="Q544" s="2" t="e">
        <f ca="1">ROUND(O544*$C544/100*O539,0)</f>
        <v>#DIV/0!</v>
      </c>
      <c r="R544" s="2"/>
      <c r="S544" s="320" t="e">
        <f ca="1">S532</f>
        <v>#DIV/0!</v>
      </c>
      <c r="T544" s="308" t="s">
        <v>364</v>
      </c>
      <c r="U544" s="2" t="e">
        <f ca="1">ROUND(S544*$C544/100*S539,0)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>
      <c r="A545" s="1" t="s">
        <v>388</v>
      </c>
      <c r="B545" s="1"/>
      <c r="C545" s="304">
        <v>0</v>
      </c>
      <c r="D545" s="320">
        <v>7.3410000000000002</v>
      </c>
      <c r="E545" s="308" t="s">
        <v>364</v>
      </c>
      <c r="F545" s="2">
        <f>ROUND(D545*$C545/100*D539,0)</f>
        <v>0</v>
      </c>
      <c r="G545" s="320">
        <f ca="1">G533</f>
        <v>7.5140000000000002</v>
      </c>
      <c r="H545" s="308" t="s">
        <v>364</v>
      </c>
      <c r="I545" s="2">
        <f ca="1">ROUND(G545*$C545/100*G539,0)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ROUND(K545*$C545/100*K539,0)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ROUND(O545*$C545/100*O539,0)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ROUND(S545*$C545/100*S539,0)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>
      <c r="A546" s="1" t="s">
        <v>389</v>
      </c>
      <c r="B546" s="1"/>
      <c r="C546" s="304">
        <v>0</v>
      </c>
      <c r="D546" s="320">
        <v>6.3240000000000007</v>
      </c>
      <c r="E546" s="308" t="s">
        <v>364</v>
      </c>
      <c r="F546" s="2">
        <f>ROUND(D546*$C546/100*D539,0)</f>
        <v>0</v>
      </c>
      <c r="G546" s="320">
        <f ca="1">G534</f>
        <v>6.4720000000000004</v>
      </c>
      <c r="H546" s="308" t="s">
        <v>364</v>
      </c>
      <c r="I546" s="2">
        <f ca="1">ROUND(G546*$C546/100*G539,0)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ROUND(K546*$C546/100*K539,0)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ROUND(O546*$C546/100*O539,0)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ROUND(S546*$C546/100*S539,0)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>
      <c r="A547" s="1" t="s">
        <v>390</v>
      </c>
      <c r="B547" s="1"/>
      <c r="C547" s="304">
        <v>0</v>
      </c>
      <c r="D547" s="321">
        <v>57</v>
      </c>
      <c r="E547" s="308" t="s">
        <v>364</v>
      </c>
      <c r="F547" s="2">
        <f>ROUND(D547*$C547/100*D539,0)</f>
        <v>0</v>
      </c>
      <c r="G547" s="321">
        <f ca="1">G535</f>
        <v>58</v>
      </c>
      <c r="H547" s="308" t="s">
        <v>364</v>
      </c>
      <c r="I547" s="2">
        <f ca="1">ROUND(G547*$C547/100*G539,0)</f>
        <v>0</v>
      </c>
      <c r="J547" s="2"/>
      <c r="K547" s="321" t="str">
        <f>K535</f>
        <v xml:space="preserve"> </v>
      </c>
      <c r="L547" s="308" t="s">
        <v>364</v>
      </c>
      <c r="M547" s="2">
        <f>ROUND(K547*$C547/100*K539,0)</f>
        <v>0</v>
      </c>
      <c r="N547" s="2"/>
      <c r="O547" s="321" t="e">
        <f>O535</f>
        <v>#DIV/0!</v>
      </c>
      <c r="P547" s="308" t="s">
        <v>364</v>
      </c>
      <c r="Q547" s="2" t="e">
        <f>ROUND(O547*$C547/100*O539,0)</f>
        <v>#DIV/0!</v>
      </c>
      <c r="R547" s="2"/>
      <c r="S547" s="321" t="e">
        <f>S535</f>
        <v>#DIV/0!</v>
      </c>
      <c r="T547" s="308" t="s">
        <v>364</v>
      </c>
      <c r="U547" s="2" t="e">
        <f>ROUND(S547*$C547/100*S539,0)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>
      <c r="A548" s="1" t="s">
        <v>397</v>
      </c>
      <c r="B548" s="1"/>
      <c r="C548" s="304">
        <v>0</v>
      </c>
      <c r="D548" s="322">
        <v>60</v>
      </c>
      <c r="E548" s="308"/>
      <c r="F548" s="2">
        <f>ROUND(D548*C548,0)</f>
        <v>0</v>
      </c>
      <c r="G548" s="322">
        <f>$G$197</f>
        <v>60</v>
      </c>
      <c r="H548" s="308"/>
      <c r="I548" s="2">
        <f>ROUND(G548*$C548,0)</f>
        <v>0</v>
      </c>
      <c r="J548" s="2"/>
      <c r="K548" s="322">
        <v>0</v>
      </c>
      <c r="L548" s="308"/>
      <c r="M548" s="2">
        <f>ROUND(K548*$C548,0)</f>
        <v>0</v>
      </c>
      <c r="N548" s="2"/>
      <c r="O548" s="322" t="e">
        <f>O197</f>
        <v>#DIV/0!</v>
      </c>
      <c r="P548" s="308"/>
      <c r="Q548" s="2" t="e">
        <f>ROUND(O548*$C548,0)</f>
        <v>#DIV/0!</v>
      </c>
      <c r="R548" s="2"/>
      <c r="S548" s="322" t="e">
        <f>S197</f>
        <v>#DIV/0!</v>
      </c>
      <c r="T548" s="308"/>
      <c r="U548" s="2" t="e">
        <f>ROUND(S548*$C548,0)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>
      <c r="A549" s="1" t="s">
        <v>398</v>
      </c>
      <c r="B549" s="1"/>
      <c r="C549" s="304">
        <v>0</v>
      </c>
      <c r="D549" s="324">
        <v>-30</v>
      </c>
      <c r="E549" s="308" t="s">
        <v>364</v>
      </c>
      <c r="F549" s="2">
        <f>ROUND(D549*C549/100,0)</f>
        <v>0</v>
      </c>
      <c r="G549" s="324">
        <f>$G$198</f>
        <v>-30</v>
      </c>
      <c r="H549" s="308" t="s">
        <v>364</v>
      </c>
      <c r="I549" s="2">
        <f>ROUND(G549*$C549/100,0)</f>
        <v>0</v>
      </c>
      <c r="J549" s="2"/>
      <c r="K549" s="324">
        <f>$G$198</f>
        <v>-30</v>
      </c>
      <c r="L549" s="308" t="s">
        <v>364</v>
      </c>
      <c r="M549" s="2">
        <f>ROUND(K549*$C549/100,0)</f>
        <v>0</v>
      </c>
      <c r="N549" s="2"/>
      <c r="O549" s="324">
        <v>0</v>
      </c>
      <c r="P549" s="308" t="s">
        <v>364</v>
      </c>
      <c r="Q549" s="2">
        <f>ROUND(O549*$C549/100,0)</f>
        <v>0</v>
      </c>
      <c r="R549" s="2"/>
      <c r="S549" s="324">
        <v>0</v>
      </c>
      <c r="T549" s="308" t="s">
        <v>364</v>
      </c>
      <c r="U549" s="2">
        <f>ROUND(S549*$C549/100,0)</f>
        <v>0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s="1118" customFormat="1" hidden="1">
      <c r="A550" s="968" t="s">
        <v>862</v>
      </c>
      <c r="C550" s="1122">
        <f>C544</f>
        <v>0</v>
      </c>
      <c r="D550" s="1423">
        <v>0</v>
      </c>
      <c r="E550" s="1119"/>
      <c r="F550" s="1123"/>
      <c r="G550" s="1128">
        <f>G182</f>
        <v>0</v>
      </c>
      <c r="H550" s="972" t="s">
        <v>364</v>
      </c>
      <c r="I550" s="2">
        <f>ROUND(G550*$C550/100*G539,0)</f>
        <v>0</v>
      </c>
      <c r="J550" s="2"/>
      <c r="K550" s="1128" t="str">
        <f>K182</f>
        <v xml:space="preserve"> </v>
      </c>
      <c r="L550" s="972" t="s">
        <v>364</v>
      </c>
      <c r="M550" s="2">
        <f>ROUND(K550*$C550/100*K539,0)</f>
        <v>0</v>
      </c>
      <c r="N550" s="2"/>
      <c r="O550" s="1128" t="str">
        <f>O182</f>
        <v xml:space="preserve"> </v>
      </c>
      <c r="P550" s="972" t="s">
        <v>364</v>
      </c>
      <c r="Q550" s="2">
        <f>ROUND(O550*$C550/100*O539,0)</f>
        <v>0</v>
      </c>
      <c r="R550" s="2"/>
      <c r="S550" s="1128">
        <f>S182</f>
        <v>0</v>
      </c>
      <c r="T550" s="972" t="s">
        <v>364</v>
      </c>
      <c r="U550" s="2">
        <f>ROUND(S550*$C550/100*S539,0)</f>
        <v>0</v>
      </c>
      <c r="W550" s="784"/>
      <c r="Z550" s="1125"/>
      <c r="AA550" s="1125"/>
      <c r="AF550" s="1119"/>
      <c r="AG550" s="1119"/>
      <c r="AH550" s="1119"/>
      <c r="AI550" s="1119"/>
      <c r="AJ550" s="1119"/>
      <c r="AK550" s="1119"/>
      <c r="AL550" s="1119"/>
      <c r="AM550" s="1119"/>
      <c r="AN550" s="1119"/>
      <c r="AO550" s="1119"/>
      <c r="AP550" s="1119"/>
      <c r="AR550" s="1124"/>
    </row>
    <row r="551" spans="1:44" s="1118" customFormat="1" hidden="1">
      <c r="A551" s="968" t="s">
        <v>863</v>
      </c>
      <c r="C551" s="1122">
        <f>C545</f>
        <v>0</v>
      </c>
      <c r="D551" s="1423"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ROUND(G551*$C551/100*G539,0)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ROUND(K551*$C551/100*K539,0)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ROUND(O551*$C551/100*O539,0)</f>
        <v>0</v>
      </c>
      <c r="R551" s="2"/>
      <c r="S551" s="1128">
        <f>S183</f>
        <v>0</v>
      </c>
      <c r="T551" s="972" t="s">
        <v>364</v>
      </c>
      <c r="U551" s="2">
        <f>ROUND(S551*$C551/100*S539,0)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864</v>
      </c>
      <c r="C552" s="1122">
        <f>C546</f>
        <v>0</v>
      </c>
      <c r="D552" s="1423"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ROUND(G552*$C552/100*G539,0)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ROUND(K552*$C552/100*K539,0)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ROUND(O552*$C552/100*O539,0)</f>
        <v>0</v>
      </c>
      <c r="R552" s="2"/>
      <c r="S552" s="1128">
        <f>S184</f>
        <v>0</v>
      </c>
      <c r="T552" s="972" t="s">
        <v>364</v>
      </c>
      <c r="U552" s="2">
        <f>ROUND(S552*$C552/100*S539,0)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>
      <c r="A553" s="1" t="s">
        <v>371</v>
      </c>
      <c r="B553" s="1"/>
      <c r="C553" s="304">
        <f>SUM(C532:C534)</f>
        <v>5786</v>
      </c>
      <c r="D553" s="315"/>
      <c r="E553" s="308"/>
      <c r="F553" s="2">
        <f>SUM(F526:F549)</f>
        <v>2110</v>
      </c>
      <c r="G553" s="315"/>
      <c r="H553" s="308"/>
      <c r="I553" s="2">
        <f ca="1">SUM(I526:I552)</f>
        <v>2161</v>
      </c>
      <c r="J553" s="2"/>
      <c r="K553" s="315"/>
      <c r="L553" s="308"/>
      <c r="M553" s="2" t="e">
        <f ca="1">SUM(M526:M552)</f>
        <v>#REF!</v>
      </c>
      <c r="N553" s="2"/>
      <c r="O553" s="315"/>
      <c r="P553" s="308"/>
      <c r="Q553" s="2" t="e">
        <f ca="1">SUM(Q526:Q552)</f>
        <v>#DIV/0!</v>
      </c>
      <c r="R553" s="2"/>
      <c r="S553" s="315"/>
      <c r="T553" s="308"/>
      <c r="U553" s="2" t="e">
        <f ca="1">SUM(U526:U552)</f>
        <v>#DIV/0!</v>
      </c>
      <c r="V553" s="20"/>
      <c r="W553" s="74"/>
      <c r="X553" s="74"/>
      <c r="Y553" s="74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</row>
    <row r="554" spans="1:44">
      <c r="A554" s="1" t="s">
        <v>353</v>
      </c>
      <c r="B554" s="1"/>
      <c r="C554" s="334">
        <f ca="1">'Table 2'!H73</f>
        <v>17.989857077409003</v>
      </c>
      <c r="D554" s="294"/>
      <c r="E554" s="294"/>
      <c r="F554" s="326">
        <f ca="1">'Table 3'!E73</f>
        <v>6.4701450675839931</v>
      </c>
      <c r="G554" s="294"/>
      <c r="H554" s="294"/>
      <c r="I554" s="326">
        <f ca="1">F554</f>
        <v>6.4701450675839931</v>
      </c>
      <c r="J554" s="307"/>
      <c r="K554" s="294"/>
      <c r="L554" s="294"/>
      <c r="M554" s="326" t="e">
        <f ca="1">$I$554*V207/($V$207+$W$207+$X$207)</f>
        <v>#DIV/0!</v>
      </c>
      <c r="N554" s="51"/>
      <c r="O554" s="294"/>
      <c r="P554" s="294"/>
      <c r="Q554" s="326" t="e">
        <f ca="1">$I$554*W207/($V$207+$W$207+$X$207)</f>
        <v>#DIV/0!</v>
      </c>
      <c r="R554" s="51"/>
      <c r="S554" s="294"/>
      <c r="T554" s="294"/>
      <c r="U554" s="326" t="e">
        <f ca="1">$I$554*X207/($V$207+$W$207+$X$207)</f>
        <v>#DIV/0!</v>
      </c>
      <c r="V554" s="429"/>
      <c r="W554" s="272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t="16.5" thickBot="1">
      <c r="A555" s="1" t="s">
        <v>372</v>
      </c>
      <c r="B555" s="1"/>
      <c r="C555" s="296">
        <f ca="1">SUM(C553:C554)</f>
        <v>5803.9898570774094</v>
      </c>
      <c r="D555" s="327"/>
      <c r="E555" s="330"/>
      <c r="F555" s="329">
        <f ca="1">F553+F554</f>
        <v>2116.4701450675839</v>
      </c>
      <c r="G555" s="327"/>
      <c r="H555" s="330"/>
      <c r="I555" s="329">
        <f ca="1">I553+I554</f>
        <v>2167.4701450675839</v>
      </c>
      <c r="J555" s="307"/>
      <c r="K555" s="327"/>
      <c r="L555" s="330"/>
      <c r="M555" s="329" t="e">
        <f ca="1">M553+M554</f>
        <v>#REF!</v>
      </c>
      <c r="N555" s="329"/>
      <c r="O555" s="327"/>
      <c r="P555" s="330"/>
      <c r="Q555" s="329" t="e">
        <f ca="1">Q553+Q554</f>
        <v>#DIV/0!</v>
      </c>
      <c r="R555" s="329"/>
      <c r="S555" s="327"/>
      <c r="T555" s="330"/>
      <c r="U555" s="329" t="e">
        <f ca="1">U553+U554</f>
        <v>#DIV/0!</v>
      </c>
      <c r="V555" s="396"/>
      <c r="W555" s="455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thickTop="1">
      <c r="A556" s="1"/>
      <c r="B556" s="1"/>
      <c r="C556" s="21"/>
      <c r="D556" s="322" t="s">
        <v>31</v>
      </c>
      <c r="E556" s="1"/>
      <c r="F556" s="2"/>
      <c r="G556" s="338" t="s">
        <v>31</v>
      </c>
      <c r="H556" s="1"/>
      <c r="I556" s="2" t="s">
        <v>31</v>
      </c>
      <c r="J556" s="2"/>
      <c r="K556" s="338" t="s">
        <v>31</v>
      </c>
      <c r="L556" s="1"/>
      <c r="M556" s="2" t="s">
        <v>31</v>
      </c>
      <c r="N556" s="2"/>
      <c r="O556" s="338" t="s">
        <v>31</v>
      </c>
      <c r="P556" s="1"/>
      <c r="Q556" s="2" t="s">
        <v>31</v>
      </c>
      <c r="R556" s="2"/>
      <c r="S556" s="338" t="s">
        <v>31</v>
      </c>
      <c r="T556" s="1"/>
      <c r="U556" s="2" t="s">
        <v>31</v>
      </c>
      <c r="V556" s="20"/>
      <c r="W556" s="74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>
      <c r="A557" s="278" t="s">
        <v>410</v>
      </c>
      <c r="B557" s="1"/>
      <c r="C557" s="339"/>
      <c r="D557" s="2"/>
      <c r="E557" s="1"/>
      <c r="F557" s="1"/>
      <c r="G557" s="2"/>
      <c r="H557" s="1"/>
      <c r="I557" s="2" t="s">
        <v>31</v>
      </c>
      <c r="J557" s="2"/>
      <c r="K557" s="2"/>
      <c r="L557" s="1"/>
      <c r="M557" s="2" t="s">
        <v>31</v>
      </c>
      <c r="N557" s="2"/>
      <c r="O557" s="2"/>
      <c r="P557" s="1"/>
      <c r="Q557" s="2" t="s">
        <v>31</v>
      </c>
      <c r="R557" s="2"/>
      <c r="S557" s="2"/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308" t="s">
        <v>325</v>
      </c>
      <c r="B558" s="1"/>
      <c r="C558" s="1" t="s">
        <v>31</v>
      </c>
      <c r="D558" s="2"/>
      <c r="E558" s="1"/>
      <c r="F558" s="1"/>
      <c r="G558" s="2"/>
      <c r="H558" s="1"/>
      <c r="I558" s="1"/>
      <c r="J558" s="1"/>
      <c r="K558" s="2"/>
      <c r="L558" s="1"/>
      <c r="M558" s="1"/>
      <c r="N558" s="1"/>
      <c r="O558" s="2"/>
      <c r="P558" s="1"/>
      <c r="Q558" s="1"/>
      <c r="R558" s="1"/>
      <c r="S558" s="2"/>
      <c r="T558" s="1"/>
      <c r="U558" s="1"/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/>
      <c r="B559" s="1"/>
      <c r="C559" s="1"/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 t="s">
        <v>383</v>
      </c>
      <c r="B560" s="1"/>
      <c r="C560" s="304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411</v>
      </c>
      <c r="B561" s="1"/>
      <c r="C561" s="304">
        <v>0</v>
      </c>
      <c r="D561" s="340">
        <v>264</v>
      </c>
      <c r="E561" s="308"/>
      <c r="F561" s="306">
        <f>ROUND(D561*$C561,0)</f>
        <v>0</v>
      </c>
      <c r="G561" s="340">
        <f ca="1">G602</f>
        <v>268</v>
      </c>
      <c r="H561" s="308"/>
      <c r="I561" s="306">
        <f ca="1">ROUND(G561*$C561,0)</f>
        <v>0</v>
      </c>
      <c r="J561" s="306"/>
      <c r="K561" s="340">
        <f ca="1">K602</f>
        <v>268</v>
      </c>
      <c r="L561" s="308"/>
      <c r="M561" s="306">
        <f ca="1">ROUND(K561*$C561,0)</f>
        <v>0</v>
      </c>
      <c r="N561" s="306"/>
      <c r="O561" s="340" t="str">
        <f>O602</f>
        <v xml:space="preserve"> </v>
      </c>
      <c r="P561" s="308"/>
      <c r="Q561" s="306">
        <f>ROUND(O561*$C561,0)</f>
        <v>0</v>
      </c>
      <c r="R561" s="306"/>
      <c r="S561" s="340" t="str">
        <f>S602</f>
        <v xml:space="preserve"> </v>
      </c>
      <c r="T561" s="308"/>
      <c r="U561" s="306">
        <f>ROUND(S561*$C561,0)</f>
        <v>0</v>
      </c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412</v>
      </c>
      <c r="B562" s="1"/>
      <c r="C562" s="304">
        <v>0</v>
      </c>
      <c r="D562" s="340">
        <v>98</v>
      </c>
      <c r="E562" s="308"/>
      <c r="F562" s="306">
        <f t="shared" ref="F562:F568" si="131">ROUND(D562*$C562,0)</f>
        <v>0</v>
      </c>
      <c r="G562" s="340">
        <f t="shared" ref="G562:G566" ca="1" si="132">G603</f>
        <v>100</v>
      </c>
      <c r="H562" s="308"/>
      <c r="I562" s="306">
        <f ca="1">ROUND(G562*$C562,0)</f>
        <v>0</v>
      </c>
      <c r="J562" s="306"/>
      <c r="K562" s="340">
        <f t="shared" ref="K562:K568" ca="1" si="133">K603</f>
        <v>100</v>
      </c>
      <c r="L562" s="308"/>
      <c r="M562" s="306">
        <f ca="1">ROUND(K562*$C562,0)</f>
        <v>0</v>
      </c>
      <c r="N562" s="306"/>
      <c r="O562" s="340" t="str">
        <f t="shared" ref="O562:O568" si="134">O603</f>
        <v xml:space="preserve"> </v>
      </c>
      <c r="P562" s="308"/>
      <c r="Q562" s="306">
        <f>ROUND(O562*$C562,0)</f>
        <v>0</v>
      </c>
      <c r="R562" s="306"/>
      <c r="S562" s="340" t="str">
        <f t="shared" ref="S562:S568" si="135">S603</f>
        <v xml:space="preserve"> </v>
      </c>
      <c r="T562" s="308"/>
      <c r="U562" s="306">
        <f>ROUND(S562*$C562,0)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413</v>
      </c>
      <c r="B563" s="1"/>
      <c r="C563" s="304">
        <v>0</v>
      </c>
      <c r="D563" s="340">
        <v>195</v>
      </c>
      <c r="E563" s="310"/>
      <c r="F563" s="306">
        <f t="shared" si="131"/>
        <v>0</v>
      </c>
      <c r="G563" s="340">
        <f t="shared" ca="1" si="132"/>
        <v>200</v>
      </c>
      <c r="H563" s="310"/>
      <c r="I563" s="306">
        <f ca="1">ROUND(G563*$C563,0)</f>
        <v>0</v>
      </c>
      <c r="J563" s="306"/>
      <c r="K563" s="340">
        <f t="shared" ca="1" si="133"/>
        <v>200</v>
      </c>
      <c r="L563" s="310"/>
      <c r="M563" s="306">
        <f ca="1">ROUND(K563*$C563,0)</f>
        <v>0</v>
      </c>
      <c r="N563" s="306"/>
      <c r="O563" s="340" t="str">
        <f t="shared" si="134"/>
        <v xml:space="preserve"> </v>
      </c>
      <c r="P563" s="310"/>
      <c r="Q563" s="306">
        <f>ROUND(O563*$C563,0)</f>
        <v>0</v>
      </c>
      <c r="R563" s="306"/>
      <c r="S563" s="340" t="str">
        <f t="shared" si="135"/>
        <v xml:space="preserve"> </v>
      </c>
      <c r="T563" s="310"/>
      <c r="U563" s="306">
        <f>ROUND(S563*$C563,0)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384</v>
      </c>
      <c r="B564" s="1"/>
      <c r="C564" s="304">
        <f>SUM(C561:C563)</f>
        <v>0</v>
      </c>
      <c r="D564" s="340"/>
      <c r="E564" s="308"/>
      <c r="F564" s="306"/>
      <c r="G564" s="340"/>
      <c r="H564" s="308"/>
      <c r="I564" s="306"/>
      <c r="J564" s="306"/>
      <c r="K564" s="340"/>
      <c r="L564" s="308"/>
      <c r="M564" s="306"/>
      <c r="N564" s="306"/>
      <c r="O564" s="340"/>
      <c r="P564" s="308"/>
      <c r="Q564" s="306"/>
      <c r="R564" s="306"/>
      <c r="S564" s="340"/>
      <c r="T564" s="308"/>
      <c r="U564" s="306"/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412</v>
      </c>
      <c r="B565" s="1"/>
      <c r="C565" s="304">
        <v>0</v>
      </c>
      <c r="D565" s="340">
        <v>1.79</v>
      </c>
      <c r="E565" s="308" t="s">
        <v>31</v>
      </c>
      <c r="F565" s="306">
        <f t="shared" si="131"/>
        <v>0</v>
      </c>
      <c r="G565" s="340">
        <f t="shared" ca="1" si="132"/>
        <v>1.83</v>
      </c>
      <c r="H565" s="308" t="s">
        <v>31</v>
      </c>
      <c r="I565" s="306">
        <f ca="1">ROUND(G565*$C565,0)</f>
        <v>0</v>
      </c>
      <c r="J565" s="306"/>
      <c r="K565" s="340">
        <f t="shared" ca="1" si="133"/>
        <v>1.83</v>
      </c>
      <c r="L565" s="308" t="s">
        <v>31</v>
      </c>
      <c r="M565" s="306">
        <f ca="1">ROUND(K565*$C565,0)</f>
        <v>0</v>
      </c>
      <c r="N565" s="306"/>
      <c r="O565" s="340" t="str">
        <f t="shared" si="134"/>
        <v xml:space="preserve"> </v>
      </c>
      <c r="P565" s="308" t="s">
        <v>31</v>
      </c>
      <c r="Q565" s="306">
        <f>ROUND(O565*$C565,0)</f>
        <v>0</v>
      </c>
      <c r="R565" s="306"/>
      <c r="S565" s="340" t="str">
        <f t="shared" si="135"/>
        <v xml:space="preserve"> </v>
      </c>
      <c r="T565" s="308" t="s">
        <v>31</v>
      </c>
      <c r="U565" s="306">
        <f>ROUND(S565*$C565,0)</f>
        <v>0</v>
      </c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413</v>
      </c>
      <c r="B566" s="1"/>
      <c r="C566" s="304">
        <v>0</v>
      </c>
      <c r="D566" s="340">
        <v>1.46</v>
      </c>
      <c r="E566" s="308" t="s">
        <v>31</v>
      </c>
      <c r="F566" s="306">
        <f t="shared" si="131"/>
        <v>0</v>
      </c>
      <c r="G566" s="340">
        <f t="shared" ca="1" si="132"/>
        <v>1.5</v>
      </c>
      <c r="H566" s="308" t="s">
        <v>31</v>
      </c>
      <c r="I566" s="306">
        <f ca="1">ROUND(G566*$C566,0)</f>
        <v>0</v>
      </c>
      <c r="J566" s="306"/>
      <c r="K566" s="340">
        <f t="shared" ca="1" si="133"/>
        <v>1.5</v>
      </c>
      <c r="L566" s="308" t="s">
        <v>31</v>
      </c>
      <c r="M566" s="306">
        <f ca="1">ROUND(K566*$C566,0)</f>
        <v>0</v>
      </c>
      <c r="N566" s="306"/>
      <c r="O566" s="340" t="str">
        <f t="shared" si="134"/>
        <v xml:space="preserve"> </v>
      </c>
      <c r="P566" s="308" t="s">
        <v>31</v>
      </c>
      <c r="Q566" s="306">
        <f>ROUND(O566*$C566,0)</f>
        <v>0</v>
      </c>
      <c r="R566" s="306"/>
      <c r="S566" s="340" t="str">
        <f t="shared" si="135"/>
        <v xml:space="preserve"> </v>
      </c>
      <c r="T566" s="308" t="s">
        <v>31</v>
      </c>
      <c r="U566" s="306">
        <f>ROUND(S566*$C566,0)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294" t="s">
        <v>414</v>
      </c>
      <c r="B567" s="1"/>
      <c r="C567" s="304"/>
      <c r="D567" s="340"/>
      <c r="E567" s="308"/>
      <c r="F567" s="306"/>
      <c r="G567" s="340"/>
      <c r="H567" s="308"/>
      <c r="I567" s="306"/>
      <c r="J567" s="306"/>
      <c r="K567" s="340"/>
      <c r="L567" s="308"/>
      <c r="M567" s="306"/>
      <c r="N567" s="306"/>
      <c r="O567" s="340"/>
      <c r="P567" s="308"/>
      <c r="Q567" s="306"/>
      <c r="R567" s="306"/>
      <c r="S567" s="340"/>
      <c r="T567" s="308"/>
      <c r="U567" s="306"/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415</v>
      </c>
      <c r="B568" s="1"/>
      <c r="C568" s="304">
        <v>0</v>
      </c>
      <c r="D568" s="340">
        <v>5.47</v>
      </c>
      <c r="E568" s="308"/>
      <c r="F568" s="306">
        <f t="shared" si="131"/>
        <v>0</v>
      </c>
      <c r="G568" s="340">
        <f ca="1">G609</f>
        <v>5.6</v>
      </c>
      <c r="H568" s="308"/>
      <c r="I568" s="306">
        <f ca="1">ROUND(G568*$C568,0)</f>
        <v>0</v>
      </c>
      <c r="J568" s="306"/>
      <c r="K568" s="340" t="e">
        <f t="shared" ca="1" si="133"/>
        <v>#REF!</v>
      </c>
      <c r="L568" s="308"/>
      <c r="M568" s="306" t="e">
        <f ca="1">ROUND(K568*$C568,0)</f>
        <v>#REF!</v>
      </c>
      <c r="N568" s="306"/>
      <c r="O568" s="340">
        <f t="shared" si="134"/>
        <v>0</v>
      </c>
      <c r="P568" s="308"/>
      <c r="Q568" s="306">
        <f>ROUND(O568*$C568,0)</f>
        <v>0</v>
      </c>
      <c r="R568" s="306"/>
      <c r="S568" s="340">
        <f t="shared" si="135"/>
        <v>0</v>
      </c>
      <c r="T568" s="308"/>
      <c r="U568" s="306">
        <f>ROUND(S568*$C568,0)</f>
        <v>0</v>
      </c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308" t="s">
        <v>416</v>
      </c>
      <c r="B569" s="1"/>
      <c r="C569" s="304"/>
      <c r="D569" s="341"/>
      <c r="E569" s="306"/>
      <c r="F569" s="306"/>
      <c r="G569" s="341"/>
      <c r="H569" s="306"/>
      <c r="I569" s="306"/>
      <c r="J569" s="306"/>
      <c r="K569" s="341"/>
      <c r="L569" s="306"/>
      <c r="M569" s="306"/>
      <c r="N569" s="306"/>
      <c r="O569" s="341"/>
      <c r="P569" s="306"/>
      <c r="Q569" s="306"/>
      <c r="R569" s="306"/>
      <c r="S569" s="341"/>
      <c r="T569" s="306"/>
      <c r="U569" s="306"/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417</v>
      </c>
      <c r="B570" s="1"/>
      <c r="C570" s="304">
        <v>0</v>
      </c>
      <c r="D570" s="320">
        <v>5.7730000000000006</v>
      </c>
      <c r="E570" s="306" t="s">
        <v>364</v>
      </c>
      <c r="F570" s="306">
        <f>ROUND($C570*D570/100,0)</f>
        <v>0</v>
      </c>
      <c r="G570" s="320">
        <f ca="1">G612</f>
        <v>5.9119999999999999</v>
      </c>
      <c r="H570" s="306" t="s">
        <v>364</v>
      </c>
      <c r="I570" s="306">
        <f ca="1">ROUND($C570*G570/100,0)</f>
        <v>0</v>
      </c>
      <c r="J570" s="306"/>
      <c r="K570" s="320" t="str">
        <f>K612</f>
        <v xml:space="preserve"> </v>
      </c>
      <c r="L570" s="306" t="s">
        <v>364</v>
      </c>
      <c r="M570" s="306">
        <f>ROUND($C570*K570/100,0)</f>
        <v>0</v>
      </c>
      <c r="N570" s="306"/>
      <c r="O570" s="320" t="e">
        <f ca="1">O612</f>
        <v>#REF!</v>
      </c>
      <c r="P570" s="306" t="s">
        <v>364</v>
      </c>
      <c r="Q570" s="306" t="e">
        <f ca="1">ROUND($C570*O570/100,0)</f>
        <v>#REF!</v>
      </c>
      <c r="R570" s="306"/>
      <c r="S570" s="320" t="e">
        <f ca="1">S612</f>
        <v>#REF!</v>
      </c>
      <c r="T570" s="306" t="s">
        <v>364</v>
      </c>
      <c r="U570" s="306" t="e">
        <f ca="1">ROUND($C570*S570/100,0)</f>
        <v>#REF!</v>
      </c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389</v>
      </c>
      <c r="B571" s="1"/>
      <c r="C571" s="304">
        <v>0</v>
      </c>
      <c r="D571" s="320">
        <v>5.2879999999999994</v>
      </c>
      <c r="E571" s="306" t="s">
        <v>364</v>
      </c>
      <c r="F571" s="306">
        <f>ROUND($C571*D571/100,0)</f>
        <v>0</v>
      </c>
      <c r="G571" s="320">
        <f ca="1">G613</f>
        <v>5.41</v>
      </c>
      <c r="H571" s="306" t="s">
        <v>364</v>
      </c>
      <c r="I571" s="306">
        <f ca="1">ROUND($C571*G571/100,0)</f>
        <v>0</v>
      </c>
      <c r="J571" s="306"/>
      <c r="K571" s="320" t="str">
        <f>K613</f>
        <v xml:space="preserve"> </v>
      </c>
      <c r="L571" s="306" t="s">
        <v>364</v>
      </c>
      <c r="M571" s="306">
        <f>ROUND($C571*K571/100,0)</f>
        <v>0</v>
      </c>
      <c r="N571" s="306"/>
      <c r="O571" s="320" t="e">
        <f ca="1">O613</f>
        <v>#REF!</v>
      </c>
      <c r="P571" s="306" t="s">
        <v>364</v>
      </c>
      <c r="Q571" s="306" t="e">
        <f ca="1">ROUND($C571*O571/100,0)</f>
        <v>#REF!</v>
      </c>
      <c r="R571" s="306"/>
      <c r="S571" s="320" t="e">
        <f ca="1">S613</f>
        <v>#REF!</v>
      </c>
      <c r="T571" s="306" t="s">
        <v>364</v>
      </c>
      <c r="U571" s="306" t="e">
        <f ca="1">ROUND($C571*S571/100,0)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390</v>
      </c>
      <c r="B572" s="1"/>
      <c r="C572" s="304">
        <v>0</v>
      </c>
      <c r="D572" s="347">
        <v>57</v>
      </c>
      <c r="E572" s="306" t="s">
        <v>364</v>
      </c>
      <c r="F572" s="306">
        <f>ROUND(D572*$C572/100,0)</f>
        <v>0</v>
      </c>
      <c r="G572" s="347">
        <f ca="1">G614</f>
        <v>58</v>
      </c>
      <c r="H572" s="306" t="s">
        <v>364</v>
      </c>
      <c r="I572" s="306">
        <f ca="1">ROUND(G572*$C572,0)</f>
        <v>0</v>
      </c>
      <c r="J572" s="306"/>
      <c r="K572" s="347" t="str">
        <f>K614</f>
        <v xml:space="preserve"> </v>
      </c>
      <c r="L572" s="306" t="s">
        <v>364</v>
      </c>
      <c r="M572" s="306">
        <f>ROUND(K572*$C572,0)</f>
        <v>0</v>
      </c>
      <c r="N572" s="306"/>
      <c r="O572" s="347" t="e">
        <f ca="1">O614</f>
        <v>#DIV/0!</v>
      </c>
      <c r="P572" s="306" t="s">
        <v>364</v>
      </c>
      <c r="Q572" s="306" t="e">
        <f ca="1">ROUND(O572*$C572,0)</f>
        <v>#DIV/0!</v>
      </c>
      <c r="R572" s="306"/>
      <c r="S572" s="347" t="e">
        <f ca="1">S614</f>
        <v>#DIV/0!</v>
      </c>
      <c r="T572" s="306" t="s">
        <v>364</v>
      </c>
      <c r="U572" s="306" t="e">
        <f ca="1">ROUND(S572*$C572,0)</f>
        <v>#DIV/0!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418</v>
      </c>
      <c r="B573" s="1"/>
      <c r="C573" s="304">
        <v>0</v>
      </c>
      <c r="D573" s="589">
        <v>0.06</v>
      </c>
      <c r="E573" s="306" t="s">
        <v>364</v>
      </c>
      <c r="F573" s="306">
        <f>ROUND($C573*D573/100,0)</f>
        <v>0</v>
      </c>
      <c r="G573" s="589">
        <v>0.06</v>
      </c>
      <c r="H573" s="306" t="s">
        <v>364</v>
      </c>
      <c r="I573" s="306">
        <f>ROUND($C573*G573/100,0)</f>
        <v>0</v>
      </c>
      <c r="J573" s="306"/>
      <c r="K573" s="589" t="str">
        <f>K614</f>
        <v xml:space="preserve"> </v>
      </c>
      <c r="L573" s="306" t="s">
        <v>364</v>
      </c>
      <c r="M573" s="306">
        <f>ROUND($C573*K573/100,0)</f>
        <v>0</v>
      </c>
      <c r="N573" s="306"/>
      <c r="O573" s="589" t="e">
        <f ca="1">O572/G572*G573</f>
        <v>#DIV/0!</v>
      </c>
      <c r="P573" s="306" t="s">
        <v>364</v>
      </c>
      <c r="Q573" s="306" t="e">
        <f ca="1">ROUND($C573*O573/100,0)</f>
        <v>#DIV/0!</v>
      </c>
      <c r="R573" s="306"/>
      <c r="S573" s="589" t="e">
        <f ca="1">S572/G572*G573</f>
        <v>#DIV/0!</v>
      </c>
      <c r="T573" s="306" t="s">
        <v>364</v>
      </c>
      <c r="U573" s="306" t="e">
        <f ca="1">ROUND($C573*S573/100,0)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 s="1118" customFormat="1" hidden="1">
      <c r="A574" s="968" t="s">
        <v>882</v>
      </c>
      <c r="C574" s="1122">
        <f>C570+C571</f>
        <v>0</v>
      </c>
      <c r="D574" s="1423">
        <v>0</v>
      </c>
      <c r="E574" s="1119"/>
      <c r="F574" s="1123"/>
      <c r="G574" s="1128">
        <f>G615</f>
        <v>0</v>
      </c>
      <c r="H574" s="1000" t="s">
        <v>364</v>
      </c>
      <c r="I574" s="1000">
        <f t="shared" ref="I574:I575" si="136">ROUND($C574*G574/100,0)</f>
        <v>0</v>
      </c>
      <c r="J574" s="1000"/>
      <c r="K574" s="1128" t="str">
        <f>K615</f>
        <v xml:space="preserve"> </v>
      </c>
      <c r="L574" s="1000" t="s">
        <v>364</v>
      </c>
      <c r="M574" s="1000">
        <f t="shared" ref="M574:M575" si="137">ROUND($C574*K574/100,0)</f>
        <v>0</v>
      </c>
      <c r="N574" s="1000"/>
      <c r="O574" s="1128" t="s">
        <v>31</v>
      </c>
      <c r="P574" s="1000" t="s">
        <v>364</v>
      </c>
      <c r="Q574" s="1000">
        <f t="shared" ref="Q574:Q575" si="138">ROUND($C574*O574/100,0)</f>
        <v>0</v>
      </c>
      <c r="R574" s="1000"/>
      <c r="S574" s="1128">
        <f>S615</f>
        <v>0</v>
      </c>
      <c r="T574" s="1000" t="s">
        <v>364</v>
      </c>
      <c r="U574" s="1000">
        <f t="shared" ref="U574:U575" si="139">ROUND($C574*S574/100,0)</f>
        <v>0</v>
      </c>
      <c r="W574" s="784"/>
      <c r="Z574" s="1125"/>
      <c r="AA574" s="1125"/>
      <c r="AF574" s="1119"/>
      <c r="AG574" s="1119"/>
      <c r="AH574" s="1119"/>
      <c r="AI574" s="1119"/>
      <c r="AJ574" s="1119"/>
      <c r="AK574" s="1119"/>
      <c r="AL574" s="1119"/>
      <c r="AM574" s="1119"/>
      <c r="AN574" s="1119"/>
      <c r="AO574" s="1119"/>
      <c r="AP574" s="1119"/>
      <c r="AR574" s="1124"/>
    </row>
    <row r="575" spans="1:44" s="1118" customFormat="1" hidden="1">
      <c r="A575" s="968" t="s">
        <v>883</v>
      </c>
      <c r="C575" s="1122">
        <f>C571+C572</f>
        <v>0</v>
      </c>
      <c r="D575" s="1423">
        <v>0</v>
      </c>
      <c r="E575" s="1119"/>
      <c r="F575" s="1123"/>
      <c r="G575" s="1128">
        <f>G616</f>
        <v>0</v>
      </c>
      <c r="H575" s="1119"/>
      <c r="I575" s="1000">
        <f t="shared" si="136"/>
        <v>0</v>
      </c>
      <c r="J575" s="1000"/>
      <c r="K575" s="1128" t="s">
        <v>31</v>
      </c>
      <c r="L575" s="1119"/>
      <c r="M575" s="1000">
        <f t="shared" si="137"/>
        <v>0</v>
      </c>
      <c r="N575" s="1000"/>
      <c r="O575" s="1128" t="s">
        <v>31</v>
      </c>
      <c r="P575" s="1119"/>
      <c r="Q575" s="1000">
        <f t="shared" si="138"/>
        <v>0</v>
      </c>
      <c r="R575" s="1000"/>
      <c r="S575" s="1128">
        <f>S616</f>
        <v>0</v>
      </c>
      <c r="T575" s="1119"/>
      <c r="U575" s="1000">
        <f t="shared" si="139"/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>
      <c r="A576" s="345" t="s">
        <v>391</v>
      </c>
      <c r="B576" s="1" t="s">
        <v>31</v>
      </c>
      <c r="C576" s="304"/>
      <c r="D576" s="317">
        <v>-0.01</v>
      </c>
      <c r="E576" s="346"/>
      <c r="F576" s="346"/>
      <c r="G576" s="317">
        <v>-0.01</v>
      </c>
      <c r="H576" s="346"/>
      <c r="I576" s="2"/>
      <c r="J576" s="2"/>
      <c r="K576" s="317">
        <v>-0.01</v>
      </c>
      <c r="L576" s="346"/>
      <c r="M576" s="2"/>
      <c r="N576" s="2"/>
      <c r="O576" s="317">
        <v>-0.01</v>
      </c>
      <c r="P576" s="346"/>
      <c r="Q576" s="2"/>
      <c r="R576" s="2"/>
      <c r="S576" s="317">
        <v>-0.01</v>
      </c>
      <c r="T576" s="346"/>
      <c r="U576" s="2"/>
      <c r="V576" s="20"/>
      <c r="W576" s="74"/>
      <c r="X576" s="74"/>
      <c r="Y576" s="74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</row>
    <row r="577" spans="1:44">
      <c r="A577" s="308" t="s">
        <v>411</v>
      </c>
      <c r="B577" s="1"/>
      <c r="C577" s="304">
        <v>0</v>
      </c>
      <c r="D577" s="340">
        <v>264</v>
      </c>
      <c r="E577" s="308"/>
      <c r="F577" s="306">
        <f t="shared" ref="F577:F582" si="140">ROUND(D577*$C577*$D$576,0)</f>
        <v>0</v>
      </c>
      <c r="G577" s="289">
        <f ca="1">G561</f>
        <v>268</v>
      </c>
      <c r="H577" s="308"/>
      <c r="I577" s="306">
        <f t="shared" ref="I577:I582" ca="1" si="141">ROUND(G577*$C577*$G$576,0)</f>
        <v>0</v>
      </c>
      <c r="J577" s="306"/>
      <c r="K577" s="289">
        <f ca="1">K561</f>
        <v>268</v>
      </c>
      <c r="L577" s="308"/>
      <c r="M577" s="306" t="e">
        <f ca="1">ROUND(K577*$C577*#REF!,0)</f>
        <v>#REF!</v>
      </c>
      <c r="N577" s="306"/>
      <c r="O577" s="289" t="str">
        <f>O561</f>
        <v xml:space="preserve"> </v>
      </c>
      <c r="P577" s="308"/>
      <c r="Q577" s="306" t="e">
        <f>ROUND(O577*$C577*#REF!,0)</f>
        <v>#REF!</v>
      </c>
      <c r="R577" s="306"/>
      <c r="S577" s="289" t="str">
        <f>S561</f>
        <v xml:space="preserve"> </v>
      </c>
      <c r="T577" s="308"/>
      <c r="U577" s="306" t="e">
        <f>ROUND(S577*$C577*#REF!,0)</f>
        <v>#REF!</v>
      </c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4">
      <c r="A578" s="308" t="s">
        <v>412</v>
      </c>
      <c r="B578" s="1"/>
      <c r="C578" s="304">
        <v>0</v>
      </c>
      <c r="D578" s="340">
        <v>98</v>
      </c>
      <c r="E578" s="308"/>
      <c r="F578" s="306">
        <f t="shared" si="140"/>
        <v>0</v>
      </c>
      <c r="G578" s="289">
        <f ca="1">G562</f>
        <v>100</v>
      </c>
      <c r="H578" s="308"/>
      <c r="I578" s="306">
        <f t="shared" ca="1" si="141"/>
        <v>0</v>
      </c>
      <c r="J578" s="306"/>
      <c r="K578" s="289">
        <f ca="1">K562</f>
        <v>100</v>
      </c>
      <c r="L578" s="308"/>
      <c r="M578" s="306" t="e">
        <f ca="1">ROUND(K578*$C578*#REF!,0)</f>
        <v>#REF!</v>
      </c>
      <c r="N578" s="306"/>
      <c r="O578" s="289" t="str">
        <f>O562</f>
        <v xml:space="preserve"> </v>
      </c>
      <c r="P578" s="308"/>
      <c r="Q578" s="306" t="e">
        <f>ROUND(O578*$C578*#REF!,0)</f>
        <v>#REF!</v>
      </c>
      <c r="R578" s="306"/>
      <c r="S578" s="289" t="str">
        <f>S562</f>
        <v xml:space="preserve"> </v>
      </c>
      <c r="T578" s="308"/>
      <c r="U578" s="306" t="e">
        <f>ROUND(S578*$C578*#REF!,0)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4">
      <c r="A579" s="308" t="s">
        <v>413</v>
      </c>
      <c r="B579" s="1"/>
      <c r="C579" s="304">
        <v>0</v>
      </c>
      <c r="D579" s="340">
        <v>195</v>
      </c>
      <c r="E579" s="310"/>
      <c r="F579" s="306">
        <f t="shared" si="140"/>
        <v>0</v>
      </c>
      <c r="G579" s="289">
        <f ca="1">G563</f>
        <v>200</v>
      </c>
      <c r="H579" s="310"/>
      <c r="I579" s="306">
        <f t="shared" ca="1" si="141"/>
        <v>0</v>
      </c>
      <c r="J579" s="306"/>
      <c r="K579" s="289">
        <f ca="1">K563</f>
        <v>200</v>
      </c>
      <c r="L579" s="310"/>
      <c r="M579" s="306" t="e">
        <f ca="1">ROUND(K579*$C579*#REF!,0)</f>
        <v>#REF!</v>
      </c>
      <c r="N579" s="306"/>
      <c r="O579" s="289" t="str">
        <f>O563</f>
        <v xml:space="preserve"> </v>
      </c>
      <c r="P579" s="310"/>
      <c r="Q579" s="306" t="e">
        <f>ROUND(O579*$C579*#REF!,0)</f>
        <v>#REF!</v>
      </c>
      <c r="R579" s="306"/>
      <c r="S579" s="289" t="str">
        <f>S563</f>
        <v xml:space="preserve"> </v>
      </c>
      <c r="T579" s="310"/>
      <c r="U579" s="306" t="e">
        <f>ROUND(S579*$C579*#REF!,0)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4">
      <c r="A580" s="308" t="s">
        <v>412</v>
      </c>
      <c r="B580" s="1"/>
      <c r="C580" s="304">
        <v>0</v>
      </c>
      <c r="D580" s="340">
        <v>1.79</v>
      </c>
      <c r="E580" s="308" t="s">
        <v>31</v>
      </c>
      <c r="F580" s="306">
        <f t="shared" si="140"/>
        <v>0</v>
      </c>
      <c r="G580" s="289">
        <f ca="1">G565</f>
        <v>1.83</v>
      </c>
      <c r="H580" s="308" t="s">
        <v>31</v>
      </c>
      <c r="I580" s="306">
        <f t="shared" ca="1" si="141"/>
        <v>0</v>
      </c>
      <c r="J580" s="306"/>
      <c r="K580" s="289">
        <f ca="1">K565</f>
        <v>1.83</v>
      </c>
      <c r="L580" s="308" t="s">
        <v>31</v>
      </c>
      <c r="M580" s="306" t="e">
        <f ca="1">ROUND(K580*$C580*#REF!,0)</f>
        <v>#REF!</v>
      </c>
      <c r="N580" s="306"/>
      <c r="O580" s="289" t="str">
        <f>O565</f>
        <v xml:space="preserve"> </v>
      </c>
      <c r="P580" s="308" t="s">
        <v>31</v>
      </c>
      <c r="Q580" s="306" t="e">
        <f>ROUND(O580*$C580*#REF!,0)</f>
        <v>#REF!</v>
      </c>
      <c r="R580" s="306"/>
      <c r="S580" s="289" t="str">
        <f>S565</f>
        <v xml:space="preserve"> </v>
      </c>
      <c r="T580" s="308" t="s">
        <v>31</v>
      </c>
      <c r="U580" s="306" t="e">
        <f>ROUND(S580*$C580*#REF!,0)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4">
      <c r="A581" s="308" t="s">
        <v>413</v>
      </c>
      <c r="B581" s="1"/>
      <c r="C581" s="304">
        <v>0</v>
      </c>
      <c r="D581" s="340">
        <v>1.46</v>
      </c>
      <c r="E581" s="308" t="s">
        <v>31</v>
      </c>
      <c r="F581" s="306">
        <f t="shared" si="140"/>
        <v>0</v>
      </c>
      <c r="G581" s="289">
        <f ca="1">G566</f>
        <v>1.5</v>
      </c>
      <c r="H581" s="308" t="s">
        <v>31</v>
      </c>
      <c r="I581" s="306">
        <f t="shared" ca="1" si="141"/>
        <v>0</v>
      </c>
      <c r="J581" s="306"/>
      <c r="K581" s="289">
        <f ca="1">K566</f>
        <v>1.5</v>
      </c>
      <c r="L581" s="308" t="s">
        <v>31</v>
      </c>
      <c r="M581" s="306" t="e">
        <f ca="1">ROUND(K581*$C581*#REF!,0)</f>
        <v>#REF!</v>
      </c>
      <c r="N581" s="306"/>
      <c r="O581" s="289" t="str">
        <f>O566</f>
        <v xml:space="preserve"> </v>
      </c>
      <c r="P581" s="308" t="s">
        <v>31</v>
      </c>
      <c r="Q581" s="306" t="e">
        <f>ROUND(O581*$C581*#REF!,0)</f>
        <v>#REF!</v>
      </c>
      <c r="R581" s="306"/>
      <c r="S581" s="289" t="str">
        <f>S566</f>
        <v xml:space="preserve"> </v>
      </c>
      <c r="T581" s="308" t="s">
        <v>31</v>
      </c>
      <c r="U581" s="306" t="e">
        <f>ROUND(S581*$C581*#REF!,0)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4">
      <c r="A582" s="294" t="s">
        <v>415</v>
      </c>
      <c r="B582" s="1"/>
      <c r="C582" s="304">
        <v>0</v>
      </c>
      <c r="D582" s="340">
        <v>5.47</v>
      </c>
      <c r="E582" s="308"/>
      <c r="F582" s="306">
        <f t="shared" si="140"/>
        <v>0</v>
      </c>
      <c r="G582" s="289">
        <f ca="1">G568</f>
        <v>5.6</v>
      </c>
      <c r="H582" s="308"/>
      <c r="I582" s="306">
        <f t="shared" ca="1" si="141"/>
        <v>0</v>
      </c>
      <c r="J582" s="306"/>
      <c r="K582" s="289" t="e">
        <f ca="1">K568</f>
        <v>#REF!</v>
      </c>
      <c r="L582" s="308"/>
      <c r="M582" s="306" t="e">
        <f ca="1">ROUND(K582*$C582*#REF!,0)</f>
        <v>#REF!</v>
      </c>
      <c r="N582" s="306"/>
      <c r="O582" s="289">
        <f>O568</f>
        <v>0</v>
      </c>
      <c r="P582" s="308"/>
      <c r="Q582" s="306" t="e">
        <f>ROUND(O582*$C582*#REF!,0)</f>
        <v>#REF!</v>
      </c>
      <c r="R582" s="306"/>
      <c r="S582" s="289">
        <f>S568</f>
        <v>0</v>
      </c>
      <c r="T582" s="308"/>
      <c r="U582" s="306" t="e">
        <f>ROUND(S582*$C582*#REF!,0)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4">
      <c r="A583" s="308" t="s">
        <v>417</v>
      </c>
      <c r="B583" s="1"/>
      <c r="C583" s="304">
        <v>0</v>
      </c>
      <c r="D583" s="319">
        <v>0</v>
      </c>
      <c r="E583" s="306" t="s">
        <v>364</v>
      </c>
      <c r="F583" s="306">
        <f>ROUND(D583/100*$C583*D576,0)</f>
        <v>0</v>
      </c>
      <c r="G583" s="289">
        <f>G569</f>
        <v>0</v>
      </c>
      <c r="H583" s="306" t="s">
        <v>364</v>
      </c>
      <c r="I583" s="306">
        <f>ROUND(G583/100*$C583*G576,0)</f>
        <v>0</v>
      </c>
      <c r="J583" s="306"/>
      <c r="K583" s="289">
        <f>K569</f>
        <v>0</v>
      </c>
      <c r="L583" s="306" t="s">
        <v>364</v>
      </c>
      <c r="M583" s="306">
        <f>ROUND(K583/100*$C583*D576,0)</f>
        <v>0</v>
      </c>
      <c r="N583" s="306"/>
      <c r="O583" s="289">
        <f>O569</f>
        <v>0</v>
      </c>
      <c r="P583" s="306" t="s">
        <v>364</v>
      </c>
      <c r="Q583" s="306">
        <f>ROUND(O583/100*$C583*H576,0)</f>
        <v>0</v>
      </c>
      <c r="R583" s="306"/>
      <c r="S583" s="289">
        <f>S569</f>
        <v>0</v>
      </c>
      <c r="T583" s="306" t="s">
        <v>364</v>
      </c>
      <c r="U583" s="306">
        <f>ROUND(S583/100*$C583*L576,0)</f>
        <v>0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4">
      <c r="A584" s="308" t="s">
        <v>389</v>
      </c>
      <c r="B584" s="1"/>
      <c r="C584" s="304">
        <v>0</v>
      </c>
      <c r="D584" s="955">
        <v>5.2879999999999994</v>
      </c>
      <c r="E584" s="306" t="s">
        <v>364</v>
      </c>
      <c r="F584" s="306">
        <f>ROUND(D584/100*$C584*D576,0)</f>
        <v>0</v>
      </c>
      <c r="G584" s="359">
        <f ca="1">G571</f>
        <v>5.41</v>
      </c>
      <c r="H584" s="306" t="s">
        <v>364</v>
      </c>
      <c r="I584" s="306">
        <f ca="1">ROUND(G584/100*$C584*G576,0)</f>
        <v>0</v>
      </c>
      <c r="J584" s="306"/>
      <c r="K584" s="359" t="str">
        <f>K571</f>
        <v xml:space="preserve"> </v>
      </c>
      <c r="L584" s="306" t="s">
        <v>364</v>
      </c>
      <c r="M584" s="306">
        <f>ROUND(K584/100*$C584*D576,0)</f>
        <v>0</v>
      </c>
      <c r="N584" s="306"/>
      <c r="O584" s="359" t="e">
        <f ca="1">O571</f>
        <v>#REF!</v>
      </c>
      <c r="P584" s="306" t="s">
        <v>364</v>
      </c>
      <c r="Q584" s="306" t="e">
        <f ca="1">ROUND(O584/100*$C584*H576,0)</f>
        <v>#REF!</v>
      </c>
      <c r="R584" s="306"/>
      <c r="S584" s="359" t="e">
        <f ca="1">S571</f>
        <v>#REF!</v>
      </c>
      <c r="T584" s="306" t="s">
        <v>364</v>
      </c>
      <c r="U584" s="306" t="e">
        <f ca="1">ROUND(S584/100*$C584*L576,0)</f>
        <v>#REF!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4">
      <c r="A585" s="294" t="s">
        <v>419</v>
      </c>
      <c r="B585" s="1"/>
      <c r="C585" s="304">
        <v>0</v>
      </c>
      <c r="D585" s="1113">
        <v>57</v>
      </c>
      <c r="E585" s="306" t="s">
        <v>364</v>
      </c>
      <c r="F585" s="306">
        <f>ROUND(D585*$C585*$D$576,0)</f>
        <v>0</v>
      </c>
      <c r="G585" s="360">
        <f ca="1">G572</f>
        <v>58</v>
      </c>
      <c r="H585" s="306" t="s">
        <v>364</v>
      </c>
      <c r="I585" s="306">
        <f ca="1">ROUND(G585*$C585*$G$576,0)</f>
        <v>0</v>
      </c>
      <c r="J585" s="306"/>
      <c r="K585" s="360" t="str">
        <f>K572</f>
        <v xml:space="preserve"> </v>
      </c>
      <c r="L585" s="306" t="s">
        <v>364</v>
      </c>
      <c r="M585" s="306" t="e">
        <f>ROUND(K585*$C585*#REF!,0)</f>
        <v>#REF!</v>
      </c>
      <c r="N585" s="306"/>
      <c r="O585" s="360" t="e">
        <f ca="1">O572</f>
        <v>#DIV/0!</v>
      </c>
      <c r="P585" s="306" t="s">
        <v>364</v>
      </c>
      <c r="Q585" s="306" t="e">
        <f ca="1">ROUND(O585*$C585*#REF!,0)</f>
        <v>#DIV/0!</v>
      </c>
      <c r="R585" s="306"/>
      <c r="S585" s="360" t="e">
        <f ca="1">S572</f>
        <v>#DIV/0!</v>
      </c>
      <c r="T585" s="306" t="s">
        <v>364</v>
      </c>
      <c r="U585" s="306" t="e">
        <f ca="1">ROUND(S585*$C585*#REF!,0)</f>
        <v>#DIV/0!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4">
      <c r="A586" s="294" t="s">
        <v>420</v>
      </c>
      <c r="B586" s="1"/>
      <c r="C586" s="304">
        <v>0</v>
      </c>
      <c r="D586" s="1114">
        <v>0.06</v>
      </c>
      <c r="E586" s="306" t="s">
        <v>364</v>
      </c>
      <c r="F586" s="306">
        <f>ROUND(D586/100*$C586*D576,0)</f>
        <v>0</v>
      </c>
      <c r="G586" s="589">
        <f>G573</f>
        <v>0.06</v>
      </c>
      <c r="H586" s="306" t="s">
        <v>364</v>
      </c>
      <c r="I586" s="306">
        <f>ROUND(G586/100*$C586*G576,0)</f>
        <v>0</v>
      </c>
      <c r="J586" s="306"/>
      <c r="K586" s="589" t="str">
        <f>K573</f>
        <v xml:space="preserve"> </v>
      </c>
      <c r="L586" s="306" t="s">
        <v>364</v>
      </c>
      <c r="M586" s="306">
        <f>ROUND(K586/100*$C586*K576,0)</f>
        <v>0</v>
      </c>
      <c r="N586" s="306"/>
      <c r="O586" s="589" t="e">
        <f ca="1">O573</f>
        <v>#DIV/0!</v>
      </c>
      <c r="P586" s="306" t="s">
        <v>364</v>
      </c>
      <c r="Q586" s="306" t="e">
        <f ca="1">ROUND(O586/100*$C586*O576,0)</f>
        <v>#DIV/0!</v>
      </c>
      <c r="R586" s="306"/>
      <c r="S586" s="589" t="e">
        <f ca="1">S573</f>
        <v>#DIV/0!</v>
      </c>
      <c r="T586" s="306" t="s">
        <v>364</v>
      </c>
      <c r="U586" s="306" t="e">
        <f ca="1">ROUND(S586/100*$C586*S576,0)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4">
      <c r="A587" s="308" t="s">
        <v>421</v>
      </c>
      <c r="B587" s="1"/>
      <c r="C587" s="304">
        <v>0</v>
      </c>
      <c r="D587" s="348">
        <v>60</v>
      </c>
      <c r="E587" s="349" t="s">
        <v>31</v>
      </c>
      <c r="F587" s="306">
        <f>ROUND(D587*$C587,0)</f>
        <v>0</v>
      </c>
      <c r="G587" s="348">
        <v>60</v>
      </c>
      <c r="H587" s="349" t="s">
        <v>31</v>
      </c>
      <c r="I587" s="306">
        <f>ROUND(G587*$C587,0)</f>
        <v>0</v>
      </c>
      <c r="J587" s="306"/>
      <c r="K587" s="348">
        <v>60</v>
      </c>
      <c r="L587" s="349" t="s">
        <v>31</v>
      </c>
      <c r="M587" s="306">
        <f>ROUND(K587*$C587,0)</f>
        <v>0</v>
      </c>
      <c r="N587" s="306"/>
      <c r="O587" s="348">
        <v>60</v>
      </c>
      <c r="P587" s="349" t="s">
        <v>31</v>
      </c>
      <c r="Q587" s="306">
        <f>ROUND(O587*$C587,0)</f>
        <v>0</v>
      </c>
      <c r="R587" s="306"/>
      <c r="S587" s="348">
        <v>60</v>
      </c>
      <c r="T587" s="349" t="s">
        <v>31</v>
      </c>
      <c r="U587" s="306">
        <f>ROUND(S587*$C587,0)</f>
        <v>0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4">
      <c r="A588" s="308" t="s">
        <v>422</v>
      </c>
      <c r="B588" s="1"/>
      <c r="C588" s="304">
        <v>0</v>
      </c>
      <c r="D588" s="321">
        <v>-30</v>
      </c>
      <c r="E588" s="306" t="s">
        <v>364</v>
      </c>
      <c r="F588" s="306">
        <f>ROUND(D588*$C588*$D$576,0)</f>
        <v>0</v>
      </c>
      <c r="G588" s="321">
        <v>-30</v>
      </c>
      <c r="H588" s="306" t="s">
        <v>364</v>
      </c>
      <c r="I588" s="306">
        <f>ROUND(G588*$C588*$G$576,0)</f>
        <v>0</v>
      </c>
      <c r="J588" s="306"/>
      <c r="K588" s="321">
        <v>-30</v>
      </c>
      <c r="L588" s="306" t="s">
        <v>364</v>
      </c>
      <c r="M588" s="306" t="e">
        <f>ROUND(K588*$C588*#REF!,0)</f>
        <v>#REF!</v>
      </c>
      <c r="N588" s="306"/>
      <c r="O588" s="321">
        <v>-30</v>
      </c>
      <c r="P588" s="306" t="s">
        <v>364</v>
      </c>
      <c r="Q588" s="306" t="e">
        <f>ROUND(O588*$C588*#REF!,0)</f>
        <v>#REF!</v>
      </c>
      <c r="R588" s="306"/>
      <c r="S588" s="321">
        <v>-30</v>
      </c>
      <c r="T588" s="306" t="s">
        <v>364</v>
      </c>
      <c r="U588" s="306" t="e">
        <f>ROUND(S588*$C588*#REF!,0)</f>
        <v>#REF!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4">
      <c r="A589" s="294" t="s">
        <v>423</v>
      </c>
      <c r="B589" s="1"/>
      <c r="C589" s="304">
        <v>0</v>
      </c>
      <c r="D589" s="319">
        <v>2.7349999999999999</v>
      </c>
      <c r="E589" s="306"/>
      <c r="F589" s="306"/>
      <c r="G589" s="340">
        <f ca="1">G582/2</f>
        <v>2.8</v>
      </c>
      <c r="H589" s="306"/>
      <c r="I589" s="306">
        <f ca="1">ROUND($C589*G589,0)</f>
        <v>0</v>
      </c>
      <c r="J589" s="306"/>
      <c r="K589" s="340" t="e">
        <f ca="1">K582/2</f>
        <v>#REF!</v>
      </c>
      <c r="L589" s="306"/>
      <c r="M589" s="306" t="e">
        <f ca="1">ROUND($C589*K589,0)</f>
        <v>#REF!</v>
      </c>
      <c r="N589" s="306"/>
      <c r="O589" s="340">
        <f>O582/2</f>
        <v>0</v>
      </c>
      <c r="P589" s="306"/>
      <c r="Q589" s="306">
        <f>ROUND($C589*O589,0)</f>
        <v>0</v>
      </c>
      <c r="R589" s="306"/>
      <c r="S589" s="340">
        <f>S582/2</f>
        <v>0</v>
      </c>
      <c r="T589" s="306"/>
      <c r="U589" s="306">
        <f>ROUND($C589*S589,0)</f>
        <v>0</v>
      </c>
      <c r="V589" s="20"/>
      <c r="W589" s="74"/>
      <c r="X589" s="74"/>
      <c r="Y589" s="74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4">
      <c r="A590" s="294" t="s">
        <v>424</v>
      </c>
      <c r="B590" s="1"/>
      <c r="C590" s="304">
        <v>0</v>
      </c>
      <c r="D590" s="319">
        <v>21.88</v>
      </c>
      <c r="E590" s="306"/>
      <c r="F590" s="306"/>
      <c r="G590" s="340">
        <f ca="1">G582*4</f>
        <v>22.4</v>
      </c>
      <c r="H590" s="306"/>
      <c r="I590" s="306">
        <f ca="1">ROUND($C590*G590,0)</f>
        <v>0</v>
      </c>
      <c r="J590" s="306"/>
      <c r="K590" s="340" t="e">
        <f ca="1">K582*4</f>
        <v>#REF!</v>
      </c>
      <c r="L590" s="306"/>
      <c r="M590" s="306" t="e">
        <f ca="1">ROUND($C590*K590,0)</f>
        <v>#REF!</v>
      </c>
      <c r="N590" s="306"/>
      <c r="O590" s="340">
        <f>O582*4</f>
        <v>0</v>
      </c>
      <c r="P590" s="306"/>
      <c r="Q590" s="306">
        <f>ROUND($C590*O590,0)</f>
        <v>0</v>
      </c>
      <c r="R590" s="306"/>
      <c r="S590" s="340">
        <f>S582*4</f>
        <v>0</v>
      </c>
      <c r="T590" s="306"/>
      <c r="U590" s="306">
        <f>ROUND($C590*S590,0)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4">
      <c r="A591" s="3" t="s">
        <v>425</v>
      </c>
      <c r="B591" s="288"/>
      <c r="C591" s="304">
        <v>0</v>
      </c>
      <c r="D591" s="320">
        <v>21.151999999999997</v>
      </c>
      <c r="E591" s="306" t="s">
        <v>364</v>
      </c>
      <c r="F591" s="306">
        <f>ROUND($C591*D591/100,0)</f>
        <v>0</v>
      </c>
      <c r="G591" s="320">
        <f ca="1">(G571)*4</f>
        <v>21.64</v>
      </c>
      <c r="H591" s="306" t="s">
        <v>364</v>
      </c>
      <c r="I591" s="306">
        <f ca="1">ROUND($C591*G591/100,0)</f>
        <v>0</v>
      </c>
      <c r="J591" s="306"/>
      <c r="K591" s="320">
        <f>(K571)*4</f>
        <v>0</v>
      </c>
      <c r="L591" s="306" t="s">
        <v>364</v>
      </c>
      <c r="M591" s="306">
        <f>ROUND($C591*K591/100,0)</f>
        <v>0</v>
      </c>
      <c r="N591" s="306"/>
      <c r="O591" s="320" t="e">
        <f ca="1">(O571)*4</f>
        <v>#REF!</v>
      </c>
      <c r="P591" s="306" t="s">
        <v>364</v>
      </c>
      <c r="Q591" s="306" t="e">
        <f ca="1">ROUND($C591*O591/100,0)</f>
        <v>#REF!</v>
      </c>
      <c r="R591" s="306"/>
      <c r="S591" s="320" t="e">
        <f ca="1">(S571)*4</f>
        <v>#REF!</v>
      </c>
      <c r="T591" s="306" t="s">
        <v>364</v>
      </c>
      <c r="U591" s="306" t="e">
        <f ca="1">ROUND($C591*S591/100,0)</f>
        <v>#REF!</v>
      </c>
      <c r="V591" s="7" t="s">
        <v>74</v>
      </c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4" s="1118" customFormat="1" hidden="1">
      <c r="A592" s="968" t="s">
        <v>882</v>
      </c>
      <c r="C592" s="1122">
        <f>C583+C584</f>
        <v>0</v>
      </c>
      <c r="D592" s="1423">
        <v>0</v>
      </c>
      <c r="E592" s="1119"/>
      <c r="F592" s="1123"/>
      <c r="G592" s="1128">
        <f>G615</f>
        <v>0</v>
      </c>
      <c r="H592" s="972" t="s">
        <v>364</v>
      </c>
      <c r="I592" s="1000">
        <f t="shared" ref="I592:I593" si="142">ROUND($C592*G592/100,0)</f>
        <v>0</v>
      </c>
      <c r="J592" s="1000"/>
      <c r="K592" s="1128" t="str">
        <f>K615</f>
        <v xml:space="preserve"> </v>
      </c>
      <c r="L592" s="972" t="s">
        <v>364</v>
      </c>
      <c r="M592" s="1000">
        <f t="shared" ref="M592:M593" si="143">ROUND($C592*K592/100,0)</f>
        <v>0</v>
      </c>
      <c r="N592" s="1000"/>
      <c r="O592" s="1128" t="str">
        <f>O615</f>
        <v xml:space="preserve"> </v>
      </c>
      <c r="P592" s="972" t="s">
        <v>364</v>
      </c>
      <c r="Q592" s="1000">
        <f t="shared" ref="Q592:Q593" si="144">ROUND($C592*O592/100,0)</f>
        <v>0</v>
      </c>
      <c r="R592" s="1000"/>
      <c r="S592" s="1128">
        <f>S615</f>
        <v>0</v>
      </c>
      <c r="T592" s="972" t="s">
        <v>364</v>
      </c>
      <c r="U592" s="1000">
        <f t="shared" ref="U592:U593" si="145">ROUND($C592*S592/100,0)</f>
        <v>0</v>
      </c>
      <c r="W592" s="784"/>
      <c r="Z592" s="1125"/>
      <c r="AA592" s="1125"/>
      <c r="AF592" s="1119"/>
      <c r="AG592" s="1119"/>
      <c r="AH592" s="1119"/>
      <c r="AI592" s="1119"/>
      <c r="AJ592" s="1119"/>
      <c r="AK592" s="1119"/>
      <c r="AL592" s="1119"/>
      <c r="AM592" s="1119"/>
      <c r="AN592" s="1119"/>
      <c r="AO592" s="1119"/>
      <c r="AP592" s="1119"/>
      <c r="AR592" s="1124"/>
    </row>
    <row r="593" spans="1:44" s="1118" customFormat="1" hidden="1">
      <c r="A593" s="968" t="s">
        <v>883</v>
      </c>
      <c r="C593" s="1122">
        <f>C584+C585</f>
        <v>0</v>
      </c>
      <c r="D593" s="1423">
        <v>0</v>
      </c>
      <c r="E593" s="1119"/>
      <c r="F593" s="1123"/>
      <c r="G593" s="1128">
        <f>G616</f>
        <v>0</v>
      </c>
      <c r="H593" s="972" t="s">
        <v>364</v>
      </c>
      <c r="I593" s="1000">
        <f t="shared" si="142"/>
        <v>0</v>
      </c>
      <c r="J593" s="1000"/>
      <c r="K593" s="1128" t="str">
        <f>K616</f>
        <v xml:space="preserve"> </v>
      </c>
      <c r="L593" s="972" t="s">
        <v>364</v>
      </c>
      <c r="M593" s="1000">
        <f t="shared" si="143"/>
        <v>0</v>
      </c>
      <c r="N593" s="1000"/>
      <c r="O593" s="1128" t="str">
        <f>O616</f>
        <v xml:space="preserve"> </v>
      </c>
      <c r="P593" s="972" t="s">
        <v>364</v>
      </c>
      <c r="Q593" s="1000">
        <f t="shared" si="144"/>
        <v>0</v>
      </c>
      <c r="R593" s="1000"/>
      <c r="S593" s="1128">
        <f>S616</f>
        <v>0</v>
      </c>
      <c r="T593" s="972" t="s">
        <v>364</v>
      </c>
      <c r="U593" s="1000">
        <f t="shared" si="145"/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>
      <c r="A594" s="1" t="s">
        <v>371</v>
      </c>
      <c r="B594" s="1"/>
      <c r="C594" s="304">
        <f>SUM(C570:C571)</f>
        <v>0</v>
      </c>
      <c r="D594" s="315"/>
      <c r="E594" s="308"/>
      <c r="F594" s="2">
        <f>SUM(F561:F591)</f>
        <v>0</v>
      </c>
      <c r="G594" s="315"/>
      <c r="H594" s="308"/>
      <c r="I594" s="2">
        <f ca="1">SUM(I561:I593)</f>
        <v>0</v>
      </c>
      <c r="J594" s="2"/>
      <c r="K594" s="315"/>
      <c r="L594" s="308"/>
      <c r="M594" s="2" t="e">
        <f ca="1">SUM(M561:M593)</f>
        <v>#REF!</v>
      </c>
      <c r="N594" s="2"/>
      <c r="O594" s="315"/>
      <c r="P594" s="308"/>
      <c r="Q594" s="2" t="e">
        <f ca="1">SUM(Q561:Q593)</f>
        <v>#REF!</v>
      </c>
      <c r="R594" s="2"/>
      <c r="S594" s="315"/>
      <c r="T594" s="308"/>
      <c r="U594" s="2" t="e">
        <f ca="1">SUM(U561:U593)</f>
        <v>#REF!</v>
      </c>
      <c r="V594" s="20"/>
      <c r="W594" s="74"/>
      <c r="X594" s="74"/>
      <c r="Y594" s="74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</row>
    <row r="595" spans="1:44">
      <c r="A595" s="1" t="s">
        <v>353</v>
      </c>
      <c r="B595" s="1"/>
      <c r="C595" s="334">
        <v>0</v>
      </c>
      <c r="D595" s="294"/>
      <c r="E595" s="294"/>
      <c r="F595" s="295">
        <v>0</v>
      </c>
      <c r="G595" s="294"/>
      <c r="H595" s="294"/>
      <c r="I595" s="295">
        <v>0</v>
      </c>
      <c r="J595" s="51"/>
      <c r="K595" s="294"/>
      <c r="L595" s="294"/>
      <c r="M595" s="295">
        <v>0</v>
      </c>
      <c r="N595" s="51"/>
      <c r="O595" s="294"/>
      <c r="P595" s="294"/>
      <c r="Q595" s="295">
        <v>0</v>
      </c>
      <c r="R595" s="51"/>
      <c r="S595" s="294"/>
      <c r="T595" s="294"/>
      <c r="U595" s="295">
        <v>0</v>
      </c>
      <c r="V595" s="429"/>
      <c r="W595" s="272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 ht="16.5" thickBot="1">
      <c r="A596" s="1" t="s">
        <v>372</v>
      </c>
      <c r="B596" s="1"/>
      <c r="C596" s="351">
        <f>SUM(C594:C595)</f>
        <v>0</v>
      </c>
      <c r="D596" s="327"/>
      <c r="E596" s="330"/>
      <c r="F596" s="329">
        <f>SUM(F594:F595)</f>
        <v>0</v>
      </c>
      <c r="G596" s="327"/>
      <c r="H596" s="330"/>
      <c r="I596" s="329">
        <f ca="1">SUM(I594:I595)</f>
        <v>0</v>
      </c>
      <c r="J596" s="307"/>
      <c r="K596" s="327"/>
      <c r="L596" s="330"/>
      <c r="M596" s="329" t="e">
        <f ca="1">SUM(M594:M595)</f>
        <v>#REF!</v>
      </c>
      <c r="N596" s="329"/>
      <c r="O596" s="327"/>
      <c r="P596" s="330"/>
      <c r="Q596" s="329" t="e">
        <f ca="1">SUM(Q594:Q595)</f>
        <v>#REF!</v>
      </c>
      <c r="R596" s="329"/>
      <c r="S596" s="327"/>
      <c r="T596" s="330"/>
      <c r="U596" s="329" t="e">
        <f ca="1">SUM(U594:U595)</f>
        <v>#REF!</v>
      </c>
      <c r="V596" s="396"/>
      <c r="W596" s="455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Top="1">
      <c r="A597" s="1"/>
      <c r="B597" s="352"/>
      <c r="C597" s="21"/>
      <c r="D597" s="322"/>
      <c r="E597" s="1"/>
      <c r="F597" s="2"/>
      <c r="G597" s="322"/>
      <c r="H597" s="1"/>
      <c r="I597" s="2"/>
      <c r="J597" s="2"/>
      <c r="K597" s="322"/>
      <c r="L597" s="1"/>
      <c r="M597" s="2"/>
      <c r="N597" s="2"/>
      <c r="O597" s="322"/>
      <c r="P597" s="1"/>
      <c r="Q597" s="2"/>
      <c r="R597" s="2"/>
      <c r="S597" s="322"/>
      <c r="T597" s="1"/>
      <c r="U597" s="2"/>
      <c r="V597" s="20"/>
      <c r="W597" s="74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>
      <c r="A598" s="278" t="s">
        <v>426</v>
      </c>
      <c r="B598" s="1"/>
      <c r="C598" s="1"/>
      <c r="D598" s="2"/>
      <c r="E598" s="1"/>
      <c r="F598" s="1"/>
      <c r="G598" s="2"/>
      <c r="H598" s="1"/>
      <c r="I598" s="1"/>
      <c r="J598" s="1"/>
      <c r="K598" s="2"/>
      <c r="L598" s="1"/>
      <c r="M598" s="1"/>
      <c r="N598" s="1"/>
      <c r="O598" s="2"/>
      <c r="P598" s="1"/>
      <c r="Q598" s="1"/>
      <c r="R598" s="1"/>
      <c r="S598" s="2"/>
      <c r="T598" s="1"/>
      <c r="U598" s="1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94" t="s">
        <v>427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308"/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 t="s">
        <v>383</v>
      </c>
      <c r="B601" s="1"/>
      <c r="C601" s="304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W601" s="74"/>
      <c r="X601" s="40" t="s">
        <v>246</v>
      </c>
      <c r="Y601" s="40"/>
      <c r="Z601" s="20"/>
      <c r="AA601" s="20"/>
      <c r="AB601" s="20"/>
      <c r="AC601" s="20"/>
      <c r="AD601" s="20"/>
      <c r="AE601" s="20"/>
      <c r="AF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411</v>
      </c>
      <c r="B602" s="1"/>
      <c r="C602" s="304">
        <f>C644+C682</f>
        <v>413.66666666666674</v>
      </c>
      <c r="D602" s="283">
        <v>264</v>
      </c>
      <c r="E602" s="308"/>
      <c r="F602" s="306">
        <f>F644+F682</f>
        <v>109208</v>
      </c>
      <c r="G602" s="286">
        <f ca="1">ROUND(D602*(1+$Z$636),0)-2</f>
        <v>268</v>
      </c>
      <c r="H602" s="308"/>
      <c r="I602" s="306">
        <f ca="1">I644+I682</f>
        <v>110863</v>
      </c>
      <c r="J602" s="306"/>
      <c r="K602" s="286">
        <f ca="1">G602</f>
        <v>268</v>
      </c>
      <c r="L602" s="308"/>
      <c r="M602" s="306">
        <f ca="1">I602</f>
        <v>110863</v>
      </c>
      <c r="N602" s="306"/>
      <c r="O602" s="286" t="s">
        <v>31</v>
      </c>
      <c r="P602" s="308"/>
      <c r="Q602" s="2">
        <f>O602*C602</f>
        <v>0</v>
      </c>
      <c r="R602" s="2"/>
      <c r="S602" s="286" t="s">
        <v>31</v>
      </c>
      <c r="T602" s="1"/>
      <c r="U602" s="2">
        <f>S602*C602</f>
        <v>0</v>
      </c>
      <c r="X602" s="55">
        <f ca="1">(G602-D602)/D602</f>
        <v>1.5151515151515152E-2</v>
      </c>
      <c r="Y602" s="55"/>
      <c r="AG602" s="53"/>
      <c r="AH602" s="53"/>
      <c r="AK602" s="20"/>
      <c r="AL602" s="20"/>
      <c r="AM602" s="20"/>
      <c r="AN602" s="20"/>
      <c r="AO602" s="20"/>
      <c r="AP602" s="20"/>
    </row>
    <row r="603" spans="1:44">
      <c r="A603" s="308" t="s">
        <v>412</v>
      </c>
      <c r="B603" s="1"/>
      <c r="C603" s="304">
        <f>C645+C683</f>
        <v>8716.2666666666191</v>
      </c>
      <c r="D603" s="283">
        <v>98</v>
      </c>
      <c r="E603" s="308"/>
      <c r="F603" s="306">
        <f>F645+F683</f>
        <v>854194</v>
      </c>
      <c r="G603" s="286">
        <f ca="1">ROUND(D603*(1+$Z$636),0)</f>
        <v>100</v>
      </c>
      <c r="H603" s="308"/>
      <c r="I603" s="306">
        <f ca="1">I645+I683</f>
        <v>871627</v>
      </c>
      <c r="J603" s="306"/>
      <c r="K603" s="286">
        <f ca="1">G603</f>
        <v>100</v>
      </c>
      <c r="L603" s="308"/>
      <c r="M603" s="306">
        <f t="shared" ref="M603:M604" ca="1" si="146">I603</f>
        <v>871627</v>
      </c>
      <c r="N603" s="306"/>
      <c r="O603" s="286" t="s">
        <v>31</v>
      </c>
      <c r="P603" s="308"/>
      <c r="Q603" s="2">
        <f>O603*C603</f>
        <v>0</v>
      </c>
      <c r="R603" s="2"/>
      <c r="S603" s="286" t="s">
        <v>31</v>
      </c>
      <c r="T603" s="1"/>
      <c r="U603" s="2">
        <f>S603*C603</f>
        <v>0</v>
      </c>
      <c r="X603" s="55">
        <f ca="1">(G603-D603)/D603</f>
        <v>2.0408163265306121E-2</v>
      </c>
      <c r="Y603" s="55"/>
      <c r="AA603" s="84"/>
      <c r="AB603" s="711"/>
      <c r="AC603" s="84"/>
      <c r="AD603" s="711"/>
      <c r="AE603" s="84"/>
      <c r="AF603" s="84"/>
      <c r="AG603" s="711"/>
      <c r="AH603" s="711"/>
      <c r="AJ603" s="222"/>
      <c r="AK603" s="20"/>
      <c r="AL603" s="20"/>
      <c r="AM603" s="20"/>
      <c r="AN603" s="20"/>
      <c r="AO603" s="20"/>
      <c r="AP603" s="20"/>
    </row>
    <row r="604" spans="1:44">
      <c r="A604" s="308" t="s">
        <v>413</v>
      </c>
      <c r="B604" s="1"/>
      <c r="C604" s="304">
        <f>C646+C684</f>
        <v>3900.3000000000029</v>
      </c>
      <c r="D604" s="283">
        <v>195</v>
      </c>
      <c r="E604" s="310"/>
      <c r="F604" s="306">
        <f>F646+F684</f>
        <v>760559</v>
      </c>
      <c r="G604" s="286">
        <f ca="1">ROUND(D604*(1+$Z$636),0)</f>
        <v>200</v>
      </c>
      <c r="H604" s="310"/>
      <c r="I604" s="306">
        <f ca="1">I646+I684</f>
        <v>780060</v>
      </c>
      <c r="J604" s="306"/>
      <c r="K604" s="286">
        <f ca="1">G604</f>
        <v>200</v>
      </c>
      <c r="L604" s="310"/>
      <c r="M604" s="306">
        <f t="shared" ca="1" si="146"/>
        <v>780060</v>
      </c>
      <c r="N604" s="306"/>
      <c r="O604" s="286" t="s">
        <v>31</v>
      </c>
      <c r="P604" s="310"/>
      <c r="Q604" s="2">
        <f>O604*C604</f>
        <v>0</v>
      </c>
      <c r="R604" s="2"/>
      <c r="S604" s="286" t="s">
        <v>31</v>
      </c>
      <c r="T604" s="1"/>
      <c r="U604" s="2">
        <f>S604*C604</f>
        <v>0</v>
      </c>
      <c r="X604" s="55">
        <f ca="1">(G604-D604)/D604</f>
        <v>2.564102564102564E-2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384</v>
      </c>
      <c r="B605" s="1"/>
      <c r="C605" s="304">
        <f>SUM(C602:C604)</f>
        <v>13030.233333333288</v>
      </c>
      <c r="D605" s="283"/>
      <c r="E605" s="308"/>
      <c r="F605" s="306"/>
      <c r="G605" s="286"/>
      <c r="H605" s="308"/>
      <c r="I605" s="306"/>
      <c r="J605" s="306"/>
      <c r="K605" s="286"/>
      <c r="L605" s="308"/>
      <c r="M605" s="306"/>
      <c r="N605" s="306"/>
      <c r="O605" s="286"/>
      <c r="P605" s="308"/>
      <c r="Q605" s="306"/>
      <c r="R605" s="306"/>
      <c r="S605" s="286"/>
      <c r="T605" s="308"/>
      <c r="U605" s="306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412</v>
      </c>
      <c r="B606" s="1"/>
      <c r="C606" s="304">
        <f>C648+C686</f>
        <v>1499067</v>
      </c>
      <c r="D606" s="283">
        <v>1.79</v>
      </c>
      <c r="E606" s="308" t="s">
        <v>31</v>
      </c>
      <c r="F606" s="306">
        <f>F648+F686</f>
        <v>2683330</v>
      </c>
      <c r="G606" s="286">
        <f ca="1">ROUND(D606*(1+$Z$636),2)</f>
        <v>1.83</v>
      </c>
      <c r="H606" s="308" t="s">
        <v>31</v>
      </c>
      <c r="I606" s="306">
        <f ca="1">I648+I686</f>
        <v>2743292</v>
      </c>
      <c r="J606" s="306"/>
      <c r="K606" s="286">
        <f ca="1">G606</f>
        <v>1.83</v>
      </c>
      <c r="L606" s="308" t="s">
        <v>31</v>
      </c>
      <c r="M606" s="306">
        <f ca="1">I606</f>
        <v>2743292</v>
      </c>
      <c r="N606" s="306"/>
      <c r="O606" s="286" t="s">
        <v>31</v>
      </c>
      <c r="P606" s="308" t="s">
        <v>31</v>
      </c>
      <c r="Q606" s="2">
        <f>O606*C606</f>
        <v>0</v>
      </c>
      <c r="R606" s="2"/>
      <c r="S606" s="286" t="s">
        <v>31</v>
      </c>
      <c r="T606" s="1"/>
      <c r="U606" s="2">
        <f>S606*C606</f>
        <v>0</v>
      </c>
      <c r="W606" s="88" t="s">
        <v>31</v>
      </c>
      <c r="X606" s="55">
        <f ca="1">(G606-D606)/D606</f>
        <v>2.2346368715083817E-2</v>
      </c>
      <c r="Y606" s="55"/>
      <c r="AA606" s="84"/>
      <c r="AB606" s="712"/>
      <c r="AC606" s="84"/>
      <c r="AD606" s="712"/>
      <c r="AE606" s="84"/>
      <c r="AF606" s="84"/>
      <c r="AG606" s="712"/>
      <c r="AH606" s="712"/>
      <c r="AJ606" s="20"/>
      <c r="AK606" s="20"/>
      <c r="AL606" s="20"/>
      <c r="AM606" s="20"/>
      <c r="AN606" s="20"/>
      <c r="AO606" s="20"/>
      <c r="AP606" s="20"/>
    </row>
    <row r="607" spans="1:44">
      <c r="A607" s="308" t="s">
        <v>413</v>
      </c>
      <c r="B607" s="1"/>
      <c r="C607" s="304">
        <f>C649+C687</f>
        <v>1976046</v>
      </c>
      <c r="D607" s="283">
        <v>1.46</v>
      </c>
      <c r="E607" s="308" t="s">
        <v>31</v>
      </c>
      <c r="F607" s="306">
        <f>F649+F687</f>
        <v>2885027</v>
      </c>
      <c r="G607" s="286">
        <f ca="1">ROUND(D607*(1+$Z$636),2)</f>
        <v>1.5</v>
      </c>
      <c r="H607" s="308" t="s">
        <v>31</v>
      </c>
      <c r="I607" s="306">
        <f ca="1">I649+I687</f>
        <v>2964069</v>
      </c>
      <c r="J607" s="306"/>
      <c r="K607" s="286">
        <f ca="1">G607</f>
        <v>1.5</v>
      </c>
      <c r="L607" s="308" t="s">
        <v>31</v>
      </c>
      <c r="M607" s="306">
        <f ca="1">I607</f>
        <v>2964069</v>
      </c>
      <c r="N607" s="306"/>
      <c r="O607" s="286" t="s">
        <v>31</v>
      </c>
      <c r="P607" s="308" t="s">
        <v>31</v>
      </c>
      <c r="Q607" s="2">
        <f>O607*C607</f>
        <v>0</v>
      </c>
      <c r="R607" s="2"/>
      <c r="S607" s="286" t="s">
        <v>31</v>
      </c>
      <c r="T607" s="1"/>
      <c r="U607" s="2">
        <f>S607*C607</f>
        <v>0</v>
      </c>
      <c r="X607" s="55">
        <f ca="1">(G607-D607)/D607</f>
        <v>2.7397260273972629E-2</v>
      </c>
      <c r="Y607" s="55"/>
      <c r="AA607" s="84"/>
      <c r="AB607" s="84"/>
      <c r="AJ607" s="20"/>
      <c r="AK607" s="20"/>
      <c r="AL607" s="20"/>
      <c r="AM607" s="20"/>
      <c r="AN607" s="20"/>
      <c r="AO607" s="20"/>
      <c r="AP607" s="20"/>
    </row>
    <row r="608" spans="1:44">
      <c r="A608" s="294" t="s">
        <v>414</v>
      </c>
      <c r="B608" s="1"/>
      <c r="C608" s="304"/>
      <c r="D608" s="340"/>
      <c r="E608" s="308"/>
      <c r="F608" s="306"/>
      <c r="G608" s="289"/>
      <c r="H608" s="308"/>
      <c r="I608" s="306"/>
      <c r="J608" s="306"/>
      <c r="K608" s="289"/>
      <c r="L608" s="308"/>
      <c r="M608" s="306"/>
      <c r="N608" s="306"/>
      <c r="O608" s="289"/>
      <c r="P608" s="308"/>
      <c r="Q608" s="306"/>
      <c r="R608" s="306"/>
      <c r="S608" s="289"/>
      <c r="T608" s="308"/>
      <c r="U608" s="306"/>
      <c r="Z608" s="69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415</v>
      </c>
      <c r="B609" s="1"/>
      <c r="C609" s="304">
        <f>C651+C689</f>
        <v>2642724.5</v>
      </c>
      <c r="D609" s="283">
        <v>5.47</v>
      </c>
      <c r="E609" s="308"/>
      <c r="F609" s="306">
        <f>F651+F689</f>
        <v>14455703</v>
      </c>
      <c r="G609" s="286">
        <f ca="1">ROUND(D609*(1+$Z$636),2)</f>
        <v>5.6</v>
      </c>
      <c r="H609" s="308"/>
      <c r="I609" s="306">
        <f ca="1">I651+I689</f>
        <v>14799258</v>
      </c>
      <c r="J609" s="306"/>
      <c r="K609" s="286" t="e">
        <f ca="1">ROUND(M609/C609,2)</f>
        <v>#REF!</v>
      </c>
      <c r="L609" s="308"/>
      <c r="M609" s="306" t="e">
        <f ca="1">($V$639-$M$602-$M$603-$M$604-$M$606-$M$607-$M$610-$M$612-$M$613-$M$614-$M$615-$M$616-$M$620-$M$621-$M$622-$M$623-$M$624-$M$625-$M$626-$M$627-$M$628-$M$629-$M$630-$M$631-$M$632-$M$633-$M$635)</f>
        <v>#REF!</v>
      </c>
      <c r="N609" s="306"/>
      <c r="O609" s="286">
        <f>AC616</f>
        <v>0</v>
      </c>
      <c r="P609" s="308"/>
      <c r="Q609" s="306" t="e">
        <f ca="1">(I609-M609)*V609/(V609+W609)</f>
        <v>#REF!</v>
      </c>
      <c r="R609" s="306"/>
      <c r="S609" s="286">
        <f>AC615</f>
        <v>0</v>
      </c>
      <c r="T609" s="308"/>
      <c r="U609" s="306" t="e">
        <f ca="1">(I609-M609)*W609/(V609+W609)</f>
        <v>#REF!</v>
      </c>
      <c r="V609" s="314"/>
      <c r="X609" s="55">
        <f ca="1">(G609-D609)/D609</f>
        <v>2.3765996343692853E-2</v>
      </c>
      <c r="Y609" s="55"/>
      <c r="Z609" s="703"/>
      <c r="AA609" s="703"/>
      <c r="AB609" s="306"/>
      <c r="AC609" s="314"/>
      <c r="AD609" s="4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431</v>
      </c>
      <c r="B610" s="1"/>
      <c r="C610" s="304">
        <f>C652+C690</f>
        <v>3580.1666666666692</v>
      </c>
      <c r="D610" s="354">
        <v>5.47</v>
      </c>
      <c r="E610" s="308"/>
      <c r="F610" s="306">
        <f>F652+F690</f>
        <v>19584</v>
      </c>
      <c r="G610" s="774">
        <f ca="1">G609</f>
        <v>5.6</v>
      </c>
      <c r="H610" s="308"/>
      <c r="I610" s="306">
        <f ca="1">I652+I690</f>
        <v>20049</v>
      </c>
      <c r="J610" s="306"/>
      <c r="K610" s="774" t="e">
        <f ca="1">K609</f>
        <v>#REF!</v>
      </c>
      <c r="L610" s="308"/>
      <c r="M610" s="306" t="e">
        <f ca="1">K610*C610</f>
        <v>#REF!</v>
      </c>
      <c r="N610" s="306"/>
      <c r="O610" s="774">
        <f>O609</f>
        <v>0</v>
      </c>
      <c r="P610" s="308"/>
      <c r="Q610" s="306">
        <f>O610*C610</f>
        <v>0</v>
      </c>
      <c r="R610" s="306"/>
      <c r="S610" s="774">
        <f>S609</f>
        <v>0</v>
      </c>
      <c r="T610" s="308"/>
      <c r="U610" s="306">
        <f>S610*C610</f>
        <v>0</v>
      </c>
      <c r="V610" s="314"/>
      <c r="X610" s="55">
        <f ca="1">(G610-D610)/D610</f>
        <v>2.3765996343692853E-2</v>
      </c>
      <c r="Y610" s="55"/>
      <c r="Z610" s="69"/>
      <c r="AC610" s="314"/>
      <c r="AD610" s="4"/>
      <c r="AJ610" s="20"/>
      <c r="AK610" s="20"/>
      <c r="AL610" s="20"/>
      <c r="AM610" s="20"/>
      <c r="AN610" s="20"/>
      <c r="AO610" s="20"/>
      <c r="AP610" s="20"/>
    </row>
    <row r="611" spans="1:44">
      <c r="A611" s="308" t="s">
        <v>416</v>
      </c>
      <c r="B611" s="1"/>
      <c r="C611" s="304"/>
      <c r="D611" s="283"/>
      <c r="E611" s="308"/>
      <c r="F611" s="306"/>
      <c r="G611" s="286"/>
      <c r="H611" s="308"/>
      <c r="I611" s="306"/>
      <c r="J611" s="306"/>
      <c r="K611" s="286"/>
      <c r="L611" s="308"/>
      <c r="M611" s="306"/>
      <c r="N611" s="306"/>
      <c r="O611" s="286"/>
      <c r="P611" s="308"/>
      <c r="Q611" s="306"/>
      <c r="R611" s="306"/>
      <c r="S611" s="286"/>
      <c r="T611" s="308"/>
      <c r="U611" s="306"/>
      <c r="Z611" s="88"/>
      <c r="AD611" s="1326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417</v>
      </c>
      <c r="B612" s="304"/>
      <c r="C612" s="304">
        <f>C654+C692</f>
        <v>406603312.8503738</v>
      </c>
      <c r="D612" s="312">
        <v>5.7730000000000006</v>
      </c>
      <c r="E612" s="308" t="s">
        <v>364</v>
      </c>
      <c r="F612" s="306">
        <f>F654+F692</f>
        <v>23473210</v>
      </c>
      <c r="G612" s="775">
        <f ca="1">ROUND(D612*(1+X636),3)+0.003</f>
        <v>5.9119999999999999</v>
      </c>
      <c r="H612" s="308" t="s">
        <v>364</v>
      </c>
      <c r="I612" s="306">
        <f ca="1">I654+I692</f>
        <v>24038388</v>
      </c>
      <c r="J612" s="306"/>
      <c r="K612" s="775" t="s">
        <v>31</v>
      </c>
      <c r="L612" s="308" t="s">
        <v>31</v>
      </c>
      <c r="M612" s="306">
        <f>K612*C612</f>
        <v>0</v>
      </c>
      <c r="N612" s="306"/>
      <c r="O612" s="775" t="e">
        <f ca="1">ROUND(Q612/$C$612*100,3)</f>
        <v>#REF!</v>
      </c>
      <c r="P612" s="308" t="s">
        <v>364</v>
      </c>
      <c r="Q612" s="306" t="e">
        <f ca="1">($W$639-$Q$602-$Q$603-$Q$604-$Q$606-$Q$607-$Q$609-$Q$610-$Q$614-$Q$615-$Q$616-$Q$620-$Q$621-$Q$622-$Q$623-$Q$624-$Q$625-$Q$626-$Q$627-$Q$628-$Q$629-$Q$630-$Q$631-$Q$632-$Q$633-$Q$635)*($I$612/($I$612+$I$613))</f>
        <v>#REF!</v>
      </c>
      <c r="R612" s="306"/>
      <c r="S612" s="775" t="e">
        <f ca="1">ROUND(U612/$C$612*100,3)</f>
        <v>#REF!</v>
      </c>
      <c r="T612" s="308" t="s">
        <v>364</v>
      </c>
      <c r="U612" s="306" t="e">
        <f ca="1">($X$639-$U$602-$U$603-$U$604-$U$606-$U$607-$U$609-$U$610-$U$614-$U$615-$U$616-$U$620-$U$621-$U$622-$U$623-$U$624-$U$625-$U$626-$U$627-$U$628-$U$629-$U$630-$U$631-$U$632-$U$633-$U$635)*($I$612/($I$612+$I$613))</f>
        <v>#REF!</v>
      </c>
      <c r="X612" s="55">
        <f ca="1">((G612+G615)-D612)/D612</f>
        <v>2.4077602632946359E-2</v>
      </c>
      <c r="Y612" s="55"/>
      <c r="Z612" s="69"/>
      <c r="AD612" s="1326"/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389</v>
      </c>
      <c r="B613" s="304"/>
      <c r="C613" s="304">
        <f>C655+C693</f>
        <v>515912822.9645322</v>
      </c>
      <c r="D613" s="312">
        <v>5.2879999999999994</v>
      </c>
      <c r="E613" s="308" t="s">
        <v>364</v>
      </c>
      <c r="F613" s="306">
        <f>F655+F693</f>
        <v>27281470</v>
      </c>
      <c r="G613" s="775">
        <f ca="1">ROUND(G612/D612*D613,3)-0.005</f>
        <v>5.41</v>
      </c>
      <c r="H613" s="308" t="s">
        <v>364</v>
      </c>
      <c r="I613" s="306">
        <f ca="1">I655+I693</f>
        <v>27910884</v>
      </c>
      <c r="J613" s="306"/>
      <c r="K613" s="775" t="s">
        <v>31</v>
      </c>
      <c r="L613" s="308" t="s">
        <v>31</v>
      </c>
      <c r="M613" s="306">
        <f>K613*C613</f>
        <v>0</v>
      </c>
      <c r="N613" s="306"/>
      <c r="O613" s="775" t="e">
        <f ca="1">ROUND(Q613/$C$613*100,3)</f>
        <v>#REF!</v>
      </c>
      <c r="P613" s="308" t="s">
        <v>364</v>
      </c>
      <c r="Q613" s="306" t="e">
        <f ca="1">($W$639-$Q$602-$Q$603-$Q$604-$Q$606-$Q$607-$Q$609-$Q$610-$Q$614-$Q$615-$Q$616-$Q$620-$Q$621-$Q$622-$Q$623-$Q$624-$Q$625-$Q$626-$Q$627-$Q$628-$Q$629-$Q$630-$Q$631-$Q$632-$Q$633-$Q$635)*($I$613/($I$612+$I$613))</f>
        <v>#REF!</v>
      </c>
      <c r="R613" s="306"/>
      <c r="S613" s="775" t="e">
        <f ca="1">ROUND(U613/$C$613*100,3)</f>
        <v>#REF!</v>
      </c>
      <c r="T613" s="308" t="s">
        <v>364</v>
      </c>
      <c r="U613" s="306" t="e">
        <f ca="1">($X$639-$U$602-$U$603-$U$604-$U$606-$U$607-$U$609-$U$610-$U$614-$U$615-$U$616-$U$620-$U$621-$U$622-$U$623-$U$624-$U$625-$U$626-$U$627-$U$628-$U$629-$U$630-$U$631-$U$632-$U$633-$U$635)*($I$613/($I$612+$I$613))</f>
        <v>#REF!</v>
      </c>
      <c r="X613" s="55">
        <f ca="1">((G613+G616)-D613)/D613</f>
        <v>2.3071104387292131E-2</v>
      </c>
      <c r="Y613" s="55"/>
      <c r="Z613" s="69"/>
      <c r="AC613" s="314"/>
      <c r="AD613" s="4"/>
      <c r="AK613" s="20"/>
      <c r="AL613" s="20"/>
      <c r="AM613" s="20"/>
      <c r="AN613" s="20"/>
      <c r="AO613" s="20"/>
      <c r="AP613" s="20"/>
    </row>
    <row r="614" spans="1:44">
      <c r="A614" s="308" t="s">
        <v>390</v>
      </c>
      <c r="B614" s="1"/>
      <c r="C614" s="304">
        <f>C656+C694</f>
        <v>494491.933333333</v>
      </c>
      <c r="D614" s="1424">
        <v>57</v>
      </c>
      <c r="E614" s="308" t="s">
        <v>364</v>
      </c>
      <c r="F614" s="306">
        <f>F656+F694</f>
        <v>281861</v>
      </c>
      <c r="G614" s="286">
        <f ca="1">ROUND(D614*(1+$Z$636),0)</f>
        <v>58</v>
      </c>
      <c r="H614" s="308" t="s">
        <v>364</v>
      </c>
      <c r="I614" s="306">
        <f ca="1">I656+I694</f>
        <v>286806</v>
      </c>
      <c r="J614" s="306"/>
      <c r="K614" s="1131" t="s">
        <v>31</v>
      </c>
      <c r="L614" s="308" t="s">
        <v>31</v>
      </c>
      <c r="M614" s="306">
        <f>K614*C614</f>
        <v>0</v>
      </c>
      <c r="N614" s="306"/>
      <c r="O614" s="589" t="e">
        <f ca="1">ROUND(Q614/C614*100,0)</f>
        <v>#DIV/0!</v>
      </c>
      <c r="P614" s="308" t="s">
        <v>364</v>
      </c>
      <c r="Q614" s="306" t="e">
        <f ca="1">$I$614*W639/($W$639+$X$639)</f>
        <v>#DIV/0!</v>
      </c>
      <c r="R614" s="306"/>
      <c r="S614" s="589" t="e">
        <f ca="1">ROUND(U614/C614*100,0)</f>
        <v>#DIV/0!</v>
      </c>
      <c r="T614" s="308" t="s">
        <v>364</v>
      </c>
      <c r="U614" s="306" t="e">
        <f ca="1">$I$614*X639/($W$639+$X$639)</f>
        <v>#DIV/0!</v>
      </c>
      <c r="X614" s="55">
        <f ca="1">(G614-D614)/D614</f>
        <v>1.7543859649122806E-2</v>
      </c>
      <c r="Y614" s="55"/>
      <c r="Z614" s="69"/>
      <c r="AC614" s="314"/>
      <c r="AD614" s="4"/>
      <c r="AK614" s="20"/>
      <c r="AL614" s="20"/>
      <c r="AM614" s="20"/>
      <c r="AN614" s="20"/>
      <c r="AO614" s="20"/>
      <c r="AP614" s="20"/>
    </row>
    <row r="615" spans="1:44" s="1118" customFormat="1" hidden="1">
      <c r="A615" s="968" t="s">
        <v>882</v>
      </c>
      <c r="C615" s="987">
        <f>C612</f>
        <v>406603312.8503738</v>
      </c>
      <c r="D615" s="1423">
        <v>0</v>
      </c>
      <c r="E615" s="1119"/>
      <c r="F615" s="1123"/>
      <c r="G615" s="1128">
        <v>0</v>
      </c>
      <c r="H615" s="1000" t="s">
        <v>364</v>
      </c>
      <c r="I615" s="1000">
        <f>I657+I695</f>
        <v>0</v>
      </c>
      <c r="J615" s="1000"/>
      <c r="K615" s="1128" t="s">
        <v>31</v>
      </c>
      <c r="L615" s="1000" t="s">
        <v>31</v>
      </c>
      <c r="M615" s="999">
        <f>K615*C615</f>
        <v>0</v>
      </c>
      <c r="N615" s="1000"/>
      <c r="O615" s="1128" t="s">
        <v>31</v>
      </c>
      <c r="P615" s="1000" t="s">
        <v>31</v>
      </c>
      <c r="Q615" s="999">
        <f>O615*C615</f>
        <v>0</v>
      </c>
      <c r="R615" s="1000"/>
      <c r="S615" s="1128">
        <f>G615</f>
        <v>0</v>
      </c>
      <c r="T615" s="1000" t="s">
        <v>364</v>
      </c>
      <c r="U615" s="1000">
        <f>U657+U695</f>
        <v>0</v>
      </c>
      <c r="V615" s="1124"/>
      <c r="W615" s="784"/>
      <c r="Z615" s="1125"/>
      <c r="AA615" s="1125"/>
      <c r="AD615" s="1326"/>
      <c r="AE615" s="3"/>
      <c r="AF615" s="1119"/>
      <c r="AG615" s="1119"/>
      <c r="AH615" s="1119"/>
      <c r="AI615" s="1119"/>
      <c r="AJ615" s="1119"/>
      <c r="AK615" s="1119"/>
      <c r="AL615" s="1119"/>
      <c r="AM615" s="1119"/>
      <c r="AN615" s="1119"/>
      <c r="AO615" s="1119"/>
      <c r="AP615" s="1119"/>
      <c r="AR615" s="1124"/>
    </row>
    <row r="616" spans="1:44" s="1118" customFormat="1" hidden="1">
      <c r="A616" s="968" t="s">
        <v>883</v>
      </c>
      <c r="C616" s="987">
        <f>C613</f>
        <v>515912822.9645322</v>
      </c>
      <c r="D616" s="1423">
        <v>0</v>
      </c>
      <c r="E616" s="1119"/>
      <c r="F616" s="1123"/>
      <c r="G616" s="1128">
        <v>0</v>
      </c>
      <c r="H616" s="1000" t="s">
        <v>364</v>
      </c>
      <c r="I616" s="1000">
        <f>I658+I696</f>
        <v>0</v>
      </c>
      <c r="J616" s="1000"/>
      <c r="K616" s="1128" t="s">
        <v>31</v>
      </c>
      <c r="L616" s="1000" t="s">
        <v>31</v>
      </c>
      <c r="M616" s="999">
        <f>K616*C616</f>
        <v>0</v>
      </c>
      <c r="N616" s="1000"/>
      <c r="O616" s="1128" t="s">
        <v>31</v>
      </c>
      <c r="P616" s="1000" t="s">
        <v>31</v>
      </c>
      <c r="Q616" s="999">
        <f>O616*C616</f>
        <v>0</v>
      </c>
      <c r="R616" s="1000"/>
      <c r="S616" s="1128">
        <f>G616</f>
        <v>0</v>
      </c>
      <c r="T616" s="1000" t="s">
        <v>364</v>
      </c>
      <c r="U616" s="1000">
        <f>U658+U696</f>
        <v>0</v>
      </c>
      <c r="V616" s="968" t="s">
        <v>31</v>
      </c>
      <c r="W616" s="784"/>
      <c r="Z616" s="1125"/>
      <c r="AA616" s="1125"/>
      <c r="AD616" s="1326"/>
      <c r="AE616" s="3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1255" t="s">
        <v>870</v>
      </c>
      <c r="B617" s="1256"/>
      <c r="C617" s="1262"/>
      <c r="D617" s="1265">
        <v>5.7730000000000006</v>
      </c>
      <c r="E617" s="1263" t="s">
        <v>364</v>
      </c>
      <c r="F617" s="1259"/>
      <c r="G617" s="1265">
        <f ca="1">G612+G615</f>
        <v>5.9119999999999999</v>
      </c>
      <c r="H617" s="1263" t="s">
        <v>364</v>
      </c>
      <c r="I617" s="1266"/>
      <c r="J617" s="1266"/>
      <c r="K617" s="1265">
        <f>K612+K615</f>
        <v>0</v>
      </c>
      <c r="L617" s="1263" t="s">
        <v>31</v>
      </c>
      <c r="M617" s="1266"/>
      <c r="N617" s="1266"/>
      <c r="O617" s="1265" t="e">
        <f ca="1">O612+O615</f>
        <v>#REF!</v>
      </c>
      <c r="P617" s="1263" t="s">
        <v>364</v>
      </c>
      <c r="Q617" s="1266"/>
      <c r="R617" s="1266"/>
      <c r="S617" s="1265" t="e">
        <f ca="1">S612+S615</f>
        <v>#REF!</v>
      </c>
      <c r="T617" s="1263" t="s">
        <v>364</v>
      </c>
      <c r="U617" s="1266"/>
      <c r="V617" s="968"/>
      <c r="W617" s="784"/>
      <c r="X617" s="55">
        <f ca="1">(G617-D617)/D617</f>
        <v>2.4077602632946359E-2</v>
      </c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871</v>
      </c>
      <c r="B618" s="1256"/>
      <c r="C618" s="1262"/>
      <c r="D618" s="1265">
        <v>5.2879999999999994</v>
      </c>
      <c r="E618" s="1263" t="s">
        <v>364</v>
      </c>
      <c r="F618" s="1259"/>
      <c r="G618" s="1265">
        <f ca="1">G613+G616</f>
        <v>5.41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1328"/>
      <c r="W618" s="1329"/>
      <c r="X618" s="55">
        <f ca="1">(G618-D618)/D618</f>
        <v>2.3071104387292131E-2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>
      <c r="A619" s="345" t="s">
        <v>391</v>
      </c>
      <c r="B619" s="1"/>
      <c r="C619" s="304"/>
      <c r="D619" s="317">
        <v>-0.01</v>
      </c>
      <c r="E619" s="1"/>
      <c r="F619" s="306"/>
      <c r="G619" s="776">
        <v>-0.01</v>
      </c>
      <c r="H619" s="1"/>
      <c r="I619" s="306"/>
      <c r="J619" s="306"/>
      <c r="K619" s="776">
        <v>-0.01</v>
      </c>
      <c r="L619" s="1"/>
      <c r="M619" s="306"/>
      <c r="N619" s="306"/>
      <c r="O619" s="776">
        <v>-0.01</v>
      </c>
      <c r="P619" s="1"/>
      <c r="Q619" s="306"/>
      <c r="R619" s="306"/>
      <c r="S619" s="776">
        <v>-0.01</v>
      </c>
      <c r="T619" s="1"/>
      <c r="U619" s="306"/>
      <c r="AK619" s="20"/>
      <c r="AL619" s="20"/>
      <c r="AM619" s="20"/>
      <c r="AN619" s="20"/>
      <c r="AO619" s="20"/>
      <c r="AP619" s="20"/>
    </row>
    <row r="620" spans="1:44">
      <c r="A620" s="308" t="s">
        <v>411</v>
      </c>
      <c r="B620" s="1"/>
      <c r="C620" s="304">
        <f t="shared" ref="C620:C631" si="147">C660+C698</f>
        <v>7</v>
      </c>
      <c r="D620" s="289">
        <v>264</v>
      </c>
      <c r="E620" s="278"/>
      <c r="F620" s="306">
        <f t="shared" ref="F620:F631" si="148">F660+F698</f>
        <v>-18</v>
      </c>
      <c r="G620" s="289">
        <f ca="1">G602</f>
        <v>268</v>
      </c>
      <c r="H620" s="278"/>
      <c r="I620" s="306">
        <f t="shared" ref="I620:I634" ca="1" si="149">I660+I698</f>
        <v>-19</v>
      </c>
      <c r="J620" s="306"/>
      <c r="K620" s="289">
        <f ca="1">K602</f>
        <v>268</v>
      </c>
      <c r="L620" s="278"/>
      <c r="M620" s="306">
        <f ca="1">I620</f>
        <v>-19</v>
      </c>
      <c r="N620" s="306"/>
      <c r="O620" s="289" t="str">
        <f>O602</f>
        <v xml:space="preserve"> </v>
      </c>
      <c r="P620" s="278"/>
      <c r="Q620" s="307">
        <f t="shared" ref="Q620:Q626" si="150">O620*C620*$O$619</f>
        <v>0</v>
      </c>
      <c r="R620" s="306"/>
      <c r="S620" s="289" t="str">
        <f>S602</f>
        <v xml:space="preserve"> </v>
      </c>
      <c r="T620" s="278"/>
      <c r="U620" s="307">
        <f t="shared" ref="U620:U626" si="151">S620*C620*$S$619</f>
        <v>0</v>
      </c>
      <c r="W620" s="88" t="s">
        <v>31</v>
      </c>
      <c r="AK620" s="20"/>
      <c r="AL620" s="20"/>
      <c r="AM620" s="20"/>
      <c r="AN620" s="20"/>
      <c r="AO620" s="20"/>
      <c r="AP620" s="20"/>
    </row>
    <row r="621" spans="1:44">
      <c r="A621" s="308" t="s">
        <v>412</v>
      </c>
      <c r="B621" s="1"/>
      <c r="C621" s="304">
        <f t="shared" si="147"/>
        <v>57.099999999999966</v>
      </c>
      <c r="D621" s="289">
        <v>98</v>
      </c>
      <c r="E621" s="278"/>
      <c r="F621" s="306">
        <f t="shared" si="148"/>
        <v>-56</v>
      </c>
      <c r="G621" s="289">
        <f ca="1">G603</f>
        <v>100</v>
      </c>
      <c r="H621" s="278"/>
      <c r="I621" s="306">
        <f t="shared" ca="1" si="149"/>
        <v>-57</v>
      </c>
      <c r="J621" s="306"/>
      <c r="K621" s="289">
        <f ca="1">K603</f>
        <v>100</v>
      </c>
      <c r="L621" s="278"/>
      <c r="M621" s="306">
        <f t="shared" ref="M621:M624" ca="1" si="152">I621</f>
        <v>-57</v>
      </c>
      <c r="N621" s="306"/>
      <c r="O621" s="289" t="str">
        <f>O603</f>
        <v xml:space="preserve"> </v>
      </c>
      <c r="P621" s="278"/>
      <c r="Q621" s="307">
        <f t="shared" si="150"/>
        <v>0</v>
      </c>
      <c r="R621" s="306"/>
      <c r="S621" s="289" t="str">
        <f>S603</f>
        <v xml:space="preserve"> </v>
      </c>
      <c r="T621" s="278"/>
      <c r="U621" s="307">
        <f t="shared" si="151"/>
        <v>0</v>
      </c>
      <c r="W621" s="356"/>
      <c r="AA621" s="4" t="s">
        <v>31</v>
      </c>
      <c r="AJ621" s="20"/>
      <c r="AK621" s="20"/>
      <c r="AL621" s="20"/>
      <c r="AM621" s="20"/>
      <c r="AN621" s="20"/>
      <c r="AO621" s="20"/>
      <c r="AP621" s="20"/>
    </row>
    <row r="622" spans="1:44">
      <c r="A622" s="308" t="s">
        <v>413</v>
      </c>
      <c r="B622" s="1"/>
      <c r="C622" s="304">
        <f t="shared" si="147"/>
        <v>71.866666666666703</v>
      </c>
      <c r="D622" s="289">
        <v>195</v>
      </c>
      <c r="E622" s="358"/>
      <c r="F622" s="306">
        <f t="shared" si="148"/>
        <v>-140</v>
      </c>
      <c r="G622" s="289">
        <f ca="1">G604</f>
        <v>200</v>
      </c>
      <c r="H622" s="358"/>
      <c r="I622" s="306">
        <f t="shared" ca="1" si="149"/>
        <v>-144</v>
      </c>
      <c r="J622" s="306"/>
      <c r="K622" s="289">
        <f ca="1">K604</f>
        <v>200</v>
      </c>
      <c r="L622" s="358"/>
      <c r="M622" s="306">
        <f t="shared" ca="1" si="152"/>
        <v>-144</v>
      </c>
      <c r="N622" s="306"/>
      <c r="O622" s="289" t="str">
        <f>O604</f>
        <v xml:space="preserve"> </v>
      </c>
      <c r="P622" s="358"/>
      <c r="Q622" s="307">
        <f t="shared" si="150"/>
        <v>0</v>
      </c>
      <c r="R622" s="306"/>
      <c r="S622" s="289" t="str">
        <f>S604</f>
        <v xml:space="preserve"> </v>
      </c>
      <c r="T622" s="358"/>
      <c r="U622" s="307">
        <f t="shared" si="151"/>
        <v>0</v>
      </c>
      <c r="W622" s="1271" t="s">
        <v>31</v>
      </c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412</v>
      </c>
      <c r="B623" s="1"/>
      <c r="C623" s="304">
        <f t="shared" si="147"/>
        <v>8475</v>
      </c>
      <c r="D623" s="289">
        <v>1.79</v>
      </c>
      <c r="E623" s="278"/>
      <c r="F623" s="306">
        <f t="shared" si="148"/>
        <v>-151</v>
      </c>
      <c r="G623" s="289">
        <f ca="1">G606</f>
        <v>1.83</v>
      </c>
      <c r="H623" s="278"/>
      <c r="I623" s="306">
        <f t="shared" ca="1" si="149"/>
        <v>-155</v>
      </c>
      <c r="J623" s="306"/>
      <c r="K623" s="289">
        <f ca="1">K606</f>
        <v>1.83</v>
      </c>
      <c r="L623" s="278"/>
      <c r="M623" s="306">
        <f t="shared" ca="1" si="152"/>
        <v>-155</v>
      </c>
      <c r="N623" s="306"/>
      <c r="O623" s="289" t="str">
        <f>O606</f>
        <v xml:space="preserve"> </v>
      </c>
      <c r="P623" s="278"/>
      <c r="Q623" s="307">
        <f t="shared" si="150"/>
        <v>0</v>
      </c>
      <c r="R623" s="306"/>
      <c r="S623" s="289" t="str">
        <f>S606</f>
        <v xml:space="preserve"> </v>
      </c>
      <c r="T623" s="278"/>
      <c r="U623" s="307">
        <f t="shared" si="151"/>
        <v>0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413</v>
      </c>
      <c r="B624" s="1"/>
      <c r="C624" s="304">
        <f t="shared" si="147"/>
        <v>44991</v>
      </c>
      <c r="D624" s="289">
        <v>1.46</v>
      </c>
      <c r="E624" s="278"/>
      <c r="F624" s="306">
        <f t="shared" si="148"/>
        <v>-657</v>
      </c>
      <c r="G624" s="289">
        <f ca="1">G607</f>
        <v>1.5</v>
      </c>
      <c r="H624" s="278"/>
      <c r="I624" s="306">
        <f t="shared" ca="1" si="149"/>
        <v>-675</v>
      </c>
      <c r="J624" s="306"/>
      <c r="K624" s="289">
        <f ca="1">K607</f>
        <v>1.5</v>
      </c>
      <c r="L624" s="278"/>
      <c r="M624" s="306">
        <f t="shared" ca="1" si="152"/>
        <v>-675</v>
      </c>
      <c r="N624" s="306"/>
      <c r="O624" s="289" t="str">
        <f>O607</f>
        <v xml:space="preserve"> </v>
      </c>
      <c r="P624" s="278"/>
      <c r="Q624" s="307">
        <f t="shared" si="150"/>
        <v>0</v>
      </c>
      <c r="R624" s="306"/>
      <c r="S624" s="289" t="str">
        <f>S607</f>
        <v xml:space="preserve"> </v>
      </c>
      <c r="T624" s="278"/>
      <c r="U624" s="307">
        <f t="shared" si="151"/>
        <v>0</v>
      </c>
      <c r="W624" s="88" t="s">
        <v>31</v>
      </c>
      <c r="AJ624" s="20"/>
      <c r="AK624" s="20"/>
      <c r="AL624" s="20"/>
      <c r="AM624" s="20"/>
      <c r="AN624" s="20"/>
      <c r="AO624" s="20"/>
      <c r="AP624" s="20"/>
    </row>
    <row r="625" spans="1:44">
      <c r="A625" s="294" t="s">
        <v>415</v>
      </c>
      <c r="B625" s="1"/>
      <c r="C625" s="304">
        <f t="shared" si="147"/>
        <v>35876</v>
      </c>
      <c r="D625" s="289">
        <v>5.47</v>
      </c>
      <c r="E625" s="278"/>
      <c r="F625" s="306">
        <f t="shared" si="148"/>
        <v>-1962</v>
      </c>
      <c r="G625" s="289">
        <f ca="1">G609</f>
        <v>5.6</v>
      </c>
      <c r="H625" s="278"/>
      <c r="I625" s="306">
        <f t="shared" ca="1" si="149"/>
        <v>-2009</v>
      </c>
      <c r="J625" s="306"/>
      <c r="K625" s="289" t="e">
        <f ca="1">K609</f>
        <v>#REF!</v>
      </c>
      <c r="L625" s="278"/>
      <c r="M625" s="306" t="e">
        <f ca="1">K625*C625*K619</f>
        <v>#REF!</v>
      </c>
      <c r="N625" s="306"/>
      <c r="O625" s="289">
        <f>O609</f>
        <v>0</v>
      </c>
      <c r="P625" s="278"/>
      <c r="Q625" s="306">
        <f t="shared" si="150"/>
        <v>0</v>
      </c>
      <c r="R625" s="306"/>
      <c r="S625" s="289">
        <f>S609</f>
        <v>0</v>
      </c>
      <c r="T625" s="278"/>
      <c r="U625" s="306">
        <f t="shared" si="151"/>
        <v>0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431</v>
      </c>
      <c r="B626" s="1"/>
      <c r="C626" s="304">
        <f t="shared" si="147"/>
        <v>307</v>
      </c>
      <c r="D626" s="289">
        <v>5.47</v>
      </c>
      <c r="E626" s="278"/>
      <c r="F626" s="306">
        <f t="shared" si="148"/>
        <v>-17</v>
      </c>
      <c r="G626" s="289">
        <f ca="1">G610</f>
        <v>5.6</v>
      </c>
      <c r="H626" s="278"/>
      <c r="I626" s="306">
        <f t="shared" ca="1" si="149"/>
        <v>-17</v>
      </c>
      <c r="J626" s="306"/>
      <c r="K626" s="289" t="e">
        <f ca="1">K610</f>
        <v>#REF!</v>
      </c>
      <c r="L626" s="278"/>
      <c r="M626" s="306" t="e">
        <f ca="1">K626*C626*K619</f>
        <v>#REF!</v>
      </c>
      <c r="N626" s="306"/>
      <c r="O626" s="289">
        <f>O610</f>
        <v>0</v>
      </c>
      <c r="P626" s="278"/>
      <c r="Q626" s="306">
        <f t="shared" si="150"/>
        <v>0</v>
      </c>
      <c r="R626" s="306"/>
      <c r="S626" s="289">
        <f>S610</f>
        <v>0</v>
      </c>
      <c r="T626" s="278"/>
      <c r="U626" s="306">
        <f t="shared" si="151"/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308" t="s">
        <v>417</v>
      </c>
      <c r="B627" s="1"/>
      <c r="C627" s="304">
        <f t="shared" si="147"/>
        <v>4639573.3333333302</v>
      </c>
      <c r="D627" s="359">
        <v>5.7730000000000006</v>
      </c>
      <c r="E627" s="308" t="s">
        <v>364</v>
      </c>
      <c r="F627" s="306">
        <f t="shared" si="148"/>
        <v>-2678</v>
      </c>
      <c r="G627" s="359">
        <f ca="1">G612</f>
        <v>5.9119999999999999</v>
      </c>
      <c r="H627" s="308" t="s">
        <v>364</v>
      </c>
      <c r="I627" s="306">
        <f t="shared" ca="1" si="149"/>
        <v>-2743</v>
      </c>
      <c r="J627" s="306"/>
      <c r="K627" s="359" t="str">
        <f>K612</f>
        <v xml:space="preserve"> </v>
      </c>
      <c r="L627" s="308" t="s">
        <v>31</v>
      </c>
      <c r="M627" s="306">
        <f>K627*C627</f>
        <v>0</v>
      </c>
      <c r="N627" s="306"/>
      <c r="O627" s="359" t="e">
        <f ca="1">O612</f>
        <v>#REF!</v>
      </c>
      <c r="P627" s="308" t="s">
        <v>364</v>
      </c>
      <c r="Q627" s="306" t="e">
        <f ca="1">O627*C627/100*$O$619</f>
        <v>#REF!</v>
      </c>
      <c r="R627" s="306"/>
      <c r="S627" s="359" t="e">
        <f ca="1">S612</f>
        <v>#REF!</v>
      </c>
      <c r="T627" s="308" t="s">
        <v>364</v>
      </c>
      <c r="U627" s="306" t="e">
        <f ca="1">S627*C627/100*$S$619</f>
        <v>#REF!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389</v>
      </c>
      <c r="B628" s="1"/>
      <c r="C628" s="304">
        <f t="shared" si="147"/>
        <v>8425606.6666666716</v>
      </c>
      <c r="D628" s="359">
        <v>5.2879999999999994</v>
      </c>
      <c r="E628" s="308" t="s">
        <v>364</v>
      </c>
      <c r="F628" s="306">
        <f t="shared" si="148"/>
        <v>-4455</v>
      </c>
      <c r="G628" s="359">
        <f ca="1">G613</f>
        <v>5.41</v>
      </c>
      <c r="H628" s="308" t="s">
        <v>364</v>
      </c>
      <c r="I628" s="306">
        <f t="shared" ca="1" si="149"/>
        <v>-4558</v>
      </c>
      <c r="J628" s="306"/>
      <c r="K628" s="359" t="str">
        <f>K613</f>
        <v xml:space="preserve"> </v>
      </c>
      <c r="L628" s="308" t="s">
        <v>31</v>
      </c>
      <c r="M628" s="306">
        <f>K628*C628</f>
        <v>0</v>
      </c>
      <c r="N628" s="306"/>
      <c r="O628" s="359" t="e">
        <f ca="1">O613</f>
        <v>#REF!</v>
      </c>
      <c r="P628" s="308" t="s">
        <v>364</v>
      </c>
      <c r="Q628" s="306" t="e">
        <f ca="1">O628*C628/100*$O$619</f>
        <v>#REF!</v>
      </c>
      <c r="R628" s="306"/>
      <c r="S628" s="359" t="e">
        <f ca="1">S613</f>
        <v>#REF!</v>
      </c>
      <c r="T628" s="308" t="s">
        <v>364</v>
      </c>
      <c r="U628" s="306" t="e">
        <f ca="1">S628*C628/100*$S$619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390</v>
      </c>
      <c r="B629" s="1"/>
      <c r="C629" s="304">
        <f t="shared" si="147"/>
        <v>8751.9666666666617</v>
      </c>
      <c r="D629" s="360">
        <v>57</v>
      </c>
      <c r="E629" s="308" t="s">
        <v>364</v>
      </c>
      <c r="F629" s="306">
        <f t="shared" si="148"/>
        <v>-49</v>
      </c>
      <c r="G629" s="360">
        <f ca="1">G614</f>
        <v>58</v>
      </c>
      <c r="H629" s="308" t="s">
        <v>364</v>
      </c>
      <c r="I629" s="306">
        <f t="shared" ca="1" si="149"/>
        <v>-51</v>
      </c>
      <c r="J629" s="306"/>
      <c r="K629" s="360" t="str">
        <f>K614</f>
        <v xml:space="preserve"> </v>
      </c>
      <c r="L629" s="308" t="s">
        <v>31</v>
      </c>
      <c r="M629" s="306">
        <f>K629*C629</f>
        <v>0</v>
      </c>
      <c r="N629" s="306"/>
      <c r="O629" s="360" t="e">
        <f ca="1">O614</f>
        <v>#DIV/0!</v>
      </c>
      <c r="P629" s="308" t="s">
        <v>364</v>
      </c>
      <c r="Q629" s="306" t="e">
        <f t="shared" ref="Q629" ca="1" si="153">Q669+Q707</f>
        <v>#DIV/0!</v>
      </c>
      <c r="R629" s="306"/>
      <c r="S629" s="360" t="e">
        <f ca="1">S614</f>
        <v>#DIV/0!</v>
      </c>
      <c r="T629" s="308" t="s">
        <v>364</v>
      </c>
      <c r="U629" s="306" t="e">
        <f t="shared" ref="U629" ca="1" si="154">U669+U707</f>
        <v>#DIV/0!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433</v>
      </c>
      <c r="B630" s="1"/>
      <c r="C630" s="304">
        <f t="shared" si="147"/>
        <v>135.96666666666667</v>
      </c>
      <c r="D630" s="283">
        <v>60</v>
      </c>
      <c r="E630" s="1"/>
      <c r="F630" s="306">
        <f t="shared" si="148"/>
        <v>8158</v>
      </c>
      <c r="G630" s="283">
        <f>'Blocking - detail'!I504</f>
        <v>60</v>
      </c>
      <c r="H630" s="1"/>
      <c r="I630" s="306">
        <f t="shared" si="149"/>
        <v>8158</v>
      </c>
      <c r="J630" s="306"/>
      <c r="K630" s="286" t="s">
        <v>31</v>
      </c>
      <c r="L630" s="1"/>
      <c r="M630" s="306">
        <f>K630*C630</f>
        <v>0</v>
      </c>
      <c r="N630" s="306"/>
      <c r="O630" s="283" t="e">
        <f>Q630/C630</f>
        <v>#DIV/0!</v>
      </c>
      <c r="P630" s="1"/>
      <c r="Q630" s="306" t="e">
        <f>I630*(W639/(W639+X639))</f>
        <v>#DIV/0!</v>
      </c>
      <c r="R630" s="306"/>
      <c r="S630" s="283" t="e">
        <f>U630/C630</f>
        <v>#DIV/0!</v>
      </c>
      <c r="T630" s="1"/>
      <c r="U630" s="306" t="e">
        <f>I630*(X639/(W639+X639))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434</v>
      </c>
      <c r="B631" s="1"/>
      <c r="C631" s="304">
        <f t="shared" si="147"/>
        <v>53526</v>
      </c>
      <c r="D631" s="324">
        <v>-30</v>
      </c>
      <c r="E631" s="306" t="s">
        <v>364</v>
      </c>
      <c r="F631" s="306">
        <f t="shared" si="148"/>
        <v>-16058</v>
      </c>
      <c r="G631" s="324">
        <f>'Blocking - detail'!I505</f>
        <v>-30</v>
      </c>
      <c r="H631" s="306" t="s">
        <v>364</v>
      </c>
      <c r="I631" s="306">
        <f t="shared" si="149"/>
        <v>-16058</v>
      </c>
      <c r="J631" s="306"/>
      <c r="K631" s="324">
        <f>G631</f>
        <v>-30</v>
      </c>
      <c r="L631" s="306" t="s">
        <v>364</v>
      </c>
      <c r="M631" s="306">
        <f>I631</f>
        <v>-16058</v>
      </c>
      <c r="N631" s="306"/>
      <c r="O631" s="1281" t="s">
        <v>31</v>
      </c>
      <c r="P631" s="306" t="s">
        <v>31</v>
      </c>
      <c r="Q631" s="307">
        <f>O631*C631</f>
        <v>0</v>
      </c>
      <c r="R631" s="306"/>
      <c r="S631" s="1281" t="s">
        <v>31</v>
      </c>
      <c r="T631" s="306" t="s">
        <v>31</v>
      </c>
      <c r="U631" s="307">
        <f>S631*C631</f>
        <v>0</v>
      </c>
      <c r="AJ631" s="20"/>
      <c r="AK631" s="20"/>
      <c r="AL631" s="20"/>
      <c r="AM631" s="20"/>
      <c r="AN631" s="20"/>
      <c r="AO631" s="20"/>
      <c r="AP631" s="20"/>
    </row>
    <row r="632" spans="1:44" s="1118" customFormat="1" hidden="1">
      <c r="A632" s="968" t="s">
        <v>882</v>
      </c>
      <c r="C632" s="987">
        <f>C627</f>
        <v>4639573.3333333302</v>
      </c>
      <c r="D632" s="1423">
        <v>0</v>
      </c>
      <c r="E632" s="1119"/>
      <c r="F632" s="1123"/>
      <c r="G632" s="1128">
        <f>G615</f>
        <v>0</v>
      </c>
      <c r="H632" s="1000" t="s">
        <v>364</v>
      </c>
      <c r="I632" s="306">
        <f t="shared" si="149"/>
        <v>0</v>
      </c>
      <c r="J632" s="306"/>
      <c r="K632" s="1128" t="str">
        <f>K615</f>
        <v xml:space="preserve"> </v>
      </c>
      <c r="L632" s="1000" t="s">
        <v>31</v>
      </c>
      <c r="M632" s="999">
        <f>K632*C632/100*K619</f>
        <v>0</v>
      </c>
      <c r="N632" s="306"/>
      <c r="O632" s="1128" t="s">
        <v>31</v>
      </c>
      <c r="P632" s="1000" t="s">
        <v>31</v>
      </c>
      <c r="Q632" s="999">
        <f>O632*C632/100*O619</f>
        <v>0</v>
      </c>
      <c r="R632" s="306"/>
      <c r="S632" s="1128">
        <f>S615</f>
        <v>0</v>
      </c>
      <c r="T632" s="1000" t="s">
        <v>364</v>
      </c>
      <c r="U632" s="306">
        <f>I632</f>
        <v>0</v>
      </c>
      <c r="W632" s="784"/>
      <c r="Z632" s="1125"/>
      <c r="AA632" s="1125"/>
      <c r="AF632" s="1119"/>
      <c r="AG632" s="1119"/>
      <c r="AH632" s="1119"/>
      <c r="AI632" s="1119"/>
      <c r="AJ632" s="1119"/>
      <c r="AK632" s="1119"/>
      <c r="AL632" s="1119"/>
      <c r="AM632" s="1119"/>
      <c r="AN632" s="1119"/>
      <c r="AO632" s="1119"/>
      <c r="AP632" s="1119"/>
      <c r="AR632" s="1124"/>
    </row>
    <row r="633" spans="1:44" s="1118" customFormat="1" hidden="1">
      <c r="A633" s="968" t="s">
        <v>883</v>
      </c>
      <c r="C633" s="987">
        <f>C628</f>
        <v>8425606.6666666716</v>
      </c>
      <c r="D633" s="1423"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49"/>
        <v>0</v>
      </c>
      <c r="J633" s="306"/>
      <c r="K633" s="1128" t="str">
        <f>K616</f>
        <v xml:space="preserve"> </v>
      </c>
      <c r="L633" s="1000" t="s">
        <v>31</v>
      </c>
      <c r="M633" s="999">
        <f>K633*C633/100*K619</f>
        <v>0</v>
      </c>
      <c r="N633" s="306"/>
      <c r="O633" s="1128" t="s">
        <v>31</v>
      </c>
      <c r="P633" s="1000" t="s">
        <v>31</v>
      </c>
      <c r="Q633" s="999">
        <f>O633*C633/100*O619</f>
        <v>0</v>
      </c>
      <c r="R633" s="306"/>
      <c r="S633" s="1128">
        <f>S616</f>
        <v>0</v>
      </c>
      <c r="T633" s="1000" t="s">
        <v>364</v>
      </c>
      <c r="U633" s="306">
        <f>I633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>
      <c r="A634" s="1" t="s">
        <v>371</v>
      </c>
      <c r="B634" s="65"/>
      <c r="C634" s="304">
        <f>C674+C712</f>
        <v>922516135.814906</v>
      </c>
      <c r="D634" s="309"/>
      <c r="E634" s="1"/>
      <c r="F634" s="2">
        <f>F674+F712</f>
        <v>72786063</v>
      </c>
      <c r="G634" s="2"/>
      <c r="H634" s="1"/>
      <c r="I634" s="2">
        <f t="shared" ca="1" si="149"/>
        <v>74506968</v>
      </c>
      <c r="J634" s="2"/>
      <c r="K634" s="2"/>
      <c r="L634" s="1"/>
      <c r="M634" s="2" t="e">
        <f ca="1">SUM(M602:M633)</f>
        <v>#REF!</v>
      </c>
      <c r="N634" s="2"/>
      <c r="O634" s="2"/>
      <c r="P634" s="1"/>
      <c r="Q634" s="2" t="e">
        <f ca="1">SUM(Q602:Q633)</f>
        <v>#REF!</v>
      </c>
      <c r="R634" s="2"/>
      <c r="S634" s="2"/>
      <c r="T634" s="1"/>
      <c r="U634" s="2" t="e">
        <f ca="1">SUM(U602:U633)</f>
        <v>#REF!</v>
      </c>
      <c r="X634" s="773"/>
      <c r="Y634" s="773"/>
      <c r="AJ634" s="20"/>
      <c r="AK634" s="20"/>
      <c r="AL634" s="20"/>
      <c r="AM634" s="20"/>
      <c r="AN634" s="20"/>
      <c r="AO634" s="20"/>
      <c r="AP634" s="20"/>
    </row>
    <row r="635" spans="1:44">
      <c r="A635" s="1" t="s">
        <v>353</v>
      </c>
      <c r="B635" s="25"/>
      <c r="C635" s="325">
        <f ca="1">C675+C713</f>
        <v>6097942.0909218071</v>
      </c>
      <c r="D635" s="294"/>
      <c r="E635" s="294"/>
      <c r="F635" s="295">
        <f ca="1">F675+F713</f>
        <v>526986.3902728206</v>
      </c>
      <c r="G635" s="294"/>
      <c r="H635" s="294"/>
      <c r="I635" s="295">
        <f ca="1">F635</f>
        <v>526986.3902728206</v>
      </c>
      <c r="J635" s="51"/>
      <c r="K635" s="294"/>
      <c r="L635" s="294"/>
      <c r="M635" s="295" t="e">
        <f ca="1">$I$635*V639/($V$639+$W$639+$X$639)</f>
        <v>#DIV/0!</v>
      </c>
      <c r="N635" s="51"/>
      <c r="O635" s="294"/>
      <c r="P635" s="294"/>
      <c r="Q635" s="295" t="e">
        <f ca="1">$I$635*W639/($V$639+$W$639+$X$639)</f>
        <v>#DIV/0!</v>
      </c>
      <c r="R635" s="51"/>
      <c r="S635" s="294"/>
      <c r="T635" s="294"/>
      <c r="U635" s="295" t="e">
        <f ca="1">$I$635*X639/($V$639+$W$639+$X$639)</f>
        <v>#DIV/0!</v>
      </c>
      <c r="V635" s="274"/>
      <c r="W635" s="275"/>
      <c r="AJ635" s="20"/>
      <c r="AK635" s="20"/>
      <c r="AL635" s="20"/>
      <c r="AM635" s="20"/>
      <c r="AN635" s="20"/>
      <c r="AO635" s="20"/>
      <c r="AP635" s="20"/>
    </row>
    <row r="636" spans="1:44" ht="16.5" thickBot="1">
      <c r="A636" s="1" t="s">
        <v>372</v>
      </c>
      <c r="B636" s="1"/>
      <c r="C636" s="351">
        <f ca="1">SUM(C634)+C635</f>
        <v>928614077.90582776</v>
      </c>
      <c r="D636" s="327"/>
      <c r="E636" s="330"/>
      <c r="F636" s="329">
        <f ca="1">F634+F635</f>
        <v>73313049.390272826</v>
      </c>
      <c r="G636" s="327"/>
      <c r="H636" s="330"/>
      <c r="I636" s="329">
        <f ca="1">I634+I635</f>
        <v>75033954.390272826</v>
      </c>
      <c r="J636" s="329"/>
      <c r="K636" s="327"/>
      <c r="L636" s="330"/>
      <c r="M636" s="329" t="e">
        <f ca="1">M634+M635</f>
        <v>#REF!</v>
      </c>
      <c r="N636" s="329"/>
      <c r="O636" s="327"/>
      <c r="P636" s="330"/>
      <c r="Q636" s="329" t="e">
        <f ca="1">Q634+Q635</f>
        <v>#REF!</v>
      </c>
      <c r="R636" s="329"/>
      <c r="S636" s="327"/>
      <c r="T636" s="330"/>
      <c r="U636" s="329" t="e">
        <f ca="1">U634+U635</f>
        <v>#REF!</v>
      </c>
      <c r="V636" s="757" t="s">
        <v>399</v>
      </c>
      <c r="W636" s="1082">
        <f ca="1">'Rate Spread targets'!X26*1000</f>
        <v>75033970.194648847</v>
      </c>
      <c r="X636" s="1417">
        <f ca="1">'Rate Spread targets'!AA26</f>
        <v>2.3473253601397698E-2</v>
      </c>
      <c r="Y636" s="751"/>
      <c r="Z636" s="770">
        <f ca="1">'Rate Spread targets'!AA26+0.001</f>
        <v>2.4473253601397699E-2</v>
      </c>
      <c r="AA636" s="4" t="s">
        <v>894</v>
      </c>
      <c r="AJ636" s="20"/>
      <c r="AK636" s="20"/>
      <c r="AL636" s="20"/>
      <c r="AM636" s="20"/>
      <c r="AN636" s="20"/>
      <c r="AO636" s="20"/>
      <c r="AP636" s="20"/>
    </row>
    <row r="637" spans="1:44" ht="16.5" thickTop="1">
      <c r="A637" s="1"/>
      <c r="B637" s="1"/>
      <c r="C637" s="26"/>
      <c r="D637" s="336"/>
      <c r="E637" s="23"/>
      <c r="F637" s="307"/>
      <c r="G637" s="336"/>
      <c r="H637" s="23"/>
      <c r="I637" s="307"/>
      <c r="J637" s="307"/>
      <c r="K637" s="336"/>
      <c r="L637" s="23"/>
      <c r="M637" s="307"/>
      <c r="N637" s="307"/>
      <c r="O637" s="336"/>
      <c r="P637" s="23"/>
      <c r="Q637" s="307"/>
      <c r="R637" s="307"/>
      <c r="S637" s="336"/>
      <c r="T637" s="23"/>
      <c r="U637" s="307"/>
      <c r="V637" s="112" t="s">
        <v>257</v>
      </c>
      <c r="W637" s="780">
        <f ca="1">W636-I636</f>
        <v>15.804376021027565</v>
      </c>
      <c r="X637" s="783" t="s">
        <v>31</v>
      </c>
      <c r="Y637" s="751"/>
      <c r="Z637" s="55"/>
      <c r="AJ637" s="20"/>
      <c r="AK637" s="20"/>
      <c r="AL637" s="20"/>
      <c r="AM637" s="20"/>
      <c r="AN637" s="20"/>
      <c r="AO637" s="20"/>
      <c r="AP637" s="20"/>
    </row>
    <row r="638" spans="1:44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307"/>
      <c r="V638" s="1279"/>
      <c r="W638" s="1279"/>
      <c r="X638" s="719"/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>
      <c r="A639" s="1"/>
      <c r="B639" s="1"/>
      <c r="C639" s="21"/>
      <c r="D639" s="322" t="s">
        <v>31</v>
      </c>
      <c r="E639" s="1"/>
      <c r="F639" s="2" t="s">
        <v>31</v>
      </c>
      <c r="G639" s="338" t="s">
        <v>31</v>
      </c>
      <c r="H639" s="1"/>
      <c r="I639" s="2" t="s">
        <v>31</v>
      </c>
      <c r="J639" s="2"/>
      <c r="K639" s="338" t="s">
        <v>31</v>
      </c>
      <c r="L639" s="1"/>
      <c r="M639" s="2" t="s">
        <v>31</v>
      </c>
      <c r="N639" s="2"/>
      <c r="O639" s="338" t="s">
        <v>31</v>
      </c>
      <c r="P639" s="1"/>
      <c r="Q639" s="2" t="s">
        <v>31</v>
      </c>
      <c r="R639" s="2"/>
      <c r="S639" s="338" t="s">
        <v>31</v>
      </c>
      <c r="T639" s="1"/>
      <c r="U639" s="2" t="s">
        <v>31</v>
      </c>
      <c r="V639" s="1124"/>
      <c r="W639" s="1124"/>
      <c r="X639" s="1124"/>
      <c r="Y639" s="1129"/>
      <c r="AJ639" s="20"/>
      <c r="AK639" s="20"/>
      <c r="AL639" s="20"/>
      <c r="AM639" s="20"/>
      <c r="AN639" s="20"/>
      <c r="AO639" s="20"/>
      <c r="AP639" s="20"/>
    </row>
    <row r="640" spans="1:44">
      <c r="A640" s="278" t="s">
        <v>426</v>
      </c>
      <c r="B640" s="1"/>
      <c r="C640" s="1"/>
      <c r="D640" s="2"/>
      <c r="E640" s="1"/>
      <c r="F640" s="1"/>
      <c r="G640" s="2"/>
      <c r="H640" s="1"/>
      <c r="I640" s="1"/>
      <c r="J640" s="1"/>
      <c r="K640" s="2"/>
      <c r="L640" s="1"/>
      <c r="M640" s="1"/>
      <c r="N640" s="1"/>
      <c r="O640" s="2"/>
      <c r="P640" s="1"/>
      <c r="Q640" s="1"/>
      <c r="R640" s="1"/>
      <c r="S640" s="2"/>
      <c r="T640" s="1"/>
      <c r="U640" s="1"/>
      <c r="AJ640" s="20"/>
      <c r="AK640" s="20"/>
      <c r="AL640" s="20"/>
      <c r="AM640" s="20"/>
      <c r="AN640" s="20"/>
      <c r="AO640" s="20"/>
      <c r="AP640" s="20"/>
    </row>
    <row r="641" spans="1:42">
      <c r="A641" s="294" t="s">
        <v>435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W641" s="261" t="s">
        <v>31</v>
      </c>
      <c r="AJ641" s="20"/>
      <c r="AK641" s="20"/>
      <c r="AL641" s="20"/>
      <c r="AM641" s="20"/>
      <c r="AN641" s="20"/>
      <c r="AO641" s="20"/>
      <c r="AP641" s="20"/>
    </row>
    <row r="642" spans="1:42">
      <c r="A642" s="308"/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V642" s="20"/>
      <c r="W642" s="74"/>
      <c r="X642" s="74"/>
      <c r="Y642" s="74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</row>
    <row r="643" spans="1:42">
      <c r="A643" s="308" t="s">
        <v>383</v>
      </c>
      <c r="B643" s="1"/>
      <c r="C643" s="304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>
      <c r="A644" s="308" t="s">
        <v>411</v>
      </c>
      <c r="B644" s="1"/>
      <c r="C644" s="304">
        <v>389.06666666666672</v>
      </c>
      <c r="D644" s="283">
        <v>264</v>
      </c>
      <c r="E644" s="308"/>
      <c r="F644" s="306">
        <f>ROUND(D644*C644,0)</f>
        <v>102714</v>
      </c>
      <c r="G644" s="283">
        <f ca="1">$G$602</f>
        <v>268</v>
      </c>
      <c r="H644" s="308"/>
      <c r="I644" s="306">
        <f ca="1">ROUND(G644*$C644,0)</f>
        <v>104270</v>
      </c>
      <c r="J644" s="306"/>
      <c r="K644" s="283">
        <f ca="1">$K$602</f>
        <v>268</v>
      </c>
      <c r="L644" s="308"/>
      <c r="M644" s="306">
        <f ca="1">ROUND(K644*$C644,0)</f>
        <v>104270</v>
      </c>
      <c r="N644" s="306"/>
      <c r="O644" s="283" t="str">
        <f>$O$602</f>
        <v xml:space="preserve"> </v>
      </c>
      <c r="P644" s="308"/>
      <c r="Q644" s="306">
        <f>ROUND(O644*$C644,0)</f>
        <v>0</v>
      </c>
      <c r="R644" s="306"/>
      <c r="S644" s="283" t="str">
        <f>$S$602</f>
        <v xml:space="preserve"> </v>
      </c>
      <c r="T644" s="308"/>
      <c r="U644" s="306">
        <f>ROUND(S644*$C644,0)</f>
        <v>0</v>
      </c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>
      <c r="A645" s="308" t="s">
        <v>412</v>
      </c>
      <c r="B645" s="1"/>
      <c r="C645" s="304">
        <v>7908.9999999999536</v>
      </c>
      <c r="D645" s="283">
        <v>98</v>
      </c>
      <c r="E645" s="308"/>
      <c r="F645" s="306">
        <f>ROUND(D645*C645,0)</f>
        <v>775082</v>
      </c>
      <c r="G645" s="283">
        <f ca="1">$G$603</f>
        <v>100</v>
      </c>
      <c r="H645" s="308"/>
      <c r="I645" s="306">
        <f ca="1">ROUND(G645*$C645,0)</f>
        <v>790900</v>
      </c>
      <c r="J645" s="306"/>
      <c r="K645" s="283">
        <f ca="1">$K$603</f>
        <v>100</v>
      </c>
      <c r="L645" s="308"/>
      <c r="M645" s="306">
        <f ca="1">ROUND(K645*$C645,0)</f>
        <v>790900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>
      <c r="A646" s="308" t="s">
        <v>413</v>
      </c>
      <c r="B646" s="1"/>
      <c r="C646" s="304">
        <v>3359.0333333333369</v>
      </c>
      <c r="D646" s="283">
        <v>195</v>
      </c>
      <c r="E646" s="310"/>
      <c r="F646" s="306">
        <f>ROUND(D646*C646,0)</f>
        <v>655012</v>
      </c>
      <c r="G646" s="283">
        <f ca="1">$G$604</f>
        <v>200</v>
      </c>
      <c r="H646" s="310"/>
      <c r="I646" s="306">
        <f ca="1">ROUND(G646*$C646,0)</f>
        <v>671807</v>
      </c>
      <c r="J646" s="306"/>
      <c r="K646" s="283">
        <f ca="1">$K$604</f>
        <v>200</v>
      </c>
      <c r="L646" s="310"/>
      <c r="M646" s="306">
        <f ca="1">ROUND(K646*$C646,0)</f>
        <v>671807</v>
      </c>
      <c r="N646" s="306"/>
      <c r="O646" s="283" t="str">
        <f>$O$604</f>
        <v xml:space="preserve"> </v>
      </c>
      <c r="P646" s="310"/>
      <c r="Q646" s="306">
        <f>ROUND(O646*$C646,0)</f>
        <v>0</v>
      </c>
      <c r="R646" s="306"/>
      <c r="S646" s="283" t="str">
        <f>$S$604</f>
        <v xml:space="preserve"> </v>
      </c>
      <c r="T646" s="310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>
      <c r="A647" s="308" t="s">
        <v>384</v>
      </c>
      <c r="B647" s="1"/>
      <c r="C647" s="304">
        <f>SUM(C644:C646)</f>
        <v>11657.099999999957</v>
      </c>
      <c r="D647" s="283"/>
      <c r="E647" s="308"/>
      <c r="F647" s="306"/>
      <c r="G647" s="283"/>
      <c r="H647" s="308"/>
      <c r="I647" s="306"/>
      <c r="J647" s="306"/>
      <c r="K647" s="283"/>
      <c r="L647" s="308"/>
      <c r="M647" s="306"/>
      <c r="N647" s="306"/>
      <c r="O647" s="283"/>
      <c r="P647" s="308"/>
      <c r="Q647" s="306"/>
      <c r="R647" s="306"/>
      <c r="S647" s="283"/>
      <c r="T647" s="308"/>
      <c r="U647" s="306"/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>
      <c r="A648" s="308" t="s">
        <v>412</v>
      </c>
      <c r="B648" s="1"/>
      <c r="C648" s="304">
        <v>1361738.5</v>
      </c>
      <c r="D648" s="283">
        <v>1.79</v>
      </c>
      <c r="E648" s="308" t="s">
        <v>31</v>
      </c>
      <c r="F648" s="306">
        <f>ROUND(D648*C648,0)</f>
        <v>2437512</v>
      </c>
      <c r="G648" s="283">
        <f ca="1">$G$606</f>
        <v>1.83</v>
      </c>
      <c r="H648" s="308" t="s">
        <v>31</v>
      </c>
      <c r="I648" s="306">
        <f ca="1">ROUND(G648*$C648,0)</f>
        <v>2491981</v>
      </c>
      <c r="J648" s="306"/>
      <c r="K648" s="283">
        <f ca="1">$K$606</f>
        <v>1.83</v>
      </c>
      <c r="L648" s="308" t="s">
        <v>31</v>
      </c>
      <c r="M648" s="306">
        <f ca="1">ROUND(K648*$C648,0)</f>
        <v>2491981</v>
      </c>
      <c r="N648" s="306"/>
      <c r="O648" s="283" t="str">
        <f>$O$606</f>
        <v xml:space="preserve"> </v>
      </c>
      <c r="P648" s="308" t="s">
        <v>31</v>
      </c>
      <c r="Q648" s="306">
        <f>ROUND(O648*$C648,0)</f>
        <v>0</v>
      </c>
      <c r="R648" s="306"/>
      <c r="S648" s="283" t="str">
        <f>$S$606</f>
        <v xml:space="preserve"> </v>
      </c>
      <c r="T648" s="308" t="s">
        <v>31</v>
      </c>
      <c r="U648" s="306">
        <f>ROUND(S648*$C648,0)</f>
        <v>0</v>
      </c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>
      <c r="A649" s="308" t="s">
        <v>413</v>
      </c>
      <c r="B649" s="1"/>
      <c r="C649" s="304">
        <v>1673144</v>
      </c>
      <c r="D649" s="283">
        <v>1.46</v>
      </c>
      <c r="E649" s="308" t="s">
        <v>31</v>
      </c>
      <c r="F649" s="306">
        <f>ROUND(D649*C649,0)</f>
        <v>2442790</v>
      </c>
      <c r="G649" s="283">
        <f ca="1">$G$607</f>
        <v>1.5</v>
      </c>
      <c r="H649" s="308" t="s">
        <v>31</v>
      </c>
      <c r="I649" s="306">
        <f ca="1">ROUND(G649*$C649,0)</f>
        <v>2509716</v>
      </c>
      <c r="J649" s="306"/>
      <c r="K649" s="283">
        <f ca="1">$K$607</f>
        <v>1.5</v>
      </c>
      <c r="L649" s="308" t="s">
        <v>31</v>
      </c>
      <c r="M649" s="306">
        <f ca="1">ROUND(K649*$C649,0)</f>
        <v>2509716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>
      <c r="A650" s="294" t="s">
        <v>414</v>
      </c>
      <c r="B650" s="1"/>
      <c r="C650" s="304"/>
      <c r="D650" s="340"/>
      <c r="E650" s="308"/>
      <c r="F650" s="306"/>
      <c r="G650" s="340"/>
      <c r="H650" s="308"/>
      <c r="I650" s="306"/>
      <c r="J650" s="306"/>
      <c r="K650" s="340"/>
      <c r="L650" s="308"/>
      <c r="M650" s="306"/>
      <c r="N650" s="306"/>
      <c r="O650" s="340"/>
      <c r="P650" s="308"/>
      <c r="Q650" s="306"/>
      <c r="R650" s="306"/>
      <c r="S650" s="340"/>
      <c r="T650" s="308"/>
      <c r="U650" s="306"/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>
      <c r="A651" s="294" t="s">
        <v>415</v>
      </c>
      <c r="B651" s="1"/>
      <c r="C651" s="304">
        <v>2302073.5</v>
      </c>
      <c r="D651" s="283">
        <v>5.47</v>
      </c>
      <c r="E651" s="308"/>
      <c r="F651" s="306">
        <f>ROUND(D651*C651,0)</f>
        <v>12592342</v>
      </c>
      <c r="G651" s="283">
        <f ca="1">$G$609</f>
        <v>5.6</v>
      </c>
      <c r="H651" s="308"/>
      <c r="I651" s="306">
        <f ca="1">ROUND(G651*$C651,0)</f>
        <v>12891612</v>
      </c>
      <c r="J651" s="306"/>
      <c r="K651" s="283" t="e">
        <f ca="1">$K$609</f>
        <v>#REF!</v>
      </c>
      <c r="L651" s="308"/>
      <c r="M651" s="306" t="e">
        <f ca="1">ROUND(K651*$C651,0)</f>
        <v>#REF!</v>
      </c>
      <c r="N651" s="306"/>
      <c r="O651" s="283">
        <f>$O$609</f>
        <v>0</v>
      </c>
      <c r="P651" s="308"/>
      <c r="Q651" s="306">
        <f>ROUND(O651*$C651,0)</f>
        <v>0</v>
      </c>
      <c r="R651" s="306"/>
      <c r="S651" s="283">
        <f>$S$609</f>
        <v>0</v>
      </c>
      <c r="T651" s="308"/>
      <c r="U651" s="306">
        <f>ROUND(S651*$C651,0)</f>
        <v>0</v>
      </c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>
      <c r="A652" s="294" t="s">
        <v>431</v>
      </c>
      <c r="B652" s="1"/>
      <c r="C652" s="304">
        <v>3562.6666666666692</v>
      </c>
      <c r="D652" s="354">
        <v>5.47</v>
      </c>
      <c r="E652" s="308"/>
      <c r="F652" s="306">
        <f>ROUND(D652*C652,0)</f>
        <v>19488</v>
      </c>
      <c r="G652" s="354">
        <f ca="1">G651</f>
        <v>5.6</v>
      </c>
      <c r="H652" s="308"/>
      <c r="I652" s="306">
        <f ca="1">ROUND(G652*$C652,0)</f>
        <v>19951</v>
      </c>
      <c r="J652" s="306"/>
      <c r="K652" s="354" t="e">
        <f ca="1">K651</f>
        <v>#REF!</v>
      </c>
      <c r="L652" s="308"/>
      <c r="M652" s="306" t="e">
        <f ca="1">ROUND(K652*$C652,0)</f>
        <v>#REF!</v>
      </c>
      <c r="N652" s="306"/>
      <c r="O652" s="354">
        <f>O651</f>
        <v>0</v>
      </c>
      <c r="P652" s="308"/>
      <c r="Q652" s="306">
        <f>ROUND(O652*$C652,0)</f>
        <v>0</v>
      </c>
      <c r="R652" s="306"/>
      <c r="S652" s="354">
        <f>S651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>
      <c r="A653" s="308" t="s">
        <v>416</v>
      </c>
      <c r="B653" s="1"/>
      <c r="C653" s="304"/>
      <c r="D653" s="283"/>
      <c r="E653" s="308"/>
      <c r="F653" s="306"/>
      <c r="G653" s="283"/>
      <c r="H653" s="308"/>
      <c r="I653" s="306"/>
      <c r="J653" s="306"/>
      <c r="K653" s="283"/>
      <c r="L653" s="308"/>
      <c r="M653" s="306"/>
      <c r="N653" s="306"/>
      <c r="O653" s="283"/>
      <c r="P653" s="308"/>
      <c r="Q653" s="306"/>
      <c r="R653" s="306"/>
      <c r="S653" s="283"/>
      <c r="T653" s="308"/>
      <c r="U653" s="306"/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>
      <c r="A654" s="308" t="s">
        <v>417</v>
      </c>
      <c r="B654" s="304"/>
      <c r="C654" s="304">
        <v>364977559.51704049</v>
      </c>
      <c r="D654" s="313">
        <v>5.7730000000000006</v>
      </c>
      <c r="E654" s="308" t="s">
        <v>364</v>
      </c>
      <c r="F654" s="306">
        <f>ROUND(D654*C654/100,0)</f>
        <v>21070155</v>
      </c>
      <c r="G654" s="312">
        <f ca="1">$G$612</f>
        <v>5.9119999999999999</v>
      </c>
      <c r="H654" s="308" t="s">
        <v>364</v>
      </c>
      <c r="I654" s="306">
        <f ca="1">ROUND(G654*$C654/100,0)</f>
        <v>21577473</v>
      </c>
      <c r="J654" s="306"/>
      <c r="K654" s="312" t="str">
        <f>$K$612</f>
        <v xml:space="preserve"> </v>
      </c>
      <c r="L654" s="308" t="s">
        <v>364</v>
      </c>
      <c r="M654" s="306">
        <f>ROUND(K654*$C654/100,0)</f>
        <v>0</v>
      </c>
      <c r="N654" s="306"/>
      <c r="O654" s="312" t="e">
        <f ca="1">$O$612</f>
        <v>#REF!</v>
      </c>
      <c r="P654" s="308" t="s">
        <v>364</v>
      </c>
      <c r="Q654" s="306" t="e">
        <f ca="1">ROUND(O654*$C654/100,0)</f>
        <v>#REF!</v>
      </c>
      <c r="R654" s="306"/>
      <c r="S654" s="312" t="e">
        <f ca="1">$S$612</f>
        <v>#REF!</v>
      </c>
      <c r="T654" s="308" t="s">
        <v>364</v>
      </c>
      <c r="U654" s="306" t="e">
        <f ca="1">ROUND(S654*$C654/100,0)</f>
        <v>#REF!</v>
      </c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>
      <c r="A655" s="308" t="s">
        <v>389</v>
      </c>
      <c r="B655" s="304"/>
      <c r="C655" s="304">
        <v>452336004.29786551</v>
      </c>
      <c r="D655" s="313">
        <v>5.2879999999999994</v>
      </c>
      <c r="E655" s="308" t="s">
        <v>364</v>
      </c>
      <c r="F655" s="306">
        <f>ROUND(D655*C655/100,0)</f>
        <v>23919528</v>
      </c>
      <c r="G655" s="312">
        <f ca="1">$G$613</f>
        <v>5.41</v>
      </c>
      <c r="H655" s="308" t="s">
        <v>364</v>
      </c>
      <c r="I655" s="306">
        <f ca="1">ROUND(G655*$C655/100,0)</f>
        <v>24471378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>
      <c r="A656" s="308" t="s">
        <v>390</v>
      </c>
      <c r="B656" s="1"/>
      <c r="C656" s="304">
        <v>391011.43333333306</v>
      </c>
      <c r="D656" s="956">
        <v>57</v>
      </c>
      <c r="E656" s="308" t="s">
        <v>364</v>
      </c>
      <c r="F656" s="306">
        <f>ROUND(D656*C656/100,0)</f>
        <v>222877</v>
      </c>
      <c r="G656" s="460">
        <f ca="1">$G$614</f>
        <v>58</v>
      </c>
      <c r="H656" s="308" t="s">
        <v>364</v>
      </c>
      <c r="I656" s="306">
        <f ca="1">ROUND(G656*$C656/100,0)</f>
        <v>226787</v>
      </c>
      <c r="J656" s="306"/>
      <c r="K656" s="460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460" t="e">
        <f ca="1">$O$614</f>
        <v>#DIV/0!</v>
      </c>
      <c r="P656" s="308" t="s">
        <v>364</v>
      </c>
      <c r="Q656" s="306" t="e">
        <f ca="1">ROUND(O656*$C656/100,0)</f>
        <v>#DIV/0!</v>
      </c>
      <c r="R656" s="306"/>
      <c r="S656" s="460" t="e">
        <f ca="1">$S$614</f>
        <v>#DIV/0!</v>
      </c>
      <c r="T656" s="308" t="s">
        <v>364</v>
      </c>
      <c r="U656" s="306" t="e">
        <f ca="1">ROUND(S656*$C656/100,0)</f>
        <v>#DIV/0!</v>
      </c>
      <c r="X656" s="74"/>
      <c r="Y656" s="74"/>
      <c r="Z656" s="7" t="s">
        <v>31</v>
      </c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s="1118" customFormat="1" hidden="1">
      <c r="A657" s="968" t="s">
        <v>868</v>
      </c>
      <c r="C657" s="1122">
        <f>C654</f>
        <v>364977559.51704049</v>
      </c>
      <c r="D657" s="1423">
        <v>0</v>
      </c>
      <c r="E657" s="1119"/>
      <c r="F657" s="1123"/>
      <c r="G657" s="1128">
        <f>G615</f>
        <v>0</v>
      </c>
      <c r="H657" s="1000" t="s">
        <v>364</v>
      </c>
      <c r="I657" s="1000">
        <f t="shared" ref="I657:I658" si="155">ROUND(G657*$C657/100,0)</f>
        <v>0</v>
      </c>
      <c r="J657" s="1000"/>
      <c r="K657" s="1128" t="str">
        <f>K615</f>
        <v xml:space="preserve"> </v>
      </c>
      <c r="L657" s="1000" t="s">
        <v>364</v>
      </c>
      <c r="M657" s="1000">
        <f t="shared" ref="M657:M658" si="156">ROUND(K657*$C657/100,0)</f>
        <v>0</v>
      </c>
      <c r="N657" s="1000"/>
      <c r="O657" s="1128" t="str">
        <f>O615</f>
        <v xml:space="preserve"> </v>
      </c>
      <c r="P657" s="1000" t="s">
        <v>364</v>
      </c>
      <c r="Q657" s="1000">
        <f t="shared" ref="Q657:Q658" si="157">ROUND(O657*$C657/100,0)</f>
        <v>0</v>
      </c>
      <c r="R657" s="1000"/>
      <c r="S657" s="1128">
        <f>S615</f>
        <v>0</v>
      </c>
      <c r="T657" s="1000" t="s">
        <v>364</v>
      </c>
      <c r="U657" s="1000">
        <f t="shared" ref="U657:U658" si="158">ROUND(S657*$C657/100,0)</f>
        <v>0</v>
      </c>
      <c r="W657" s="1121"/>
      <c r="X657" s="1130"/>
      <c r="Y657" s="1120"/>
      <c r="Z657" s="1125"/>
      <c r="AA657" s="1125"/>
      <c r="AF657" s="1119"/>
      <c r="AG657" s="1119"/>
      <c r="AH657" s="1119"/>
      <c r="AI657" s="1119"/>
      <c r="AJ657" s="1119"/>
      <c r="AK657" s="1119"/>
      <c r="AL657" s="1119"/>
      <c r="AM657" s="1119"/>
      <c r="AN657" s="1119"/>
      <c r="AO657" s="1119"/>
      <c r="AP657" s="1119"/>
      <c r="AR657" s="1124"/>
    </row>
    <row r="658" spans="1:44" s="1118" customFormat="1" hidden="1">
      <c r="A658" s="968" t="s">
        <v>869</v>
      </c>
      <c r="C658" s="1122">
        <f>C655</f>
        <v>452336004.29786551</v>
      </c>
      <c r="D658" s="1423">
        <v>0</v>
      </c>
      <c r="E658" s="1119"/>
      <c r="F658" s="1123"/>
      <c r="G658" s="1128">
        <f>G616</f>
        <v>0</v>
      </c>
      <c r="H658" s="1000" t="s">
        <v>364</v>
      </c>
      <c r="I658" s="1000">
        <f t="shared" si="155"/>
        <v>0</v>
      </c>
      <c r="J658" s="1000"/>
      <c r="K658" s="1128" t="str">
        <f>K616</f>
        <v xml:space="preserve"> </v>
      </c>
      <c r="L658" s="1000" t="s">
        <v>364</v>
      </c>
      <c r="M658" s="1000">
        <f t="shared" si="156"/>
        <v>0</v>
      </c>
      <c r="N658" s="1000"/>
      <c r="O658" s="1128" t="str">
        <f>O616</f>
        <v xml:space="preserve"> </v>
      </c>
      <c r="P658" s="1000" t="s">
        <v>364</v>
      </c>
      <c r="Q658" s="1000">
        <f t="shared" si="157"/>
        <v>0</v>
      </c>
      <c r="R658" s="1000"/>
      <c r="S658" s="1128">
        <f>S616</f>
        <v>0</v>
      </c>
      <c r="T658" s="1000" t="s">
        <v>364</v>
      </c>
      <c r="U658" s="1000">
        <f t="shared" si="158"/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>
      <c r="A659" s="345" t="s">
        <v>391</v>
      </c>
      <c r="B659" s="1"/>
      <c r="C659" s="304"/>
      <c r="D659" s="317">
        <v>-0.01</v>
      </c>
      <c r="E659" s="1"/>
      <c r="F659" s="306"/>
      <c r="G659" s="317">
        <v>-0.01</v>
      </c>
      <c r="H659" s="1"/>
      <c r="I659" s="306"/>
      <c r="J659" s="306"/>
      <c r="K659" s="317">
        <v>-0.01</v>
      </c>
      <c r="L659" s="1"/>
      <c r="M659" s="306"/>
      <c r="N659" s="306"/>
      <c r="O659" s="317">
        <v>-0.01</v>
      </c>
      <c r="P659" s="1"/>
      <c r="Q659" s="306"/>
      <c r="R659" s="306"/>
      <c r="S659" s="317">
        <v>-0.01</v>
      </c>
      <c r="T659" s="1"/>
      <c r="U659" s="306"/>
      <c r="X659" s="401"/>
      <c r="Y659" s="74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</row>
    <row r="660" spans="1:44">
      <c r="A660" s="308" t="s">
        <v>411</v>
      </c>
      <c r="B660" s="21"/>
      <c r="C660" s="304">
        <v>7</v>
      </c>
      <c r="D660" s="289">
        <v>264</v>
      </c>
      <c r="E660" s="278"/>
      <c r="F660" s="306">
        <f t="shared" ref="F660:F666" si="159">ROUND(D660*C660*$D$659,0)</f>
        <v>-18</v>
      </c>
      <c r="G660" s="289">
        <f ca="1">G644</f>
        <v>268</v>
      </c>
      <c r="H660" s="278"/>
      <c r="I660" s="306">
        <f ca="1">ROUND(G660*$C660*G659,0)</f>
        <v>-19</v>
      </c>
      <c r="J660" s="306"/>
      <c r="K660" s="289">
        <f ca="1">K644</f>
        <v>268</v>
      </c>
      <c r="L660" s="278"/>
      <c r="M660" s="306">
        <f ca="1">ROUND(K660*$C660*K659,0)</f>
        <v>-19</v>
      </c>
      <c r="N660" s="306"/>
      <c r="O660" s="289" t="str">
        <f>O644</f>
        <v xml:space="preserve"> </v>
      </c>
      <c r="P660" s="278"/>
      <c r="Q660" s="306">
        <f>ROUND(O660*$C660*O659,0)</f>
        <v>0</v>
      </c>
      <c r="R660" s="306"/>
      <c r="S660" s="289" t="str">
        <f>S644</f>
        <v xml:space="preserve"> </v>
      </c>
      <c r="T660" s="278"/>
      <c r="U660" s="306">
        <f>ROUND(S660*$C660*S659,0)</f>
        <v>0</v>
      </c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>
      <c r="A661" s="308" t="s">
        <v>412</v>
      </c>
      <c r="B661" s="1"/>
      <c r="C661" s="304">
        <v>40.89999999999997</v>
      </c>
      <c r="D661" s="289">
        <v>98</v>
      </c>
      <c r="E661" s="278"/>
      <c r="F661" s="306">
        <f t="shared" si="159"/>
        <v>-40</v>
      </c>
      <c r="G661" s="289">
        <f ca="1">G645</f>
        <v>100</v>
      </c>
      <c r="H661" s="278"/>
      <c r="I661" s="306">
        <f ca="1">ROUND(G661*$C661*G659,0)</f>
        <v>-41</v>
      </c>
      <c r="J661" s="306"/>
      <c r="K661" s="289">
        <f ca="1">K645</f>
        <v>100</v>
      </c>
      <c r="L661" s="278"/>
      <c r="M661" s="306">
        <f ca="1">ROUND(K661*$C661*K659,0)</f>
        <v>-41</v>
      </c>
      <c r="N661" s="306"/>
      <c r="O661" s="289" t="str">
        <f>O645</f>
        <v xml:space="preserve"> </v>
      </c>
      <c r="P661" s="278"/>
      <c r="Q661" s="306">
        <f>ROUND(O661*$C661*O659,0)</f>
        <v>0</v>
      </c>
      <c r="R661" s="306"/>
      <c r="S661" s="289" t="str">
        <f>S645</f>
        <v xml:space="preserve"> </v>
      </c>
      <c r="T661" s="278"/>
      <c r="U661" s="306">
        <f>ROUND(S661*$C661*S659,0)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>
      <c r="A662" s="308" t="s">
        <v>413</v>
      </c>
      <c r="B662" s="1"/>
      <c r="C662" s="304">
        <v>71.866666666666703</v>
      </c>
      <c r="D662" s="289">
        <v>195</v>
      </c>
      <c r="E662" s="358"/>
      <c r="F662" s="306">
        <f t="shared" si="159"/>
        <v>-140</v>
      </c>
      <c r="G662" s="289">
        <f ca="1">G646</f>
        <v>200</v>
      </c>
      <c r="H662" s="358"/>
      <c r="I662" s="306">
        <f ca="1">ROUND(G662*$C662*G659,0)</f>
        <v>-144</v>
      </c>
      <c r="J662" s="306"/>
      <c r="K662" s="289">
        <f ca="1">K646</f>
        <v>200</v>
      </c>
      <c r="L662" s="358"/>
      <c r="M662" s="306">
        <f ca="1">ROUND(K662*$C662*K659,0)</f>
        <v>-144</v>
      </c>
      <c r="N662" s="306"/>
      <c r="O662" s="289" t="str">
        <f>O646</f>
        <v xml:space="preserve"> </v>
      </c>
      <c r="P662" s="358"/>
      <c r="Q662" s="306">
        <f>ROUND(O662*$C662*O659,0)</f>
        <v>0</v>
      </c>
      <c r="R662" s="306"/>
      <c r="S662" s="289" t="str">
        <f>S646</f>
        <v xml:space="preserve"> </v>
      </c>
      <c r="T662" s="358"/>
      <c r="U662" s="306">
        <f>ROUND(S662*$C662*S659,0)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>
      <c r="A663" s="308" t="s">
        <v>412</v>
      </c>
      <c r="B663" s="1"/>
      <c r="C663" s="304">
        <v>6443</v>
      </c>
      <c r="D663" s="289">
        <v>1.79</v>
      </c>
      <c r="E663" s="278"/>
      <c r="F663" s="306">
        <f t="shared" si="159"/>
        <v>-115</v>
      </c>
      <c r="G663" s="289">
        <f ca="1">G648</f>
        <v>1.83</v>
      </c>
      <c r="H663" s="278"/>
      <c r="I663" s="306">
        <f ca="1">ROUND(G663*$C663*G659,0)</f>
        <v>-118</v>
      </c>
      <c r="J663" s="306"/>
      <c r="K663" s="289">
        <f ca="1">K648</f>
        <v>1.83</v>
      </c>
      <c r="L663" s="278"/>
      <c r="M663" s="306">
        <f ca="1">ROUND(K663*$C663*K659,0)</f>
        <v>-118</v>
      </c>
      <c r="N663" s="306"/>
      <c r="O663" s="289" t="str">
        <f>O648</f>
        <v xml:space="preserve"> </v>
      </c>
      <c r="P663" s="278"/>
      <c r="Q663" s="306">
        <f>ROUND(O663*$C663*O659,0)</f>
        <v>0</v>
      </c>
      <c r="R663" s="306"/>
      <c r="S663" s="289" t="str">
        <f>S648</f>
        <v xml:space="preserve"> </v>
      </c>
      <c r="T663" s="278"/>
      <c r="U663" s="306">
        <f>ROUND(S663*$C663*S659,0)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>
      <c r="A664" s="308" t="s">
        <v>413</v>
      </c>
      <c r="B664" s="1"/>
      <c r="C664" s="304">
        <v>44991</v>
      </c>
      <c r="D664" s="289">
        <v>1.46</v>
      </c>
      <c r="E664" s="278"/>
      <c r="F664" s="306">
        <f t="shared" si="159"/>
        <v>-657</v>
      </c>
      <c r="G664" s="289">
        <f ca="1">G649</f>
        <v>1.5</v>
      </c>
      <c r="H664" s="278"/>
      <c r="I664" s="306">
        <f ca="1">ROUND(G664*$C664*G659,0)</f>
        <v>-675</v>
      </c>
      <c r="J664" s="306"/>
      <c r="K664" s="289">
        <f ca="1">K649</f>
        <v>1.5</v>
      </c>
      <c r="L664" s="278"/>
      <c r="M664" s="306">
        <f ca="1">ROUND(K664*$C664*K659,0)</f>
        <v>-675</v>
      </c>
      <c r="N664" s="306"/>
      <c r="O664" s="289" t="str">
        <f>O649</f>
        <v xml:space="preserve"> </v>
      </c>
      <c r="P664" s="278"/>
      <c r="Q664" s="306">
        <f>ROUND(O664*$C664*O659,0)</f>
        <v>0</v>
      </c>
      <c r="R664" s="306"/>
      <c r="S664" s="289" t="str">
        <f>S649</f>
        <v xml:space="preserve"> </v>
      </c>
      <c r="T664" s="278"/>
      <c r="U664" s="306">
        <f>ROUND(S664*$C664*S659,0)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>
      <c r="A665" s="294" t="s">
        <v>415</v>
      </c>
      <c r="B665" s="1"/>
      <c r="C665" s="304">
        <v>34590</v>
      </c>
      <c r="D665" s="289">
        <v>5.47</v>
      </c>
      <c r="E665" s="278"/>
      <c r="F665" s="306">
        <f t="shared" si="159"/>
        <v>-1892</v>
      </c>
      <c r="G665" s="289">
        <f ca="1">G651</f>
        <v>5.6</v>
      </c>
      <c r="H665" s="278"/>
      <c r="I665" s="306">
        <f ca="1">ROUND(G665*$C665*G659,0)</f>
        <v>-1937</v>
      </c>
      <c r="J665" s="306"/>
      <c r="K665" s="289" t="e">
        <f ca="1">K651</f>
        <v>#REF!</v>
      </c>
      <c r="L665" s="278"/>
      <c r="M665" s="306" t="e">
        <f ca="1">ROUND(K665*$C665*K659,0)</f>
        <v>#REF!</v>
      </c>
      <c r="N665" s="306"/>
      <c r="O665" s="289">
        <f>O651</f>
        <v>0</v>
      </c>
      <c r="P665" s="278"/>
      <c r="Q665" s="306">
        <f>ROUND(O665*$C665*O659,0)</f>
        <v>0</v>
      </c>
      <c r="R665" s="306"/>
      <c r="S665" s="289">
        <f>S651</f>
        <v>0</v>
      </c>
      <c r="T665" s="278"/>
      <c r="U665" s="306">
        <f>ROUND(S665*$C665*S659,0)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>
      <c r="A666" s="294" t="s">
        <v>431</v>
      </c>
      <c r="B666" s="1"/>
      <c r="C666" s="304">
        <v>307</v>
      </c>
      <c r="D666" s="289">
        <v>5.47</v>
      </c>
      <c r="E666" s="278"/>
      <c r="F666" s="306">
        <f t="shared" si="159"/>
        <v>-17</v>
      </c>
      <c r="G666" s="289">
        <f ca="1">G652</f>
        <v>5.6</v>
      </c>
      <c r="H666" s="278"/>
      <c r="I666" s="306">
        <f ca="1">ROUND(G666*$C666*G659,0)</f>
        <v>-17</v>
      </c>
      <c r="J666" s="306"/>
      <c r="K666" s="289" t="e">
        <f ca="1">K652</f>
        <v>#REF!</v>
      </c>
      <c r="L666" s="278"/>
      <c r="M666" s="306" t="e">
        <f ca="1">ROUND(K666*$C666*K659,0)</f>
        <v>#REF!</v>
      </c>
      <c r="N666" s="306"/>
      <c r="O666" s="289">
        <f>O652</f>
        <v>0</v>
      </c>
      <c r="P666" s="278"/>
      <c r="Q666" s="306">
        <f>ROUND(O666*$C666*O659,0)</f>
        <v>0</v>
      </c>
      <c r="R666" s="306"/>
      <c r="S666" s="289">
        <f>S652</f>
        <v>0</v>
      </c>
      <c r="T666" s="278"/>
      <c r="U666" s="306">
        <f>ROUND(S666*$C666*S659,0)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>
      <c r="A667" s="308" t="s">
        <v>417</v>
      </c>
      <c r="B667" s="1"/>
      <c r="C667" s="304">
        <v>4148839.9999999972</v>
      </c>
      <c r="D667" s="359">
        <v>5.7730000000000006</v>
      </c>
      <c r="E667" s="308" t="s">
        <v>364</v>
      </c>
      <c r="F667" s="306">
        <f>ROUND(D667*C667/100*$D$659,0)</f>
        <v>-2395</v>
      </c>
      <c r="G667" s="359">
        <f ca="1">G654</f>
        <v>5.9119999999999999</v>
      </c>
      <c r="H667" s="308" t="s">
        <v>364</v>
      </c>
      <c r="I667" s="306">
        <f ca="1">ROUND(G667*$C667/100*G659,0)</f>
        <v>-2453</v>
      </c>
      <c r="J667" s="306"/>
      <c r="K667" s="359" t="str">
        <f>K654</f>
        <v xml:space="preserve"> </v>
      </c>
      <c r="L667" s="308" t="s">
        <v>364</v>
      </c>
      <c r="M667" s="306">
        <f>ROUND(K667*$C667/100*K659,0)</f>
        <v>0</v>
      </c>
      <c r="N667" s="306"/>
      <c r="O667" s="359" t="e">
        <f ca="1">O654</f>
        <v>#REF!</v>
      </c>
      <c r="P667" s="308" t="s">
        <v>364</v>
      </c>
      <c r="Q667" s="306" t="e">
        <f ca="1">ROUND(O667*$C667/100*O659,0)</f>
        <v>#REF!</v>
      </c>
      <c r="R667" s="306"/>
      <c r="S667" s="359" t="e">
        <f ca="1">S654</f>
        <v>#REF!</v>
      </c>
      <c r="T667" s="308" t="s">
        <v>364</v>
      </c>
      <c r="U667" s="306" t="e">
        <f ca="1">ROUND(S667*$C667/100*S659,0)</f>
        <v>#REF!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>
      <c r="A668" s="308" t="s">
        <v>389</v>
      </c>
      <c r="B668" s="1"/>
      <c r="C668" s="304">
        <v>8404540.0000000037</v>
      </c>
      <c r="D668" s="359">
        <v>5.2879999999999994</v>
      </c>
      <c r="E668" s="308" t="s">
        <v>364</v>
      </c>
      <c r="F668" s="306">
        <f>ROUND(D668*C668/100*$D$659,0)</f>
        <v>-4444</v>
      </c>
      <c r="G668" s="359">
        <f ca="1">G655</f>
        <v>5.41</v>
      </c>
      <c r="H668" s="308" t="s">
        <v>364</v>
      </c>
      <c r="I668" s="306">
        <f ca="1">ROUND(G668*$C668/100*G659,0)</f>
        <v>-4547</v>
      </c>
      <c r="J668" s="306"/>
      <c r="K668" s="359" t="str">
        <f>K655</f>
        <v xml:space="preserve"> </v>
      </c>
      <c r="L668" s="308" t="s">
        <v>364</v>
      </c>
      <c r="M668" s="306">
        <f>ROUND(K668*$C668/100*K659,0)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ROUND(O668*$C668/100*O659,0)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ROUND(S668*$C668/100*S659,0)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>
      <c r="A669" s="308" t="s">
        <v>390</v>
      </c>
      <c r="B669" s="1"/>
      <c r="C669" s="304">
        <v>7796.8333333333294</v>
      </c>
      <c r="D669" s="360">
        <v>57</v>
      </c>
      <c r="E669" s="308" t="s">
        <v>364</v>
      </c>
      <c r="F669" s="306">
        <f>ROUND(D669*C669/100*$D$659,0)</f>
        <v>-44</v>
      </c>
      <c r="G669" s="360">
        <f ca="1">G656</f>
        <v>58</v>
      </c>
      <c r="H669" s="308" t="s">
        <v>364</v>
      </c>
      <c r="I669" s="306">
        <f ca="1">ROUND(G669*$C669/100*G659,0)</f>
        <v>-45</v>
      </c>
      <c r="J669" s="306"/>
      <c r="K669" s="360" t="str">
        <f>K656</f>
        <v xml:space="preserve"> </v>
      </c>
      <c r="L669" s="308" t="s">
        <v>364</v>
      </c>
      <c r="M669" s="306">
        <f>ROUND(K669*$C669/100*K659,0)</f>
        <v>0</v>
      </c>
      <c r="N669" s="306"/>
      <c r="O669" s="360" t="e">
        <f ca="1">O656</f>
        <v>#DIV/0!</v>
      </c>
      <c r="P669" s="308" t="s">
        <v>364</v>
      </c>
      <c r="Q669" s="306" t="e">
        <f ca="1">ROUND(O669*$C669/100*O659,0)</f>
        <v>#DIV/0!</v>
      </c>
      <c r="R669" s="306"/>
      <c r="S669" s="360" t="e">
        <f ca="1">S656</f>
        <v>#DIV/0!</v>
      </c>
      <c r="T669" s="308" t="s">
        <v>364</v>
      </c>
      <c r="U669" s="306" t="e">
        <f ca="1">ROUND(S669*$C669/100*S659,0)</f>
        <v>#DIV/0!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>
      <c r="A670" s="308" t="s">
        <v>433</v>
      </c>
      <c r="B670" s="1"/>
      <c r="C670" s="304">
        <v>119.76666666666668</v>
      </c>
      <c r="D670" s="283">
        <v>60</v>
      </c>
      <c r="E670" s="1"/>
      <c r="F670" s="306">
        <f>ROUND(D670*C670,0)</f>
        <v>7186</v>
      </c>
      <c r="G670" s="283">
        <f>$G$630</f>
        <v>60</v>
      </c>
      <c r="H670" s="1"/>
      <c r="I670" s="306">
        <f>ROUND(G670*$C670,0)</f>
        <v>7186</v>
      </c>
      <c r="J670" s="306"/>
      <c r="K670" s="283">
        <v>0</v>
      </c>
      <c r="L670" s="1"/>
      <c r="M670" s="306">
        <f>ROUND(K670*$C670,0)</f>
        <v>0</v>
      </c>
      <c r="N670" s="306"/>
      <c r="O670" s="283" t="e">
        <f>O630</f>
        <v>#DIV/0!</v>
      </c>
      <c r="P670" s="1"/>
      <c r="Q670" s="306" t="e">
        <f>ROUND(O670*$C670,0)</f>
        <v>#DIV/0!</v>
      </c>
      <c r="R670" s="306"/>
      <c r="S670" s="283" t="e">
        <f>S630</f>
        <v>#DIV/0!</v>
      </c>
      <c r="T670" s="1"/>
      <c r="U670" s="306" t="e">
        <f>ROUND(S670*$C670,0)</f>
        <v>#DIV/0!</v>
      </c>
      <c r="X670" s="3"/>
      <c r="Y670" s="105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>
      <c r="A671" s="308" t="s">
        <v>434</v>
      </c>
      <c r="B671" s="290"/>
      <c r="C671" s="304">
        <v>51494</v>
      </c>
      <c r="D671" s="324">
        <v>-30</v>
      </c>
      <c r="E671" s="306" t="s">
        <v>364</v>
      </c>
      <c r="F671" s="306">
        <f>-ROUND(D671*C671*$D$659,0)</f>
        <v>-15448</v>
      </c>
      <c r="G671" s="324">
        <f>$G$631</f>
        <v>-30</v>
      </c>
      <c r="H671" s="306" t="s">
        <v>364</v>
      </c>
      <c r="I671" s="306">
        <f>ROUND(G671*$C671/100,0)</f>
        <v>-15448</v>
      </c>
      <c r="J671" s="306"/>
      <c r="K671" s="324">
        <f>$G$631</f>
        <v>-30</v>
      </c>
      <c r="L671" s="306" t="s">
        <v>364</v>
      </c>
      <c r="M671" s="306">
        <f>ROUND(K671*$C671/100,0)</f>
        <v>-15448</v>
      </c>
      <c r="N671" s="306"/>
      <c r="O671" s="324">
        <v>0</v>
      </c>
      <c r="P671" s="306" t="s">
        <v>364</v>
      </c>
      <c r="Q671" s="306">
        <f>ROUND(O671*$C671/100,0)</f>
        <v>0</v>
      </c>
      <c r="R671" s="306"/>
      <c r="S671" s="324">
        <v>0</v>
      </c>
      <c r="T671" s="306" t="s">
        <v>364</v>
      </c>
      <c r="U671" s="306">
        <f>ROUND(S671*$C671/100,0)</f>
        <v>0</v>
      </c>
      <c r="X671" s="3"/>
      <c r="Y671" s="105"/>
      <c r="Z671" s="7" t="s">
        <v>31</v>
      </c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s="1118" customFormat="1" hidden="1">
      <c r="A672" s="968" t="s">
        <v>868</v>
      </c>
      <c r="C672" s="1122">
        <f>C667</f>
        <v>4148839.9999999972</v>
      </c>
      <c r="D672" s="1423">
        <v>0</v>
      </c>
      <c r="E672" s="1119"/>
      <c r="F672" s="1123"/>
      <c r="G672" s="1128">
        <f>G657</f>
        <v>0</v>
      </c>
      <c r="H672" s="1000" t="s">
        <v>364</v>
      </c>
      <c r="I672" s="1000">
        <f>ROUND(G672*$C672/100*G659,0)</f>
        <v>0</v>
      </c>
      <c r="J672" s="1000"/>
      <c r="K672" s="1128" t="str">
        <f>K657</f>
        <v xml:space="preserve"> </v>
      </c>
      <c r="L672" s="1000" t="s">
        <v>364</v>
      </c>
      <c r="M672" s="1000">
        <f>ROUND(K672*$C672/100*K659,0)</f>
        <v>0</v>
      </c>
      <c r="N672" s="1000"/>
      <c r="O672" s="1128" t="str">
        <f>O657</f>
        <v xml:space="preserve"> </v>
      </c>
      <c r="P672" s="1000" t="s">
        <v>364</v>
      </c>
      <c r="Q672" s="1000">
        <f>ROUND(O672*$C672/100*O659,0)</f>
        <v>0</v>
      </c>
      <c r="R672" s="1000"/>
      <c r="S672" s="1128">
        <f>S657</f>
        <v>0</v>
      </c>
      <c r="T672" s="1000" t="s">
        <v>364</v>
      </c>
      <c r="U672" s="1000">
        <f>ROUND(S672*$C672/100*S659,0)</f>
        <v>0</v>
      </c>
      <c r="W672" s="1121"/>
      <c r="X672" s="1130"/>
      <c r="Y672" s="1120"/>
      <c r="Z672" s="1125"/>
      <c r="AA672" s="1125"/>
      <c r="AF672" s="1119"/>
      <c r="AG672" s="1119"/>
      <c r="AH672" s="1119"/>
      <c r="AI672" s="1119"/>
      <c r="AJ672" s="1119"/>
      <c r="AK672" s="1119"/>
      <c r="AL672" s="1119"/>
      <c r="AM672" s="1119"/>
      <c r="AN672" s="1119"/>
      <c r="AO672" s="1119"/>
      <c r="AP672" s="1119"/>
      <c r="AR672" s="1124"/>
    </row>
    <row r="673" spans="1:44" s="1118" customFormat="1" hidden="1">
      <c r="A673" s="968" t="s">
        <v>869</v>
      </c>
      <c r="C673" s="1122">
        <f>C668</f>
        <v>8404540.0000000037</v>
      </c>
      <c r="D673" s="1423"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ROUND(G673*$C673/100*G659,0)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ROUND(K673*$C673/100*K659,0)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ROUND(O673*$C673/100*O659,0)</f>
        <v>0</v>
      </c>
      <c r="R673" s="1000"/>
      <c r="S673" s="1128">
        <f>S658</f>
        <v>0</v>
      </c>
      <c r="T673" s="1000" t="s">
        <v>364</v>
      </c>
      <c r="U673" s="1000">
        <f>ROUND(S673*$C673/100*S659,0)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>
      <c r="A674" s="1" t="s">
        <v>371</v>
      </c>
      <c r="B674" s="292"/>
      <c r="C674" s="304">
        <f>SUM(C654:C655)</f>
        <v>817313563.814906</v>
      </c>
      <c r="D674" s="315"/>
      <c r="E674" s="1"/>
      <c r="F674" s="2">
        <f>SUM(F644:F671)</f>
        <v>64219476</v>
      </c>
      <c r="G674" s="315"/>
      <c r="H674" s="1"/>
      <c r="I674" s="2">
        <f ca="1">SUM(I644:I673)</f>
        <v>65737617</v>
      </c>
      <c r="J674" s="2"/>
      <c r="K674" s="315"/>
      <c r="L674" s="1"/>
      <c r="M674" s="2" t="e">
        <f ca="1">SUM(M644:M673)</f>
        <v>#REF!</v>
      </c>
      <c r="N674" s="2"/>
      <c r="O674" s="315"/>
      <c r="P674" s="1"/>
      <c r="Q674" s="2" t="e">
        <f ca="1">SUM(Q644:Q673)</f>
        <v>#REF!</v>
      </c>
      <c r="R674" s="2"/>
      <c r="S674" s="315"/>
      <c r="T674" s="1"/>
      <c r="U674" s="2" t="e">
        <f ca="1">SUM(U644:U673)</f>
        <v>#REF!</v>
      </c>
      <c r="X674" s="401"/>
      <c r="Y674" s="74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</row>
    <row r="675" spans="1:44">
      <c r="A675" s="1" t="s">
        <v>353</v>
      </c>
      <c r="B675" s="1"/>
      <c r="C675" s="334">
        <f>'Table 2'!H46</f>
        <v>5770845.7835495584</v>
      </c>
      <c r="D675" s="294"/>
      <c r="E675" s="294"/>
      <c r="F675" s="295">
        <f>'Table 3'!E46</f>
        <v>500452.88870847702</v>
      </c>
      <c r="G675" s="294"/>
      <c r="H675" s="294"/>
      <c r="I675" s="295">
        <f>F675</f>
        <v>500452.88870847702</v>
      </c>
      <c r="J675" s="51"/>
      <c r="K675" s="294"/>
      <c r="L675" s="294"/>
      <c r="M675" s="295" t="e">
        <f>$I$675*V639/($V$639+$W$639+$X$639)</f>
        <v>#DIV/0!</v>
      </c>
      <c r="N675" s="51"/>
      <c r="O675" s="294"/>
      <c r="P675" s="294"/>
      <c r="Q675" s="295" t="e">
        <f>$I$675*W639/($V$639+$W$639+$X$639)</f>
        <v>#DIV/0!</v>
      </c>
      <c r="R675" s="51"/>
      <c r="S675" s="294"/>
      <c r="T675" s="294"/>
      <c r="U675" s="295" t="e">
        <f>$I$675*X639/($V$639+$W$639+$X$639)</f>
        <v>#DIV/0!</v>
      </c>
      <c r="V675" s="429"/>
      <c r="W675" s="272"/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t="16.5" thickBot="1">
      <c r="A676" s="1" t="s">
        <v>372</v>
      </c>
      <c r="B676" s="1"/>
      <c r="C676" s="351">
        <f>SUM(C674)+C675</f>
        <v>823084409.59845555</v>
      </c>
      <c r="D676" s="327"/>
      <c r="E676" s="330"/>
      <c r="F676" s="329">
        <f>F674+F675</f>
        <v>64719928.88870848</v>
      </c>
      <c r="G676" s="327"/>
      <c r="H676" s="330"/>
      <c r="I676" s="329">
        <f ca="1">I674+I675</f>
        <v>66238069.88870848</v>
      </c>
      <c r="J676" s="307"/>
      <c r="K676" s="327"/>
      <c r="L676" s="330"/>
      <c r="M676" s="329" t="e">
        <f ca="1">M674+M675</f>
        <v>#REF!</v>
      </c>
      <c r="N676" s="329"/>
      <c r="O676" s="327"/>
      <c r="P676" s="330"/>
      <c r="Q676" s="329" t="e">
        <f ca="1">Q674+Q675</f>
        <v>#REF!</v>
      </c>
      <c r="R676" s="329"/>
      <c r="S676" s="327"/>
      <c r="T676" s="330"/>
      <c r="U676" s="329" t="e">
        <f ca="1">U674+U675</f>
        <v>#REF!</v>
      </c>
      <c r="V676" s="396"/>
      <c r="W676" s="455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thickTop="1">
      <c r="A677" s="1"/>
      <c r="B677" s="1"/>
      <c r="C677" s="21"/>
      <c r="D677" s="322" t="s">
        <v>31</v>
      </c>
      <c r="E677" s="1"/>
      <c r="F677" s="2"/>
      <c r="G677" s="338" t="s">
        <v>31</v>
      </c>
      <c r="H677" s="1"/>
      <c r="I677" s="2" t="s">
        <v>31</v>
      </c>
      <c r="J677" s="2"/>
      <c r="K677" s="338" t="s">
        <v>31</v>
      </c>
      <c r="L677" s="1"/>
      <c r="M677" s="2" t="s">
        <v>31</v>
      </c>
      <c r="N677" s="2"/>
      <c r="O677" s="338" t="s">
        <v>31</v>
      </c>
      <c r="P677" s="1"/>
      <c r="Q677" s="2" t="s">
        <v>31</v>
      </c>
      <c r="R677" s="2"/>
      <c r="S677" s="338" t="s">
        <v>31</v>
      </c>
      <c r="T677" s="1"/>
      <c r="U677" s="2" t="s">
        <v>31</v>
      </c>
      <c r="V677" s="20"/>
      <c r="W677" s="74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>
      <c r="A678" s="278" t="s">
        <v>426</v>
      </c>
      <c r="B678" s="1"/>
      <c r="C678" s="1"/>
      <c r="D678" s="2"/>
      <c r="E678" s="1"/>
      <c r="F678" s="1"/>
      <c r="G678" s="2"/>
      <c r="H678" s="1"/>
      <c r="I678" s="1"/>
      <c r="J678" s="1"/>
      <c r="K678" s="2"/>
      <c r="L678" s="1"/>
      <c r="M678" s="1"/>
      <c r="N678" s="1"/>
      <c r="O678" s="2"/>
      <c r="P678" s="1"/>
      <c r="Q678" s="1"/>
      <c r="R678" s="1"/>
      <c r="S678" s="2"/>
      <c r="T678" s="1"/>
      <c r="U678" s="1"/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>
      <c r="A679" s="294" t="s">
        <v>436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>
      <c r="A680" s="308"/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>
      <c r="A681" s="308" t="s">
        <v>383</v>
      </c>
      <c r="B681" s="21"/>
      <c r="C681" s="304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>
      <c r="A682" s="308" t="s">
        <v>411</v>
      </c>
      <c r="B682" s="1"/>
      <c r="C682" s="304">
        <v>24.6</v>
      </c>
      <c r="D682" s="283">
        <v>264</v>
      </c>
      <c r="E682" s="308"/>
      <c r="F682" s="306">
        <f>ROUND(D682*C682,0)</f>
        <v>6494</v>
      </c>
      <c r="G682" s="283">
        <f ca="1">$G$602</f>
        <v>268</v>
      </c>
      <c r="H682" s="308"/>
      <c r="I682" s="306">
        <f ca="1">ROUND(G682*$C682,0)</f>
        <v>6593</v>
      </c>
      <c r="J682" s="306"/>
      <c r="K682" s="283">
        <f ca="1">$K$602</f>
        <v>268</v>
      </c>
      <c r="L682" s="308"/>
      <c r="M682" s="306">
        <f ca="1">ROUND(K682*$C682,0)</f>
        <v>6593</v>
      </c>
      <c r="N682" s="306"/>
      <c r="O682" s="283" t="str">
        <f>$O$602</f>
        <v xml:space="preserve"> </v>
      </c>
      <c r="P682" s="308"/>
      <c r="Q682" s="306">
        <f>ROUND(O682*$C682,0)</f>
        <v>0</v>
      </c>
      <c r="R682" s="306"/>
      <c r="S682" s="283" t="str">
        <f>$S$602</f>
        <v xml:space="preserve"> </v>
      </c>
      <c r="T682" s="308"/>
      <c r="U682" s="306">
        <f>ROUND(S682*$C682,0)</f>
        <v>0</v>
      </c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>
      <c r="A683" s="308" t="s">
        <v>412</v>
      </c>
      <c r="B683" s="1"/>
      <c r="C683" s="304">
        <v>807.26666666666597</v>
      </c>
      <c r="D683" s="283">
        <v>98</v>
      </c>
      <c r="E683" s="308"/>
      <c r="F683" s="306">
        <f>ROUND(D683*C683,0)</f>
        <v>79112</v>
      </c>
      <c r="G683" s="283">
        <f ca="1">$G$603</f>
        <v>100</v>
      </c>
      <c r="H683" s="308"/>
      <c r="I683" s="306">
        <f ca="1">ROUND(G683*$C683,0)</f>
        <v>80727</v>
      </c>
      <c r="J683" s="306"/>
      <c r="K683" s="283">
        <f ca="1">$K$603</f>
        <v>100</v>
      </c>
      <c r="L683" s="308"/>
      <c r="M683" s="306">
        <f ca="1">ROUND(K683*$C683,0)</f>
        <v>80727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>
      <c r="A684" s="308" t="s">
        <v>413</v>
      </c>
      <c r="B684" s="1"/>
      <c r="C684" s="304">
        <v>541.26666666666597</v>
      </c>
      <c r="D684" s="283">
        <v>195</v>
      </c>
      <c r="E684" s="310"/>
      <c r="F684" s="306">
        <f>ROUND(D684*C684,0)</f>
        <v>105547</v>
      </c>
      <c r="G684" s="283">
        <f ca="1">$G$604</f>
        <v>200</v>
      </c>
      <c r="H684" s="310"/>
      <c r="I684" s="306">
        <f ca="1">ROUND(G684*$C684,0)</f>
        <v>108253</v>
      </c>
      <c r="J684" s="306"/>
      <c r="K684" s="283">
        <f ca="1">$K$604</f>
        <v>200</v>
      </c>
      <c r="L684" s="310"/>
      <c r="M684" s="306">
        <f ca="1">ROUND(K684*$C684,0)</f>
        <v>108253</v>
      </c>
      <c r="N684" s="306"/>
      <c r="O684" s="283" t="str">
        <f>$O$604</f>
        <v xml:space="preserve"> </v>
      </c>
      <c r="P684" s="310"/>
      <c r="Q684" s="306">
        <f>ROUND(O684*$C684,0)</f>
        <v>0</v>
      </c>
      <c r="R684" s="306"/>
      <c r="S684" s="283" t="str">
        <f>$S$604</f>
        <v xml:space="preserve"> </v>
      </c>
      <c r="T684" s="310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>
      <c r="A685" s="308" t="s">
        <v>384</v>
      </c>
      <c r="B685" s="1"/>
      <c r="C685" s="304">
        <f>SUM(C682:C684)</f>
        <v>1373.1333333333318</v>
      </c>
      <c r="D685" s="283"/>
      <c r="E685" s="308"/>
      <c r="F685" s="306"/>
      <c r="G685" s="283"/>
      <c r="H685" s="308"/>
      <c r="I685" s="306"/>
      <c r="J685" s="306"/>
      <c r="K685" s="283"/>
      <c r="L685" s="308"/>
      <c r="M685" s="306"/>
      <c r="N685" s="306"/>
      <c r="O685" s="283"/>
      <c r="P685" s="308"/>
      <c r="Q685" s="306"/>
      <c r="R685" s="306"/>
      <c r="S685" s="283"/>
      <c r="T685" s="308"/>
      <c r="U685" s="306"/>
      <c r="V685" s="20"/>
      <c r="W685" s="74"/>
      <c r="X685" s="3"/>
      <c r="Y685" s="105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>
      <c r="A686" s="308" t="s">
        <v>412</v>
      </c>
      <c r="B686" s="1"/>
      <c r="C686" s="304">
        <v>137328.5</v>
      </c>
      <c r="D686" s="283">
        <v>1.79</v>
      </c>
      <c r="E686" s="308" t="s">
        <v>31</v>
      </c>
      <c r="F686" s="306">
        <f>ROUND(D686*C686,0)</f>
        <v>245818</v>
      </c>
      <c r="G686" s="283">
        <f ca="1">$G$606</f>
        <v>1.83</v>
      </c>
      <c r="H686" s="308" t="s">
        <v>31</v>
      </c>
      <c r="I686" s="306">
        <f ca="1">ROUND(G686*$C686,0)</f>
        <v>251311</v>
      </c>
      <c r="J686" s="306"/>
      <c r="K686" s="283">
        <f ca="1">$K$606</f>
        <v>1.83</v>
      </c>
      <c r="L686" s="308" t="s">
        <v>31</v>
      </c>
      <c r="M686" s="306">
        <f ca="1">ROUND(K686*$C686,0)</f>
        <v>251311</v>
      </c>
      <c r="N686" s="306"/>
      <c r="O686" s="283" t="str">
        <f>$O$606</f>
        <v xml:space="preserve"> </v>
      </c>
      <c r="P686" s="308" t="s">
        <v>31</v>
      </c>
      <c r="Q686" s="306">
        <f>ROUND(O686*$C686,0)</f>
        <v>0</v>
      </c>
      <c r="R686" s="306"/>
      <c r="S686" s="283" t="str">
        <f>$S$606</f>
        <v xml:space="preserve"> </v>
      </c>
      <c r="T686" s="308" t="s">
        <v>31</v>
      </c>
      <c r="U686" s="306">
        <f>ROUND(S686*$C686,0)</f>
        <v>0</v>
      </c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>
      <c r="A687" s="308" t="s">
        <v>413</v>
      </c>
      <c r="B687" s="1"/>
      <c r="C687" s="304">
        <v>302902</v>
      </c>
      <c r="D687" s="283">
        <v>1.46</v>
      </c>
      <c r="E687" s="308" t="s">
        <v>31</v>
      </c>
      <c r="F687" s="306">
        <f>ROUND(D687*C687,0)</f>
        <v>442237</v>
      </c>
      <c r="G687" s="283">
        <f ca="1">$G$607</f>
        <v>1.5</v>
      </c>
      <c r="H687" s="308" t="s">
        <v>31</v>
      </c>
      <c r="I687" s="306">
        <f ca="1">ROUND(G687*$C687,0)</f>
        <v>454353</v>
      </c>
      <c r="J687" s="306"/>
      <c r="K687" s="283">
        <f ca="1">$K$607</f>
        <v>1.5</v>
      </c>
      <c r="L687" s="308" t="s">
        <v>31</v>
      </c>
      <c r="M687" s="306">
        <f ca="1">ROUND(K687*$C687,0)</f>
        <v>454353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401"/>
      <c r="Y687" s="74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>
      <c r="A688" s="294" t="s">
        <v>414</v>
      </c>
      <c r="B688" s="1"/>
      <c r="C688" s="304"/>
      <c r="D688" s="340"/>
      <c r="E688" s="308"/>
      <c r="F688" s="306"/>
      <c r="G688" s="340"/>
      <c r="H688" s="308"/>
      <c r="I688" s="306"/>
      <c r="J688" s="306"/>
      <c r="K688" s="340"/>
      <c r="L688" s="308"/>
      <c r="M688" s="306"/>
      <c r="N688" s="306"/>
      <c r="O688" s="340"/>
      <c r="P688" s="308"/>
      <c r="Q688" s="306"/>
      <c r="R688" s="306"/>
      <c r="S688" s="340"/>
      <c r="T688" s="308"/>
      <c r="U688" s="306"/>
      <c r="V688" s="20"/>
      <c r="W688" s="74"/>
      <c r="X688" s="74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>
      <c r="A689" s="294" t="s">
        <v>415</v>
      </c>
      <c r="B689" s="1"/>
      <c r="C689" s="304">
        <v>340651</v>
      </c>
      <c r="D689" s="283">
        <v>5.47</v>
      </c>
      <c r="E689" s="308"/>
      <c r="F689" s="306">
        <f>ROUND(D689*C689,0)</f>
        <v>1863361</v>
      </c>
      <c r="G689" s="283">
        <f ca="1">$G$609</f>
        <v>5.6</v>
      </c>
      <c r="H689" s="308"/>
      <c r="I689" s="306">
        <f ca="1">ROUND(G689*$C689,0)</f>
        <v>1907646</v>
      </c>
      <c r="J689" s="306"/>
      <c r="K689" s="283" t="e">
        <f ca="1">$K$609</f>
        <v>#REF!</v>
      </c>
      <c r="L689" s="308"/>
      <c r="M689" s="306" t="e">
        <f ca="1">ROUND(K689*$C689,0)</f>
        <v>#REF!</v>
      </c>
      <c r="N689" s="306"/>
      <c r="O689" s="283">
        <f>$O$609</f>
        <v>0</v>
      </c>
      <c r="P689" s="308"/>
      <c r="Q689" s="306">
        <f>ROUND(O689*$C689,0)</f>
        <v>0</v>
      </c>
      <c r="R689" s="306"/>
      <c r="S689" s="283">
        <f>$S$609</f>
        <v>0</v>
      </c>
      <c r="T689" s="308"/>
      <c r="U689" s="306">
        <f>ROUND(S689*$C689,0)</f>
        <v>0</v>
      </c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>
      <c r="A690" s="294" t="s">
        <v>431</v>
      </c>
      <c r="B690" s="1"/>
      <c r="C690" s="304">
        <v>17.5</v>
      </c>
      <c r="D690" s="354">
        <v>5.47</v>
      </c>
      <c r="E690" s="308"/>
      <c r="F690" s="306">
        <f>ROUND(D690*C690,0)</f>
        <v>96</v>
      </c>
      <c r="G690" s="354">
        <f ca="1">G689</f>
        <v>5.6</v>
      </c>
      <c r="H690" s="308"/>
      <c r="I690" s="306">
        <f ca="1">ROUND(G690*$C690,0)</f>
        <v>98</v>
      </c>
      <c r="J690" s="306"/>
      <c r="K690" s="354" t="e">
        <f ca="1">K689</f>
        <v>#REF!</v>
      </c>
      <c r="L690" s="308"/>
      <c r="M690" s="306" t="e">
        <f ca="1">ROUND(K690*$C690,0)</f>
        <v>#REF!</v>
      </c>
      <c r="N690" s="306"/>
      <c r="O690" s="354">
        <f>O689</f>
        <v>0</v>
      </c>
      <c r="P690" s="308"/>
      <c r="Q690" s="306">
        <f>ROUND(O690*$C690,0)</f>
        <v>0</v>
      </c>
      <c r="R690" s="306"/>
      <c r="S690" s="354">
        <f>S689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>
      <c r="A691" s="308" t="s">
        <v>416</v>
      </c>
      <c r="B691" s="1"/>
      <c r="C691" s="304"/>
      <c r="D691" s="283"/>
      <c r="E691" s="308"/>
      <c r="F691" s="306"/>
      <c r="G691" s="283"/>
      <c r="H691" s="308"/>
      <c r="I691" s="306"/>
      <c r="J691" s="306"/>
      <c r="K691" s="283"/>
      <c r="L691" s="308"/>
      <c r="M691" s="306"/>
      <c r="N691" s="306"/>
      <c r="O691" s="283"/>
      <c r="P691" s="308"/>
      <c r="Q691" s="306"/>
      <c r="R691" s="306"/>
      <c r="S691" s="283"/>
      <c r="T691" s="308"/>
      <c r="U691" s="306"/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>
      <c r="A692" s="308" t="s">
        <v>417</v>
      </c>
      <c r="B692" s="1"/>
      <c r="C692" s="304">
        <v>41625753.333333328</v>
      </c>
      <c r="D692" s="313">
        <v>5.7730000000000006</v>
      </c>
      <c r="E692" s="308" t="s">
        <v>364</v>
      </c>
      <c r="F692" s="306">
        <f>ROUND(D692*C692/100,0)</f>
        <v>2403055</v>
      </c>
      <c r="G692" s="312">
        <f ca="1">$G$612</f>
        <v>5.9119999999999999</v>
      </c>
      <c r="H692" s="308" t="s">
        <v>364</v>
      </c>
      <c r="I692" s="306">
        <f ca="1">ROUND(G692*$C692/100,0)</f>
        <v>2460915</v>
      </c>
      <c r="J692" s="306"/>
      <c r="K692" s="312" t="str">
        <f>$K$612</f>
        <v xml:space="preserve"> </v>
      </c>
      <c r="L692" s="308" t="s">
        <v>364</v>
      </c>
      <c r="M692" s="306">
        <f>ROUND(K692*$C692/100,0)</f>
        <v>0</v>
      </c>
      <c r="N692" s="306"/>
      <c r="O692" s="312" t="e">
        <f ca="1">$O$612</f>
        <v>#REF!</v>
      </c>
      <c r="P692" s="308" t="s">
        <v>364</v>
      </c>
      <c r="Q692" s="306" t="e">
        <f ca="1">ROUND(O692*$C692/100,0)</f>
        <v>#REF!</v>
      </c>
      <c r="R692" s="306"/>
      <c r="S692" s="312" t="e">
        <f ca="1">$S$612</f>
        <v>#REF!</v>
      </c>
      <c r="T692" s="308" t="s">
        <v>364</v>
      </c>
      <c r="U692" s="306" t="e">
        <f ca="1">ROUND(S692*$C692/100,0)</f>
        <v>#REF!</v>
      </c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>
      <c r="A693" s="308" t="s">
        <v>389</v>
      </c>
      <c r="B693" s="1"/>
      <c r="C693" s="304">
        <v>63576818.666666672</v>
      </c>
      <c r="D693" s="313">
        <v>5.2879999999999994</v>
      </c>
      <c r="E693" s="308" t="s">
        <v>364</v>
      </c>
      <c r="F693" s="306">
        <f>ROUND(D693*C693/100,0)</f>
        <v>3361942</v>
      </c>
      <c r="G693" s="312">
        <f ca="1">$G$613</f>
        <v>5.41</v>
      </c>
      <c r="H693" s="308" t="s">
        <v>364</v>
      </c>
      <c r="I693" s="306">
        <f ca="1">ROUND(G693*$C693/100,0)</f>
        <v>3439506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>
      <c r="A694" s="308" t="s">
        <v>390</v>
      </c>
      <c r="B694" s="1"/>
      <c r="C694" s="304">
        <v>103480.49999999997</v>
      </c>
      <c r="D694" s="956">
        <v>57</v>
      </c>
      <c r="E694" s="308" t="s">
        <v>364</v>
      </c>
      <c r="F694" s="306">
        <f>ROUND(D694*C694/100,0)</f>
        <v>58984</v>
      </c>
      <c r="G694" s="460">
        <f ca="1">$G$614</f>
        <v>58</v>
      </c>
      <c r="H694" s="308" t="s">
        <v>364</v>
      </c>
      <c r="I694" s="306">
        <f ca="1">ROUND(G694*$C694/100,0)</f>
        <v>60019</v>
      </c>
      <c r="J694" s="306"/>
      <c r="K694" s="460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460" t="e">
        <f ca="1">$O$614</f>
        <v>#DIV/0!</v>
      </c>
      <c r="P694" s="308" t="s">
        <v>364</v>
      </c>
      <c r="Q694" s="306" t="e">
        <f ca="1">ROUND(O694*$C694/100,0)</f>
        <v>#DIV/0!</v>
      </c>
      <c r="R694" s="306"/>
      <c r="S694" s="460" t="e">
        <f ca="1">$S$614</f>
        <v>#DIV/0!</v>
      </c>
      <c r="T694" s="308" t="s">
        <v>364</v>
      </c>
      <c r="U694" s="306" t="e">
        <f ca="1">ROUND(S694*$C694/100,0)</f>
        <v>#DIV/0!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s="1118" customFormat="1" hidden="1">
      <c r="A695" s="968" t="s">
        <v>868</v>
      </c>
      <c r="C695" s="1122">
        <f>C692</f>
        <v>41625753.333333328</v>
      </c>
      <c r="D695" s="1423">
        <v>0</v>
      </c>
      <c r="E695" s="1119"/>
      <c r="F695" s="1123"/>
      <c r="G695" s="1128">
        <f>G615</f>
        <v>0</v>
      </c>
      <c r="H695" s="1000" t="s">
        <v>364</v>
      </c>
      <c r="I695" s="1000">
        <f t="shared" ref="I695:I696" si="160">ROUND(G695*$C695/100,0)</f>
        <v>0</v>
      </c>
      <c r="J695" s="1000"/>
      <c r="K695" s="1128" t="str">
        <f>K615</f>
        <v xml:space="preserve"> </v>
      </c>
      <c r="L695" s="1000" t="s">
        <v>364</v>
      </c>
      <c r="M695" s="1000">
        <f t="shared" ref="M695:M696" si="161">ROUND(K695*$C695/100,0)</f>
        <v>0</v>
      </c>
      <c r="N695" s="1000"/>
      <c r="O695" s="1128" t="str">
        <f>O615</f>
        <v xml:space="preserve"> </v>
      </c>
      <c r="P695" s="1000" t="s">
        <v>364</v>
      </c>
      <c r="Q695" s="1000">
        <f t="shared" ref="Q695:Q696" si="162">ROUND(O695*$C695/100,0)</f>
        <v>0</v>
      </c>
      <c r="R695" s="1000"/>
      <c r="S695" s="1128">
        <f>S615</f>
        <v>0</v>
      </c>
      <c r="T695" s="1000" t="s">
        <v>364</v>
      </c>
      <c r="U695" s="1000">
        <f t="shared" ref="U695:U696" si="163">ROUND(S695*$C695/100,0)</f>
        <v>0</v>
      </c>
      <c r="W695" s="784"/>
      <c r="Z695" s="1125"/>
      <c r="AA695" s="1125"/>
      <c r="AF695" s="1119"/>
      <c r="AG695" s="1119"/>
      <c r="AH695" s="1119"/>
      <c r="AI695" s="1119"/>
      <c r="AJ695" s="1119"/>
      <c r="AK695" s="1119"/>
      <c r="AL695" s="1119"/>
      <c r="AM695" s="1119"/>
      <c r="AN695" s="1119"/>
      <c r="AO695" s="1119"/>
      <c r="AP695" s="1119"/>
      <c r="AR695" s="1124"/>
    </row>
    <row r="696" spans="1:44" s="1118" customFormat="1" hidden="1">
      <c r="A696" s="968" t="s">
        <v>869</v>
      </c>
      <c r="C696" s="1122">
        <f>C693</f>
        <v>63576818.666666672</v>
      </c>
      <c r="D696" s="1423">
        <v>0</v>
      </c>
      <c r="E696" s="1119"/>
      <c r="F696" s="1123"/>
      <c r="G696" s="1128">
        <f>G616</f>
        <v>0</v>
      </c>
      <c r="H696" s="1000" t="s">
        <v>364</v>
      </c>
      <c r="I696" s="1000">
        <f t="shared" si="160"/>
        <v>0</v>
      </c>
      <c r="J696" s="1000"/>
      <c r="K696" s="1128" t="str">
        <f>K616</f>
        <v xml:space="preserve"> </v>
      </c>
      <c r="L696" s="1000" t="s">
        <v>364</v>
      </c>
      <c r="M696" s="1000">
        <f t="shared" si="161"/>
        <v>0</v>
      </c>
      <c r="N696" s="1000"/>
      <c r="O696" s="1128" t="str">
        <f>O616</f>
        <v xml:space="preserve"> </v>
      </c>
      <c r="P696" s="1000" t="s">
        <v>364</v>
      </c>
      <c r="Q696" s="1000">
        <f t="shared" si="162"/>
        <v>0</v>
      </c>
      <c r="R696" s="1000"/>
      <c r="S696" s="1128">
        <f>S616</f>
        <v>0</v>
      </c>
      <c r="T696" s="1000" t="s">
        <v>364</v>
      </c>
      <c r="U696" s="1000">
        <f t="shared" si="163"/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>
      <c r="A697" s="345" t="s">
        <v>391</v>
      </c>
      <c r="B697" s="1"/>
      <c r="C697" s="304"/>
      <c r="D697" s="317">
        <v>-0.01</v>
      </c>
      <c r="E697" s="1"/>
      <c r="F697" s="306"/>
      <c r="G697" s="317">
        <v>-0.01</v>
      </c>
      <c r="H697" s="1"/>
      <c r="I697" s="306"/>
      <c r="J697" s="306"/>
      <c r="K697" s="317">
        <v>-0.01</v>
      </c>
      <c r="L697" s="1"/>
      <c r="M697" s="306"/>
      <c r="N697" s="306"/>
      <c r="O697" s="317">
        <v>-0.01</v>
      </c>
      <c r="P697" s="1"/>
      <c r="Q697" s="306"/>
      <c r="R697" s="306"/>
      <c r="S697" s="317">
        <v>-0.01</v>
      </c>
      <c r="T697" s="1"/>
      <c r="U697" s="306"/>
      <c r="V697" s="20"/>
      <c r="W697" s="74"/>
      <c r="X697" s="74"/>
      <c r="Y697" s="74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</row>
    <row r="698" spans="1:44">
      <c r="A698" s="308" t="s">
        <v>411</v>
      </c>
      <c r="B698" s="1"/>
      <c r="C698" s="304">
        <v>0</v>
      </c>
      <c r="D698" s="289">
        <v>264</v>
      </c>
      <c r="E698" s="278"/>
      <c r="F698" s="306">
        <f t="shared" ref="F698:F704" si="164">ROUND(D698*C698*$D$659,0)</f>
        <v>0</v>
      </c>
      <c r="G698" s="289">
        <f ca="1">G682</f>
        <v>268</v>
      </c>
      <c r="H698" s="278"/>
      <c r="I698" s="306">
        <f ca="1">ROUND(G698*$C698*G697,0)</f>
        <v>0</v>
      </c>
      <c r="J698" s="306"/>
      <c r="K698" s="289">
        <f ca="1">K682</f>
        <v>268</v>
      </c>
      <c r="L698" s="278"/>
      <c r="M698" s="306">
        <f ca="1">ROUND(K698*$C698*K697,0)</f>
        <v>0</v>
      </c>
      <c r="N698" s="306"/>
      <c r="O698" s="289" t="str">
        <f>O682</f>
        <v xml:space="preserve"> </v>
      </c>
      <c r="P698" s="278"/>
      <c r="Q698" s="306">
        <f>ROUND(O698*$C698*O697,0)</f>
        <v>0</v>
      </c>
      <c r="R698" s="306"/>
      <c r="S698" s="289" t="str">
        <f>S682</f>
        <v xml:space="preserve"> </v>
      </c>
      <c r="T698" s="278"/>
      <c r="U698" s="306">
        <f>ROUND(S698*$C698*S697,0)</f>
        <v>0</v>
      </c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>
      <c r="A699" s="308" t="s">
        <v>412</v>
      </c>
      <c r="B699" s="1"/>
      <c r="C699" s="304">
        <v>16.2</v>
      </c>
      <c r="D699" s="289">
        <v>98</v>
      </c>
      <c r="E699" s="278"/>
      <c r="F699" s="306">
        <f t="shared" si="164"/>
        <v>-16</v>
      </c>
      <c r="G699" s="289">
        <f ca="1">G683</f>
        <v>100</v>
      </c>
      <c r="H699" s="278"/>
      <c r="I699" s="306">
        <f ca="1">ROUND(G699*$C699*G697,0)</f>
        <v>-16</v>
      </c>
      <c r="J699" s="306"/>
      <c r="K699" s="289">
        <f ca="1">K683</f>
        <v>100</v>
      </c>
      <c r="L699" s="278"/>
      <c r="M699" s="306">
        <f ca="1">ROUND(K699*$C699*K697,0)</f>
        <v>-16</v>
      </c>
      <c r="N699" s="306"/>
      <c r="O699" s="289" t="str">
        <f>O683</f>
        <v xml:space="preserve"> </v>
      </c>
      <c r="P699" s="278"/>
      <c r="Q699" s="306">
        <f>ROUND(O699*$C699*O697,0)</f>
        <v>0</v>
      </c>
      <c r="R699" s="306"/>
      <c r="S699" s="289" t="str">
        <f>S683</f>
        <v xml:space="preserve"> </v>
      </c>
      <c r="T699" s="278"/>
      <c r="U699" s="306">
        <f>ROUND(S699*$C699*S697,0)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>
      <c r="A700" s="308" t="s">
        <v>413</v>
      </c>
      <c r="B700" s="1"/>
      <c r="C700" s="304">
        <v>0</v>
      </c>
      <c r="D700" s="289">
        <v>195</v>
      </c>
      <c r="E700" s="358"/>
      <c r="F700" s="306">
        <f t="shared" si="164"/>
        <v>0</v>
      </c>
      <c r="G700" s="289">
        <f ca="1">G684</f>
        <v>200</v>
      </c>
      <c r="H700" s="358"/>
      <c r="I700" s="306">
        <f ca="1">ROUND(G700*$C700*G697,0)</f>
        <v>0</v>
      </c>
      <c r="J700" s="306"/>
      <c r="K700" s="289">
        <f ca="1">K684</f>
        <v>200</v>
      </c>
      <c r="L700" s="358"/>
      <c r="M700" s="306">
        <f ca="1">ROUND(K700*$C700*K697,0)</f>
        <v>0</v>
      </c>
      <c r="N700" s="306"/>
      <c r="O700" s="289" t="str">
        <f>O684</f>
        <v xml:space="preserve"> </v>
      </c>
      <c r="P700" s="358"/>
      <c r="Q700" s="306">
        <f>ROUND(O700*$C700*O697,0)</f>
        <v>0</v>
      </c>
      <c r="R700" s="306"/>
      <c r="S700" s="289" t="str">
        <f>S684</f>
        <v xml:space="preserve"> </v>
      </c>
      <c r="T700" s="358"/>
      <c r="U700" s="306">
        <f>ROUND(S700*$C700*S697,0)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>
      <c r="A701" s="308" t="s">
        <v>412</v>
      </c>
      <c r="B701" s="1"/>
      <c r="C701" s="304">
        <v>2032</v>
      </c>
      <c r="D701" s="289">
        <v>1.79</v>
      </c>
      <c r="E701" s="278"/>
      <c r="F701" s="306">
        <f t="shared" si="164"/>
        <v>-36</v>
      </c>
      <c r="G701" s="289">
        <f ca="1">G686</f>
        <v>1.83</v>
      </c>
      <c r="H701" s="278"/>
      <c r="I701" s="306">
        <f ca="1">ROUND(G701*$C701*G697,0)</f>
        <v>-37</v>
      </c>
      <c r="J701" s="306"/>
      <c r="K701" s="289">
        <f ca="1">K686</f>
        <v>1.83</v>
      </c>
      <c r="L701" s="278"/>
      <c r="M701" s="306">
        <f ca="1">ROUND(K701*$C701*K697,0)</f>
        <v>-37</v>
      </c>
      <c r="N701" s="306"/>
      <c r="O701" s="289" t="str">
        <f>O686</f>
        <v xml:space="preserve"> </v>
      </c>
      <c r="P701" s="278"/>
      <c r="Q701" s="306">
        <f>ROUND(O701*$C701*O697,0)</f>
        <v>0</v>
      </c>
      <c r="R701" s="306"/>
      <c r="S701" s="289" t="str">
        <f>S686</f>
        <v xml:space="preserve"> </v>
      </c>
      <c r="T701" s="278"/>
      <c r="U701" s="306">
        <f>ROUND(S701*$C701*S697,0)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>
      <c r="A702" s="308" t="s">
        <v>413</v>
      </c>
      <c r="B702" s="1"/>
      <c r="C702" s="304">
        <v>0</v>
      </c>
      <c r="D702" s="289">
        <v>1.46</v>
      </c>
      <c r="E702" s="278"/>
      <c r="F702" s="306">
        <f t="shared" si="164"/>
        <v>0</v>
      </c>
      <c r="G702" s="289">
        <f ca="1">G687</f>
        <v>1.5</v>
      </c>
      <c r="H702" s="278"/>
      <c r="I702" s="306">
        <f ca="1">ROUND(G702*$C702*G697,0)</f>
        <v>0</v>
      </c>
      <c r="J702" s="306"/>
      <c r="K702" s="289">
        <f ca="1">K687</f>
        <v>1.5</v>
      </c>
      <c r="L702" s="278"/>
      <c r="M702" s="306">
        <f ca="1">ROUND(K702*$C702*K697,0)</f>
        <v>0</v>
      </c>
      <c r="N702" s="306"/>
      <c r="O702" s="289" t="str">
        <f>O687</f>
        <v xml:space="preserve"> </v>
      </c>
      <c r="P702" s="278"/>
      <c r="Q702" s="306">
        <f>ROUND(O702*$C702*O697,0)</f>
        <v>0</v>
      </c>
      <c r="R702" s="306"/>
      <c r="S702" s="289" t="str">
        <f>S687</f>
        <v xml:space="preserve"> </v>
      </c>
      <c r="T702" s="278"/>
      <c r="U702" s="306">
        <f>ROUND(S702*$C702*S697,0)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>
      <c r="A703" s="294" t="s">
        <v>415</v>
      </c>
      <c r="B703" s="1"/>
      <c r="C703" s="304">
        <v>1286</v>
      </c>
      <c r="D703" s="289">
        <v>5.47</v>
      </c>
      <c r="E703" s="278"/>
      <c r="F703" s="306">
        <f t="shared" si="164"/>
        <v>-70</v>
      </c>
      <c r="G703" s="289">
        <f ca="1">G689</f>
        <v>5.6</v>
      </c>
      <c r="H703" s="278"/>
      <c r="I703" s="306">
        <f ca="1">ROUND(G703*$C703*G697,0)</f>
        <v>-72</v>
      </c>
      <c r="J703" s="306"/>
      <c r="K703" s="289" t="e">
        <f ca="1">K689</f>
        <v>#REF!</v>
      </c>
      <c r="L703" s="278"/>
      <c r="M703" s="306" t="e">
        <f ca="1">ROUND(K703*$C703*K697,0)</f>
        <v>#REF!</v>
      </c>
      <c r="N703" s="306"/>
      <c r="O703" s="289">
        <f>O689</f>
        <v>0</v>
      </c>
      <c r="P703" s="278"/>
      <c r="Q703" s="306">
        <f>ROUND(O703*$C703*O697,0)</f>
        <v>0</v>
      </c>
      <c r="R703" s="306"/>
      <c r="S703" s="289">
        <f>S689</f>
        <v>0</v>
      </c>
      <c r="T703" s="278"/>
      <c r="U703" s="306">
        <f>ROUND(S703*$C703*S697,0)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>
      <c r="A704" s="294" t="s">
        <v>431</v>
      </c>
      <c r="B704" s="1"/>
      <c r="C704" s="304">
        <v>0</v>
      </c>
      <c r="D704" s="289">
        <v>5.47</v>
      </c>
      <c r="E704" s="278"/>
      <c r="F704" s="306">
        <f t="shared" si="164"/>
        <v>0</v>
      </c>
      <c r="G704" s="289">
        <f ca="1">G690</f>
        <v>5.6</v>
      </c>
      <c r="H704" s="278"/>
      <c r="I704" s="306">
        <f ca="1">ROUND(G704*$C704*G697,0)</f>
        <v>0</v>
      </c>
      <c r="J704" s="306"/>
      <c r="K704" s="289" t="e">
        <f ca="1">K690</f>
        <v>#REF!</v>
      </c>
      <c r="L704" s="278"/>
      <c r="M704" s="306" t="e">
        <f ca="1">ROUND(K704*$C704*K697,0)</f>
        <v>#REF!</v>
      </c>
      <c r="N704" s="306"/>
      <c r="O704" s="289">
        <f>O690</f>
        <v>0</v>
      </c>
      <c r="P704" s="278"/>
      <c r="Q704" s="306">
        <f>ROUND(O704*$C704*O697,0)</f>
        <v>0</v>
      </c>
      <c r="R704" s="306"/>
      <c r="S704" s="289">
        <f>S690</f>
        <v>0</v>
      </c>
      <c r="T704" s="278"/>
      <c r="U704" s="306">
        <f>ROUND(S704*$C704*S697,0)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>
      <c r="A705" s="308" t="s">
        <v>417</v>
      </c>
      <c r="B705" s="1"/>
      <c r="C705" s="304">
        <v>490733.33333333302</v>
      </c>
      <c r="D705" s="359">
        <v>5.7730000000000006</v>
      </c>
      <c r="E705" s="308" t="s">
        <v>364</v>
      </c>
      <c r="F705" s="306">
        <f>ROUND(D705*C705/100*$D$659,0)</f>
        <v>-283</v>
      </c>
      <c r="G705" s="359">
        <f ca="1">G692</f>
        <v>5.9119999999999999</v>
      </c>
      <c r="H705" s="308" t="s">
        <v>364</v>
      </c>
      <c r="I705" s="306">
        <f ca="1">ROUND(G705*$C705/100*G697,0)</f>
        <v>-290</v>
      </c>
      <c r="J705" s="306"/>
      <c r="K705" s="359" t="str">
        <f>K692</f>
        <v xml:space="preserve"> </v>
      </c>
      <c r="L705" s="308" t="s">
        <v>364</v>
      </c>
      <c r="M705" s="306">
        <f>ROUND(K705*$C705/100*K697,0)</f>
        <v>0</v>
      </c>
      <c r="N705" s="306"/>
      <c r="O705" s="359" t="e">
        <f ca="1">O692</f>
        <v>#REF!</v>
      </c>
      <c r="P705" s="308" t="s">
        <v>364</v>
      </c>
      <c r="Q705" s="306" t="e">
        <f ca="1">ROUND(O705*$C705/100*O697,0)</f>
        <v>#REF!</v>
      </c>
      <c r="R705" s="306"/>
      <c r="S705" s="359" t="e">
        <f ca="1">S692</f>
        <v>#REF!</v>
      </c>
      <c r="T705" s="308" t="s">
        <v>364</v>
      </c>
      <c r="U705" s="306" t="e">
        <f ca="1">ROUND(S705*$C705/100*S697,0)</f>
        <v>#REF!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>
      <c r="A706" s="308" t="s">
        <v>389</v>
      </c>
      <c r="B706" s="1"/>
      <c r="C706" s="304">
        <v>21066.666666666977</v>
      </c>
      <c r="D706" s="359">
        <v>5.2879999999999994</v>
      </c>
      <c r="E706" s="308" t="s">
        <v>364</v>
      </c>
      <c r="F706" s="306">
        <f>ROUND(D706*C706/100*$D$659,0)</f>
        <v>-11</v>
      </c>
      <c r="G706" s="359">
        <f ca="1">G693</f>
        <v>5.41</v>
      </c>
      <c r="H706" s="308" t="s">
        <v>364</v>
      </c>
      <c r="I706" s="306">
        <f ca="1">ROUND(G706*$C706/100*G697,0)</f>
        <v>-11</v>
      </c>
      <c r="J706" s="306"/>
      <c r="K706" s="359" t="str">
        <f>K693</f>
        <v xml:space="preserve"> </v>
      </c>
      <c r="L706" s="308" t="s">
        <v>364</v>
      </c>
      <c r="M706" s="306">
        <f>ROUND(K706*$C706/100*K697,0)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ROUND(O706*$C706/100*O697,0)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ROUND(S706*$C706/100*S697,0)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>
      <c r="A707" s="308" t="s">
        <v>390</v>
      </c>
      <c r="B707" s="1"/>
      <c r="C707" s="304">
        <v>955.13333333333298</v>
      </c>
      <c r="D707" s="360">
        <v>57</v>
      </c>
      <c r="E707" s="308" t="s">
        <v>364</v>
      </c>
      <c r="F707" s="306">
        <f>ROUND(D707*C707/100*$D$659,0)</f>
        <v>-5</v>
      </c>
      <c r="G707" s="360">
        <f ca="1">G694</f>
        <v>58</v>
      </c>
      <c r="H707" s="308" t="s">
        <v>364</v>
      </c>
      <c r="I707" s="306">
        <f ca="1">ROUND(G707*$C707/100*G697,0)</f>
        <v>-6</v>
      </c>
      <c r="J707" s="306"/>
      <c r="K707" s="360" t="str">
        <f>K694</f>
        <v xml:space="preserve"> </v>
      </c>
      <c r="L707" s="308" t="s">
        <v>364</v>
      </c>
      <c r="M707" s="306">
        <f>ROUND(K707*$C707/100*K697,0)</f>
        <v>0</v>
      </c>
      <c r="N707" s="306"/>
      <c r="O707" s="360" t="e">
        <f ca="1">O694</f>
        <v>#DIV/0!</v>
      </c>
      <c r="P707" s="308" t="s">
        <v>364</v>
      </c>
      <c r="Q707" s="306" t="e">
        <f ca="1">ROUND(O707*$C707/100*O697,0)</f>
        <v>#DIV/0!</v>
      </c>
      <c r="R707" s="306"/>
      <c r="S707" s="360" t="e">
        <f ca="1">S694</f>
        <v>#DIV/0!</v>
      </c>
      <c r="T707" s="308" t="s">
        <v>364</v>
      </c>
      <c r="U707" s="306" t="e">
        <f ca="1">ROUND(S707*$C707/100*S697,0)</f>
        <v>#DIV/0!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>
      <c r="A708" s="308" t="s">
        <v>433</v>
      </c>
      <c r="B708" s="1"/>
      <c r="C708" s="304">
        <v>16.2</v>
      </c>
      <c r="D708" s="283">
        <v>60</v>
      </c>
      <c r="E708" s="1"/>
      <c r="F708" s="306">
        <f>ROUND(D708*C708,0)</f>
        <v>972</v>
      </c>
      <c r="G708" s="283">
        <f>$G$630</f>
        <v>60</v>
      </c>
      <c r="H708" s="1"/>
      <c r="I708" s="306">
        <f>ROUND(G708*$C708,0)</f>
        <v>972</v>
      </c>
      <c r="J708" s="306"/>
      <c r="K708" s="283">
        <v>0</v>
      </c>
      <c r="L708" s="1"/>
      <c r="M708" s="306">
        <f>ROUND(K708*$C708,0)</f>
        <v>0</v>
      </c>
      <c r="N708" s="306"/>
      <c r="O708" s="283" t="e">
        <f>O630</f>
        <v>#DIV/0!</v>
      </c>
      <c r="P708" s="1"/>
      <c r="Q708" s="306" t="e">
        <f>ROUND(O708*$C708,0)</f>
        <v>#DIV/0!</v>
      </c>
      <c r="R708" s="306"/>
      <c r="S708" s="283" t="e">
        <f>S630</f>
        <v>#DIV/0!</v>
      </c>
      <c r="T708" s="1"/>
      <c r="U708" s="306" t="e">
        <f>ROUND(S708*$C708,0)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>
      <c r="A709" s="308" t="s">
        <v>434</v>
      </c>
      <c r="B709" s="1"/>
      <c r="C709" s="304">
        <v>2032</v>
      </c>
      <c r="D709" s="324">
        <v>-30</v>
      </c>
      <c r="E709" s="306" t="s">
        <v>364</v>
      </c>
      <c r="F709" s="306">
        <f>-ROUND(D709*C709*$D$659,0)</f>
        <v>-610</v>
      </c>
      <c r="G709" s="324">
        <f>$G$631</f>
        <v>-30</v>
      </c>
      <c r="H709" s="306" t="s">
        <v>364</v>
      </c>
      <c r="I709" s="306">
        <f>ROUND(G709*$C709/100,0)</f>
        <v>-610</v>
      </c>
      <c r="J709" s="306"/>
      <c r="K709" s="324">
        <f>$G$631</f>
        <v>-30</v>
      </c>
      <c r="L709" s="306" t="s">
        <v>364</v>
      </c>
      <c r="M709" s="306">
        <f>ROUND(K709*$C709/100,0)</f>
        <v>-610</v>
      </c>
      <c r="N709" s="306"/>
      <c r="O709" s="324">
        <v>0</v>
      </c>
      <c r="P709" s="306" t="s">
        <v>364</v>
      </c>
      <c r="Q709" s="306">
        <f>ROUND(O709*$C709/100,0)</f>
        <v>0</v>
      </c>
      <c r="R709" s="306"/>
      <c r="S709" s="324">
        <v>0</v>
      </c>
      <c r="T709" s="306" t="s">
        <v>364</v>
      </c>
      <c r="U709" s="306">
        <f>ROUND(S709*$C709/100,0)</f>
        <v>0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s="1118" customFormat="1" hidden="1">
      <c r="A710" s="968" t="s">
        <v>868</v>
      </c>
      <c r="C710" s="1122">
        <f>C705</f>
        <v>490733.33333333302</v>
      </c>
      <c r="D710" s="1423">
        <v>0</v>
      </c>
      <c r="E710" s="1119"/>
      <c r="F710" s="1123"/>
      <c r="G710" s="1128">
        <f>G695</f>
        <v>0</v>
      </c>
      <c r="H710" s="1000" t="s">
        <v>364</v>
      </c>
      <c r="I710" s="1000">
        <f>ROUND(G710*$C710/100*G697,0)</f>
        <v>0</v>
      </c>
      <c r="J710" s="1000"/>
      <c r="K710" s="1128" t="str">
        <f>K695</f>
        <v xml:space="preserve"> </v>
      </c>
      <c r="L710" s="1000" t="s">
        <v>364</v>
      </c>
      <c r="M710" s="1000">
        <f>ROUND(K710*$C710/100*K697,0)</f>
        <v>0</v>
      </c>
      <c r="N710" s="1000"/>
      <c r="O710" s="1128" t="str">
        <f>O695</f>
        <v xml:space="preserve"> </v>
      </c>
      <c r="P710" s="1000" t="s">
        <v>364</v>
      </c>
      <c r="Q710" s="1000">
        <f>ROUND(O710*$C710/100*O697,0)</f>
        <v>0</v>
      </c>
      <c r="R710" s="1000"/>
      <c r="S710" s="1128">
        <f>S695</f>
        <v>0</v>
      </c>
      <c r="T710" s="1000" t="s">
        <v>364</v>
      </c>
      <c r="U710" s="1000">
        <f>ROUND(S710*$C710/100*S697,0)</f>
        <v>0</v>
      </c>
      <c r="W710" s="784"/>
      <c r="Z710" s="1125"/>
      <c r="AA710" s="1125"/>
      <c r="AF710" s="1119"/>
      <c r="AG710" s="1119"/>
      <c r="AH710" s="1119"/>
      <c r="AI710" s="1119"/>
      <c r="AJ710" s="1119"/>
      <c r="AK710" s="1119"/>
      <c r="AL710" s="1119"/>
      <c r="AM710" s="1119"/>
      <c r="AN710" s="1119"/>
      <c r="AO710" s="1119"/>
      <c r="AP710" s="1119"/>
      <c r="AR710" s="1124"/>
    </row>
    <row r="711" spans="1:44" s="1118" customFormat="1" hidden="1">
      <c r="A711" s="968" t="s">
        <v>869</v>
      </c>
      <c r="C711" s="1122">
        <f>C706</f>
        <v>21066.666666666977</v>
      </c>
      <c r="D711" s="1423"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ROUND(G711*$C711/100*G697,0)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ROUND(K711*$C711/100*K697,0)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ROUND(O711*$C711/100*O697,0)</f>
        <v>0</v>
      </c>
      <c r="R711" s="1000"/>
      <c r="S711" s="1128">
        <f>S696</f>
        <v>0</v>
      </c>
      <c r="T711" s="1000" t="s">
        <v>364</v>
      </c>
      <c r="U711" s="1000">
        <f>ROUND(S711*$C711/100*S697,0)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>
      <c r="A712" s="1" t="s">
        <v>371</v>
      </c>
      <c r="B712" s="1"/>
      <c r="C712" s="304">
        <f>SUM(C692:C693)</f>
        <v>105202572</v>
      </c>
      <c r="D712" s="315"/>
      <c r="E712" s="1"/>
      <c r="F712" s="2">
        <f>SUM(F682:F709)</f>
        <v>8566587</v>
      </c>
      <c r="G712" s="315"/>
      <c r="H712" s="1"/>
      <c r="I712" s="2">
        <f ca="1">SUM(I682:I711)</f>
        <v>8769351</v>
      </c>
      <c r="J712" s="2"/>
      <c r="K712" s="315"/>
      <c r="L712" s="1"/>
      <c r="M712" s="2" t="e">
        <f ca="1">SUM(M682:M711)</f>
        <v>#REF!</v>
      </c>
      <c r="N712" s="2"/>
      <c r="O712" s="315"/>
      <c r="P712" s="1"/>
      <c r="Q712" s="2" t="e">
        <f ca="1">SUM(Q682:Q711)</f>
        <v>#REF!</v>
      </c>
      <c r="R712" s="2"/>
      <c r="S712" s="315"/>
      <c r="T712" s="1"/>
      <c r="U712" s="2" t="e">
        <f ca="1">SUM(U682:U711)</f>
        <v>#REF!</v>
      </c>
      <c r="V712" s="20"/>
      <c r="W712" s="74"/>
      <c r="X712" s="74"/>
      <c r="Y712" s="74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</row>
    <row r="713" spans="1:44">
      <c r="A713" s="1" t="s">
        <v>353</v>
      </c>
      <c r="B713" s="1"/>
      <c r="C713" s="334">
        <f ca="1">'Table 2'!H76</f>
        <v>327096.30737224856</v>
      </c>
      <c r="D713" s="294"/>
      <c r="E713" s="294"/>
      <c r="F713" s="295">
        <f ca="1">'Table 3'!E76</f>
        <v>26533.50156434354</v>
      </c>
      <c r="G713" s="294"/>
      <c r="H713" s="294"/>
      <c r="I713" s="295">
        <f ca="1">F713</f>
        <v>26533.50156434354</v>
      </c>
      <c r="J713" s="51"/>
      <c r="K713" s="294"/>
      <c r="L713" s="294"/>
      <c r="M713" s="295" t="e">
        <f ca="1">$I$713*V639/($V$639+$W$639+$X$639)</f>
        <v>#DIV/0!</v>
      </c>
      <c r="N713" s="51"/>
      <c r="O713" s="294"/>
      <c r="P713" s="294"/>
      <c r="Q713" s="295" t="e">
        <f ca="1">$I$713*W639/($V$639+$W$639+$X$639)</f>
        <v>#DIV/0!</v>
      </c>
      <c r="R713" s="51"/>
      <c r="S713" s="294"/>
      <c r="T713" s="294"/>
      <c r="U713" s="295" t="e">
        <f ca="1">$I$713*X639/($V$639+$W$639+$X$639)</f>
        <v>#DIV/0!</v>
      </c>
      <c r="V713" s="429"/>
      <c r="W713" s="272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t="16.5" thickBot="1">
      <c r="A714" s="1" t="s">
        <v>372</v>
      </c>
      <c r="B714" s="1"/>
      <c r="C714" s="351">
        <f ca="1">SUM(C712)+C713</f>
        <v>105529668.30737224</v>
      </c>
      <c r="D714" s="327"/>
      <c r="E714" s="330"/>
      <c r="F714" s="329">
        <f ca="1">F712+F713</f>
        <v>8593120.5015643444</v>
      </c>
      <c r="G714" s="327"/>
      <c r="H714" s="330"/>
      <c r="I714" s="329">
        <f ca="1">I712+I713</f>
        <v>8795884.5015643444</v>
      </c>
      <c r="J714" s="307"/>
      <c r="K714" s="327"/>
      <c r="L714" s="330"/>
      <c r="M714" s="329" t="e">
        <f ca="1">M712+M713</f>
        <v>#REF!</v>
      </c>
      <c r="N714" s="329"/>
      <c r="O714" s="327"/>
      <c r="P714" s="330"/>
      <c r="Q714" s="329" t="e">
        <f ca="1">Q712+Q713</f>
        <v>#REF!</v>
      </c>
      <c r="R714" s="329"/>
      <c r="S714" s="327"/>
      <c r="T714" s="330"/>
      <c r="U714" s="329" t="e">
        <f ca="1">U712+U713</f>
        <v>#REF!</v>
      </c>
      <c r="V714" s="396"/>
      <c r="W714" s="455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thickTop="1">
      <c r="A715" s="288"/>
      <c r="B715" s="363"/>
      <c r="C715" s="288"/>
      <c r="D715" s="1"/>
      <c r="E715" s="288"/>
      <c r="F715" s="364"/>
      <c r="G715" s="288"/>
      <c r="H715" s="288"/>
      <c r="I715" s="288"/>
      <c r="J715" s="288"/>
      <c r="K715" s="288"/>
      <c r="L715" s="288"/>
      <c r="M715" s="288"/>
      <c r="N715" s="288"/>
      <c r="O715" s="288"/>
      <c r="P715" s="288"/>
      <c r="Q715" s="288"/>
      <c r="R715" s="288"/>
      <c r="S715" s="288"/>
      <c r="T715" s="288"/>
      <c r="U715" s="288"/>
      <c r="V715" s="20"/>
      <c r="W715" s="74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>
      <c r="A716" s="278" t="s">
        <v>437</v>
      </c>
      <c r="B716" s="1"/>
      <c r="C716" s="21"/>
      <c r="D716" s="322"/>
      <c r="E716" s="1"/>
      <c r="F716" s="2"/>
      <c r="G716" s="322"/>
      <c r="H716" s="1"/>
      <c r="I716" s="2"/>
      <c r="J716" s="2"/>
      <c r="K716" s="322"/>
      <c r="L716" s="1"/>
      <c r="M716" s="2"/>
      <c r="N716" s="2"/>
      <c r="O716" s="322"/>
      <c r="P716" s="1"/>
      <c r="Q716" s="2"/>
      <c r="R716" s="2"/>
      <c r="S716" s="322"/>
      <c r="T716" s="1"/>
      <c r="U716" s="2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94" t="s">
        <v>438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308"/>
      <c r="B718" s="1"/>
      <c r="C718" s="21"/>
      <c r="D718" s="322"/>
      <c r="E718" s="1"/>
      <c r="F718" s="365"/>
      <c r="G718" s="322"/>
      <c r="H718" s="1"/>
      <c r="I718" s="366"/>
      <c r="J718" s="366"/>
      <c r="K718" s="322"/>
      <c r="L718" s="1"/>
      <c r="M718" s="366"/>
      <c r="N718" s="366"/>
      <c r="O718" s="322"/>
      <c r="P718" s="1"/>
      <c r="Q718" s="366"/>
      <c r="R718" s="366"/>
      <c r="S718" s="322"/>
      <c r="T718" s="1"/>
      <c r="U718" s="366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294" t="s">
        <v>439</v>
      </c>
      <c r="B719" s="1"/>
      <c r="C719" s="304"/>
      <c r="D719" s="2" t="s">
        <v>31</v>
      </c>
      <c r="E719" s="1"/>
      <c r="F719" s="1"/>
      <c r="G719" s="2" t="s">
        <v>31</v>
      </c>
      <c r="H719" s="1"/>
      <c r="I719" s="1"/>
      <c r="J719" s="1"/>
      <c r="K719" s="2" t="s">
        <v>31</v>
      </c>
      <c r="L719" s="1"/>
      <c r="M719" s="1"/>
      <c r="N719" s="1"/>
      <c r="O719" s="2" t="s">
        <v>31</v>
      </c>
      <c r="P719" s="1"/>
      <c r="Q719" s="1"/>
      <c r="R719" s="1"/>
      <c r="S719" s="2" t="s">
        <v>31</v>
      </c>
      <c r="T719" s="1"/>
      <c r="U719" s="1"/>
      <c r="V719" s="20"/>
      <c r="W719" s="74"/>
      <c r="X719" s="20"/>
      <c r="Y719" s="20"/>
      <c r="Z719" s="20"/>
      <c r="AA719" s="20"/>
      <c r="AB719" s="20"/>
      <c r="AC719" s="20"/>
      <c r="AD719" s="20"/>
      <c r="AE719" s="20"/>
      <c r="AF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440</v>
      </c>
      <c r="B720" s="1"/>
      <c r="C720" s="304">
        <f>C774+C827</f>
        <v>1019.8115973941144</v>
      </c>
      <c r="D720" s="322">
        <v>0</v>
      </c>
      <c r="E720" s="309"/>
      <c r="F720" s="306">
        <f>F774+F827</f>
        <v>0</v>
      </c>
      <c r="G720" s="322">
        <f>D720</f>
        <v>0</v>
      </c>
      <c r="H720" s="309"/>
      <c r="I720" s="306">
        <f>I774+I827</f>
        <v>0</v>
      </c>
      <c r="J720" s="306"/>
      <c r="K720" s="322">
        <f>G720</f>
        <v>0</v>
      </c>
      <c r="L720" s="309"/>
      <c r="M720" s="306">
        <f>I720</f>
        <v>0</v>
      </c>
      <c r="N720" s="306"/>
      <c r="O720" s="311" t="s">
        <v>31</v>
      </c>
      <c r="P720" s="309"/>
      <c r="Q720" s="306">
        <f>O720*C720</f>
        <v>0</v>
      </c>
      <c r="R720" s="306"/>
      <c r="S720" s="322" t="str">
        <f>O720</f>
        <v xml:space="preserve"> </v>
      </c>
      <c r="T720" s="309"/>
      <c r="U720" s="306">
        <f>S720*C720</f>
        <v>0</v>
      </c>
      <c r="X720" s="14"/>
      <c r="Y720" s="14"/>
      <c r="AK720" s="20"/>
      <c r="AL720" s="20"/>
      <c r="AM720" s="20"/>
      <c r="AN720" s="20"/>
      <c r="AO720" s="20"/>
      <c r="AP720" s="20"/>
    </row>
    <row r="721" spans="1:42">
      <c r="A721" s="294" t="s">
        <v>441</v>
      </c>
      <c r="B721" s="1"/>
      <c r="C721" s="304"/>
      <c r="D721" s="322"/>
      <c r="E721" s="309"/>
      <c r="F721" s="306"/>
      <c r="G721" s="322"/>
      <c r="H721" s="309"/>
      <c r="I721" s="306"/>
      <c r="J721" s="306"/>
      <c r="K721" s="322"/>
      <c r="L721" s="309"/>
      <c r="M721" s="306"/>
      <c r="N721" s="306"/>
      <c r="O721" s="322"/>
      <c r="P721" s="309"/>
      <c r="Q721" s="306"/>
      <c r="R721" s="306"/>
      <c r="S721" s="322"/>
      <c r="T721" s="309"/>
      <c r="U721" s="306"/>
      <c r="AA721" s="84"/>
      <c r="AB721" s="642"/>
      <c r="AC721" s="84"/>
      <c r="AD721" s="642"/>
      <c r="AE721" s="84"/>
      <c r="AF721" s="84"/>
      <c r="AG721" s="222"/>
      <c r="AK721" s="20"/>
      <c r="AL721" s="20"/>
      <c r="AM721" s="20"/>
      <c r="AN721" s="20"/>
      <c r="AO721" s="20"/>
      <c r="AP721" s="20"/>
    </row>
    <row r="722" spans="1:42">
      <c r="A722" s="294" t="s">
        <v>442</v>
      </c>
      <c r="B722" s="1"/>
      <c r="C722" s="304">
        <f t="shared" ref="C722:C727" si="165">C776+C829</f>
        <v>3760.393248727928</v>
      </c>
      <c r="D722" s="322">
        <v>0</v>
      </c>
      <c r="E722" s="309"/>
      <c r="F722" s="306">
        <f>F776+F829</f>
        <v>0</v>
      </c>
      <c r="G722" s="322">
        <v>0</v>
      </c>
      <c r="H722" s="309"/>
      <c r="I722" s="306">
        <f>I776+I829</f>
        <v>0</v>
      </c>
      <c r="J722" s="306"/>
      <c r="K722" s="322">
        <f>G722</f>
        <v>0</v>
      </c>
      <c r="L722" s="309"/>
      <c r="M722" s="306">
        <f>I722</f>
        <v>0</v>
      </c>
      <c r="N722" s="306"/>
      <c r="O722" s="311" t="s">
        <v>31</v>
      </c>
      <c r="P722" s="309"/>
      <c r="Q722" s="306">
        <f>O722*C722</f>
        <v>0</v>
      </c>
      <c r="R722" s="306"/>
      <c r="S722" s="311" t="s">
        <v>31</v>
      </c>
      <c r="T722" s="309"/>
      <c r="U722" s="306">
        <f>S722*C722</f>
        <v>0</v>
      </c>
      <c r="V722" s="53"/>
      <c r="X722" s="765" t="s">
        <v>625</v>
      </c>
      <c r="Y722" s="765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443</v>
      </c>
      <c r="B723" s="1"/>
      <c r="C723" s="304">
        <f t="shared" si="165"/>
        <v>431.38877405282796</v>
      </c>
      <c r="D723" s="322">
        <v>370</v>
      </c>
      <c r="E723" s="309"/>
      <c r="F723" s="306">
        <f>F777+F830</f>
        <v>159614</v>
      </c>
      <c r="G723" s="322">
        <f ca="1">ROUND(D723*(1+$X$768),0)</f>
        <v>379</v>
      </c>
      <c r="H723" s="309"/>
      <c r="I723" s="306">
        <f ca="1">I777+I830</f>
        <v>163496</v>
      </c>
      <c r="J723" s="306"/>
      <c r="K723" s="322">
        <f ca="1">G723</f>
        <v>379</v>
      </c>
      <c r="L723" s="309"/>
      <c r="M723" s="306">
        <f ca="1">I723</f>
        <v>163496</v>
      </c>
      <c r="N723" s="306"/>
      <c r="O723" s="311" t="s">
        <v>31</v>
      </c>
      <c r="P723" s="309"/>
      <c r="Q723" s="306">
        <f>O723*C723</f>
        <v>0</v>
      </c>
      <c r="R723" s="306"/>
      <c r="S723" s="322" t="str">
        <f>O723</f>
        <v xml:space="preserve"> </v>
      </c>
      <c r="T723" s="309"/>
      <c r="U723" s="306">
        <f>S723*C723</f>
        <v>0</v>
      </c>
      <c r="V723" s="69"/>
      <c r="X723" s="14">
        <f ca="1">(G723-D723)/D723</f>
        <v>2.4324324324324326E-2</v>
      </c>
      <c r="Y723" s="14"/>
      <c r="Z723" s="314"/>
      <c r="AA723" s="84"/>
      <c r="AB723" s="305"/>
      <c r="AC723" s="84"/>
      <c r="AD723" s="305"/>
      <c r="AE723" s="84"/>
      <c r="AF723" s="84"/>
      <c r="AG723" s="719"/>
      <c r="AK723" s="20"/>
      <c r="AL723" s="20"/>
      <c r="AM723" s="20"/>
      <c r="AN723" s="20"/>
      <c r="AO723" s="20"/>
      <c r="AP723" s="20"/>
    </row>
    <row r="724" spans="1:42">
      <c r="A724" s="294" t="s">
        <v>444</v>
      </c>
      <c r="B724" s="1"/>
      <c r="C724" s="304">
        <f t="shared" si="165"/>
        <v>13.334244034527019</v>
      </c>
      <c r="D724" s="322">
        <v>1504</v>
      </c>
      <c r="E724" s="309"/>
      <c r="F724" s="306">
        <f>F778+F831</f>
        <v>20055</v>
      </c>
      <c r="G724" s="322">
        <f ca="1">ROUND(D724*(1+$X$768),0)</f>
        <v>1539</v>
      </c>
      <c r="H724" s="309"/>
      <c r="I724" s="306">
        <f ca="1">I778+I831</f>
        <v>20521</v>
      </c>
      <c r="J724" s="306"/>
      <c r="K724" s="322">
        <f ca="1">G724</f>
        <v>1539</v>
      </c>
      <c r="L724" s="309"/>
      <c r="M724" s="306">
        <f ca="1">I724</f>
        <v>20521</v>
      </c>
      <c r="N724" s="306"/>
      <c r="O724" s="311" t="s">
        <v>31</v>
      </c>
      <c r="P724" s="309"/>
      <c r="Q724" s="306">
        <f>O724*C724</f>
        <v>0</v>
      </c>
      <c r="R724" s="306"/>
      <c r="S724" s="322" t="str">
        <f>O724</f>
        <v xml:space="preserve"> </v>
      </c>
      <c r="T724" s="309"/>
      <c r="U724" s="306">
        <f>S724*C724</f>
        <v>0</v>
      </c>
      <c r="V724" s="69"/>
      <c r="X724" s="14">
        <f ca="1">(G724-D724)/D724</f>
        <v>2.327127659574468E-2</v>
      </c>
      <c r="Y724" s="14"/>
      <c r="AA724" s="84"/>
      <c r="AB724" s="84"/>
      <c r="AG724" s="20"/>
      <c r="AJ724" s="20"/>
      <c r="AK724" s="20"/>
      <c r="AL724" s="20"/>
      <c r="AM724" s="20"/>
      <c r="AN724" s="20"/>
      <c r="AO724" s="20"/>
      <c r="AP724" s="20"/>
    </row>
    <row r="725" spans="1:42">
      <c r="A725" s="294" t="s">
        <v>352</v>
      </c>
      <c r="B725" s="1"/>
      <c r="C725" s="304">
        <f t="shared" si="165"/>
        <v>5224.9278642093977</v>
      </c>
      <c r="D725" s="322"/>
      <c r="E725" s="309"/>
      <c r="F725" s="306"/>
      <c r="G725" s="322"/>
      <c r="H725" s="309"/>
      <c r="I725" s="306"/>
      <c r="J725" s="306"/>
      <c r="K725" s="322"/>
      <c r="L725" s="309"/>
      <c r="M725" s="306"/>
      <c r="N725" s="306"/>
      <c r="O725" s="322"/>
      <c r="P725" s="309"/>
      <c r="Q725" s="306"/>
      <c r="R725" s="306"/>
      <c r="S725" s="322"/>
      <c r="T725" s="309"/>
      <c r="U725" s="306"/>
      <c r="V725" s="69"/>
      <c r="X725" s="305"/>
      <c r="Y725" s="305"/>
      <c r="Z725" s="69"/>
      <c r="AG725" s="314"/>
      <c r="AH725" s="314"/>
      <c r="AI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445</v>
      </c>
      <c r="B726" s="1"/>
      <c r="C726" s="304">
        <f t="shared" si="165"/>
        <v>39964.6016666668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Z726" s="69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104</v>
      </c>
      <c r="B727" s="1"/>
      <c r="C727" s="304">
        <f t="shared" si="165"/>
        <v>5844</v>
      </c>
      <c r="D727" s="322"/>
      <c r="E727" s="306"/>
      <c r="F727" s="306"/>
      <c r="G727" s="322"/>
      <c r="H727" s="306"/>
      <c r="I727" s="715" t="s">
        <v>31</v>
      </c>
      <c r="J727" s="715"/>
      <c r="K727" s="322"/>
      <c r="L727" s="306"/>
      <c r="M727" s="715" t="s">
        <v>31</v>
      </c>
      <c r="N727" s="715"/>
      <c r="O727" s="322"/>
      <c r="P727" s="306"/>
      <c r="Q727" s="715" t="s">
        <v>31</v>
      </c>
      <c r="R727" s="715"/>
      <c r="S727" s="322"/>
      <c r="T727" s="306"/>
      <c r="U727" s="715" t="s">
        <v>31</v>
      </c>
      <c r="V727" s="69"/>
      <c r="X727" s="305"/>
      <c r="Y727" s="305"/>
      <c r="Z727" s="27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446</v>
      </c>
      <c r="B728" s="1"/>
      <c r="C728" s="304"/>
      <c r="D728" s="322"/>
      <c r="E728" s="309"/>
      <c r="F728" s="306"/>
      <c r="G728" s="322"/>
      <c r="H728" s="309"/>
      <c r="I728" s="306"/>
      <c r="J728" s="306"/>
      <c r="K728" s="322"/>
      <c r="L728" s="309"/>
      <c r="M728" s="306"/>
      <c r="N728" s="306"/>
      <c r="O728" s="322"/>
      <c r="P728" s="309"/>
      <c r="Q728" s="306"/>
      <c r="R728" s="306"/>
      <c r="S728" s="322"/>
      <c r="T728" s="309"/>
      <c r="U728" s="306"/>
      <c r="V728" s="69"/>
      <c r="X728" s="305"/>
      <c r="Y728" s="305"/>
      <c r="Z728" s="6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447</v>
      </c>
      <c r="B729" s="1"/>
      <c r="C729" s="304">
        <f>C783+C836</f>
        <v>3200.9016113138414</v>
      </c>
      <c r="D729" s="322">
        <v>26.02</v>
      </c>
      <c r="E729" s="309"/>
      <c r="F729" s="306">
        <f>F783+F836</f>
        <v>83288</v>
      </c>
      <c r="G729" s="322">
        <f ca="1">ROUND(D729*(1+$X$768),2)</f>
        <v>26.63</v>
      </c>
      <c r="H729" s="309"/>
      <c r="I729" s="306">
        <f ca="1">I783+I836</f>
        <v>85240</v>
      </c>
      <c r="J729" s="306"/>
      <c r="K729" s="322">
        <f ca="1">G729</f>
        <v>26.63</v>
      </c>
      <c r="L729" s="309"/>
      <c r="M729" s="306">
        <f ca="1">I729</f>
        <v>85240</v>
      </c>
      <c r="N729" s="306"/>
      <c r="O729" s="311" t="s">
        <v>31</v>
      </c>
      <c r="P729" s="309"/>
      <c r="Q729" s="306">
        <f>O729*C729</f>
        <v>0</v>
      </c>
      <c r="R729" s="306"/>
      <c r="S729" s="311" t="s">
        <v>31</v>
      </c>
      <c r="T729" s="309"/>
      <c r="U729" s="306">
        <f>S729*C729</f>
        <v>0</v>
      </c>
      <c r="V729" s="361"/>
      <c r="X729" s="14">
        <f ca="1">(G729-D729)/D729</f>
        <v>2.3443504996156782E-2</v>
      </c>
      <c r="Y729" s="14"/>
      <c r="Z729" s="69"/>
      <c r="AK729" s="20"/>
      <c r="AL729" s="20"/>
      <c r="AM729" s="20"/>
      <c r="AN729" s="20"/>
      <c r="AO729" s="20"/>
      <c r="AP729" s="20"/>
    </row>
    <row r="730" spans="1:42">
      <c r="A730" s="294" t="s">
        <v>448</v>
      </c>
      <c r="B730" s="1"/>
      <c r="C730" s="304"/>
      <c r="D730" s="322"/>
      <c r="E730" s="309"/>
      <c r="F730" s="306"/>
      <c r="G730" s="322"/>
      <c r="H730" s="309"/>
      <c r="I730" s="306"/>
      <c r="J730" s="306"/>
      <c r="K730" s="322"/>
      <c r="L730" s="309"/>
      <c r="M730" s="306"/>
      <c r="N730" s="306"/>
      <c r="O730" s="322"/>
      <c r="P730" s="309"/>
      <c r="Q730" s="306"/>
      <c r="R730" s="306"/>
      <c r="S730" s="322"/>
      <c r="T730" s="309"/>
      <c r="U730" s="306"/>
      <c r="V730" s="361"/>
      <c r="X730" s="305"/>
      <c r="Y730" s="305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442</v>
      </c>
      <c r="B731" s="1"/>
      <c r="C731" s="304">
        <f>C785+C838</f>
        <v>53216.72760788173</v>
      </c>
      <c r="D731" s="322">
        <v>26.02</v>
      </c>
      <c r="E731" s="309"/>
      <c r="F731" s="306">
        <f>F785+F838</f>
        <v>1384699</v>
      </c>
      <c r="G731" s="322">
        <f ca="1">ROUND(D731*(1+$X$768),2)</f>
        <v>26.63</v>
      </c>
      <c r="H731" s="309"/>
      <c r="I731" s="306">
        <f ca="1">I785+I838</f>
        <v>1417162</v>
      </c>
      <c r="J731" s="306"/>
      <c r="K731" s="322">
        <f t="shared" ref="K731:K735" ca="1" si="166">G731</f>
        <v>26.63</v>
      </c>
      <c r="L731" s="309"/>
      <c r="M731" s="306">
        <f t="shared" ref="M731:M735" ca="1" si="167">I731</f>
        <v>1417162</v>
      </c>
      <c r="N731" s="306"/>
      <c r="O731" s="311" t="s">
        <v>31</v>
      </c>
      <c r="P731" s="309"/>
      <c r="Q731" s="306">
        <f>O731*C731</f>
        <v>0</v>
      </c>
      <c r="R731" s="306"/>
      <c r="S731" s="311" t="s">
        <v>31</v>
      </c>
      <c r="T731" s="309"/>
      <c r="U731" s="306">
        <f>S731*C731</f>
        <v>0</v>
      </c>
      <c r="V731" s="361"/>
      <c r="X731" s="14">
        <f ca="1">(G731-D731)/D731</f>
        <v>2.3443504996156782E-2</v>
      </c>
      <c r="Y731" s="14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443</v>
      </c>
      <c r="B732" s="1"/>
      <c r="C732" s="304">
        <f>C786+C839</f>
        <v>40819.098454276304</v>
      </c>
      <c r="D732" s="322">
        <v>18.101388370764003</v>
      </c>
      <c r="E732" s="309"/>
      <c r="F732" s="306">
        <f>F786+F839</f>
        <v>738882</v>
      </c>
      <c r="G732" s="322">
        <f ca="1">D732*(1+$X$768)</f>
        <v>18.526286850528336</v>
      </c>
      <c r="H732" s="309"/>
      <c r="I732" s="306">
        <f ca="1">I786+I839</f>
        <v>756227</v>
      </c>
      <c r="J732" s="306"/>
      <c r="K732" s="322">
        <f t="shared" ca="1" si="166"/>
        <v>18.526286850528336</v>
      </c>
      <c r="L732" s="309"/>
      <c r="M732" s="306">
        <f t="shared" ca="1" si="167"/>
        <v>756227</v>
      </c>
      <c r="N732" s="306"/>
      <c r="O732" s="311" t="s">
        <v>31</v>
      </c>
      <c r="P732" s="309"/>
      <c r="Q732" s="306">
        <f>O732*C732</f>
        <v>0</v>
      </c>
      <c r="R732" s="306"/>
      <c r="S732" s="311" t="s">
        <v>31</v>
      </c>
      <c r="T732" s="309"/>
      <c r="U732" s="306">
        <f>S732*C732</f>
        <v>0</v>
      </c>
      <c r="V732" s="361"/>
      <c r="X732" s="14">
        <f ca="1">(G732-D732)/D732</f>
        <v>2.3473253601397657E-2</v>
      </c>
      <c r="Y732" s="14"/>
      <c r="Z732" s="69"/>
      <c r="AC732" s="84"/>
      <c r="AD732" s="84"/>
      <c r="AE732" s="84"/>
      <c r="AF732" s="84"/>
      <c r="AG732" s="84"/>
      <c r="AH732" s="222"/>
      <c r="AI732" s="20" t="s">
        <v>31</v>
      </c>
      <c r="AJ732" s="20"/>
      <c r="AK732" s="20"/>
      <c r="AL732" s="20"/>
      <c r="AM732" s="20"/>
      <c r="AN732" s="20"/>
      <c r="AO732" s="20"/>
      <c r="AP732" s="20"/>
    </row>
    <row r="733" spans="1:42">
      <c r="A733" s="294" t="s">
        <v>444</v>
      </c>
      <c r="B733" s="1" t="s">
        <v>31</v>
      </c>
      <c r="C733" s="304">
        <f>C787+C840</f>
        <v>5313.3743371072133</v>
      </c>
      <c r="D733" s="322">
        <v>14.155824964645021</v>
      </c>
      <c r="E733" s="309"/>
      <c r="F733" s="306">
        <f>F787+F840</f>
        <v>75215</v>
      </c>
      <c r="G733" s="322">
        <f ca="1">D733*(1+$X$768)</f>
        <v>14.48810823397713</v>
      </c>
      <c r="H733" s="309"/>
      <c r="I733" s="306">
        <f ca="1">I787+I840</f>
        <v>76980</v>
      </c>
      <c r="J733" s="306"/>
      <c r="K733" s="322">
        <f t="shared" ca="1" si="166"/>
        <v>14.48810823397713</v>
      </c>
      <c r="L733" s="309"/>
      <c r="M733" s="306">
        <f t="shared" ca="1" si="167"/>
        <v>76980</v>
      </c>
      <c r="N733" s="306"/>
      <c r="O733" s="311" t="s">
        <v>31</v>
      </c>
      <c r="P733" s="309"/>
      <c r="Q733" s="306">
        <f>O733*C733</f>
        <v>0</v>
      </c>
      <c r="R733" s="306"/>
      <c r="S733" s="311" t="s">
        <v>31</v>
      </c>
      <c r="T733" s="309"/>
      <c r="U733" s="306">
        <f>S733*C733</f>
        <v>0</v>
      </c>
      <c r="V733" s="361"/>
      <c r="X733" s="14">
        <f ca="1">(G733-D733)/D733</f>
        <v>2.3473253601397681E-2</v>
      </c>
      <c r="Y733" s="14"/>
      <c r="Z733" s="69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450</v>
      </c>
      <c r="B734" s="1"/>
      <c r="C734" s="304">
        <f>C788+C841</f>
        <v>559.74429781916001</v>
      </c>
      <c r="D734" s="322">
        <v>78.06</v>
      </c>
      <c r="E734" s="309"/>
      <c r="F734" s="306">
        <f>F788+F841</f>
        <v>43693</v>
      </c>
      <c r="G734" s="322">
        <f ca="1">3*G729</f>
        <v>79.89</v>
      </c>
      <c r="H734" s="309"/>
      <c r="I734" s="306">
        <f ca="1">I788+I841</f>
        <v>44718</v>
      </c>
      <c r="J734" s="306"/>
      <c r="K734" s="322">
        <f t="shared" ca="1" si="166"/>
        <v>79.89</v>
      </c>
      <c r="L734" s="309"/>
      <c r="M734" s="306">
        <f t="shared" ca="1" si="167"/>
        <v>44718</v>
      </c>
      <c r="N734" s="306"/>
      <c r="O734" s="311" t="s">
        <v>31</v>
      </c>
      <c r="P734" s="309"/>
      <c r="Q734" s="306">
        <f>O734*C734</f>
        <v>0</v>
      </c>
      <c r="R734" s="306"/>
      <c r="S734" s="311" t="s">
        <v>31</v>
      </c>
      <c r="T734" s="309"/>
      <c r="U734" s="306">
        <f>S734*C734</f>
        <v>0</v>
      </c>
      <c r="V734" s="69"/>
      <c r="X734" s="14">
        <f ca="1">(G734-D734)/D734</f>
        <v>2.3443504996156779E-2</v>
      </c>
      <c r="Y734" s="14"/>
      <c r="Z734" s="69"/>
      <c r="AI734" s="20"/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451</v>
      </c>
      <c r="B735" s="1"/>
      <c r="C735" s="304">
        <f>C789+C842</f>
        <v>984.58847619077994</v>
      </c>
      <c r="D735" s="322">
        <v>156.12</v>
      </c>
      <c r="E735" s="309"/>
      <c r="F735" s="306">
        <f>F789+F842</f>
        <v>153714</v>
      </c>
      <c r="G735" s="322">
        <f ca="1">6*G731</f>
        <v>159.78</v>
      </c>
      <c r="H735" s="309"/>
      <c r="I735" s="306">
        <f ca="1">I789+I842</f>
        <v>157318</v>
      </c>
      <c r="J735" s="306"/>
      <c r="K735" s="322">
        <f t="shared" ca="1" si="166"/>
        <v>159.78</v>
      </c>
      <c r="L735" s="309"/>
      <c r="M735" s="306">
        <f t="shared" ca="1" si="167"/>
        <v>157318</v>
      </c>
      <c r="N735" s="306"/>
      <c r="O735" s="311" t="s">
        <v>31</v>
      </c>
      <c r="P735" s="309"/>
      <c r="Q735" s="306">
        <f>O735*C735</f>
        <v>0</v>
      </c>
      <c r="R735" s="306"/>
      <c r="S735" s="311" t="s">
        <v>31</v>
      </c>
      <c r="T735" s="309"/>
      <c r="U735" s="306">
        <f>S735*C735</f>
        <v>0</v>
      </c>
      <c r="V735" s="69"/>
      <c r="X735" s="14">
        <f ca="1">(G735-D735)/D735</f>
        <v>2.3443504996156779E-2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452</v>
      </c>
      <c r="B736" s="1"/>
      <c r="C736" s="304"/>
      <c r="D736" s="322"/>
      <c r="E736" s="309"/>
      <c r="F736" s="306"/>
      <c r="G736" s="322"/>
      <c r="H736" s="309"/>
      <c r="I736" s="306"/>
      <c r="J736" s="306"/>
      <c r="K736" s="322"/>
      <c r="L736" s="309"/>
      <c r="M736" s="306"/>
      <c r="N736" s="306"/>
      <c r="O736" s="322"/>
      <c r="P736" s="309"/>
      <c r="Q736" s="306"/>
      <c r="R736" s="306"/>
      <c r="S736" s="322"/>
      <c r="T736" s="309"/>
      <c r="U736" s="306"/>
      <c r="V736" s="69"/>
      <c r="X736" s="3"/>
      <c r="Y736" s="3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447</v>
      </c>
      <c r="B737" s="1"/>
      <c r="C737" s="304">
        <f>C791+C844</f>
        <v>40.035839968204996</v>
      </c>
      <c r="D737" s="348">
        <v>-26.02</v>
      </c>
      <c r="E737" s="309"/>
      <c r="F737" s="306">
        <f>F791+F844</f>
        <v>-1041</v>
      </c>
      <c r="G737" s="348">
        <f ca="1">-G729</f>
        <v>-26.63</v>
      </c>
      <c r="H737" s="309"/>
      <c r="I737" s="306">
        <f ca="1">I791+I844</f>
        <v>-1066</v>
      </c>
      <c r="J737" s="306"/>
      <c r="K737" s="348">
        <f ca="1">G737</f>
        <v>-26.63</v>
      </c>
      <c r="L737" s="309"/>
      <c r="M737" s="306">
        <f ca="1">I737</f>
        <v>-1066</v>
      </c>
      <c r="N737" s="306"/>
      <c r="O737" s="338" t="s">
        <v>31</v>
      </c>
      <c r="P737" s="309"/>
      <c r="Q737" s="306">
        <f>O737*C737</f>
        <v>0</v>
      </c>
      <c r="R737" s="306"/>
      <c r="S737" s="338" t="s">
        <v>31</v>
      </c>
      <c r="T737" s="309"/>
      <c r="U737" s="306">
        <f>S737*C737</f>
        <v>0</v>
      </c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453</v>
      </c>
      <c r="B738" s="1"/>
      <c r="C738" s="304">
        <f>C792+C845</f>
        <v>411.79827649787603</v>
      </c>
      <c r="D738" s="348">
        <v>-26.02</v>
      </c>
      <c r="E738" s="309"/>
      <c r="F738" s="306">
        <f>F792+F845</f>
        <v>-10715</v>
      </c>
      <c r="G738" s="348">
        <f ca="1">-G731</f>
        <v>-26.63</v>
      </c>
      <c r="H738" s="309"/>
      <c r="I738" s="306">
        <f ca="1">I792+I845</f>
        <v>-10966</v>
      </c>
      <c r="J738" s="306"/>
      <c r="K738" s="348">
        <f ca="1">G738</f>
        <v>-26.63</v>
      </c>
      <c r="L738" s="309"/>
      <c r="M738" s="306">
        <f ca="1">I738</f>
        <v>-10966</v>
      </c>
      <c r="N738" s="306"/>
      <c r="O738" s="338" t="s">
        <v>31</v>
      </c>
      <c r="P738" s="309"/>
      <c r="Q738" s="306">
        <f>O738*C738</f>
        <v>0</v>
      </c>
      <c r="R738" s="306"/>
      <c r="S738" s="338" t="s">
        <v>31</v>
      </c>
      <c r="T738" s="309"/>
      <c r="U738" s="306">
        <f>S738*C738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308" t="s">
        <v>416</v>
      </c>
      <c r="B739" s="1"/>
      <c r="C739" s="304">
        <f>C793+C846</f>
        <v>0</v>
      </c>
      <c r="D739" s="322"/>
      <c r="E739" s="306"/>
      <c r="F739" s="306"/>
      <c r="G739" s="322"/>
      <c r="H739" s="306"/>
      <c r="I739" s="306"/>
      <c r="J739" s="306"/>
      <c r="K739" s="322"/>
      <c r="L739" s="306"/>
      <c r="M739" s="306"/>
      <c r="N739" s="850" t="s">
        <v>31</v>
      </c>
      <c r="O739" s="322"/>
      <c r="P739" s="306"/>
      <c r="Q739" s="306"/>
      <c r="R739" s="306"/>
      <c r="S739" s="322"/>
      <c r="T739" s="306"/>
      <c r="U739" s="306"/>
      <c r="V739" s="69"/>
      <c r="X739" s="3"/>
      <c r="Y739" s="3"/>
      <c r="Z739" s="69"/>
      <c r="AA739" s="3" t="s">
        <v>31</v>
      </c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294" t="s">
        <v>454</v>
      </c>
      <c r="B740" s="1"/>
      <c r="C740" s="304">
        <f>C794+C847</f>
        <v>158323871.89494899</v>
      </c>
      <c r="D740" s="368">
        <v>7.0350000000000001</v>
      </c>
      <c r="E740" s="306" t="s">
        <v>364</v>
      </c>
      <c r="F740" s="306">
        <f>F794+F847</f>
        <v>11138085</v>
      </c>
      <c r="G740" s="368">
        <f ca="1">ROUND(D740+(D740*$X$768),3)+0.003</f>
        <v>7.2030000000000003</v>
      </c>
      <c r="H740" s="306" t="s">
        <v>364</v>
      </c>
      <c r="I740" s="306">
        <f ca="1">I794+I847</f>
        <v>11404068</v>
      </c>
      <c r="J740" s="306"/>
      <c r="K740" s="1132" t="e">
        <f ca="1">M740/C740*100</f>
        <v>#REF!</v>
      </c>
      <c r="L740" s="850" t="s">
        <v>31</v>
      </c>
      <c r="M740" s="306" t="e">
        <f ca="1">V876-M720-M722-M723-M724-M729-M731-M732-M733-M734-M735-M737-M738-M741-M742-M745-M747-M748-M749-M750-M752-M753-M754-M755-M756-M758-M759-M761-M762-M763-M764-M765-M767</f>
        <v>#REF!</v>
      </c>
      <c r="N740" s="306"/>
      <c r="O740" s="1132" t="e">
        <f ca="1">Q740/C740*100</f>
        <v>#DIV/0!</v>
      </c>
      <c r="P740" s="306" t="s">
        <v>364</v>
      </c>
      <c r="Q740" s="306" t="e">
        <f ca="1">W876-Q720-Q722-Q723-Q724-Q729-Q731-Q732-Q733-Q734-Q735-Q737-Q738-Q741-Q742-Q745-Q747-Q748-Q749-Q750-Q752-Q753-Q754-Q755-Q756-Q758-Q759-Q761-Q762-Q763-Q764-Q765-Q767</f>
        <v>#DIV/0!</v>
      </c>
      <c r="R740" s="306"/>
      <c r="S740" s="1132" t="e">
        <f ca="1">U740/C740*100</f>
        <v>#DIV/0!</v>
      </c>
      <c r="T740" s="306" t="s">
        <v>364</v>
      </c>
      <c r="U740" s="306" t="e">
        <f ca="1">X876-U720-U722-U723-U724-U729-U731-U732-U733-U734-U735-U737-U738-U741-U742-U745-U747-U748-U749-U750-U752-U753-U754-U755-U756-U758-U759-U761-U762-U763-U764-U765-U767</f>
        <v>#DIV/0!</v>
      </c>
      <c r="V740" s="323"/>
      <c r="X740" s="14">
        <f ca="1">(G740-D740)/D740</f>
        <v>2.3880597014925394E-2</v>
      </c>
      <c r="Y740" s="14"/>
      <c r="Z740" s="69"/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308" t="s">
        <v>390</v>
      </c>
      <c r="B741" s="1"/>
      <c r="C741" s="304">
        <f>C795+C848</f>
        <v>60236</v>
      </c>
      <c r="D741" s="591">
        <v>57</v>
      </c>
      <c r="E741" s="308" t="s">
        <v>364</v>
      </c>
      <c r="F741" s="306">
        <f>F795+F848</f>
        <v>34334</v>
      </c>
      <c r="G741" s="591">
        <f ca="1">ROUND(D741*(1+$X$768),0)</f>
        <v>58</v>
      </c>
      <c r="H741" s="308" t="s">
        <v>364</v>
      </c>
      <c r="I741" s="306">
        <f ca="1">I795+I848</f>
        <v>34937</v>
      </c>
      <c r="J741" s="306"/>
      <c r="K741" s="1133" t="s">
        <v>31</v>
      </c>
      <c r="L741" s="406" t="s">
        <v>31</v>
      </c>
      <c r="M741" s="306">
        <f>K741*C741</f>
        <v>0</v>
      </c>
      <c r="N741" s="306"/>
      <c r="O741" s="591" t="e">
        <f ca="1">ROUND(Q741/C741,2)*100</f>
        <v>#DIV/0!</v>
      </c>
      <c r="P741" s="308" t="s">
        <v>364</v>
      </c>
      <c r="Q741" s="306" t="e">
        <f ca="1">I741*(W876/($W$876+$X$876))</f>
        <v>#DIV/0!</v>
      </c>
      <c r="R741" s="306"/>
      <c r="S741" s="591" t="e">
        <f ca="1">ROUND(U741/C741,2)*100</f>
        <v>#DIV/0!</v>
      </c>
      <c r="T741" s="308" t="s">
        <v>364</v>
      </c>
      <c r="U741" s="306" t="e">
        <f ca="1">I741*(X876/($W$876+$X$876))</f>
        <v>#DIV/0!</v>
      </c>
      <c r="X741" s="14">
        <f ca="1">(G741-D741)/D741</f>
        <v>1.7543859649122806E-2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 s="1118" customFormat="1" hidden="1">
      <c r="A742" s="968" t="s">
        <v>891</v>
      </c>
      <c r="C742" s="987">
        <f>C740</f>
        <v>158323871.89494899</v>
      </c>
      <c r="D742" s="1423">
        <v>0</v>
      </c>
      <c r="E742" s="1119"/>
      <c r="F742" s="1123"/>
      <c r="G742" s="1128">
        <v>0</v>
      </c>
      <c r="H742" s="972" t="s">
        <v>364</v>
      </c>
      <c r="I742" s="1000">
        <f>I796+I849</f>
        <v>0</v>
      </c>
      <c r="J742" s="1000"/>
      <c r="K742" s="1128" t="s">
        <v>31</v>
      </c>
      <c r="L742" s="972" t="s">
        <v>31</v>
      </c>
      <c r="M742" s="1000">
        <f>K742*C742</f>
        <v>0</v>
      </c>
      <c r="N742" s="1000"/>
      <c r="O742" s="1128" t="s">
        <v>31</v>
      </c>
      <c r="P742" s="972" t="s">
        <v>31</v>
      </c>
      <c r="Q742" s="1000">
        <f>O742*C742</f>
        <v>0</v>
      </c>
      <c r="R742" s="1000"/>
      <c r="S742" s="1128">
        <f>G742</f>
        <v>0</v>
      </c>
      <c r="T742" s="972" t="s">
        <v>364</v>
      </c>
      <c r="U742" s="1000">
        <f>I742</f>
        <v>0</v>
      </c>
      <c r="V742" s="1124">
        <f>'NPC Spread'!I33</f>
        <v>4820591.7626756122</v>
      </c>
      <c r="W742" s="784" t="s">
        <v>857</v>
      </c>
      <c r="Z742" s="1125"/>
      <c r="AA742" s="1125"/>
      <c r="AF742" s="1119"/>
      <c r="AG742" s="1119"/>
      <c r="AH742" s="1119"/>
      <c r="AI742" s="1119"/>
      <c r="AJ742" s="1119"/>
      <c r="AK742" s="1119"/>
      <c r="AL742" s="1119"/>
      <c r="AM742" s="1119"/>
      <c r="AN742" s="1119"/>
      <c r="AO742" s="1119"/>
      <c r="AP742" s="1119"/>
      <c r="AR742" s="1124"/>
    </row>
    <row r="743" spans="1:44" s="1118" customFormat="1" hidden="1">
      <c r="A743" s="1255" t="s">
        <v>873</v>
      </c>
      <c r="B743" s="1256"/>
      <c r="C743" s="1262"/>
      <c r="D743" s="1425">
        <v>7.0350000000000001</v>
      </c>
      <c r="E743" s="1263" t="s">
        <v>364</v>
      </c>
      <c r="F743" s="1259"/>
      <c r="G743" s="1260">
        <f ca="1">G740+G742</f>
        <v>7.2030000000000003</v>
      </c>
      <c r="H743" s="1263" t="s">
        <v>364</v>
      </c>
      <c r="I743" s="1266"/>
      <c r="J743" s="1266"/>
      <c r="K743" s="1260" t="e">
        <f ca="1">K740+K742</f>
        <v>#REF!</v>
      </c>
      <c r="L743" s="1263" t="s">
        <v>364</v>
      </c>
      <c r="M743" s="1266"/>
      <c r="N743" s="1266"/>
      <c r="O743" s="1260" t="e">
        <f ca="1">O740+O742</f>
        <v>#DIV/0!</v>
      </c>
      <c r="P743" s="1263" t="s">
        <v>364</v>
      </c>
      <c r="Q743" s="1266"/>
      <c r="R743" s="1266"/>
      <c r="S743" s="1260" t="e">
        <f ca="1">S740+S742</f>
        <v>#DIV/0!</v>
      </c>
      <c r="T743" s="1263" t="s">
        <v>364</v>
      </c>
      <c r="U743" s="1266"/>
      <c r="V743" s="1124"/>
      <c r="W743" s="784"/>
      <c r="X743" s="55">
        <f ca="1">(G743-D743)/D743</f>
        <v>2.3880597014925394E-2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>
      <c r="A744" s="345" t="s">
        <v>391</v>
      </c>
      <c r="B744" s="1"/>
      <c r="C744" s="304"/>
      <c r="D744" s="317">
        <v>-0.01</v>
      </c>
      <c r="E744" s="1"/>
      <c r="F744" s="306"/>
      <c r="G744" s="317">
        <v>-0.01</v>
      </c>
      <c r="H744" s="1"/>
      <c r="I744" s="306"/>
      <c r="J744" s="306"/>
      <c r="K744" s="317">
        <v>-0.01</v>
      </c>
      <c r="L744" s="1"/>
      <c r="M744" s="306"/>
      <c r="N744" s="306"/>
      <c r="O744" s="317">
        <v>-0.01</v>
      </c>
      <c r="P744" s="1"/>
      <c r="Q744" s="306"/>
      <c r="R744" s="306"/>
      <c r="S744" s="317">
        <v>-0.01</v>
      </c>
      <c r="T744" s="1"/>
      <c r="U744" s="306"/>
      <c r="AI744" s="20"/>
      <c r="AJ744" s="20"/>
      <c r="AK744" s="20"/>
      <c r="AL744" s="20"/>
      <c r="AM744" s="20"/>
      <c r="AN744" s="20"/>
      <c r="AO744" s="20"/>
      <c r="AP744" s="20"/>
    </row>
    <row r="745" spans="1:44">
      <c r="A745" s="294" t="s">
        <v>380</v>
      </c>
      <c r="B745" s="1"/>
      <c r="C745" s="304">
        <f>C798+C851</f>
        <v>0</v>
      </c>
      <c r="D745" s="369">
        <v>0</v>
      </c>
      <c r="E745" s="309"/>
      <c r="F745" s="306">
        <f>F798+F851</f>
        <v>0</v>
      </c>
      <c r="G745" s="369">
        <f>G720</f>
        <v>0</v>
      </c>
      <c r="H745" s="309"/>
      <c r="I745" s="306">
        <f>I798+I851</f>
        <v>0</v>
      </c>
      <c r="J745" s="306"/>
      <c r="K745" s="369">
        <f>K720</f>
        <v>0</v>
      </c>
      <c r="L745" s="309"/>
      <c r="M745" s="306">
        <f>I745</f>
        <v>0</v>
      </c>
      <c r="N745" s="306"/>
      <c r="O745" s="369" t="str">
        <f>O720</f>
        <v xml:space="preserve"> </v>
      </c>
      <c r="P745" s="309"/>
      <c r="Q745" s="306">
        <f>O745*C745*$O$744</f>
        <v>0</v>
      </c>
      <c r="R745" s="306"/>
      <c r="S745" s="369" t="str">
        <f>S720</f>
        <v xml:space="preserve"> </v>
      </c>
      <c r="T745" s="309"/>
      <c r="U745" s="306">
        <f>S745*C745*$S$744</f>
        <v>0</v>
      </c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381</v>
      </c>
      <c r="B746" s="1"/>
      <c r="C746" s="304"/>
      <c r="D746" s="369"/>
      <c r="E746" s="309"/>
      <c r="F746" s="306"/>
      <c r="G746" s="369"/>
      <c r="H746" s="309"/>
      <c r="I746" s="306"/>
      <c r="J746" s="306"/>
      <c r="K746" s="369"/>
      <c r="L746" s="309"/>
      <c r="M746" s="306"/>
      <c r="N746" s="306"/>
      <c r="O746" s="369"/>
      <c r="P746" s="309"/>
      <c r="Q746" s="306"/>
      <c r="R746" s="306"/>
      <c r="S746" s="369"/>
      <c r="T746" s="309"/>
      <c r="U746" s="306"/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442</v>
      </c>
      <c r="B747" s="1"/>
      <c r="C747" s="304">
        <f>C800+C853</f>
        <v>1.0000071591230999</v>
      </c>
      <c r="D747" s="369">
        <v>0</v>
      </c>
      <c r="E747" s="309"/>
      <c r="F747" s="306">
        <f>F800+F853</f>
        <v>0</v>
      </c>
      <c r="G747" s="369">
        <f>G722</f>
        <v>0</v>
      </c>
      <c r="H747" s="309"/>
      <c r="I747" s="306">
        <f>I800+I853</f>
        <v>0</v>
      </c>
      <c r="J747" s="306"/>
      <c r="K747" s="369">
        <f>K722</f>
        <v>0</v>
      </c>
      <c r="L747" s="309"/>
      <c r="M747" s="306">
        <f t="shared" ref="M747:M750" si="168">I747</f>
        <v>0</v>
      </c>
      <c r="N747" s="306"/>
      <c r="O747" s="369" t="str">
        <f>O722</f>
        <v xml:space="preserve"> </v>
      </c>
      <c r="P747" s="309"/>
      <c r="Q747" s="306">
        <f>O747*C747*$O$744</f>
        <v>0</v>
      </c>
      <c r="R747" s="306"/>
      <c r="S747" s="369" t="str">
        <f>S722</f>
        <v xml:space="preserve"> </v>
      </c>
      <c r="T747" s="309"/>
      <c r="U747" s="306">
        <f>S747*C747*$S$744</f>
        <v>0</v>
      </c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443</v>
      </c>
      <c r="B748" s="1"/>
      <c r="C748" s="304">
        <f>C801+C854</f>
        <v>0</v>
      </c>
      <c r="D748" s="369">
        <v>370</v>
      </c>
      <c r="E748" s="309"/>
      <c r="F748" s="306">
        <f>F801+F854</f>
        <v>0</v>
      </c>
      <c r="G748" s="369">
        <f ca="1">G723</f>
        <v>379</v>
      </c>
      <c r="H748" s="309"/>
      <c r="I748" s="306">
        <f ca="1">I801+I854</f>
        <v>0</v>
      </c>
      <c r="J748" s="306"/>
      <c r="K748" s="369">
        <f ca="1">K723</f>
        <v>379</v>
      </c>
      <c r="L748" s="309"/>
      <c r="M748" s="306">
        <f t="shared" ca="1" si="168"/>
        <v>0</v>
      </c>
      <c r="N748" s="306"/>
      <c r="O748" s="369" t="str">
        <f>O723</f>
        <v xml:space="preserve"> </v>
      </c>
      <c r="P748" s="309"/>
      <c r="Q748" s="306">
        <f>O748*C748*$O$744</f>
        <v>0</v>
      </c>
      <c r="R748" s="306"/>
      <c r="S748" s="369" t="str">
        <f>S723</f>
        <v xml:space="preserve"> </v>
      </c>
      <c r="T748" s="309"/>
      <c r="U748" s="306">
        <f>S748*C748*$S$744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444</v>
      </c>
      <c r="B749" s="1"/>
      <c r="C749" s="304">
        <f>C802+C855</f>
        <v>0</v>
      </c>
      <c r="D749" s="369">
        <v>1504</v>
      </c>
      <c r="E749" s="309"/>
      <c r="F749" s="306">
        <f>F802+F855</f>
        <v>0</v>
      </c>
      <c r="G749" s="369">
        <f ca="1">G724</f>
        <v>1539</v>
      </c>
      <c r="H749" s="309"/>
      <c r="I749" s="306">
        <f ca="1">I802+I855</f>
        <v>0</v>
      </c>
      <c r="J749" s="306"/>
      <c r="K749" s="369">
        <f ca="1">K724</f>
        <v>1539</v>
      </c>
      <c r="L749" s="309"/>
      <c r="M749" s="306">
        <f t="shared" ca="1" si="168"/>
        <v>0</v>
      </c>
      <c r="N749" s="306"/>
      <c r="O749" s="369" t="str">
        <f>O724</f>
        <v xml:space="preserve"> </v>
      </c>
      <c r="P749" s="309"/>
      <c r="Q749" s="306">
        <f>O749*C749*$O$744</f>
        <v>0</v>
      </c>
      <c r="R749" s="306"/>
      <c r="S749" s="369" t="str">
        <f>S724</f>
        <v xml:space="preserve"> </v>
      </c>
      <c r="T749" s="309"/>
      <c r="U749" s="306">
        <f>S749*C749*$S$744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380</v>
      </c>
      <c r="B750" s="1"/>
      <c r="C750" s="304">
        <f>C803+C856</f>
        <v>0</v>
      </c>
      <c r="D750" s="369">
        <v>26.02</v>
      </c>
      <c r="E750" s="309"/>
      <c r="F750" s="306">
        <f>F803+F856</f>
        <v>0</v>
      </c>
      <c r="G750" s="369">
        <f ca="1">G729</f>
        <v>26.63</v>
      </c>
      <c r="H750" s="309"/>
      <c r="I750" s="306">
        <f ca="1">I803+I856</f>
        <v>0</v>
      </c>
      <c r="J750" s="306"/>
      <c r="K750" s="369">
        <f ca="1">K729</f>
        <v>26.63</v>
      </c>
      <c r="L750" s="309"/>
      <c r="M750" s="306">
        <f t="shared" ca="1" si="168"/>
        <v>0</v>
      </c>
      <c r="N750" s="306"/>
      <c r="O750" s="369" t="str">
        <f>O729</f>
        <v xml:space="preserve"> </v>
      </c>
      <c r="P750" s="309"/>
      <c r="Q750" s="306">
        <f>O750*C750*$O$744</f>
        <v>0</v>
      </c>
      <c r="R750" s="306"/>
      <c r="S750" s="369" t="str">
        <f>S729</f>
        <v xml:space="preserve"> </v>
      </c>
      <c r="T750" s="309"/>
      <c r="U750" s="306">
        <f>S750*C750*$S$744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381</v>
      </c>
      <c r="B751" s="1"/>
      <c r="C751" s="304"/>
      <c r="D751" s="369"/>
      <c r="E751" s="309"/>
      <c r="F751" s="306"/>
      <c r="G751" s="369"/>
      <c r="H751" s="309"/>
      <c r="I751" s="306"/>
      <c r="J751" s="306"/>
      <c r="K751" s="369"/>
      <c r="L751" s="309"/>
      <c r="M751" s="306"/>
      <c r="N751" s="306"/>
      <c r="O751" s="369"/>
      <c r="P751" s="309"/>
      <c r="Q751" s="306"/>
      <c r="R751" s="306"/>
      <c r="S751" s="369"/>
      <c r="T751" s="309"/>
      <c r="U751" s="306"/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442</v>
      </c>
      <c r="B752" s="1"/>
      <c r="C752" s="304">
        <f>C805+C858</f>
        <v>38.0002720466778</v>
      </c>
      <c r="D752" s="369">
        <v>26.02</v>
      </c>
      <c r="E752" s="309"/>
      <c r="F752" s="306">
        <f>F805+F858</f>
        <v>-10</v>
      </c>
      <c r="G752" s="369">
        <f ca="1">G731</f>
        <v>26.63</v>
      </c>
      <c r="H752" s="309"/>
      <c r="I752" s="306">
        <f ca="1">I805+I858</f>
        <v>-10</v>
      </c>
      <c r="J752" s="306"/>
      <c r="K752" s="369">
        <f ca="1">K731</f>
        <v>26.63</v>
      </c>
      <c r="L752" s="309"/>
      <c r="M752" s="306">
        <f t="shared" ref="M752:M756" ca="1" si="169">I752</f>
        <v>-10</v>
      </c>
      <c r="N752" s="306"/>
      <c r="O752" s="369" t="str">
        <f>O731</f>
        <v xml:space="preserve"> </v>
      </c>
      <c r="P752" s="309"/>
      <c r="Q752" s="306">
        <f>O752*C752*$O$744</f>
        <v>0</v>
      </c>
      <c r="R752" s="306"/>
      <c r="S752" s="369" t="str">
        <f>S731</f>
        <v xml:space="preserve"> </v>
      </c>
      <c r="T752" s="309"/>
      <c r="U752" s="306">
        <f>S752*C752*$S$744</f>
        <v>0</v>
      </c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443</v>
      </c>
      <c r="B753" s="1"/>
      <c r="C753" s="304">
        <f>C806+C859</f>
        <v>0</v>
      </c>
      <c r="D753" s="369">
        <v>18.101388370764003</v>
      </c>
      <c r="E753" s="309"/>
      <c r="F753" s="306">
        <f>F806+F859</f>
        <v>0</v>
      </c>
      <c r="G753" s="369">
        <f ca="1">G732</f>
        <v>18.526286850528336</v>
      </c>
      <c r="H753" s="309"/>
      <c r="I753" s="306">
        <f ca="1">I806+I859</f>
        <v>0</v>
      </c>
      <c r="J753" s="306"/>
      <c r="K753" s="369">
        <f ca="1">K732</f>
        <v>18.526286850528336</v>
      </c>
      <c r="L753" s="309"/>
      <c r="M753" s="306">
        <f t="shared" ca="1" si="169"/>
        <v>0</v>
      </c>
      <c r="N753" s="306"/>
      <c r="O753" s="369" t="str">
        <f>O732</f>
        <v xml:space="preserve"> </v>
      </c>
      <c r="P753" s="309"/>
      <c r="Q753" s="306">
        <f>O753*C753*$O$744</f>
        <v>0</v>
      </c>
      <c r="R753" s="306"/>
      <c r="S753" s="369" t="str">
        <f>S732</f>
        <v xml:space="preserve"> </v>
      </c>
      <c r="T753" s="309"/>
      <c r="U753" s="306">
        <f>S753*C753*$S$744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444</v>
      </c>
      <c r="B754" s="1"/>
      <c r="C754" s="304">
        <f>C807+C860</f>
        <v>0</v>
      </c>
      <c r="D754" s="369">
        <v>14.155824964645021</v>
      </c>
      <c r="E754" s="309"/>
      <c r="F754" s="306">
        <f>F807+F860</f>
        <v>0</v>
      </c>
      <c r="G754" s="369">
        <f ca="1">G733</f>
        <v>14.48810823397713</v>
      </c>
      <c r="H754" s="309"/>
      <c r="I754" s="306">
        <f ca="1">I807+I860</f>
        <v>0</v>
      </c>
      <c r="J754" s="306"/>
      <c r="K754" s="369">
        <f ca="1">K733</f>
        <v>14.48810823397713</v>
      </c>
      <c r="L754" s="309"/>
      <c r="M754" s="306">
        <f t="shared" ca="1" si="169"/>
        <v>0</v>
      </c>
      <c r="N754" s="306"/>
      <c r="O754" s="369" t="str">
        <f>O733</f>
        <v xml:space="preserve"> </v>
      </c>
      <c r="P754" s="309"/>
      <c r="Q754" s="306">
        <f>O754*C754*$O$744</f>
        <v>0</v>
      </c>
      <c r="R754" s="306"/>
      <c r="S754" s="369" t="str">
        <f>S733</f>
        <v xml:space="preserve"> </v>
      </c>
      <c r="T754" s="309"/>
      <c r="U754" s="306">
        <f>S754*C754*$S$744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455</v>
      </c>
      <c r="B755" s="1"/>
      <c r="C755" s="304">
        <f>C808+C861</f>
        <v>0</v>
      </c>
      <c r="D755" s="338">
        <v>78.06</v>
      </c>
      <c r="E755" s="309"/>
      <c r="F755" s="306">
        <f>F808+F861</f>
        <v>0</v>
      </c>
      <c r="G755" s="338">
        <f ca="1">G734</f>
        <v>79.89</v>
      </c>
      <c r="H755" s="309"/>
      <c r="I755" s="306">
        <f ca="1">I808+I861</f>
        <v>0</v>
      </c>
      <c r="J755" s="306"/>
      <c r="K755" s="338">
        <f ca="1">K734</f>
        <v>79.89</v>
      </c>
      <c r="L755" s="309"/>
      <c r="M755" s="306">
        <f t="shared" ca="1" si="169"/>
        <v>0</v>
      </c>
      <c r="N755" s="306"/>
      <c r="O755" s="338" t="str">
        <f>O734</f>
        <v xml:space="preserve"> </v>
      </c>
      <c r="P755" s="309"/>
      <c r="Q755" s="306">
        <f>O755*C755*$O$744</f>
        <v>0</v>
      </c>
      <c r="R755" s="306"/>
      <c r="S755" s="338" t="str">
        <f>S734</f>
        <v xml:space="preserve"> </v>
      </c>
      <c r="T755" s="309"/>
      <c r="U755" s="306">
        <f>S755*C755*$S$744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456</v>
      </c>
      <c r="B756" s="1"/>
      <c r="C756" s="304">
        <f>C809+C862</f>
        <v>0</v>
      </c>
      <c r="D756" s="338">
        <v>156.12</v>
      </c>
      <c r="E756" s="309"/>
      <c r="F756" s="306">
        <f>F809+F862</f>
        <v>0</v>
      </c>
      <c r="G756" s="338">
        <f ca="1">G735</f>
        <v>159.78</v>
      </c>
      <c r="H756" s="309"/>
      <c r="I756" s="306">
        <f ca="1">I809+I862</f>
        <v>0</v>
      </c>
      <c r="J756" s="306"/>
      <c r="K756" s="338">
        <f ca="1">K735</f>
        <v>159.78</v>
      </c>
      <c r="L756" s="309"/>
      <c r="M756" s="306">
        <f t="shared" ca="1" si="169"/>
        <v>0</v>
      </c>
      <c r="N756" s="306"/>
      <c r="O756" s="338" t="str">
        <f>O735</f>
        <v xml:space="preserve"> </v>
      </c>
      <c r="P756" s="309"/>
      <c r="Q756" s="306">
        <f>O756*C756*$O$744</f>
        <v>0</v>
      </c>
      <c r="R756" s="306"/>
      <c r="S756" s="338" t="str">
        <f>S735</f>
        <v xml:space="preserve"> </v>
      </c>
      <c r="T756" s="309"/>
      <c r="U756" s="306">
        <f>S756*C756*$S$744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452</v>
      </c>
      <c r="B757" s="1"/>
      <c r="C757" s="304"/>
      <c r="D757" s="322"/>
      <c r="E757" s="309"/>
      <c r="F757" s="306"/>
      <c r="G757" s="322"/>
      <c r="H757" s="309"/>
      <c r="I757" s="306"/>
      <c r="J757" s="306"/>
      <c r="K757" s="322"/>
      <c r="L757" s="309"/>
      <c r="M757" s="306"/>
      <c r="N757" s="306"/>
      <c r="O757" s="322"/>
      <c r="P757" s="309"/>
      <c r="Q757" s="306"/>
      <c r="R757" s="306"/>
      <c r="S757" s="322"/>
      <c r="T757" s="309"/>
      <c r="U757" s="306"/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447</v>
      </c>
      <c r="B758" s="1"/>
      <c r="C758" s="304">
        <f>C811+C864</f>
        <v>0</v>
      </c>
      <c r="D758" s="348">
        <v>-26.02</v>
      </c>
      <c r="E758" s="309"/>
      <c r="F758" s="306">
        <f>F811+F864</f>
        <v>0</v>
      </c>
      <c r="G758" s="348">
        <f ca="1">G737</f>
        <v>-26.63</v>
      </c>
      <c r="H758" s="309"/>
      <c r="I758" s="306">
        <f ca="1">I811+I864</f>
        <v>0</v>
      </c>
      <c r="J758" s="306"/>
      <c r="K758" s="348">
        <f ca="1">K737</f>
        <v>-26.63</v>
      </c>
      <c r="L758" s="309"/>
      <c r="M758" s="306">
        <f t="shared" ref="M758:M759" ca="1" si="170">I758</f>
        <v>0</v>
      </c>
      <c r="N758" s="306"/>
      <c r="O758" s="348" t="str">
        <f>O737</f>
        <v xml:space="preserve"> </v>
      </c>
      <c r="P758" s="309"/>
      <c r="Q758" s="306">
        <f>O758*C758*$O$744</f>
        <v>0</v>
      </c>
      <c r="R758" s="306"/>
      <c r="S758" s="348" t="str">
        <f>S737</f>
        <v xml:space="preserve"> </v>
      </c>
      <c r="T758" s="309"/>
      <c r="U758" s="306">
        <f>S758*C758*$S$744</f>
        <v>0</v>
      </c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453</v>
      </c>
      <c r="B759" s="1"/>
      <c r="C759" s="304">
        <f>C812+C865</f>
        <v>0</v>
      </c>
      <c r="D759" s="348">
        <v>-26.02</v>
      </c>
      <c r="E759" s="309"/>
      <c r="F759" s="306">
        <f>F812+F865</f>
        <v>0</v>
      </c>
      <c r="G759" s="348">
        <f ca="1">G738</f>
        <v>-26.63</v>
      </c>
      <c r="H759" s="309"/>
      <c r="I759" s="306">
        <f ca="1">I812+I865</f>
        <v>0</v>
      </c>
      <c r="J759" s="306"/>
      <c r="K759" s="348">
        <f ca="1">K738</f>
        <v>-26.63</v>
      </c>
      <c r="L759" s="309"/>
      <c r="M759" s="306">
        <f t="shared" ca="1" si="170"/>
        <v>0</v>
      </c>
      <c r="N759" s="306"/>
      <c r="O759" s="348" t="str">
        <f>O738</f>
        <v xml:space="preserve"> </v>
      </c>
      <c r="P759" s="309"/>
      <c r="Q759" s="306">
        <f>O759*C759*$O$744</f>
        <v>0</v>
      </c>
      <c r="R759" s="306"/>
      <c r="S759" s="348" t="str">
        <f>S738</f>
        <v xml:space="preserve"> </v>
      </c>
      <c r="T759" s="309"/>
      <c r="U759" s="306">
        <f>S759*C759*$S$744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308" t="s">
        <v>416</v>
      </c>
      <c r="B760" s="1"/>
      <c r="C760" s="304"/>
      <c r="D760" s="369"/>
      <c r="E760" s="306"/>
      <c r="F760" s="306"/>
      <c r="G760" s="369"/>
      <c r="H760" s="306"/>
      <c r="I760" s="306"/>
      <c r="J760" s="306"/>
      <c r="K760" s="369"/>
      <c r="L760" s="306"/>
      <c r="M760" s="306"/>
      <c r="N760" s="306"/>
      <c r="O760" s="369"/>
      <c r="P760" s="306"/>
      <c r="Q760" s="306"/>
      <c r="R760" s="306"/>
      <c r="S760" s="369"/>
      <c r="T760" s="306"/>
      <c r="U760" s="306"/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294" t="s">
        <v>454</v>
      </c>
      <c r="B761" s="1"/>
      <c r="C761" s="304">
        <f>C814+C867</f>
        <v>10034</v>
      </c>
      <c r="D761" s="370">
        <v>7.0350000000000001</v>
      </c>
      <c r="E761" s="306" t="s">
        <v>364</v>
      </c>
      <c r="F761" s="306">
        <f>F814+F867</f>
        <v>-7</v>
      </c>
      <c r="G761" s="370">
        <f ca="1">G740</f>
        <v>7.2030000000000003</v>
      </c>
      <c r="H761" s="306" t="s">
        <v>364</v>
      </c>
      <c r="I761" s="306">
        <f t="shared" ref="I761:I768" ca="1" si="171">I814+I867</f>
        <v>-7</v>
      </c>
      <c r="J761" s="306"/>
      <c r="K761" s="370" t="e">
        <f ca="1">K740</f>
        <v>#REF!</v>
      </c>
      <c r="L761" s="850" t="s">
        <v>31</v>
      </c>
      <c r="M761" s="306" t="e">
        <f ca="1">K761*C761*K744</f>
        <v>#REF!</v>
      </c>
      <c r="N761" s="306"/>
      <c r="O761" s="370" t="e">
        <f ca="1">O740</f>
        <v>#DIV/0!</v>
      </c>
      <c r="P761" s="306" t="s">
        <v>364</v>
      </c>
      <c r="Q761" s="306" t="e">
        <f ca="1">O761*C761*O744/100</f>
        <v>#DIV/0!</v>
      </c>
      <c r="R761" s="306"/>
      <c r="S761" s="370" t="e">
        <f ca="1">S740</f>
        <v>#DIV/0!</v>
      </c>
      <c r="T761" s="306" t="s">
        <v>364</v>
      </c>
      <c r="U761" s="306" t="e">
        <f ca="1">S761*C761*S744/100</f>
        <v>#DIV/0!</v>
      </c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308" t="s">
        <v>390</v>
      </c>
      <c r="B762" s="1"/>
      <c r="C762" s="304">
        <f>C815+C868</f>
        <v>0</v>
      </c>
      <c r="D762" s="360">
        <v>57</v>
      </c>
      <c r="E762" s="308" t="s">
        <v>364</v>
      </c>
      <c r="F762" s="306">
        <f>F815+F868</f>
        <v>0</v>
      </c>
      <c r="G762" s="360">
        <f ca="1">G741</f>
        <v>58</v>
      </c>
      <c r="H762" s="308" t="s">
        <v>364</v>
      </c>
      <c r="I762" s="306">
        <f t="shared" ca="1" si="171"/>
        <v>0</v>
      </c>
      <c r="J762" s="306"/>
      <c r="K762" s="360" t="str">
        <f>K741</f>
        <v xml:space="preserve"> </v>
      </c>
      <c r="L762" s="406" t="s">
        <v>31</v>
      </c>
      <c r="M762" s="306">
        <f>K762*C762</f>
        <v>0</v>
      </c>
      <c r="N762" s="306"/>
      <c r="O762" s="360" t="e">
        <f ca="1">O741</f>
        <v>#DIV/0!</v>
      </c>
      <c r="P762" s="308" t="s">
        <v>364</v>
      </c>
      <c r="Q762" s="306" t="e">
        <f ca="1">O762*C762</f>
        <v>#DIV/0!</v>
      </c>
      <c r="R762" s="306"/>
      <c r="S762" s="360" t="e">
        <f ca="1">S741</f>
        <v>#DIV/0!</v>
      </c>
      <c r="T762" s="308" t="s">
        <v>364</v>
      </c>
      <c r="U762" s="306" t="e">
        <f ca="1">S762*C762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433</v>
      </c>
      <c r="B763" s="1"/>
      <c r="C763" s="304">
        <f>C816+C869</f>
        <v>12</v>
      </c>
      <c r="D763" s="322">
        <v>60</v>
      </c>
      <c r="E763" s="1"/>
      <c r="F763" s="306">
        <f>F816+F869</f>
        <v>720</v>
      </c>
      <c r="G763" s="322">
        <f>'Blocking - detail'!I623</f>
        <v>60</v>
      </c>
      <c r="H763" s="1"/>
      <c r="I763" s="306">
        <f t="shared" si="171"/>
        <v>720</v>
      </c>
      <c r="J763" s="306"/>
      <c r="K763" s="311" t="s">
        <v>31</v>
      </c>
      <c r="L763" s="1"/>
      <c r="M763" s="306">
        <f>K763*C763</f>
        <v>0</v>
      </c>
      <c r="N763" s="306"/>
      <c r="O763" s="322" t="e">
        <f>Q763/C763</f>
        <v>#DIV/0!</v>
      </c>
      <c r="P763" s="1"/>
      <c r="Q763" s="1000" t="e">
        <f>I763*(W876/(W876+X876))</f>
        <v>#DIV/0!</v>
      </c>
      <c r="R763" s="306"/>
      <c r="S763" s="322" t="e">
        <f>U763/C763</f>
        <v>#DIV/0!</v>
      </c>
      <c r="T763" s="1"/>
      <c r="U763" s="1000" t="e">
        <f>I763*(X876/(W876+X876))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434</v>
      </c>
      <c r="B764" s="1"/>
      <c r="C764" s="304">
        <f>C817+C870</f>
        <v>456.00326456013363</v>
      </c>
      <c r="D764" s="591">
        <v>-30</v>
      </c>
      <c r="E764" s="306" t="s">
        <v>364</v>
      </c>
      <c r="F764" s="306">
        <f>F817+F870</f>
        <v>-137</v>
      </c>
      <c r="G764" s="463">
        <f>'Blocking - detail'!I624</f>
        <v>-30</v>
      </c>
      <c r="H764" s="306" t="s">
        <v>364</v>
      </c>
      <c r="I764" s="306">
        <f t="shared" si="171"/>
        <v>-137</v>
      </c>
      <c r="J764" s="306"/>
      <c r="K764" s="463">
        <f>G764</f>
        <v>-30</v>
      </c>
      <c r="L764" s="306" t="s">
        <v>364</v>
      </c>
      <c r="M764" s="306">
        <f>I764</f>
        <v>-137</v>
      </c>
      <c r="N764" s="306"/>
      <c r="O764" s="1134" t="s">
        <v>31</v>
      </c>
      <c r="P764" s="850" t="s">
        <v>31</v>
      </c>
      <c r="Q764" s="306">
        <f>O764*C764</f>
        <v>0</v>
      </c>
      <c r="R764" s="306"/>
      <c r="S764" s="1134" t="s">
        <v>31</v>
      </c>
      <c r="T764" s="850" t="s">
        <v>31</v>
      </c>
      <c r="U764" s="306">
        <f>S764*C764</f>
        <v>0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 s="1118" customFormat="1" hidden="1">
      <c r="A765" s="968" t="s">
        <v>891</v>
      </c>
      <c r="C765" s="987">
        <f>C761</f>
        <v>10034</v>
      </c>
      <c r="D765" s="1423">
        <v>0</v>
      </c>
      <c r="E765" s="1119"/>
      <c r="F765" s="1123"/>
      <c r="G765" s="1128">
        <f>G742</f>
        <v>0</v>
      </c>
      <c r="H765" s="1000" t="s">
        <v>364</v>
      </c>
      <c r="I765" s="1000">
        <f t="shared" si="171"/>
        <v>0</v>
      </c>
      <c r="J765" s="1000"/>
      <c r="K765" s="1128" t="str">
        <f>K742</f>
        <v xml:space="preserve"> </v>
      </c>
      <c r="L765" s="1000" t="s">
        <v>31</v>
      </c>
      <c r="M765" s="1000">
        <f>K765*C765</f>
        <v>0</v>
      </c>
      <c r="N765" s="1000"/>
      <c r="O765" s="1128" t="str">
        <f>O742</f>
        <v xml:space="preserve"> </v>
      </c>
      <c r="P765" s="1000" t="s">
        <v>31</v>
      </c>
      <c r="Q765" s="1000">
        <f>O765*C765</f>
        <v>0</v>
      </c>
      <c r="R765" s="1000"/>
      <c r="S765" s="1128">
        <f>S742</f>
        <v>0</v>
      </c>
      <c r="T765" s="1000" t="s">
        <v>364</v>
      </c>
      <c r="U765" s="1000">
        <f>S765*C765*S744/100</f>
        <v>0</v>
      </c>
      <c r="W765" s="784"/>
      <c r="X765" s="1118" t="s">
        <v>31</v>
      </c>
      <c r="Z765" s="1125"/>
      <c r="AA765" s="1125"/>
      <c r="AF765" s="1119"/>
      <c r="AG765" s="1119"/>
      <c r="AH765" s="1119"/>
      <c r="AI765" s="1119"/>
      <c r="AJ765" s="1119"/>
      <c r="AK765" s="1119"/>
      <c r="AL765" s="1119"/>
      <c r="AM765" s="1119"/>
      <c r="AN765" s="1119"/>
      <c r="AO765" s="1119"/>
      <c r="AP765" s="1119"/>
      <c r="AR765" s="1124"/>
    </row>
    <row r="766" spans="1:44">
      <c r="A766" s="1" t="s">
        <v>371</v>
      </c>
      <c r="B766" s="1"/>
      <c r="C766" s="304">
        <f>C819+C872</f>
        <v>158323871.89494899</v>
      </c>
      <c r="D766" s="309"/>
      <c r="E766" s="308"/>
      <c r="F766" s="2">
        <f>F819+F872</f>
        <v>13820389</v>
      </c>
      <c r="G766" s="2"/>
      <c r="H766" s="308"/>
      <c r="I766" s="1000">
        <f t="shared" ca="1" si="171"/>
        <v>14149201</v>
      </c>
      <c r="J766" s="1000"/>
      <c r="K766" s="2"/>
      <c r="L766" s="308"/>
      <c r="M766" s="1000" t="e">
        <f ca="1">SUM(M720:M765)</f>
        <v>#REF!</v>
      </c>
      <c r="N766" s="1000"/>
      <c r="O766" s="2"/>
      <c r="P766" s="308"/>
      <c r="Q766" s="1000" t="e">
        <f ca="1">SUM(Q720:Q765)</f>
        <v>#DIV/0!</v>
      </c>
      <c r="R766" s="1000"/>
      <c r="S766" s="2"/>
      <c r="T766" s="308"/>
      <c r="U766" s="1000" t="e">
        <f ca="1">SUM(U720:U765)</f>
        <v>#DIV/0!</v>
      </c>
      <c r="X766" s="261"/>
      <c r="Y766" s="261"/>
      <c r="AI766" s="20"/>
      <c r="AJ766" s="20"/>
      <c r="AK766" s="20"/>
      <c r="AL766" s="20"/>
      <c r="AM766" s="20"/>
      <c r="AN766" s="20"/>
      <c r="AO766" s="20"/>
      <c r="AP766" s="20"/>
    </row>
    <row r="767" spans="1:44" ht="14.25" customHeight="1">
      <c r="A767" s="1" t="s">
        <v>353</v>
      </c>
      <c r="B767" s="1"/>
      <c r="C767" s="325">
        <f ca="1">C820+C873</f>
        <v>2550999.9999999995</v>
      </c>
      <c r="D767" s="294"/>
      <c r="E767" s="294"/>
      <c r="F767" s="295">
        <f ca="1">F820+F873</f>
        <v>193000</v>
      </c>
      <c r="G767" s="294"/>
      <c r="H767" s="294"/>
      <c r="I767" s="1272">
        <f t="shared" ca="1" si="171"/>
        <v>193000</v>
      </c>
      <c r="J767" s="999"/>
      <c r="K767" s="294"/>
      <c r="L767" s="294"/>
      <c r="M767" s="1272" t="e">
        <f ca="1">$I$767*V876/($V$876+$W$876+$X$876)</f>
        <v>#DIV/0!</v>
      </c>
      <c r="N767" s="51"/>
      <c r="O767" s="294"/>
      <c r="P767" s="294"/>
      <c r="Q767" s="1272" t="e">
        <f ca="1">$I$767*W876/($V$876+$W$876+$X$876)</f>
        <v>#DIV/0!</v>
      </c>
      <c r="R767" s="51"/>
      <c r="S767" s="294"/>
      <c r="T767" s="294"/>
      <c r="U767" s="1272" t="e">
        <f ca="1">$I$767*X876/($V$876+$W$876+$X$876)</f>
        <v>#DIV/0!</v>
      </c>
      <c r="AI767" s="20"/>
      <c r="AJ767" s="20"/>
      <c r="AK767" s="20"/>
      <c r="AL767" s="20"/>
      <c r="AM767" s="20"/>
      <c r="AN767" s="20"/>
      <c r="AO767" s="20"/>
      <c r="AP767" s="20"/>
    </row>
    <row r="768" spans="1:44" ht="17.25" customHeight="1" thickBot="1">
      <c r="A768" s="1" t="s">
        <v>372</v>
      </c>
      <c r="B768" s="1"/>
      <c r="C768" s="351">
        <f ca="1">SUM(C766:C767)</f>
        <v>160874871.89494899</v>
      </c>
      <c r="D768" s="327"/>
      <c r="E768" s="330"/>
      <c r="F768" s="329">
        <f ca="1">F766+F767</f>
        <v>14013389</v>
      </c>
      <c r="G768" s="327"/>
      <c r="H768" s="330"/>
      <c r="I768" s="329">
        <f t="shared" ca="1" si="171"/>
        <v>14342201</v>
      </c>
      <c r="J768" s="329"/>
      <c r="K768" s="327"/>
      <c r="L768" s="330"/>
      <c r="M768" s="329" t="e">
        <f ca="1">SUM(M766:M767)</f>
        <v>#REF!</v>
      </c>
      <c r="N768" s="329"/>
      <c r="O768" s="327"/>
      <c r="P768" s="330"/>
      <c r="Q768" s="329" t="e">
        <f ca="1">SUM(Q766:Q767)</f>
        <v>#DIV/0!</v>
      </c>
      <c r="R768" s="329"/>
      <c r="S768" s="327"/>
      <c r="T768" s="330"/>
      <c r="U768" s="329" t="e">
        <f ca="1">SUM(U766:U767)</f>
        <v>#DIV/0!</v>
      </c>
      <c r="V768" s="757" t="s">
        <v>354</v>
      </c>
      <c r="W768" s="778">
        <f ca="1">'Rate Spread targets'!X27*1000</f>
        <v>14342145.747581676</v>
      </c>
      <c r="X768" s="1417">
        <f ca="1">'Rate Spread targets'!AA27</f>
        <v>2.3473253601397698E-2</v>
      </c>
      <c r="Y768" s="751"/>
      <c r="Z768" s="305" t="s">
        <v>31</v>
      </c>
      <c r="AA768" s="305"/>
      <c r="AI768" s="20"/>
      <c r="AJ768" s="20"/>
      <c r="AK768" s="20"/>
      <c r="AL768" s="20"/>
      <c r="AM768" s="20"/>
      <c r="AN768" s="20"/>
      <c r="AO768" s="20"/>
      <c r="AP768" s="20"/>
    </row>
    <row r="769" spans="1:42" ht="16.5" thickTop="1">
      <c r="A769" s="1"/>
      <c r="B769" s="1"/>
      <c r="C769" s="26"/>
      <c r="D769" s="336" t="s">
        <v>31</v>
      </c>
      <c r="E769" s="23"/>
      <c r="F769" s="307"/>
      <c r="G769" s="371" t="s">
        <v>31</v>
      </c>
      <c r="H769" s="23"/>
      <c r="I769" s="257" t="s">
        <v>31</v>
      </c>
      <c r="J769" s="257"/>
      <c r="K769" s="371" t="s">
        <v>31</v>
      </c>
      <c r="L769" s="23"/>
      <c r="M769" s="257" t="s">
        <v>31</v>
      </c>
      <c r="N769" s="257"/>
      <c r="O769" s="371" t="s">
        <v>31</v>
      </c>
      <c r="P769" s="23"/>
      <c r="Q769" s="257" t="s">
        <v>31</v>
      </c>
      <c r="R769" s="257"/>
      <c r="S769" s="371" t="s">
        <v>31</v>
      </c>
      <c r="T769" s="23"/>
      <c r="U769" s="257" t="s">
        <v>31</v>
      </c>
      <c r="V769" s="112" t="s">
        <v>257</v>
      </c>
      <c r="W769" s="780">
        <f ca="1">W768-I768</f>
        <v>-55.252418324351311</v>
      </c>
      <c r="X769" s="782" t="s">
        <v>31</v>
      </c>
      <c r="Y769" s="792"/>
      <c r="AI769" s="20"/>
      <c r="AJ769" s="20"/>
      <c r="AK769" s="20"/>
      <c r="AL769" s="20"/>
      <c r="AM769" s="20"/>
      <c r="AN769" s="20"/>
      <c r="AO769" s="20"/>
      <c r="AP769" s="20"/>
    </row>
    <row r="770" spans="1:42">
      <c r="A770" s="278" t="s">
        <v>437</v>
      </c>
      <c r="B770" s="1"/>
      <c r="C770" s="21"/>
      <c r="D770" s="322"/>
      <c r="E770" s="1"/>
      <c r="F770" s="2"/>
      <c r="G770" s="322"/>
      <c r="H770" s="1"/>
      <c r="I770" s="2"/>
      <c r="J770" s="2"/>
      <c r="K770" s="322"/>
      <c r="L770" s="1"/>
      <c r="M770" s="2"/>
      <c r="N770" s="2"/>
      <c r="O770" s="322"/>
      <c r="P770" s="1"/>
      <c r="Q770" s="2"/>
      <c r="R770" s="2"/>
      <c r="S770" s="322"/>
      <c r="T770" s="1"/>
      <c r="U770" s="2"/>
      <c r="AI770" s="20"/>
      <c r="AJ770" s="20"/>
      <c r="AK770" s="20"/>
      <c r="AL770" s="20"/>
      <c r="AM770" s="20"/>
      <c r="AN770" s="20"/>
      <c r="AO770" s="20"/>
      <c r="AP770" s="20"/>
    </row>
    <row r="771" spans="1:42">
      <c r="A771" s="294" t="s">
        <v>190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/>
      <c r="V771" s="84"/>
      <c r="W771" s="331" t="s">
        <v>31</v>
      </c>
      <c r="X771" s="222"/>
      <c r="Y771" s="222"/>
      <c r="AI771" s="20"/>
      <c r="AJ771" s="20"/>
      <c r="AK771" s="20"/>
      <c r="AL771" s="20"/>
      <c r="AM771" s="20"/>
      <c r="AN771" s="20"/>
      <c r="AO771" s="20"/>
      <c r="AP771" s="20"/>
    </row>
    <row r="772" spans="1:42">
      <c r="A772" s="308"/>
      <c r="B772" s="1"/>
      <c r="C772" s="21"/>
      <c r="D772" s="322"/>
      <c r="E772" s="1"/>
      <c r="F772" s="365"/>
      <c r="G772" s="322"/>
      <c r="H772" s="1"/>
      <c r="I772" s="366"/>
      <c r="J772" s="366"/>
      <c r="K772" s="322"/>
      <c r="L772" s="1"/>
      <c r="M772" s="366"/>
      <c r="N772" s="366"/>
      <c r="O772" s="322"/>
      <c r="P772" s="1"/>
      <c r="Q772" s="366"/>
      <c r="R772" s="366"/>
      <c r="S772" s="322"/>
      <c r="T772" s="1"/>
      <c r="U772" s="366"/>
      <c r="V772" s="20"/>
      <c r="W772" s="74"/>
      <c r="X772" s="74"/>
      <c r="Y772" s="74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</row>
    <row r="773" spans="1:42">
      <c r="A773" s="294" t="s">
        <v>439</v>
      </c>
      <c r="B773" s="1"/>
      <c r="C773" s="304"/>
      <c r="D773" s="2" t="s">
        <v>31</v>
      </c>
      <c r="E773" s="1"/>
      <c r="F773" s="1"/>
      <c r="G773" s="2" t="s">
        <v>31</v>
      </c>
      <c r="H773" s="1"/>
      <c r="I773" s="1"/>
      <c r="J773" s="1"/>
      <c r="K773" s="2" t="s">
        <v>31</v>
      </c>
      <c r="L773" s="1"/>
      <c r="M773" s="1"/>
      <c r="N773" s="1"/>
      <c r="O773" s="2" t="s">
        <v>31</v>
      </c>
      <c r="P773" s="1"/>
      <c r="Q773" s="1"/>
      <c r="R773" s="1"/>
      <c r="S773" s="2" t="s">
        <v>31</v>
      </c>
      <c r="T773" s="1"/>
      <c r="U773" s="1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>
      <c r="A774" s="294" t="s">
        <v>440</v>
      </c>
      <c r="B774" s="1"/>
      <c r="C774" s="304">
        <v>585.32901446738447</v>
      </c>
      <c r="D774" s="322">
        <v>0</v>
      </c>
      <c r="E774" s="309"/>
      <c r="F774" s="306">
        <f>ROUND(D774*C774,0)</f>
        <v>0</v>
      </c>
      <c r="G774" s="322">
        <f>$G$720</f>
        <v>0</v>
      </c>
      <c r="H774" s="309"/>
      <c r="I774" s="306">
        <f>ROUND(G774*$C774,0)</f>
        <v>0</v>
      </c>
      <c r="J774" s="306"/>
      <c r="K774" s="322">
        <f>$K$720</f>
        <v>0</v>
      </c>
      <c r="L774" s="309"/>
      <c r="M774" s="306">
        <f>ROUND(K774*$C774,0)</f>
        <v>0</v>
      </c>
      <c r="N774" s="306"/>
      <c r="O774" s="322" t="str">
        <f>$O$720</f>
        <v xml:space="preserve"> </v>
      </c>
      <c r="P774" s="309"/>
      <c r="Q774" s="306">
        <f>ROUND(O774*$C774,0)</f>
        <v>0</v>
      </c>
      <c r="R774" s="306"/>
      <c r="S774" s="322" t="str">
        <f>$S$720</f>
        <v xml:space="preserve"> </v>
      </c>
      <c r="T774" s="309"/>
      <c r="U774" s="306">
        <f>ROUND(S774*$C774,0)</f>
        <v>0</v>
      </c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>
      <c r="A775" s="294" t="s">
        <v>441</v>
      </c>
      <c r="B775" s="1"/>
      <c r="C775" s="304"/>
      <c r="D775" s="322"/>
      <c r="E775" s="309"/>
      <c r="F775" s="306"/>
      <c r="G775" s="322"/>
      <c r="H775" s="309"/>
      <c r="I775" s="306"/>
      <c r="J775" s="306"/>
      <c r="K775" s="322"/>
      <c r="L775" s="309"/>
      <c r="M775" s="306"/>
      <c r="N775" s="306"/>
      <c r="O775" s="322"/>
      <c r="P775" s="309"/>
      <c r="Q775" s="306"/>
      <c r="R775" s="306"/>
      <c r="S775" s="322"/>
      <c r="T775" s="309"/>
      <c r="U775" s="306"/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>
      <c r="A776" s="294" t="s">
        <v>442</v>
      </c>
      <c r="B776" s="1"/>
      <c r="C776" s="304">
        <v>2639.7847546294379</v>
      </c>
      <c r="D776" s="322">
        <v>0</v>
      </c>
      <c r="E776" s="309"/>
      <c r="F776" s="306">
        <f>ROUND(D776*C776,0)</f>
        <v>0</v>
      </c>
      <c r="G776" s="322">
        <f>$G$722</f>
        <v>0</v>
      </c>
      <c r="H776" s="309"/>
      <c r="I776" s="306">
        <f>ROUND(G776*$C776,0)</f>
        <v>0</v>
      </c>
      <c r="J776" s="306"/>
      <c r="K776" s="322">
        <f>$K$722</f>
        <v>0</v>
      </c>
      <c r="L776" s="309"/>
      <c r="M776" s="306">
        <f>ROUND(K776*$C776,0)</f>
        <v>0</v>
      </c>
      <c r="N776" s="306"/>
      <c r="O776" s="322" t="str">
        <f>$O$722</f>
        <v xml:space="preserve"> </v>
      </c>
      <c r="P776" s="309"/>
      <c r="Q776" s="306">
        <f>ROUND(O776*$C776,0)</f>
        <v>0</v>
      </c>
      <c r="R776" s="306"/>
      <c r="S776" s="322" t="str">
        <f>$S$722</f>
        <v xml:space="preserve"> </v>
      </c>
      <c r="T776" s="309"/>
      <c r="U776" s="306">
        <f>ROUND(S776*$C776,0)</f>
        <v>0</v>
      </c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>
      <c r="A777" s="294" t="s">
        <v>443</v>
      </c>
      <c r="B777" s="1"/>
      <c r="C777" s="304">
        <v>314.59706558952797</v>
      </c>
      <c r="D777" s="322">
        <v>370</v>
      </c>
      <c r="E777" s="309"/>
      <c r="F777" s="306">
        <f>ROUND(D777*C777,0)</f>
        <v>116401</v>
      </c>
      <c r="G777" s="322">
        <f ca="1">$G$723</f>
        <v>379</v>
      </c>
      <c r="H777" s="309"/>
      <c r="I777" s="306">
        <f ca="1">ROUND(G777*$C777,0)</f>
        <v>119232</v>
      </c>
      <c r="J777" s="306"/>
      <c r="K777" s="322">
        <f ca="1">$K$723</f>
        <v>379</v>
      </c>
      <c r="L777" s="309"/>
      <c r="M777" s="306">
        <f ca="1">ROUND(K777*$C777,0)</f>
        <v>119232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>
      <c r="A778" s="294" t="s">
        <v>444</v>
      </c>
      <c r="B778" s="1"/>
      <c r="C778" s="304">
        <v>10.9999976307206</v>
      </c>
      <c r="D778" s="322">
        <v>1504</v>
      </c>
      <c r="E778" s="309"/>
      <c r="F778" s="306">
        <f>ROUND(D778*C778,0)</f>
        <v>16544</v>
      </c>
      <c r="G778" s="322">
        <f ca="1">$G$724</f>
        <v>1539</v>
      </c>
      <c r="H778" s="309"/>
      <c r="I778" s="306">
        <f ca="1">ROUND(G778*$C778,0)</f>
        <v>16929</v>
      </c>
      <c r="J778" s="306"/>
      <c r="K778" s="322">
        <f ca="1">$K$724</f>
        <v>1539</v>
      </c>
      <c r="L778" s="309"/>
      <c r="M778" s="306">
        <f ca="1">ROUND(K778*$C778,0)</f>
        <v>16929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>
      <c r="A779" s="294" t="s">
        <v>352</v>
      </c>
      <c r="B779" s="1"/>
      <c r="C779" s="304">
        <f>SUM(C774:C778)</f>
        <v>3550.7108323170714</v>
      </c>
      <c r="D779" s="322"/>
      <c r="E779" s="309"/>
      <c r="F779" s="306"/>
      <c r="G779" s="322"/>
      <c r="H779" s="309"/>
      <c r="I779" s="306"/>
      <c r="J779" s="306"/>
      <c r="K779" s="322"/>
      <c r="L779" s="309"/>
      <c r="M779" s="306"/>
      <c r="N779" s="306"/>
      <c r="O779" s="322"/>
      <c r="P779" s="309"/>
      <c r="Q779" s="306"/>
      <c r="R779" s="306"/>
      <c r="S779" s="322"/>
      <c r="T779" s="309"/>
      <c r="U779" s="306"/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>
      <c r="A780" s="294" t="s">
        <v>445</v>
      </c>
      <c r="B780" s="1"/>
      <c r="C780" s="304">
        <v>26978.440555555677</v>
      </c>
      <c r="D780" s="322"/>
      <c r="E780" s="306"/>
      <c r="F780" s="306"/>
      <c r="G780" s="322"/>
      <c r="H780" s="306"/>
      <c r="I780" s="306"/>
      <c r="J780" s="306"/>
      <c r="K780" s="322"/>
      <c r="L780" s="306"/>
      <c r="M780" s="306"/>
      <c r="N780" s="306"/>
      <c r="O780" s="322"/>
      <c r="P780" s="306"/>
      <c r="Q780" s="306"/>
      <c r="R780" s="306"/>
      <c r="S780" s="322"/>
      <c r="T780" s="306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>
      <c r="A781" s="294" t="s">
        <v>104</v>
      </c>
      <c r="B781" s="1"/>
      <c r="C781" s="304">
        <v>3789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>
      <c r="A782" s="294" t="s">
        <v>446</v>
      </c>
      <c r="B782" s="1"/>
      <c r="C782" s="304"/>
      <c r="D782" s="322"/>
      <c r="E782" s="309"/>
      <c r="F782" s="306"/>
      <c r="G782" s="322"/>
      <c r="H782" s="309"/>
      <c r="I782" s="306"/>
      <c r="J782" s="306"/>
      <c r="K782" s="322"/>
      <c r="L782" s="309"/>
      <c r="M782" s="306"/>
      <c r="N782" s="306"/>
      <c r="O782" s="322"/>
      <c r="P782" s="309"/>
      <c r="Q782" s="306"/>
      <c r="R782" s="306"/>
      <c r="S782" s="322"/>
      <c r="T782" s="309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>
      <c r="A783" s="294" t="s">
        <v>447</v>
      </c>
      <c r="B783" s="1"/>
      <c r="C783" s="304">
        <v>2076.8587101006215</v>
      </c>
      <c r="D783" s="322">
        <v>26.02</v>
      </c>
      <c r="E783" s="309"/>
      <c r="F783" s="306">
        <f>ROUND(D783*C783,0)</f>
        <v>54040</v>
      </c>
      <c r="G783" s="322">
        <f ca="1">$G$729</f>
        <v>26.63</v>
      </c>
      <c r="H783" s="309"/>
      <c r="I783" s="306">
        <f ca="1">ROUND(G783*$C783,0)</f>
        <v>55307</v>
      </c>
      <c r="J783" s="306"/>
      <c r="K783" s="322">
        <f ca="1">$K$729</f>
        <v>26.63</v>
      </c>
      <c r="L783" s="309"/>
      <c r="M783" s="306">
        <f ca="1">ROUND(K783*$C783,0)</f>
        <v>55307</v>
      </c>
      <c r="N783" s="306"/>
      <c r="O783" s="322" t="str">
        <f>$O$729</f>
        <v xml:space="preserve"> </v>
      </c>
      <c r="P783" s="309"/>
      <c r="Q783" s="306">
        <f>ROUND(O783*$C783,0)</f>
        <v>0</v>
      </c>
      <c r="R783" s="306"/>
      <c r="S783" s="322" t="str">
        <f>$S$729</f>
        <v xml:space="preserve"> </v>
      </c>
      <c r="T783" s="309"/>
      <c r="U783" s="306">
        <f>ROUND(S783*$C783,0)</f>
        <v>0</v>
      </c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>
      <c r="A784" s="294" t="s">
        <v>448</v>
      </c>
      <c r="B784" s="1"/>
      <c r="C784" s="304"/>
      <c r="D784" s="322"/>
      <c r="E784" s="309"/>
      <c r="F784" s="306"/>
      <c r="G784" s="322"/>
      <c r="H784" s="309"/>
      <c r="I784" s="306"/>
      <c r="J784" s="306"/>
      <c r="K784" s="322"/>
      <c r="L784" s="309"/>
      <c r="M784" s="306"/>
      <c r="N784" s="306"/>
      <c r="O784" s="322"/>
      <c r="P784" s="309"/>
      <c r="Q784" s="306"/>
      <c r="R784" s="306"/>
      <c r="S784" s="322"/>
      <c r="T784" s="309"/>
      <c r="U784" s="306"/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4">
      <c r="A785" s="294" t="s">
        <v>442</v>
      </c>
      <c r="B785" s="1"/>
      <c r="C785" s="304">
        <v>39873.252848561533</v>
      </c>
      <c r="D785" s="322">
        <v>26.02</v>
      </c>
      <c r="E785" s="309"/>
      <c r="F785" s="306">
        <f>ROUND(D785*C785,0)</f>
        <v>1037502</v>
      </c>
      <c r="G785" s="322">
        <f ca="1">$G$731</f>
        <v>26.63</v>
      </c>
      <c r="H785" s="309"/>
      <c r="I785" s="306">
        <f ca="1">ROUND(G785*$C785,0)</f>
        <v>1061825</v>
      </c>
      <c r="J785" s="306"/>
      <c r="K785" s="322">
        <f ca="1">$K$731</f>
        <v>26.63</v>
      </c>
      <c r="L785" s="309"/>
      <c r="M785" s="306">
        <f ca="1">ROUND(K785*$C785,0)</f>
        <v>1061825</v>
      </c>
      <c r="N785" s="306"/>
      <c r="O785" s="322" t="str">
        <f>$O$731</f>
        <v xml:space="preserve"> </v>
      </c>
      <c r="P785" s="309"/>
      <c r="Q785" s="306">
        <f>ROUND(O785*$C785,0)</f>
        <v>0</v>
      </c>
      <c r="R785" s="306"/>
      <c r="S785" s="322" t="str">
        <f>$S$731</f>
        <v xml:space="preserve"> </v>
      </c>
      <c r="T785" s="309"/>
      <c r="U785" s="306">
        <f>ROUND(S785*$C785,0)</f>
        <v>0</v>
      </c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4">
      <c r="A786" s="294" t="s">
        <v>443</v>
      </c>
      <c r="B786" s="1"/>
      <c r="C786" s="304">
        <v>29185.4347915853</v>
      </c>
      <c r="D786" s="322">
        <v>18.101388370764003</v>
      </c>
      <c r="E786" s="309"/>
      <c r="F786" s="306">
        <f>ROUND(D786*C786,0)</f>
        <v>528297</v>
      </c>
      <c r="G786" s="322">
        <f ca="1">$G$732</f>
        <v>18.526286850528336</v>
      </c>
      <c r="H786" s="309"/>
      <c r="I786" s="306">
        <f ca="1">ROUND(G786*$C786,0)</f>
        <v>540698</v>
      </c>
      <c r="J786" s="306"/>
      <c r="K786" s="322">
        <f ca="1">$K$732</f>
        <v>18.526286850528336</v>
      </c>
      <c r="L786" s="309"/>
      <c r="M786" s="306">
        <f ca="1">ROUND(K786*$C786,0)</f>
        <v>540698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4">
      <c r="A787" s="294" t="s">
        <v>444</v>
      </c>
      <c r="B787" s="1"/>
      <c r="C787" s="304">
        <v>4458.9991006743103</v>
      </c>
      <c r="D787" s="322">
        <v>14.155824964645021</v>
      </c>
      <c r="E787" s="309"/>
      <c r="F787" s="306">
        <f>ROUND(D787*C787,0)</f>
        <v>63121</v>
      </c>
      <c r="G787" s="322">
        <f ca="1">$G$733</f>
        <v>14.48810823397713</v>
      </c>
      <c r="H787" s="309"/>
      <c r="I787" s="306">
        <f ca="1">ROUND(G787*$C787,0)</f>
        <v>64602</v>
      </c>
      <c r="J787" s="306"/>
      <c r="K787" s="322">
        <f ca="1">$K$733</f>
        <v>14.48810823397713</v>
      </c>
      <c r="L787" s="309"/>
      <c r="M787" s="306">
        <f ca="1">ROUND(K787*$C787,0)</f>
        <v>64602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4">
      <c r="A788" s="294" t="s">
        <v>450</v>
      </c>
      <c r="B788" s="1"/>
      <c r="C788" s="304">
        <v>287.38362640647603</v>
      </c>
      <c r="D788" s="322">
        <v>78.06</v>
      </c>
      <c r="E788" s="309"/>
      <c r="F788" s="306">
        <f>ROUND(D788*C788,0)</f>
        <v>22433</v>
      </c>
      <c r="G788" s="322">
        <f ca="1">$G$734</f>
        <v>79.89</v>
      </c>
      <c r="H788" s="309"/>
      <c r="I788" s="306">
        <f ca="1">ROUND(G788*$C788,0)</f>
        <v>22959</v>
      </c>
      <c r="J788" s="306"/>
      <c r="K788" s="322">
        <f ca="1">$K$734</f>
        <v>79.89</v>
      </c>
      <c r="L788" s="309"/>
      <c r="M788" s="306">
        <f ca="1">ROUND(K788*$C788,0)</f>
        <v>22959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4">
      <c r="A789" s="294" t="s">
        <v>451</v>
      </c>
      <c r="B789" s="1"/>
      <c r="C789" s="304">
        <v>596.26328693931896</v>
      </c>
      <c r="D789" s="322">
        <v>156.12</v>
      </c>
      <c r="E789" s="309"/>
      <c r="F789" s="306">
        <f>ROUND(D789*C789,0)</f>
        <v>93089</v>
      </c>
      <c r="G789" s="322">
        <f ca="1">$G$735</f>
        <v>159.78</v>
      </c>
      <c r="H789" s="309"/>
      <c r="I789" s="306">
        <f ca="1">ROUND(G789*$C789,0)</f>
        <v>95271</v>
      </c>
      <c r="J789" s="306"/>
      <c r="K789" s="322">
        <f ca="1">$K$735</f>
        <v>159.78</v>
      </c>
      <c r="L789" s="309"/>
      <c r="M789" s="306">
        <f ca="1">ROUND(K789*$C789,0)</f>
        <v>95271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4">
      <c r="A790" s="294" t="s">
        <v>452</v>
      </c>
      <c r="B790" s="1"/>
      <c r="C790" s="304"/>
      <c r="D790" s="322"/>
      <c r="E790" s="309"/>
      <c r="F790" s="306"/>
      <c r="G790" s="322"/>
      <c r="H790" s="309"/>
      <c r="I790" s="306"/>
      <c r="J790" s="306"/>
      <c r="K790" s="322"/>
      <c r="L790" s="309"/>
      <c r="M790" s="306"/>
      <c r="N790" s="306"/>
      <c r="O790" s="322"/>
      <c r="P790" s="309"/>
      <c r="Q790" s="306"/>
      <c r="R790" s="306"/>
      <c r="S790" s="322"/>
      <c r="T790" s="309"/>
      <c r="U790" s="306"/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4">
      <c r="A791" s="294" t="s">
        <v>447</v>
      </c>
      <c r="B791" s="1"/>
      <c r="C791" s="304">
        <v>13.885153858261599</v>
      </c>
      <c r="D791" s="348">
        <v>-26.02</v>
      </c>
      <c r="E791" s="309"/>
      <c r="F791" s="306">
        <f>ROUND(D791*C791,0)</f>
        <v>-361</v>
      </c>
      <c r="G791" s="348">
        <f ca="1">-G783</f>
        <v>-26.63</v>
      </c>
      <c r="H791" s="309"/>
      <c r="I791" s="306">
        <f ca="1">ROUND(G791*$C791,0)</f>
        <v>-370</v>
      </c>
      <c r="J791" s="306"/>
      <c r="K791" s="348">
        <f ca="1">-K783</f>
        <v>-26.63</v>
      </c>
      <c r="L791" s="309"/>
      <c r="M791" s="306">
        <f ca="1">ROUND(K791*$C791,0)</f>
        <v>-370</v>
      </c>
      <c r="N791" s="306"/>
      <c r="O791" s="348">
        <f>-O783</f>
        <v>0</v>
      </c>
      <c r="P791" s="309"/>
      <c r="Q791" s="306">
        <f>ROUND(O791*$C791,0)</f>
        <v>0</v>
      </c>
      <c r="R791" s="306"/>
      <c r="S791" s="348">
        <f>-S783</f>
        <v>0</v>
      </c>
      <c r="T791" s="309"/>
      <c r="U791" s="306">
        <f>ROUND(S791*$C791,0)</f>
        <v>0</v>
      </c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4">
      <c r="A792" s="294" t="s">
        <v>453</v>
      </c>
      <c r="B792" s="1"/>
      <c r="C792" s="304">
        <v>218.78375922302399</v>
      </c>
      <c r="D792" s="348">
        <v>-26.02</v>
      </c>
      <c r="E792" s="309"/>
      <c r="F792" s="306">
        <f>ROUND(D792*C792,0)</f>
        <v>-5693</v>
      </c>
      <c r="G792" s="348">
        <f ca="1">-G785</f>
        <v>-26.63</v>
      </c>
      <c r="H792" s="309"/>
      <c r="I792" s="306">
        <f ca="1">ROUND(G792*$C792,0)</f>
        <v>-5826</v>
      </c>
      <c r="J792" s="306"/>
      <c r="K792" s="348">
        <f ca="1">-K785</f>
        <v>-26.63</v>
      </c>
      <c r="L792" s="309"/>
      <c r="M792" s="306">
        <f ca="1">ROUND(K792*$C792,0)</f>
        <v>-5826</v>
      </c>
      <c r="N792" s="306"/>
      <c r="O792" s="348">
        <f>-O785</f>
        <v>0</v>
      </c>
      <c r="P792" s="309"/>
      <c r="Q792" s="306">
        <f>ROUND(O792*$C792,0)</f>
        <v>0</v>
      </c>
      <c r="R792" s="306"/>
      <c r="S792" s="348">
        <f>-S785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4">
      <c r="A793" s="308" t="s">
        <v>416</v>
      </c>
      <c r="B793" s="1"/>
      <c r="C793" s="64" t="s">
        <v>31</v>
      </c>
      <c r="D793" s="322"/>
      <c r="E793" s="306"/>
      <c r="F793" s="306"/>
      <c r="G793" s="322"/>
      <c r="H793" s="306"/>
      <c r="I793" s="306"/>
      <c r="J793" s="306"/>
      <c r="K793" s="322"/>
      <c r="L793" s="306"/>
      <c r="M793" s="306"/>
      <c r="N793" s="306"/>
      <c r="O793" s="322"/>
      <c r="P793" s="306"/>
      <c r="Q793" s="306"/>
      <c r="R793" s="306"/>
      <c r="S793" s="322"/>
      <c r="T793" s="306"/>
      <c r="U793" s="306"/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4">
      <c r="A794" s="294" t="s">
        <v>454</v>
      </c>
      <c r="B794" s="1"/>
      <c r="C794" s="304">
        <v>110142584.89494899</v>
      </c>
      <c r="D794" s="367">
        <v>7.0350000000000001</v>
      </c>
      <c r="E794" s="306" t="s">
        <v>364</v>
      </c>
      <c r="F794" s="306">
        <f>ROUND(D794/100*C794,0)</f>
        <v>7748531</v>
      </c>
      <c r="G794" s="367">
        <f ca="1">$G$740</f>
        <v>7.2030000000000003</v>
      </c>
      <c r="H794" s="306" t="s">
        <v>364</v>
      </c>
      <c r="I794" s="306">
        <f ca="1">ROUND(G794/100*$C794,0)</f>
        <v>7933570</v>
      </c>
      <c r="J794" s="306"/>
      <c r="K794" s="367" t="e">
        <f ca="1">$K$740</f>
        <v>#REF!</v>
      </c>
      <c r="L794" s="306" t="s">
        <v>364</v>
      </c>
      <c r="M794" s="306" t="e">
        <f ca="1">ROUND(K794/100*$C794,0)</f>
        <v>#REF!</v>
      </c>
      <c r="N794" s="306"/>
      <c r="O794" s="367" t="e">
        <f ca="1">$O$740</f>
        <v>#DIV/0!</v>
      </c>
      <c r="P794" s="306" t="s">
        <v>364</v>
      </c>
      <c r="Q794" s="306" t="e">
        <f ca="1">ROUND(O794/100*$C794,0)</f>
        <v>#DIV/0!</v>
      </c>
      <c r="R794" s="306"/>
      <c r="S794" s="367" t="e">
        <f ca="1">$S$740</f>
        <v>#DIV/0!</v>
      </c>
      <c r="T794" s="306" t="s">
        <v>364</v>
      </c>
      <c r="U794" s="306" t="e">
        <f ca="1">ROUND(S794/100*$C794,0)</f>
        <v>#DIV/0!</v>
      </c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4">
      <c r="A795" s="308" t="s">
        <v>390</v>
      </c>
      <c r="B795" s="1"/>
      <c r="C795" s="260">
        <v>43439</v>
      </c>
      <c r="D795" s="324">
        <v>57</v>
      </c>
      <c r="E795" s="308" t="s">
        <v>364</v>
      </c>
      <c r="F795" s="306">
        <f>ROUND(D795/100*C795,0)</f>
        <v>24760</v>
      </c>
      <c r="G795" s="324">
        <f ca="1">$G$741</f>
        <v>58</v>
      </c>
      <c r="H795" s="308" t="s">
        <v>364</v>
      </c>
      <c r="I795" s="306">
        <f ca="1">ROUND(G795*$C795/100,0)</f>
        <v>25195</v>
      </c>
      <c r="J795" s="306"/>
      <c r="K795" s="324" t="str">
        <f>$K$741</f>
        <v xml:space="preserve"> </v>
      </c>
      <c r="L795" s="308" t="s">
        <v>364</v>
      </c>
      <c r="M795" s="306">
        <f>ROUND(K795*$C795/100,0)</f>
        <v>0</v>
      </c>
      <c r="N795" s="306"/>
      <c r="O795" s="324" t="e">
        <f ca="1">$O$741</f>
        <v>#DIV/0!</v>
      </c>
      <c r="P795" s="308" t="s">
        <v>364</v>
      </c>
      <c r="Q795" s="306" t="e">
        <f ca="1">ROUND(O795*$C795/100,0)</f>
        <v>#DIV/0!</v>
      </c>
      <c r="R795" s="306"/>
      <c r="S795" s="324" t="e">
        <f ca="1">$S$741</f>
        <v>#DIV/0!</v>
      </c>
      <c r="T795" s="308" t="s">
        <v>364</v>
      </c>
      <c r="U795" s="306" t="e">
        <f ca="1">ROUND(S795*$C795/100,0)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4" s="1118" customFormat="1" hidden="1">
      <c r="A796" s="968" t="s">
        <v>872</v>
      </c>
      <c r="C796" s="1122">
        <f>C794</f>
        <v>110142584.89494899</v>
      </c>
      <c r="D796" s="1423">
        <v>0</v>
      </c>
      <c r="E796" s="1119"/>
      <c r="F796" s="1123"/>
      <c r="G796" s="1128">
        <f>G742</f>
        <v>0</v>
      </c>
      <c r="H796" s="1000" t="s">
        <v>364</v>
      </c>
      <c r="I796" s="1000">
        <f>ROUND(G796*$C796/100,0)</f>
        <v>0</v>
      </c>
      <c r="J796" s="1000"/>
      <c r="K796" s="1128" t="str">
        <f>K742</f>
        <v xml:space="preserve"> </v>
      </c>
      <c r="L796" s="1000" t="s">
        <v>364</v>
      </c>
      <c r="M796" s="1000">
        <f>ROUND(K796*$C796/100,0)</f>
        <v>0</v>
      </c>
      <c r="N796" s="1000"/>
      <c r="O796" s="1128" t="str">
        <f>O742</f>
        <v xml:space="preserve"> </v>
      </c>
      <c r="P796" s="1000" t="s">
        <v>364</v>
      </c>
      <c r="Q796" s="1000">
        <f>ROUND(O796*$C796/100,0)</f>
        <v>0</v>
      </c>
      <c r="R796" s="1000"/>
      <c r="S796" s="1128">
        <f>S742</f>
        <v>0</v>
      </c>
      <c r="T796" s="1000" t="s">
        <v>364</v>
      </c>
      <c r="U796" s="1000">
        <f>ROUND(S796*$C796/100,0)</f>
        <v>0</v>
      </c>
      <c r="W796" s="784"/>
      <c r="Z796" s="1125"/>
      <c r="AA796" s="1125"/>
      <c r="AF796" s="1119"/>
      <c r="AG796" s="1119"/>
      <c r="AH796" s="1119"/>
      <c r="AI796" s="1119"/>
      <c r="AJ796" s="1119"/>
      <c r="AK796" s="1119"/>
      <c r="AL796" s="1119"/>
      <c r="AM796" s="1119"/>
      <c r="AN796" s="1119"/>
      <c r="AO796" s="1119"/>
      <c r="AP796" s="1119"/>
      <c r="AR796" s="1124"/>
    </row>
    <row r="797" spans="1:44">
      <c r="A797" s="345" t="s">
        <v>391</v>
      </c>
      <c r="B797" s="1"/>
      <c r="C797" s="304"/>
      <c r="D797" s="317"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4">
      <c r="A798" s="294" t="s">
        <v>380</v>
      </c>
      <c r="B798" s="1"/>
      <c r="C798" s="304">
        <v>0</v>
      </c>
      <c r="D798" s="369">
        <v>0</v>
      </c>
      <c r="E798" s="309"/>
      <c r="F798" s="306">
        <f>ROUND(D798*C798*$D$744,0)</f>
        <v>0</v>
      </c>
      <c r="G798" s="369">
        <f>G774</f>
        <v>0</v>
      </c>
      <c r="H798" s="309"/>
      <c r="I798" s="306">
        <f>ROUND(G798*$C798*$G$797,0)</f>
        <v>0</v>
      </c>
      <c r="J798" s="306"/>
      <c r="K798" s="369">
        <f>K774</f>
        <v>0</v>
      </c>
      <c r="L798" s="309"/>
      <c r="M798" s="306">
        <f>ROUND(K798*$C798*$G$797,0)</f>
        <v>0</v>
      </c>
      <c r="N798" s="306"/>
      <c r="O798" s="369" t="str">
        <f>O774</f>
        <v xml:space="preserve"> </v>
      </c>
      <c r="P798" s="309"/>
      <c r="Q798" s="306">
        <f>ROUND(O798*$C798*$G$797,0)</f>
        <v>0</v>
      </c>
      <c r="R798" s="306"/>
      <c r="S798" s="369" t="str">
        <f>S774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4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4">
      <c r="A800" s="294" t="s">
        <v>442</v>
      </c>
      <c r="B800" s="1"/>
      <c r="C800" s="304">
        <v>1.0000071591230999</v>
      </c>
      <c r="D800" s="369">
        <v>0</v>
      </c>
      <c r="E800" s="309"/>
      <c r="F800" s="306">
        <f>ROUND(D800*C800*$D$744,0)</f>
        <v>0</v>
      </c>
      <c r="G800" s="369">
        <f>G776</f>
        <v>0</v>
      </c>
      <c r="H800" s="309"/>
      <c r="I800" s="306">
        <f>ROUND(G800*$C800*$G$797,0)</f>
        <v>0</v>
      </c>
      <c r="J800" s="306"/>
      <c r="K800" s="369">
        <f>K776</f>
        <v>0</v>
      </c>
      <c r="L800" s="309"/>
      <c r="M800" s="306">
        <f>ROUND(K800*$C800*$G$797,0)</f>
        <v>0</v>
      </c>
      <c r="N800" s="306"/>
      <c r="O800" s="369" t="str">
        <f>O776</f>
        <v xml:space="preserve"> </v>
      </c>
      <c r="P800" s="309"/>
      <c r="Q800" s="306">
        <f>ROUND(O800*$C800*$G$797,0)</f>
        <v>0</v>
      </c>
      <c r="R800" s="306"/>
      <c r="S800" s="369" t="str">
        <f>S776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>
      <c r="A801" s="294" t="s">
        <v>443</v>
      </c>
      <c r="B801" s="1"/>
      <c r="C801" s="304">
        <v>0</v>
      </c>
      <c r="D801" s="369">
        <v>370</v>
      </c>
      <c r="E801" s="309"/>
      <c r="F801" s="306">
        <f>ROUND(D801*C801*$D$744,0)</f>
        <v>0</v>
      </c>
      <c r="G801" s="369">
        <f ca="1">G777</f>
        <v>379</v>
      </c>
      <c r="H801" s="309"/>
      <c r="I801" s="306">
        <f ca="1">ROUND(G801*$C801*$G$797,0)</f>
        <v>0</v>
      </c>
      <c r="J801" s="306"/>
      <c r="K801" s="369">
        <f ca="1">K777</f>
        <v>379</v>
      </c>
      <c r="L801" s="309"/>
      <c r="M801" s="306">
        <f ca="1">ROUND(K801*$C801*$G$797,0)</f>
        <v>0</v>
      </c>
      <c r="N801" s="306"/>
      <c r="O801" s="369" t="str">
        <f>O777</f>
        <v xml:space="preserve"> </v>
      </c>
      <c r="P801" s="309"/>
      <c r="Q801" s="306">
        <f>ROUND(O801*$C801*$G$797,0)</f>
        <v>0</v>
      </c>
      <c r="R801" s="306"/>
      <c r="S801" s="369" t="str">
        <f>S777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>
      <c r="A802" s="294" t="s">
        <v>444</v>
      </c>
      <c r="B802" s="1"/>
      <c r="C802" s="304">
        <v>0</v>
      </c>
      <c r="D802" s="369">
        <v>1504</v>
      </c>
      <c r="E802" s="309"/>
      <c r="F802" s="306">
        <f>ROUND(D802*C802*$D$744,0)</f>
        <v>0</v>
      </c>
      <c r="G802" s="369">
        <f ca="1">G778</f>
        <v>1539</v>
      </c>
      <c r="H802" s="309"/>
      <c r="I802" s="306">
        <f ca="1">ROUND(G802*$C802*$G$797,0)</f>
        <v>0</v>
      </c>
      <c r="J802" s="306"/>
      <c r="K802" s="369">
        <f ca="1">K778</f>
        <v>1539</v>
      </c>
      <c r="L802" s="309"/>
      <c r="M802" s="306">
        <f ca="1">ROUND(K802*$C802*$G$797,0)</f>
        <v>0</v>
      </c>
      <c r="N802" s="306"/>
      <c r="O802" s="369" t="str">
        <f>O778</f>
        <v xml:space="preserve"> </v>
      </c>
      <c r="P802" s="309"/>
      <c r="Q802" s="306">
        <f>ROUND(O802*$C802*$G$797,0)</f>
        <v>0</v>
      </c>
      <c r="R802" s="306"/>
      <c r="S802" s="369" t="str">
        <f>S778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>
      <c r="A803" s="294" t="s">
        <v>380</v>
      </c>
      <c r="B803" s="1"/>
      <c r="C803" s="304">
        <v>0</v>
      </c>
      <c r="D803" s="369">
        <v>26.02</v>
      </c>
      <c r="E803" s="309"/>
      <c r="F803" s="306">
        <f>ROUND(D803*C803*$D$744,0)</f>
        <v>0</v>
      </c>
      <c r="G803" s="369">
        <f ca="1">G783</f>
        <v>26.63</v>
      </c>
      <c r="H803" s="309"/>
      <c r="I803" s="306">
        <f ca="1">ROUND(G803*$C803*$G$797,0)</f>
        <v>0</v>
      </c>
      <c r="J803" s="306"/>
      <c r="K803" s="369">
        <f ca="1">K783</f>
        <v>26.63</v>
      </c>
      <c r="L803" s="309"/>
      <c r="M803" s="306">
        <f ca="1">ROUND(K803*$C803*$G$797,0)</f>
        <v>0</v>
      </c>
      <c r="N803" s="306"/>
      <c r="O803" s="369" t="str">
        <f>O783</f>
        <v xml:space="preserve"> </v>
      </c>
      <c r="P803" s="309"/>
      <c r="Q803" s="306">
        <f>ROUND(O803*$C803*$G$797,0)</f>
        <v>0</v>
      </c>
      <c r="R803" s="306"/>
      <c r="S803" s="369" t="str">
        <f>S783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>
      <c r="A805" s="294" t="s">
        <v>442</v>
      </c>
      <c r="B805" s="1"/>
      <c r="C805" s="304">
        <v>38.0002720466778</v>
      </c>
      <c r="D805" s="369">
        <v>26.02</v>
      </c>
      <c r="E805" s="309"/>
      <c r="F805" s="306">
        <f>ROUND(D805*C805*$D$744,0)</f>
        <v>-10</v>
      </c>
      <c r="G805" s="369">
        <f ca="1">G785</f>
        <v>26.63</v>
      </c>
      <c r="H805" s="309"/>
      <c r="I805" s="306">
        <f ca="1">ROUND(G805*$C805*$G$797,0)</f>
        <v>-10</v>
      </c>
      <c r="J805" s="306"/>
      <c r="K805" s="369">
        <f ca="1">K785</f>
        <v>26.63</v>
      </c>
      <c r="L805" s="309"/>
      <c r="M805" s="306">
        <f ca="1">ROUND(K805*$C805*$G$797,0)</f>
        <v>-10</v>
      </c>
      <c r="N805" s="306"/>
      <c r="O805" s="369" t="str">
        <f>O785</f>
        <v xml:space="preserve"> </v>
      </c>
      <c r="P805" s="309"/>
      <c r="Q805" s="306">
        <f>ROUND(O805*$C805*$G$797,0)</f>
        <v>0</v>
      </c>
      <c r="R805" s="306"/>
      <c r="S805" s="369" t="str">
        <f>S785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>
      <c r="A806" s="294" t="s">
        <v>443</v>
      </c>
      <c r="B806" s="1"/>
      <c r="C806" s="304">
        <v>0</v>
      </c>
      <c r="D806" s="369">
        <v>18.101388370764003</v>
      </c>
      <c r="E806" s="309"/>
      <c r="F806" s="306">
        <f>ROUND(D806*C806*$D$744,0)</f>
        <v>0</v>
      </c>
      <c r="G806" s="369">
        <f ca="1">G786</f>
        <v>18.526286850528336</v>
      </c>
      <c r="H806" s="309"/>
      <c r="I806" s="306">
        <f ca="1">ROUND(G806*$C806*$G$797,0)</f>
        <v>0</v>
      </c>
      <c r="J806" s="306"/>
      <c r="K806" s="369">
        <f ca="1">K786</f>
        <v>18.526286850528336</v>
      </c>
      <c r="L806" s="309"/>
      <c r="M806" s="306">
        <f ca="1">ROUND(K806*$C806*$G$797,0)</f>
        <v>0</v>
      </c>
      <c r="N806" s="306"/>
      <c r="O806" s="369" t="str">
        <f>O786</f>
        <v xml:space="preserve"> </v>
      </c>
      <c r="P806" s="309"/>
      <c r="Q806" s="306">
        <f>ROUND(O806*$C806*$G$797,0)</f>
        <v>0</v>
      </c>
      <c r="R806" s="306"/>
      <c r="S806" s="369" t="str">
        <f>S786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>
      <c r="A807" s="294" t="s">
        <v>444</v>
      </c>
      <c r="B807" s="1"/>
      <c r="C807" s="304">
        <v>0</v>
      </c>
      <c r="D807" s="369">
        <v>14.155824964645021</v>
      </c>
      <c r="E807" s="309"/>
      <c r="F807" s="306">
        <f>ROUND(D807*C807*$D$744,0)</f>
        <v>0</v>
      </c>
      <c r="G807" s="369">
        <f ca="1">G787</f>
        <v>14.48810823397713</v>
      </c>
      <c r="H807" s="309"/>
      <c r="I807" s="306">
        <f ca="1">ROUND(G807*$C807*$G$797,0)</f>
        <v>0</v>
      </c>
      <c r="J807" s="306"/>
      <c r="K807" s="369">
        <f ca="1">K787</f>
        <v>14.48810823397713</v>
      </c>
      <c r="L807" s="309"/>
      <c r="M807" s="306">
        <f ca="1">ROUND(K807*$C807*$G$797,0)</f>
        <v>0</v>
      </c>
      <c r="N807" s="306"/>
      <c r="O807" s="369" t="str">
        <f>O787</f>
        <v xml:space="preserve"> </v>
      </c>
      <c r="P807" s="309"/>
      <c r="Q807" s="306">
        <f>ROUND(O807*$C807*$G$797,0)</f>
        <v>0</v>
      </c>
      <c r="R807" s="306"/>
      <c r="S807" s="369" t="str">
        <f>S787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>
      <c r="A808" s="294" t="s">
        <v>455</v>
      </c>
      <c r="B808" s="1"/>
      <c r="C808" s="304">
        <v>0</v>
      </c>
      <c r="D808" s="338">
        <v>78.06</v>
      </c>
      <c r="E808" s="309"/>
      <c r="F808" s="306">
        <f>ROUND(D808*C808*$D$744,0)</f>
        <v>0</v>
      </c>
      <c r="G808" s="338">
        <f ca="1">G788</f>
        <v>79.89</v>
      </c>
      <c r="H808" s="309"/>
      <c r="I808" s="306">
        <f ca="1">ROUND(G808*$C808*$G$797,0)</f>
        <v>0</v>
      </c>
      <c r="J808" s="306"/>
      <c r="K808" s="338">
        <f ca="1">K788</f>
        <v>79.89</v>
      </c>
      <c r="L808" s="309"/>
      <c r="M808" s="306">
        <f ca="1">ROUND(K808*$C808*$G$797,0)</f>
        <v>0</v>
      </c>
      <c r="N808" s="306"/>
      <c r="O808" s="338" t="str">
        <f>O788</f>
        <v xml:space="preserve"> </v>
      </c>
      <c r="P808" s="309"/>
      <c r="Q808" s="306">
        <f>ROUND(O808*$C808*$G$797,0)</f>
        <v>0</v>
      </c>
      <c r="R808" s="306"/>
      <c r="S808" s="338" t="str">
        <f>S788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>
      <c r="A809" s="294" t="s">
        <v>456</v>
      </c>
      <c r="B809" s="1"/>
      <c r="C809" s="304">
        <v>0</v>
      </c>
      <c r="D809" s="338">
        <v>156.12</v>
      </c>
      <c r="E809" s="309"/>
      <c r="F809" s="306">
        <f>ROUND(D809*C809*$D$744,0)</f>
        <v>0</v>
      </c>
      <c r="G809" s="338">
        <f ca="1">G789</f>
        <v>159.78</v>
      </c>
      <c r="H809" s="309"/>
      <c r="I809" s="306">
        <f ca="1">ROUND(G809*$C809*$G$797,0)</f>
        <v>0</v>
      </c>
      <c r="J809" s="306"/>
      <c r="K809" s="338">
        <f ca="1">K789</f>
        <v>159.78</v>
      </c>
      <c r="L809" s="309"/>
      <c r="M809" s="306">
        <f ca="1">ROUND(K809*$C809*$G$797,0)</f>
        <v>0</v>
      </c>
      <c r="N809" s="306"/>
      <c r="O809" s="338" t="str">
        <f>O789</f>
        <v xml:space="preserve"> </v>
      </c>
      <c r="P809" s="309"/>
      <c r="Q809" s="306">
        <f>ROUND(O809*$C809*$G$797,0)</f>
        <v>0</v>
      </c>
      <c r="R809" s="306"/>
      <c r="S809" s="338" t="str">
        <f>S789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>
      <c r="A811" s="294" t="s">
        <v>447</v>
      </c>
      <c r="B811" s="1"/>
      <c r="C811" s="304">
        <v>0</v>
      </c>
      <c r="D811" s="348">
        <v>-26.02</v>
      </c>
      <c r="E811" s="309"/>
      <c r="F811" s="306">
        <f>ROUND(D811*C811*$D$744,0)</f>
        <v>0</v>
      </c>
      <c r="G811" s="348">
        <f ca="1">G791</f>
        <v>-26.63</v>
      </c>
      <c r="H811" s="309"/>
      <c r="I811" s="306">
        <f ca="1">ROUND(G811*$C811*$G$797,0)</f>
        <v>0</v>
      </c>
      <c r="J811" s="306"/>
      <c r="K811" s="348">
        <f ca="1">K791</f>
        <v>-26.63</v>
      </c>
      <c r="L811" s="309"/>
      <c r="M811" s="306">
        <f ca="1">ROUND(K811*$C811*$G$797,0)</f>
        <v>0</v>
      </c>
      <c r="N811" s="306"/>
      <c r="O811" s="348">
        <f>O791</f>
        <v>0</v>
      </c>
      <c r="P811" s="309"/>
      <c r="Q811" s="306">
        <f>ROUND(O811*$C811*$G$797,0)</f>
        <v>0</v>
      </c>
      <c r="R811" s="306"/>
      <c r="S811" s="348">
        <f>S791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>
      <c r="A812" s="294" t="s">
        <v>453</v>
      </c>
      <c r="B812" s="1"/>
      <c r="C812" s="304">
        <v>0</v>
      </c>
      <c r="D812" s="348">
        <v>-26.02</v>
      </c>
      <c r="E812" s="309"/>
      <c r="F812" s="306">
        <f>ROUND(D812*C812*$D$744,0)</f>
        <v>0</v>
      </c>
      <c r="G812" s="348">
        <f ca="1">G792</f>
        <v>-26.63</v>
      </c>
      <c r="H812" s="309"/>
      <c r="I812" s="306">
        <f ca="1">ROUND(G812*$C812*$G$797,0)</f>
        <v>0</v>
      </c>
      <c r="J812" s="306"/>
      <c r="K812" s="348">
        <f ca="1">K792</f>
        <v>-26.63</v>
      </c>
      <c r="L812" s="309"/>
      <c r="M812" s="306">
        <f ca="1">ROUND(K812*$C812*$G$797,0)</f>
        <v>0</v>
      </c>
      <c r="N812" s="306"/>
      <c r="O812" s="348">
        <f>O792</f>
        <v>0</v>
      </c>
      <c r="P812" s="309"/>
      <c r="Q812" s="306">
        <f>ROUND(O812*$C812*$G$797,0)</f>
        <v>0</v>
      </c>
      <c r="R812" s="306"/>
      <c r="S812" s="348">
        <f>S792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>
      <c r="A814" s="294" t="s">
        <v>454</v>
      </c>
      <c r="B814" s="1"/>
      <c r="C814" s="304">
        <v>10034</v>
      </c>
      <c r="D814" s="370">
        <v>7.0350000000000001</v>
      </c>
      <c r="E814" s="306" t="s">
        <v>364</v>
      </c>
      <c r="F814" s="306">
        <f>ROUND(D814*C814/100*D797,0)</f>
        <v>-7</v>
      </c>
      <c r="G814" s="370">
        <f ca="1">G794</f>
        <v>7.2030000000000003</v>
      </c>
      <c r="H814" s="306" t="s">
        <v>364</v>
      </c>
      <c r="I814" s="306">
        <f ca="1">ROUND(G814/100*$C814*$G$797,0)</f>
        <v>-7</v>
      </c>
      <c r="J814" s="306"/>
      <c r="K814" s="370" t="e">
        <f ca="1">K794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O794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S794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>
      <c r="A815" s="308" t="s">
        <v>390</v>
      </c>
      <c r="B815" s="1"/>
      <c r="C815" s="304">
        <v>0</v>
      </c>
      <c r="D815" s="360">
        <v>57</v>
      </c>
      <c r="E815" s="308" t="s">
        <v>364</v>
      </c>
      <c r="F815" s="306">
        <f>ROUND(D815*C815,0)</f>
        <v>0</v>
      </c>
      <c r="G815" s="360">
        <f ca="1">G795</f>
        <v>58</v>
      </c>
      <c r="H815" s="308" t="s">
        <v>364</v>
      </c>
      <c r="I815" s="306">
        <f ca="1">ROUND(G815/100*$C815*$G$797,0)</f>
        <v>0</v>
      </c>
      <c r="J815" s="306"/>
      <c r="K815" s="360" t="str">
        <f>K795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O795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S795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>
      <c r="A816" s="308" t="s">
        <v>433</v>
      </c>
      <c r="B816" s="1"/>
      <c r="C816" s="304">
        <v>12</v>
      </c>
      <c r="D816" s="283">
        <v>60</v>
      </c>
      <c r="E816" s="1"/>
      <c r="F816" s="306">
        <f>ROUND(D816*$C816,0)</f>
        <v>720</v>
      </c>
      <c r="G816" s="283">
        <f>$G$763</f>
        <v>60</v>
      </c>
      <c r="H816" s="1"/>
      <c r="I816" s="306">
        <f>ROUND(G816*$C816,0)</f>
        <v>720</v>
      </c>
      <c r="J816" s="306"/>
      <c r="K816" s="283">
        <v>0</v>
      </c>
      <c r="L816" s="1"/>
      <c r="M816" s="306">
        <f>ROUND(K816*$C816,0)</f>
        <v>0</v>
      </c>
      <c r="N816" s="306"/>
      <c r="O816" s="283" t="e">
        <f>O763</f>
        <v>#DIV/0!</v>
      </c>
      <c r="P816" s="1"/>
      <c r="Q816" s="306" t="e">
        <f>ROUND(O816*$C816,0)</f>
        <v>#DIV/0!</v>
      </c>
      <c r="R816" s="306"/>
      <c r="S816" s="283" t="e">
        <f>S763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4">
      <c r="A817" s="308" t="s">
        <v>434</v>
      </c>
      <c r="B817" s="1"/>
      <c r="C817" s="304">
        <v>456.00326456013363</v>
      </c>
      <c r="D817" s="324">
        <v>-30</v>
      </c>
      <c r="E817" s="306" t="s">
        <v>364</v>
      </c>
      <c r="F817" s="306">
        <f>ROUND(D817*$C817/100,0)</f>
        <v>-137</v>
      </c>
      <c r="G817" s="324">
        <f>$G$764</f>
        <v>-30</v>
      </c>
      <c r="H817" s="306" t="s">
        <v>364</v>
      </c>
      <c r="I817" s="306">
        <f>ROUND(G817*$C817/100,0)</f>
        <v>-137</v>
      </c>
      <c r="J817" s="306"/>
      <c r="K817" s="324">
        <f>$G$764</f>
        <v>-30</v>
      </c>
      <c r="L817" s="306" t="s">
        <v>364</v>
      </c>
      <c r="M817" s="306">
        <f>ROUND(K817*$C817/100,0)</f>
        <v>-137</v>
      </c>
      <c r="N817" s="306"/>
      <c r="O817" s="324">
        <v>0</v>
      </c>
      <c r="P817" s="306" t="s">
        <v>364</v>
      </c>
      <c r="Q817" s="306">
        <f>ROUND(O817*$C817/100,0)</f>
        <v>0</v>
      </c>
      <c r="R817" s="306"/>
      <c r="S817" s="324"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4" s="1118" customFormat="1">
      <c r="A818" s="968" t="s">
        <v>872</v>
      </c>
      <c r="C818" s="1122">
        <f>C814</f>
        <v>10034</v>
      </c>
      <c r="D818" s="1423">
        <v>0</v>
      </c>
      <c r="E818" s="1119"/>
      <c r="F818" s="1123"/>
      <c r="G818" s="1128">
        <f>G765</f>
        <v>0</v>
      </c>
      <c r="H818" s="1000" t="s">
        <v>364</v>
      </c>
      <c r="I818" s="306">
        <f>ROUND(G818/100*$C818*$G$797,0)</f>
        <v>0</v>
      </c>
      <c r="J818" s="306"/>
      <c r="K818" s="1128" t="str">
        <f>K765</f>
        <v xml:space="preserve"> </v>
      </c>
      <c r="L818" s="1000" t="s">
        <v>364</v>
      </c>
      <c r="M818" s="306">
        <f>ROUND(K818/100*$C818*$G$797,0)</f>
        <v>0</v>
      </c>
      <c r="N818" s="306"/>
      <c r="O818" s="1128" t="str">
        <f>O765</f>
        <v xml:space="preserve"> </v>
      </c>
      <c r="P818" s="1000" t="s">
        <v>364</v>
      </c>
      <c r="Q818" s="306">
        <f>ROUND(O818/100*$C818*$G$797,0)</f>
        <v>0</v>
      </c>
      <c r="R818" s="306"/>
      <c r="S818" s="1128">
        <f>S765</f>
        <v>0</v>
      </c>
      <c r="T818" s="1000" t="s">
        <v>364</v>
      </c>
      <c r="U818" s="306">
        <f>ROUND(S818/100*$C818*$G$797,0)</f>
        <v>0</v>
      </c>
      <c r="W818" s="784"/>
      <c r="Z818" s="1125"/>
      <c r="AA818" s="1125"/>
      <c r="AF818" s="1119"/>
      <c r="AG818" s="1119"/>
      <c r="AH818" s="1119"/>
      <c r="AI818" s="1119"/>
      <c r="AJ818" s="1119"/>
      <c r="AK818" s="1119"/>
      <c r="AL818" s="1119"/>
      <c r="AM818" s="1119"/>
      <c r="AN818" s="1119"/>
      <c r="AO818" s="1119"/>
      <c r="AP818" s="1119"/>
      <c r="AR818" s="1124"/>
    </row>
    <row r="819" spans="1:44">
      <c r="A819" s="1" t="s">
        <v>371</v>
      </c>
      <c r="B819" s="1"/>
      <c r="C819" s="304">
        <f>SUM(C794:C794)</f>
        <v>110142584.89494899</v>
      </c>
      <c r="D819" s="315"/>
      <c r="E819" s="308"/>
      <c r="F819" s="2">
        <f>SUM(F774:F817)</f>
        <v>9699230</v>
      </c>
      <c r="G819" s="315"/>
      <c r="H819" s="308"/>
      <c r="I819" s="2">
        <f ca="1">SUM(I774:I818)</f>
        <v>9929958</v>
      </c>
      <c r="J819" s="2"/>
      <c r="K819" s="315"/>
      <c r="L819" s="308"/>
      <c r="M819" s="2" t="e">
        <f ca="1">SUM(M774:M818)</f>
        <v>#REF!</v>
      </c>
      <c r="N819" s="2"/>
      <c r="O819" s="315"/>
      <c r="P819" s="308"/>
      <c r="Q819" s="2" t="e">
        <f ca="1">SUM(Q774:Q818)</f>
        <v>#DIV/0!</v>
      </c>
      <c r="R819" s="2"/>
      <c r="S819" s="315"/>
      <c r="T819" s="308"/>
      <c r="U819" s="2" t="e">
        <f ca="1">SUM(U774:U818)</f>
        <v>#DIV/0!</v>
      </c>
      <c r="V819" s="20"/>
      <c r="W819" s="74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4">
      <c r="A820" s="1" t="s">
        <v>353</v>
      </c>
      <c r="B820" s="1"/>
      <c r="C820" s="334">
        <f ca="1">'Table 2'!H101</f>
        <v>1885731.2072950637</v>
      </c>
      <c r="D820" s="294"/>
      <c r="E820" s="294"/>
      <c r="F820" s="295">
        <f ca="1">'Table 3'!E101</f>
        <v>142267.21150160185</v>
      </c>
      <c r="G820" s="294"/>
      <c r="H820" s="294"/>
      <c r="I820" s="295">
        <f ca="1">F820</f>
        <v>142267.21150160185</v>
      </c>
      <c r="J820" s="51"/>
      <c r="K820" s="294"/>
      <c r="L820" s="294"/>
      <c r="M820" s="295" t="e">
        <f ca="1">$I$820*V876/($V$876+$W$876+$X$876)</f>
        <v>#DIV/0!</v>
      </c>
      <c r="N820" s="51"/>
      <c r="O820" s="294"/>
      <c r="P820" s="294"/>
      <c r="Q820" s="295" t="e">
        <f ca="1">$I$820*W876/($V$876+$W$876+$X$876)</f>
        <v>#DIV/0!</v>
      </c>
      <c r="R820" s="51"/>
      <c r="S820" s="294"/>
      <c r="T820" s="294"/>
      <c r="U820" s="295" t="e">
        <f ca="1">$I$820*X876/($V$876+$W$876+$X$876)</f>
        <v>#DIV/0!</v>
      </c>
      <c r="V820" s="429"/>
      <c r="W820" s="272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4" ht="16.5" thickBot="1">
      <c r="A821" s="1" t="s">
        <v>372</v>
      </c>
      <c r="B821" s="1"/>
      <c r="C821" s="351">
        <f ca="1">SUM(C819:C820)</f>
        <v>112028316.10224405</v>
      </c>
      <c r="D821" s="327"/>
      <c r="E821" s="330"/>
      <c r="F821" s="329">
        <f ca="1">F819+F820</f>
        <v>9841497.2115016021</v>
      </c>
      <c r="G821" s="327"/>
      <c r="H821" s="330"/>
      <c r="I821" s="329">
        <f ca="1">I819+I820</f>
        <v>10072225.211501602</v>
      </c>
      <c r="J821" s="307"/>
      <c r="K821" s="327"/>
      <c r="L821" s="330"/>
      <c r="M821" s="329" t="e">
        <f ca="1">M819+M820</f>
        <v>#REF!</v>
      </c>
      <c r="N821" s="329"/>
      <c r="O821" s="327"/>
      <c r="P821" s="330"/>
      <c r="Q821" s="329" t="e">
        <f ca="1">Q819+Q820</f>
        <v>#DIV/0!</v>
      </c>
      <c r="R821" s="329"/>
      <c r="S821" s="327"/>
      <c r="T821" s="330"/>
      <c r="U821" s="329" t="e">
        <f ca="1">U819+U820</f>
        <v>#DIV/0!</v>
      </c>
      <c r="V821" s="396"/>
      <c r="W821" s="455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4" ht="16.5" thickTop="1">
      <c r="A822" s="1"/>
      <c r="B822" s="1"/>
      <c r="C822" s="26"/>
      <c r="D822" s="336" t="s">
        <v>31</v>
      </c>
      <c r="E822" s="23"/>
      <c r="F822" s="307"/>
      <c r="G822" s="371" t="s">
        <v>31</v>
      </c>
      <c r="H822" s="23"/>
      <c r="I822" s="257" t="s">
        <v>31</v>
      </c>
      <c r="J822" s="257"/>
      <c r="K822" s="371" t="s">
        <v>31</v>
      </c>
      <c r="L822" s="23"/>
      <c r="M822" s="257" t="s">
        <v>31</v>
      </c>
      <c r="N822" s="257"/>
      <c r="O822" s="371" t="s">
        <v>31</v>
      </c>
      <c r="P822" s="23"/>
      <c r="Q822" s="257" t="s">
        <v>31</v>
      </c>
      <c r="R822" s="257"/>
      <c r="S822" s="371" t="s">
        <v>31</v>
      </c>
      <c r="T822" s="23"/>
      <c r="U822" s="257" t="s">
        <v>31</v>
      </c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4">
      <c r="A823" s="278" t="s">
        <v>457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4">
      <c r="A824" s="294" t="s">
        <v>458</v>
      </c>
      <c r="B824" s="1"/>
      <c r="C824" s="21"/>
      <c r="D824" s="322"/>
      <c r="E824" s="1"/>
      <c r="F824" s="2"/>
      <c r="G824" s="322"/>
      <c r="H824" s="1"/>
      <c r="I824" s="2"/>
      <c r="J824" s="2"/>
      <c r="K824" s="322"/>
      <c r="L824" s="1"/>
      <c r="M824" s="2"/>
      <c r="N824" s="2"/>
      <c r="O824" s="322"/>
      <c r="P824" s="1"/>
      <c r="Q824" s="2"/>
      <c r="R824" s="2"/>
      <c r="S824" s="322"/>
      <c r="T824" s="1"/>
      <c r="U824" s="2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4">
      <c r="A825" s="308"/>
      <c r="B825" s="1"/>
      <c r="C825" s="21"/>
      <c r="D825" s="322"/>
      <c r="E825" s="1"/>
      <c r="F825" s="365"/>
      <c r="G825" s="322"/>
      <c r="H825" s="1"/>
      <c r="I825" s="366"/>
      <c r="J825" s="366"/>
      <c r="K825" s="322"/>
      <c r="L825" s="1"/>
      <c r="M825" s="366"/>
      <c r="N825" s="366"/>
      <c r="O825" s="322"/>
      <c r="P825" s="1"/>
      <c r="Q825" s="366"/>
      <c r="R825" s="366"/>
      <c r="S825" s="322"/>
      <c r="T825" s="1"/>
      <c r="U825" s="366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4">
      <c r="A826" s="294" t="s">
        <v>439</v>
      </c>
      <c r="B826" s="1"/>
      <c r="C826" s="304"/>
      <c r="D826" s="2" t="s">
        <v>31</v>
      </c>
      <c r="E826" s="1"/>
      <c r="F826" s="1"/>
      <c r="G826" s="2" t="s">
        <v>31</v>
      </c>
      <c r="H826" s="1"/>
      <c r="I826" s="1"/>
      <c r="J826" s="1"/>
      <c r="K826" s="2" t="s">
        <v>31</v>
      </c>
      <c r="L826" s="1"/>
      <c r="M826" s="1"/>
      <c r="N826" s="1"/>
      <c r="O826" s="2" t="s">
        <v>31</v>
      </c>
      <c r="P826" s="1"/>
      <c r="Q826" s="1"/>
      <c r="R826" s="1"/>
      <c r="S826" s="2" t="s">
        <v>31</v>
      </c>
      <c r="T826" s="1"/>
      <c r="U826" s="1"/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4">
      <c r="A827" s="294" t="s">
        <v>440</v>
      </c>
      <c r="B827" s="1"/>
      <c r="C827" s="304">
        <v>434.48258292673</v>
      </c>
      <c r="D827" s="322">
        <v>0</v>
      </c>
      <c r="E827" s="309"/>
      <c r="F827" s="306">
        <f>ROUND(D827*C827,0)</f>
        <v>0</v>
      </c>
      <c r="G827" s="322">
        <f>$G$720</f>
        <v>0</v>
      </c>
      <c r="H827" s="309"/>
      <c r="I827" s="306">
        <f>ROUND(G827*$C827,0)</f>
        <v>0</v>
      </c>
      <c r="J827" s="306"/>
      <c r="K827" s="322">
        <f>$K$720</f>
        <v>0</v>
      </c>
      <c r="L827" s="309"/>
      <c r="M827" s="306">
        <f>ROUND(K827*$C827,0)</f>
        <v>0</v>
      </c>
      <c r="N827" s="306"/>
      <c r="O827" s="322" t="str">
        <f>$O$720</f>
        <v xml:space="preserve"> </v>
      </c>
      <c r="P827" s="309"/>
      <c r="Q827" s="306">
        <f>ROUND(O827*$C827,0)</f>
        <v>0</v>
      </c>
      <c r="R827" s="306"/>
      <c r="S827" s="322" t="str">
        <f>$S$720</f>
        <v xml:space="preserve"> </v>
      </c>
      <c r="T827" s="309"/>
      <c r="U827" s="306">
        <f>ROUND(S827*$C827,0)</f>
        <v>0</v>
      </c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4">
      <c r="A828" s="294" t="s">
        <v>441</v>
      </c>
      <c r="B828" s="1"/>
      <c r="C828" s="304"/>
      <c r="D828" s="322"/>
      <c r="E828" s="309"/>
      <c r="F828" s="306"/>
      <c r="G828" s="322"/>
      <c r="H828" s="309"/>
      <c r="I828" s="306"/>
      <c r="J828" s="306"/>
      <c r="K828" s="322"/>
      <c r="L828" s="309"/>
      <c r="M828" s="306"/>
      <c r="N828" s="306"/>
      <c r="O828" s="322"/>
      <c r="P828" s="309"/>
      <c r="Q828" s="306"/>
      <c r="R828" s="306"/>
      <c r="S828" s="322"/>
      <c r="T828" s="309"/>
      <c r="U828" s="306"/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4">
      <c r="A829" s="294" t="s">
        <v>442</v>
      </c>
      <c r="B829" s="1"/>
      <c r="C829" s="304">
        <v>1120.6084940984899</v>
      </c>
      <c r="D829" s="322">
        <v>0</v>
      </c>
      <c r="E829" s="309"/>
      <c r="F829" s="306">
        <f>ROUND(D829*C829,0)</f>
        <v>0</v>
      </c>
      <c r="G829" s="322">
        <f>$G$722</f>
        <v>0</v>
      </c>
      <c r="H829" s="309"/>
      <c r="I829" s="306">
        <f>ROUND(G829*$C829,0)</f>
        <v>0</v>
      </c>
      <c r="J829" s="306"/>
      <c r="K829" s="322">
        <f>$K$722</f>
        <v>0</v>
      </c>
      <c r="L829" s="309"/>
      <c r="M829" s="306">
        <f>ROUND(K829*$C829,0)</f>
        <v>0</v>
      </c>
      <c r="N829" s="306"/>
      <c r="O829" s="322" t="str">
        <f>$O$722</f>
        <v xml:space="preserve"> </v>
      </c>
      <c r="P829" s="309"/>
      <c r="Q829" s="306">
        <f>ROUND(O829*$C829,0)</f>
        <v>0</v>
      </c>
      <c r="R829" s="306"/>
      <c r="S829" s="322" t="str">
        <f>$S$722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4">
      <c r="A830" s="294" t="s">
        <v>443</v>
      </c>
      <c r="B830" s="1"/>
      <c r="C830" s="304">
        <v>116.7917084633</v>
      </c>
      <c r="D830" s="322">
        <v>370</v>
      </c>
      <c r="E830" s="309"/>
      <c r="F830" s="306">
        <f>ROUND(D830*C830,0)</f>
        <v>43213</v>
      </c>
      <c r="G830" s="322">
        <f ca="1">$G$723</f>
        <v>379</v>
      </c>
      <c r="H830" s="309"/>
      <c r="I830" s="306">
        <f ca="1">ROUND(G830*$C830,0)</f>
        <v>44264</v>
      </c>
      <c r="J830" s="306"/>
      <c r="K830" s="322">
        <f ca="1">$K$723</f>
        <v>379</v>
      </c>
      <c r="L830" s="309"/>
      <c r="M830" s="306">
        <f ca="1">ROUND(K830*$C830,0)</f>
        <v>44264</v>
      </c>
      <c r="N830" s="306"/>
      <c r="O830" s="322" t="str">
        <f>$O$723</f>
        <v xml:space="preserve"> </v>
      </c>
      <c r="P830" s="309"/>
      <c r="Q830" s="306">
        <f>ROUND(O830*$C830,0)</f>
        <v>0</v>
      </c>
      <c r="R830" s="306"/>
      <c r="S830" s="322" t="str">
        <f>$S$723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4">
      <c r="A831" s="294" t="s">
        <v>444</v>
      </c>
      <c r="B831" s="1"/>
      <c r="C831" s="304">
        <v>2.3342464038064201</v>
      </c>
      <c r="D831" s="322">
        <v>1504</v>
      </c>
      <c r="E831" s="309"/>
      <c r="F831" s="306">
        <f>ROUND(D831*C831,0)</f>
        <v>3511</v>
      </c>
      <c r="G831" s="322">
        <f ca="1">$G$724</f>
        <v>1539</v>
      </c>
      <c r="H831" s="309"/>
      <c r="I831" s="306">
        <f ca="1">ROUND(G831*$C831,0)</f>
        <v>3592</v>
      </c>
      <c r="J831" s="306"/>
      <c r="K831" s="322">
        <f ca="1">$K$724</f>
        <v>1539</v>
      </c>
      <c r="L831" s="309"/>
      <c r="M831" s="306">
        <f ca="1">ROUND(K831*$C831,0)</f>
        <v>3592</v>
      </c>
      <c r="N831" s="306"/>
      <c r="O831" s="322" t="str">
        <f>$O$724</f>
        <v xml:space="preserve"> </v>
      </c>
      <c r="P831" s="309"/>
      <c r="Q831" s="306">
        <f>ROUND(O831*$C831,0)</f>
        <v>0</v>
      </c>
      <c r="R831" s="306"/>
      <c r="S831" s="322" t="str">
        <f>$S$724</f>
        <v xml:space="preserve"> </v>
      </c>
      <c r="T831" s="309"/>
      <c r="U831" s="306">
        <f>ROUND(S831*$C831,0)</f>
        <v>0</v>
      </c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4">
      <c r="A832" s="294" t="s">
        <v>352</v>
      </c>
      <c r="B832" s="1"/>
      <c r="C832" s="304">
        <f>SUM(C827:C831)</f>
        <v>1674.2170318923263</v>
      </c>
      <c r="D832" s="322"/>
      <c r="E832" s="309"/>
      <c r="F832" s="306"/>
      <c r="G832" s="322"/>
      <c r="H832" s="309"/>
      <c r="I832" s="306"/>
      <c r="J832" s="306"/>
      <c r="K832" s="322"/>
      <c r="L832" s="309"/>
      <c r="M832" s="306"/>
      <c r="N832" s="306"/>
      <c r="O832" s="322"/>
      <c r="P832" s="309"/>
      <c r="Q832" s="306"/>
      <c r="R832" s="306"/>
      <c r="S832" s="322"/>
      <c r="T832" s="309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2">
      <c r="A833" s="294" t="s">
        <v>445</v>
      </c>
      <c r="B833" s="1"/>
      <c r="C833" s="304">
        <v>12986.161111111121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2">
      <c r="A834" s="294" t="s">
        <v>104</v>
      </c>
      <c r="B834" s="1"/>
      <c r="C834" s="304">
        <v>2055</v>
      </c>
      <c r="D834" s="322"/>
      <c r="E834" s="306"/>
      <c r="F834" s="306"/>
      <c r="G834" s="322"/>
      <c r="H834" s="306"/>
      <c r="I834" s="306"/>
      <c r="J834" s="306"/>
      <c r="K834" s="322"/>
      <c r="L834" s="306"/>
      <c r="M834" s="306"/>
      <c r="N834" s="306"/>
      <c r="O834" s="322"/>
      <c r="P834" s="306"/>
      <c r="Q834" s="306"/>
      <c r="R834" s="306"/>
      <c r="S834" s="322"/>
      <c r="T834" s="306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2">
      <c r="A835" s="294" t="s">
        <v>446</v>
      </c>
      <c r="B835" s="1"/>
      <c r="C835" s="304"/>
      <c r="D835" s="322"/>
      <c r="E835" s="309"/>
      <c r="F835" s="306"/>
      <c r="G835" s="322"/>
      <c r="H835" s="309"/>
      <c r="I835" s="306"/>
      <c r="J835" s="306"/>
      <c r="K835" s="322"/>
      <c r="L835" s="309"/>
      <c r="M835" s="306"/>
      <c r="N835" s="306"/>
      <c r="O835" s="322"/>
      <c r="P835" s="309"/>
      <c r="Q835" s="306"/>
      <c r="R835" s="306"/>
      <c r="S835" s="322"/>
      <c r="T835" s="309"/>
      <c r="U835" s="306"/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2">
      <c r="A836" s="294" t="s">
        <v>447</v>
      </c>
      <c r="B836" s="1"/>
      <c r="C836" s="304">
        <v>1124.0429012132199</v>
      </c>
      <c r="D836" s="322">
        <v>26.02</v>
      </c>
      <c r="E836" s="309"/>
      <c r="F836" s="306">
        <f>ROUND(D836*C836,0)</f>
        <v>29248</v>
      </c>
      <c r="G836" s="322">
        <f ca="1">$G$729</f>
        <v>26.63</v>
      </c>
      <c r="H836" s="309"/>
      <c r="I836" s="306">
        <f ca="1">ROUND(G836*$C836,0)</f>
        <v>29933</v>
      </c>
      <c r="J836" s="306"/>
      <c r="K836" s="322">
        <f ca="1">$K$729</f>
        <v>26.63</v>
      </c>
      <c r="L836" s="309"/>
      <c r="M836" s="306">
        <f ca="1">ROUND(K836*$C836,0)</f>
        <v>29933</v>
      </c>
      <c r="N836" s="306"/>
      <c r="O836" s="322" t="str">
        <f>$O$729</f>
        <v xml:space="preserve"> </v>
      </c>
      <c r="P836" s="309"/>
      <c r="Q836" s="306">
        <f>ROUND(O836*$C836,0)</f>
        <v>0</v>
      </c>
      <c r="R836" s="306"/>
      <c r="S836" s="322" t="str">
        <f>$S$729</f>
        <v xml:space="preserve"> </v>
      </c>
      <c r="T836" s="309"/>
      <c r="U836" s="306">
        <f>ROUND(S836*$C836,0)</f>
        <v>0</v>
      </c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2">
      <c r="A837" s="294" t="s">
        <v>448</v>
      </c>
      <c r="B837" s="1"/>
      <c r="C837" s="304"/>
      <c r="D837" s="322"/>
      <c r="E837" s="309"/>
      <c r="F837" s="306"/>
      <c r="G837" s="322"/>
      <c r="H837" s="309"/>
      <c r="I837" s="306"/>
      <c r="J837" s="306"/>
      <c r="K837" s="322"/>
      <c r="L837" s="309"/>
      <c r="M837" s="306"/>
      <c r="N837" s="306"/>
      <c r="O837" s="322"/>
      <c r="P837" s="309"/>
      <c r="Q837" s="306"/>
      <c r="R837" s="306"/>
      <c r="S837" s="322"/>
      <c r="T837" s="309"/>
      <c r="U837" s="306"/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2">
      <c r="A838" s="294" t="s">
        <v>442</v>
      </c>
      <c r="B838" s="1"/>
      <c r="C838" s="304">
        <v>13343.474759320199</v>
      </c>
      <c r="D838" s="322">
        <v>26.02</v>
      </c>
      <c r="E838" s="309"/>
      <c r="F838" s="306">
        <f>ROUND(D838*C838,0)</f>
        <v>347197</v>
      </c>
      <c r="G838" s="322">
        <f ca="1">$G$731</f>
        <v>26.63</v>
      </c>
      <c r="H838" s="309"/>
      <c r="I838" s="306">
        <f ca="1">ROUND(G838*$C838,0)</f>
        <v>355337</v>
      </c>
      <c r="J838" s="306"/>
      <c r="K838" s="322">
        <f ca="1">$K$731</f>
        <v>26.63</v>
      </c>
      <c r="L838" s="309"/>
      <c r="M838" s="306">
        <f ca="1">ROUND(K838*$C838,0)</f>
        <v>355337</v>
      </c>
      <c r="N838" s="306"/>
      <c r="O838" s="322" t="str">
        <f>$O$731</f>
        <v xml:space="preserve"> </v>
      </c>
      <c r="P838" s="309"/>
      <c r="Q838" s="306">
        <f>ROUND(O838*$C838,0)</f>
        <v>0</v>
      </c>
      <c r="R838" s="306"/>
      <c r="S838" s="322" t="str">
        <f>$S$731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2">
      <c r="A839" s="294" t="s">
        <v>443</v>
      </c>
      <c r="B839" s="1"/>
      <c r="C839" s="304">
        <v>11633.663662691</v>
      </c>
      <c r="D839" s="322">
        <v>18.101388370764003</v>
      </c>
      <c r="E839" s="309"/>
      <c r="F839" s="306">
        <f>ROUND(D839*C839,0)</f>
        <v>210585</v>
      </c>
      <c r="G839" s="322">
        <f ca="1">$G$732</f>
        <v>18.526286850528336</v>
      </c>
      <c r="H839" s="309"/>
      <c r="I839" s="306">
        <f ca="1">ROUND(G839*$C839,0)</f>
        <v>215529</v>
      </c>
      <c r="J839" s="306"/>
      <c r="K839" s="322">
        <f ca="1">$K$732</f>
        <v>18.526286850528336</v>
      </c>
      <c r="L839" s="309"/>
      <c r="M839" s="306">
        <f ca="1">ROUND(K839*$C839,0)</f>
        <v>215529</v>
      </c>
      <c r="N839" s="306"/>
      <c r="O839" s="322" t="str">
        <f>$O$732</f>
        <v xml:space="preserve"> </v>
      </c>
      <c r="P839" s="309"/>
      <c r="Q839" s="306">
        <f>ROUND(O839*$C839,0)</f>
        <v>0</v>
      </c>
      <c r="R839" s="306"/>
      <c r="S839" s="322" t="str">
        <f>$S$732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2">
      <c r="A840" s="294" t="s">
        <v>444</v>
      </c>
      <c r="B840" s="1"/>
      <c r="C840" s="304">
        <v>854.37523643290297</v>
      </c>
      <c r="D840" s="322">
        <v>14.155824964645021</v>
      </c>
      <c r="E840" s="309"/>
      <c r="F840" s="306">
        <f>ROUND(D840*C840,0)</f>
        <v>12094</v>
      </c>
      <c r="G840" s="322">
        <f ca="1">$G$733</f>
        <v>14.48810823397713</v>
      </c>
      <c r="H840" s="309"/>
      <c r="I840" s="306">
        <f ca="1">ROUND(G840*$C840,0)</f>
        <v>12378</v>
      </c>
      <c r="J840" s="306"/>
      <c r="K840" s="322">
        <f ca="1">$K$733</f>
        <v>14.48810823397713</v>
      </c>
      <c r="L840" s="309"/>
      <c r="M840" s="306">
        <f ca="1">ROUND(K840*$C840,0)</f>
        <v>12378</v>
      </c>
      <c r="N840" s="306"/>
      <c r="O840" s="322" t="str">
        <f>$O$733</f>
        <v xml:space="preserve"> </v>
      </c>
      <c r="P840" s="309"/>
      <c r="Q840" s="306">
        <f>ROUND(O840*$C840,0)</f>
        <v>0</v>
      </c>
      <c r="R840" s="306"/>
      <c r="S840" s="322" t="str">
        <f>$S$733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2">
      <c r="A841" s="294" t="s">
        <v>450</v>
      </c>
      <c r="B841" s="1"/>
      <c r="C841" s="304">
        <v>272.36067141268398</v>
      </c>
      <c r="D841" s="322">
        <v>78.06</v>
      </c>
      <c r="E841" s="309"/>
      <c r="F841" s="306">
        <f>ROUND(D841*C841,0)</f>
        <v>21260</v>
      </c>
      <c r="G841" s="322">
        <f ca="1">$G$734</f>
        <v>79.89</v>
      </c>
      <c r="H841" s="309"/>
      <c r="I841" s="306">
        <f ca="1">ROUND(G841*$C841,0)</f>
        <v>21759</v>
      </c>
      <c r="J841" s="306"/>
      <c r="K841" s="322">
        <f ca="1">$K$734</f>
        <v>79.89</v>
      </c>
      <c r="L841" s="309"/>
      <c r="M841" s="306">
        <f ca="1">ROUND(K841*$C841,0)</f>
        <v>21759</v>
      </c>
      <c r="N841" s="306"/>
      <c r="O841" s="322" t="str">
        <f>$O$734</f>
        <v xml:space="preserve"> </v>
      </c>
      <c r="P841" s="309"/>
      <c r="Q841" s="306">
        <f>ROUND(O841*$C841,0)</f>
        <v>0</v>
      </c>
      <c r="R841" s="306"/>
      <c r="S841" s="322" t="str">
        <f>$S$734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2">
      <c r="A842" s="294" t="s">
        <v>451</v>
      </c>
      <c r="B842" s="1"/>
      <c r="C842" s="304">
        <v>388.32518925146098</v>
      </c>
      <c r="D842" s="322">
        <v>156.12</v>
      </c>
      <c r="E842" s="309"/>
      <c r="F842" s="306">
        <f>ROUND(D842*C842,0)</f>
        <v>60625</v>
      </c>
      <c r="G842" s="322">
        <f ca="1">$G$735</f>
        <v>159.78</v>
      </c>
      <c r="H842" s="309"/>
      <c r="I842" s="306">
        <f ca="1">ROUND(G842*$C842,0)</f>
        <v>62047</v>
      </c>
      <c r="J842" s="306"/>
      <c r="K842" s="322">
        <f ca="1">$K$735</f>
        <v>159.78</v>
      </c>
      <c r="L842" s="309"/>
      <c r="M842" s="306">
        <f ca="1">ROUND(K842*$C842,0)</f>
        <v>62047</v>
      </c>
      <c r="N842" s="306"/>
      <c r="O842" s="322" t="str">
        <f>$O$735</f>
        <v xml:space="preserve"> </v>
      </c>
      <c r="P842" s="309"/>
      <c r="Q842" s="306">
        <f>ROUND(O842*$C842,0)</f>
        <v>0</v>
      </c>
      <c r="R842" s="306"/>
      <c r="S842" s="322" t="str">
        <f>$S$735</f>
        <v xml:space="preserve"> </v>
      </c>
      <c r="T842" s="309"/>
      <c r="U842" s="306">
        <f>ROUND(S842*$C842,0)</f>
        <v>0</v>
      </c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2">
      <c r="A843" s="294" t="s">
        <v>452</v>
      </c>
      <c r="B843" s="1"/>
      <c r="C843" s="304"/>
      <c r="D843" s="322"/>
      <c r="E843" s="309"/>
      <c r="F843" s="306"/>
      <c r="G843" s="322"/>
      <c r="H843" s="309"/>
      <c r="I843" s="306"/>
      <c r="J843" s="306"/>
      <c r="K843" s="322"/>
      <c r="L843" s="309"/>
      <c r="M843" s="306"/>
      <c r="N843" s="306"/>
      <c r="O843" s="322"/>
      <c r="P843" s="309"/>
      <c r="Q843" s="306"/>
      <c r="R843" s="306"/>
      <c r="S843" s="322"/>
      <c r="T843" s="309"/>
      <c r="U843" s="306"/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2">
      <c r="A844" s="294" t="s">
        <v>447</v>
      </c>
      <c r="B844" s="1"/>
      <c r="C844" s="304">
        <v>26.1506861099434</v>
      </c>
      <c r="D844" s="348">
        <v>-26.02</v>
      </c>
      <c r="E844" s="309"/>
      <c r="F844" s="306">
        <f>ROUND(D844*C844,0)</f>
        <v>-680</v>
      </c>
      <c r="G844" s="348">
        <f ca="1">-G836</f>
        <v>-26.63</v>
      </c>
      <c r="H844" s="309"/>
      <c r="I844" s="306">
        <f ca="1">ROUND(G844*$C844,0)</f>
        <v>-696</v>
      </c>
      <c r="J844" s="306"/>
      <c r="K844" s="348">
        <f ca="1">-K836</f>
        <v>-26.63</v>
      </c>
      <c r="L844" s="309"/>
      <c r="M844" s="306">
        <f ca="1">ROUND(K844*$C844,0)</f>
        <v>-696</v>
      </c>
      <c r="N844" s="306"/>
      <c r="O844" s="348">
        <f>-O836</f>
        <v>0</v>
      </c>
      <c r="P844" s="309"/>
      <c r="Q844" s="306">
        <f>ROUND(O844*$C844,0)</f>
        <v>0</v>
      </c>
      <c r="R844" s="306"/>
      <c r="S844" s="348">
        <f>-S836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2">
      <c r="A845" s="294" t="s">
        <v>453</v>
      </c>
      <c r="B845" s="1"/>
      <c r="C845" s="304">
        <v>193.01451727485201</v>
      </c>
      <c r="D845" s="348">
        <v>-26.02</v>
      </c>
      <c r="E845" s="309"/>
      <c r="F845" s="306">
        <f>ROUND(D845*C845,0)</f>
        <v>-5022</v>
      </c>
      <c r="G845" s="348">
        <f ca="1">-G838</f>
        <v>-26.63</v>
      </c>
      <c r="H845" s="309"/>
      <c r="I845" s="306">
        <f ca="1">ROUND(G845*$C845,0)</f>
        <v>-5140</v>
      </c>
      <c r="J845" s="306"/>
      <c r="K845" s="348">
        <f ca="1">-K838</f>
        <v>-26.63</v>
      </c>
      <c r="L845" s="309"/>
      <c r="M845" s="306">
        <f ca="1">ROUND(K845*$C845,0)</f>
        <v>-5140</v>
      </c>
      <c r="N845" s="306"/>
      <c r="O845" s="348">
        <f>-O838</f>
        <v>0</v>
      </c>
      <c r="P845" s="309"/>
      <c r="Q845" s="306">
        <f>ROUND(O845*$C845,0)</f>
        <v>0</v>
      </c>
      <c r="R845" s="306"/>
      <c r="S845" s="348">
        <f>-S838</f>
        <v>0</v>
      </c>
      <c r="T845" s="309"/>
      <c r="U845" s="306">
        <f>ROUND(S845*$C845,0)</f>
        <v>0</v>
      </c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2">
      <c r="A846" s="308" t="s">
        <v>416</v>
      </c>
      <c r="B846" s="1"/>
      <c r="C846" s="304"/>
      <c r="D846" s="322"/>
      <c r="E846" s="306"/>
      <c r="F846" s="306"/>
      <c r="G846" s="322"/>
      <c r="H846" s="306"/>
      <c r="I846" s="306"/>
      <c r="J846" s="306"/>
      <c r="K846" s="322"/>
      <c r="L846" s="306"/>
      <c r="M846" s="306"/>
      <c r="N846" s="306"/>
      <c r="O846" s="322"/>
      <c r="P846" s="306"/>
      <c r="Q846" s="306"/>
      <c r="R846" s="306"/>
      <c r="S846" s="322"/>
      <c r="T846" s="306"/>
      <c r="U846" s="306"/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2">
      <c r="A847" s="294" t="s">
        <v>454</v>
      </c>
      <c r="B847" s="1"/>
      <c r="C847" s="304">
        <v>48181287</v>
      </c>
      <c r="D847" s="367">
        <v>7.0350000000000001</v>
      </c>
      <c r="E847" s="306" t="s">
        <v>364</v>
      </c>
      <c r="F847" s="306">
        <f>ROUND(D847/100*C847,0)</f>
        <v>3389554</v>
      </c>
      <c r="G847" s="367">
        <f ca="1">$G$740</f>
        <v>7.2030000000000003</v>
      </c>
      <c r="H847" s="306" t="s">
        <v>364</v>
      </c>
      <c r="I847" s="306">
        <f ca="1">ROUND(G847/100*$C847,0)</f>
        <v>3470498</v>
      </c>
      <c r="J847" s="306"/>
      <c r="K847" s="367" t="e">
        <f ca="1">$K$740</f>
        <v>#REF!</v>
      </c>
      <c r="L847" s="306" t="s">
        <v>364</v>
      </c>
      <c r="M847" s="306" t="e">
        <f ca="1">ROUND(K847/100*$C847,0)</f>
        <v>#REF!</v>
      </c>
      <c r="N847" s="306"/>
      <c r="O847" s="367" t="e">
        <f ca="1">$O$740</f>
        <v>#DIV/0!</v>
      </c>
      <c r="P847" s="306" t="s">
        <v>364</v>
      </c>
      <c r="Q847" s="306" t="e">
        <f ca="1">ROUND(O847/100*$C847,0)</f>
        <v>#DIV/0!</v>
      </c>
      <c r="R847" s="306"/>
      <c r="S847" s="367" t="e">
        <f ca="1">$S$740</f>
        <v>#DIV/0!</v>
      </c>
      <c r="T847" s="306" t="s">
        <v>364</v>
      </c>
      <c r="U847" s="306" t="e">
        <f ca="1">ROUND(S847/100*$C847,0)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2">
      <c r="A848" s="308" t="s">
        <v>390</v>
      </c>
      <c r="B848" s="1"/>
      <c r="C848" s="304">
        <v>16797</v>
      </c>
      <c r="D848" s="324">
        <v>57</v>
      </c>
      <c r="E848" s="308" t="s">
        <v>364</v>
      </c>
      <c r="F848" s="306">
        <f>ROUND(D848*C848/100,0)</f>
        <v>9574</v>
      </c>
      <c r="G848" s="324">
        <f ca="1">$G$741</f>
        <v>58</v>
      </c>
      <c r="H848" s="308" t="s">
        <v>364</v>
      </c>
      <c r="I848" s="306">
        <f ca="1">ROUND(G848*$C848/100,0)</f>
        <v>9742</v>
      </c>
      <c r="J848" s="306"/>
      <c r="K848" s="324" t="str">
        <f>$K$741</f>
        <v xml:space="preserve"> </v>
      </c>
      <c r="L848" s="308" t="s">
        <v>364</v>
      </c>
      <c r="M848" s="306">
        <f>ROUND(K848*$C848/100,0)</f>
        <v>0</v>
      </c>
      <c r="N848" s="306"/>
      <c r="O848" s="324" t="e">
        <f ca="1">$O$741</f>
        <v>#DIV/0!</v>
      </c>
      <c r="P848" s="308" t="s">
        <v>364</v>
      </c>
      <c r="Q848" s="306" t="e">
        <f ca="1">ROUND(O848*$C848/100,0)</f>
        <v>#DIV/0!</v>
      </c>
      <c r="R848" s="306"/>
      <c r="S848" s="324" t="e">
        <f ca="1">$S$741</f>
        <v>#DIV/0!</v>
      </c>
      <c r="T848" s="308" t="s">
        <v>364</v>
      </c>
      <c r="U848" s="306" t="e">
        <f ca="1">ROUND(S848*$C848/100,0)</f>
        <v>#DIV/0!</v>
      </c>
      <c r="V848" s="20"/>
      <c r="W848" s="74"/>
      <c r="X848" s="74"/>
      <c r="Y848" s="74"/>
      <c r="Z848" s="20"/>
      <c r="AA848" s="20"/>
      <c r="AB848" s="20"/>
      <c r="AC848" s="20"/>
      <c r="AD848" s="20"/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</row>
    <row r="849" spans="1:44" s="1118" customFormat="1" hidden="1">
      <c r="A849" s="968" t="s">
        <v>872</v>
      </c>
      <c r="C849" s="1122">
        <f>C847</f>
        <v>48181287</v>
      </c>
      <c r="D849" s="1426">
        <v>0</v>
      </c>
      <c r="E849" s="1119"/>
      <c r="F849" s="1123"/>
      <c r="G849" s="1135">
        <f>G742</f>
        <v>0</v>
      </c>
      <c r="H849" s="1000" t="s">
        <v>364</v>
      </c>
      <c r="I849" s="1000">
        <f>ROUND(G849*$C849/100,0)</f>
        <v>0</v>
      </c>
      <c r="J849" s="1000"/>
      <c r="K849" s="1135" t="str">
        <f>K742</f>
        <v xml:space="preserve"> </v>
      </c>
      <c r="L849" s="1000" t="s">
        <v>364</v>
      </c>
      <c r="M849" s="1000">
        <f>ROUND(K849*$C849/100,0)</f>
        <v>0</v>
      </c>
      <c r="N849" s="1000"/>
      <c r="O849" s="1135" t="str">
        <f>O742</f>
        <v xml:space="preserve"> </v>
      </c>
      <c r="P849" s="1000" t="s">
        <v>364</v>
      </c>
      <c r="Q849" s="1000">
        <f>ROUND(O849*$C849/100,0)</f>
        <v>0</v>
      </c>
      <c r="R849" s="1000"/>
      <c r="S849" s="1135">
        <f>S742</f>
        <v>0</v>
      </c>
      <c r="T849" s="1000" t="s">
        <v>364</v>
      </c>
      <c r="U849" s="1000">
        <f>ROUND(S849*$C849/100,0)</f>
        <v>0</v>
      </c>
      <c r="W849" s="784"/>
      <c r="Z849" s="1125"/>
      <c r="AA849" s="1125"/>
      <c r="AF849" s="1119"/>
      <c r="AG849" s="1119"/>
      <c r="AH849" s="1119"/>
      <c r="AI849" s="1119"/>
      <c r="AJ849" s="1119"/>
      <c r="AK849" s="1119"/>
      <c r="AL849" s="1119"/>
      <c r="AM849" s="1119"/>
      <c r="AN849" s="1119"/>
      <c r="AO849" s="1119"/>
      <c r="AP849" s="1119"/>
      <c r="AR849" s="1124"/>
    </row>
    <row r="850" spans="1:44">
      <c r="A850" s="345" t="s">
        <v>391</v>
      </c>
      <c r="B850" s="1"/>
      <c r="C850" s="304"/>
      <c r="D850" s="317">
        <v>-0.01</v>
      </c>
      <c r="E850" s="1"/>
      <c r="F850" s="306"/>
      <c r="G850" s="317">
        <v>-0.01</v>
      </c>
      <c r="H850" s="1"/>
      <c r="I850" s="306"/>
      <c r="J850" s="306"/>
      <c r="K850" s="317">
        <v>-0.01</v>
      </c>
      <c r="L850" s="1"/>
      <c r="M850" s="306"/>
      <c r="N850" s="306"/>
      <c r="O850" s="317">
        <v>-0.01</v>
      </c>
      <c r="P850" s="1"/>
      <c r="Q850" s="306"/>
      <c r="R850" s="306"/>
      <c r="S850" s="317">
        <v>-0.01</v>
      </c>
      <c r="T850" s="1"/>
      <c r="U850" s="306"/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4">
      <c r="A851" s="294" t="s">
        <v>380</v>
      </c>
      <c r="B851" s="1"/>
      <c r="C851" s="304">
        <v>0</v>
      </c>
      <c r="D851" s="369">
        <v>0</v>
      </c>
      <c r="E851" s="309"/>
      <c r="F851" s="306">
        <f>ROUND(D851*C851,0)</f>
        <v>0</v>
      </c>
      <c r="G851" s="369">
        <f>G827</f>
        <v>0</v>
      </c>
      <c r="H851" s="309"/>
      <c r="I851" s="306">
        <f>ROUND(G851*$C851*$G$850,0)</f>
        <v>0</v>
      </c>
      <c r="J851" s="306"/>
      <c r="K851" s="369">
        <f>K827</f>
        <v>0</v>
      </c>
      <c r="L851" s="309"/>
      <c r="M851" s="306">
        <f>ROUND(K851*$C851*$G$850,0)</f>
        <v>0</v>
      </c>
      <c r="N851" s="306"/>
      <c r="O851" s="369" t="str">
        <f>O827</f>
        <v xml:space="preserve"> </v>
      </c>
      <c r="P851" s="309"/>
      <c r="Q851" s="306">
        <f>ROUND(O851*$C851*$G$850,0)</f>
        <v>0</v>
      </c>
      <c r="R851" s="306"/>
      <c r="S851" s="369" t="str">
        <f>S827</f>
        <v xml:space="preserve"> </v>
      </c>
      <c r="T851" s="309"/>
      <c r="U851" s="306">
        <f>ROUND(S851*$C851*$G$850,0)</f>
        <v>0</v>
      </c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4">
      <c r="A852" s="294" t="s">
        <v>381</v>
      </c>
      <c r="B852" s="1"/>
      <c r="C852" s="304"/>
      <c r="D852" s="369"/>
      <c r="E852" s="309"/>
      <c r="F852" s="306"/>
      <c r="G852" s="369"/>
      <c r="H852" s="309"/>
      <c r="I852" s="306"/>
      <c r="J852" s="306"/>
      <c r="K852" s="369"/>
      <c r="L852" s="309"/>
      <c r="M852" s="306"/>
      <c r="N852" s="306"/>
      <c r="O852" s="369"/>
      <c r="P852" s="309"/>
      <c r="Q852" s="306"/>
      <c r="R852" s="306"/>
      <c r="S852" s="369"/>
      <c r="T852" s="309"/>
      <c r="U852" s="306"/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4">
      <c r="A853" s="294" t="s">
        <v>442</v>
      </c>
      <c r="B853" s="1"/>
      <c r="C853" s="304">
        <v>0</v>
      </c>
      <c r="D853" s="369">
        <v>0</v>
      </c>
      <c r="E853" s="309"/>
      <c r="F853" s="306">
        <f>ROUND(D853*C853,0)</f>
        <v>0</v>
      </c>
      <c r="G853" s="369">
        <f>G829</f>
        <v>0</v>
      </c>
      <c r="H853" s="309"/>
      <c r="I853" s="306">
        <f>ROUND(G853*$C853*$G$850,0)</f>
        <v>0</v>
      </c>
      <c r="J853" s="306"/>
      <c r="K853" s="369">
        <f>K829</f>
        <v>0</v>
      </c>
      <c r="L853" s="309"/>
      <c r="M853" s="306">
        <f>ROUND(K853*$C853*$G$850,0)</f>
        <v>0</v>
      </c>
      <c r="N853" s="306"/>
      <c r="O853" s="369" t="str">
        <f>O829</f>
        <v xml:space="preserve"> </v>
      </c>
      <c r="P853" s="309"/>
      <c r="Q853" s="306">
        <f>ROUND(O853*$C853*$G$850,0)</f>
        <v>0</v>
      </c>
      <c r="R853" s="306"/>
      <c r="S853" s="369" t="str">
        <f>S829</f>
        <v xml:space="preserve"> </v>
      </c>
      <c r="T853" s="309"/>
      <c r="U853" s="306">
        <f>ROUND(S853*$C853*$G$850,0)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4">
      <c r="A854" s="294" t="s">
        <v>443</v>
      </c>
      <c r="B854" s="1"/>
      <c r="C854" s="304">
        <v>0</v>
      </c>
      <c r="D854" s="369">
        <v>370</v>
      </c>
      <c r="E854" s="309"/>
      <c r="F854" s="306">
        <f>ROUND(D854*C854,0)</f>
        <v>0</v>
      </c>
      <c r="G854" s="369">
        <f ca="1">G830</f>
        <v>379</v>
      </c>
      <c r="H854" s="309"/>
      <c r="I854" s="306">
        <f ca="1">ROUND(G854*$C854*$G$850,0)</f>
        <v>0</v>
      </c>
      <c r="J854" s="306"/>
      <c r="K854" s="369">
        <f ca="1">K830</f>
        <v>379</v>
      </c>
      <c r="L854" s="309"/>
      <c r="M854" s="306">
        <f ca="1">ROUND(K854*$C854*$G$850,0)</f>
        <v>0</v>
      </c>
      <c r="N854" s="306"/>
      <c r="O854" s="369" t="str">
        <f>O830</f>
        <v xml:space="preserve"> </v>
      </c>
      <c r="P854" s="309"/>
      <c r="Q854" s="306">
        <f>ROUND(O854*$C854*$G$850,0)</f>
        <v>0</v>
      </c>
      <c r="R854" s="306"/>
      <c r="S854" s="369" t="str">
        <f>S830</f>
        <v xml:space="preserve"> </v>
      </c>
      <c r="T854" s="309"/>
      <c r="U854" s="306">
        <f>ROUND(S854*$C854*$G$850,0)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4">
      <c r="A855" s="294" t="s">
        <v>444</v>
      </c>
      <c r="B855" s="1"/>
      <c r="C855" s="304">
        <v>0</v>
      </c>
      <c r="D855" s="369">
        <v>1504</v>
      </c>
      <c r="E855" s="309"/>
      <c r="F855" s="306">
        <f>ROUND(D855*C855,0)</f>
        <v>0</v>
      </c>
      <c r="G855" s="369">
        <f ca="1">G831</f>
        <v>1539</v>
      </c>
      <c r="H855" s="309"/>
      <c r="I855" s="306">
        <f ca="1">ROUND(G855*$C855*$G$850,0)</f>
        <v>0</v>
      </c>
      <c r="J855" s="306"/>
      <c r="K855" s="369">
        <f ca="1">K831</f>
        <v>1539</v>
      </c>
      <c r="L855" s="309"/>
      <c r="M855" s="306">
        <f ca="1">ROUND(K855*$C855*$G$850,0)</f>
        <v>0</v>
      </c>
      <c r="N855" s="306"/>
      <c r="O855" s="369" t="str">
        <f>O831</f>
        <v xml:space="preserve"> </v>
      </c>
      <c r="P855" s="309"/>
      <c r="Q855" s="306">
        <f>ROUND(O855*$C855*$G$850,0)</f>
        <v>0</v>
      </c>
      <c r="R855" s="306"/>
      <c r="S855" s="369" t="str">
        <f>S831</f>
        <v xml:space="preserve"> </v>
      </c>
      <c r="T855" s="309"/>
      <c r="U855" s="306">
        <f>ROUND(S855*$C855*$G$850,0)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4">
      <c r="A856" s="294" t="s">
        <v>380</v>
      </c>
      <c r="B856" s="1"/>
      <c r="C856" s="304">
        <v>0</v>
      </c>
      <c r="D856" s="369">
        <v>26.02</v>
      </c>
      <c r="E856" s="309"/>
      <c r="F856" s="306">
        <f>ROUND(D856*C856,0)</f>
        <v>0</v>
      </c>
      <c r="G856" s="369">
        <f ca="1">G836</f>
        <v>26.63</v>
      </c>
      <c r="H856" s="309"/>
      <c r="I856" s="306">
        <f ca="1">ROUND(G856*$C856*$G$850,0)</f>
        <v>0</v>
      </c>
      <c r="J856" s="306"/>
      <c r="K856" s="369">
        <f ca="1">K836</f>
        <v>26.63</v>
      </c>
      <c r="L856" s="309"/>
      <c r="M856" s="306">
        <f ca="1">ROUND(K856*$C856*$G$850,0)</f>
        <v>0</v>
      </c>
      <c r="N856" s="306"/>
      <c r="O856" s="369" t="str">
        <f>O836</f>
        <v xml:space="preserve"> </v>
      </c>
      <c r="P856" s="309"/>
      <c r="Q856" s="306">
        <f>ROUND(O856*$C856*$G$850,0)</f>
        <v>0</v>
      </c>
      <c r="R856" s="306"/>
      <c r="S856" s="369" t="str">
        <f>S836</f>
        <v xml:space="preserve"> </v>
      </c>
      <c r="T856" s="309"/>
      <c r="U856" s="306">
        <f>ROUND(S856*$C856*$G$850,0)</f>
        <v>0</v>
      </c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4">
      <c r="A857" s="294" t="s">
        <v>381</v>
      </c>
      <c r="B857" s="1"/>
      <c r="C857" s="304"/>
      <c r="D857" s="369"/>
      <c r="E857" s="309"/>
      <c r="F857" s="306"/>
      <c r="G857" s="369"/>
      <c r="H857" s="309"/>
      <c r="I857" s="306"/>
      <c r="J857" s="306"/>
      <c r="K857" s="369"/>
      <c r="L857" s="309"/>
      <c r="M857" s="306"/>
      <c r="N857" s="306"/>
      <c r="O857" s="369"/>
      <c r="P857" s="309"/>
      <c r="Q857" s="306"/>
      <c r="R857" s="306"/>
      <c r="S857" s="369"/>
      <c r="T857" s="309"/>
      <c r="U857" s="306"/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4">
      <c r="A858" s="294" t="s">
        <v>442</v>
      </c>
      <c r="B858" s="1"/>
      <c r="C858" s="304">
        <v>0</v>
      </c>
      <c r="D858" s="369">
        <v>26.02</v>
      </c>
      <c r="E858" s="309"/>
      <c r="F858" s="306">
        <f>ROUND(D858*$C858*$D$744,0)</f>
        <v>0</v>
      </c>
      <c r="G858" s="369">
        <f ca="1">G838</f>
        <v>26.63</v>
      </c>
      <c r="H858" s="309"/>
      <c r="I858" s="306">
        <f ca="1">ROUND(G858*$C858*$G$850,0)</f>
        <v>0</v>
      </c>
      <c r="J858" s="306"/>
      <c r="K858" s="369">
        <f ca="1">K838</f>
        <v>26.63</v>
      </c>
      <c r="L858" s="309"/>
      <c r="M858" s="306">
        <f ca="1">ROUND(K858*$C858*$G$850,0)</f>
        <v>0</v>
      </c>
      <c r="N858" s="306"/>
      <c r="O858" s="369" t="str">
        <f>O838</f>
        <v xml:space="preserve"> </v>
      </c>
      <c r="P858" s="309"/>
      <c r="Q858" s="306">
        <f>ROUND(O858*$C858*$G$850,0)</f>
        <v>0</v>
      </c>
      <c r="R858" s="306"/>
      <c r="S858" s="369" t="str">
        <f>S838</f>
        <v xml:space="preserve"> </v>
      </c>
      <c r="T858" s="309"/>
      <c r="U858" s="306">
        <f>ROUND(S858*$C858*$G$850,0)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4">
      <c r="A859" s="294" t="s">
        <v>443</v>
      </c>
      <c r="B859" s="1"/>
      <c r="C859" s="304">
        <v>0</v>
      </c>
      <c r="D859" s="369">
        <v>18.101388370764003</v>
      </c>
      <c r="E859" s="309"/>
      <c r="F859" s="306">
        <f>ROUND(D859*$C859*$D$744,0)</f>
        <v>0</v>
      </c>
      <c r="G859" s="369">
        <f ca="1">G839</f>
        <v>18.526286850528336</v>
      </c>
      <c r="H859" s="309"/>
      <c r="I859" s="306">
        <f ca="1">ROUND(G859*$C859*$G$850,0)</f>
        <v>0</v>
      </c>
      <c r="J859" s="306"/>
      <c r="K859" s="369">
        <f ca="1">K839</f>
        <v>18.526286850528336</v>
      </c>
      <c r="L859" s="309"/>
      <c r="M859" s="306">
        <f ca="1">ROUND(K859*$C859*$G$850,0)</f>
        <v>0</v>
      </c>
      <c r="N859" s="306"/>
      <c r="O859" s="369" t="str">
        <f>O839</f>
        <v xml:space="preserve"> </v>
      </c>
      <c r="P859" s="309"/>
      <c r="Q859" s="306">
        <f>ROUND(O859*$C859*$G$850,0)</f>
        <v>0</v>
      </c>
      <c r="R859" s="306"/>
      <c r="S859" s="369" t="str">
        <f>S839</f>
        <v xml:space="preserve"> </v>
      </c>
      <c r="T859" s="309"/>
      <c r="U859" s="306">
        <f>ROUND(S859*$C859*$G$850,0)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4">
      <c r="A860" s="294" t="s">
        <v>444</v>
      </c>
      <c r="B860" s="1"/>
      <c r="C860" s="304">
        <v>0</v>
      </c>
      <c r="D860" s="369">
        <v>14.155824964645021</v>
      </c>
      <c r="E860" s="309"/>
      <c r="F860" s="306">
        <f>ROUND(D860*$C860*$D$744,0)</f>
        <v>0</v>
      </c>
      <c r="G860" s="369">
        <f ca="1">G840</f>
        <v>14.48810823397713</v>
      </c>
      <c r="H860" s="309"/>
      <c r="I860" s="306">
        <f ca="1">ROUND(G860*$C860*$G$850,0)</f>
        <v>0</v>
      </c>
      <c r="J860" s="306"/>
      <c r="K860" s="369">
        <f ca="1">K840</f>
        <v>14.48810823397713</v>
      </c>
      <c r="L860" s="309"/>
      <c r="M860" s="306">
        <f ca="1">ROUND(K860*$C860*$G$850,0)</f>
        <v>0</v>
      </c>
      <c r="N860" s="306"/>
      <c r="O860" s="369" t="str">
        <f>O840</f>
        <v xml:space="preserve"> </v>
      </c>
      <c r="P860" s="309"/>
      <c r="Q860" s="306">
        <f>ROUND(O860*$C860*$G$850,0)</f>
        <v>0</v>
      </c>
      <c r="R860" s="306"/>
      <c r="S860" s="369" t="str">
        <f>S840</f>
        <v xml:space="preserve"> </v>
      </c>
      <c r="T860" s="309"/>
      <c r="U860" s="306">
        <f>ROUND(S860*$C860*$G$850,0)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4">
      <c r="A861" s="294" t="s">
        <v>455</v>
      </c>
      <c r="B861" s="1"/>
      <c r="C861" s="304">
        <v>0</v>
      </c>
      <c r="D861" s="338">
        <v>78.06</v>
      </c>
      <c r="E861" s="309"/>
      <c r="F861" s="306">
        <f>ROUND(D861*$C861*$D$744,0)</f>
        <v>0</v>
      </c>
      <c r="G861" s="338">
        <f ca="1">G841</f>
        <v>79.89</v>
      </c>
      <c r="H861" s="309"/>
      <c r="I861" s="306">
        <f ca="1">ROUND(G861*$C861*$G$850,0)</f>
        <v>0</v>
      </c>
      <c r="J861" s="306"/>
      <c r="K861" s="338">
        <f ca="1">K841</f>
        <v>79.89</v>
      </c>
      <c r="L861" s="309"/>
      <c r="M861" s="306">
        <f ca="1">ROUND(K861*$C861*$G$850,0)</f>
        <v>0</v>
      </c>
      <c r="N861" s="306"/>
      <c r="O861" s="338" t="str">
        <f>O841</f>
        <v xml:space="preserve"> </v>
      </c>
      <c r="P861" s="309"/>
      <c r="Q861" s="306">
        <f>ROUND(O861*$C861*$G$850,0)</f>
        <v>0</v>
      </c>
      <c r="R861" s="306"/>
      <c r="S861" s="338" t="str">
        <f>S841</f>
        <v xml:space="preserve"> </v>
      </c>
      <c r="T861" s="309"/>
      <c r="U861" s="306">
        <f>ROUND(S861*$C861*$G$850,0)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4">
      <c r="A862" s="294" t="s">
        <v>456</v>
      </c>
      <c r="B862" s="1"/>
      <c r="C862" s="304">
        <v>0</v>
      </c>
      <c r="D862" s="338">
        <v>156.12</v>
      </c>
      <c r="E862" s="309"/>
      <c r="F862" s="306">
        <f>ROUND(D862*$C862*$D$744,0)</f>
        <v>0</v>
      </c>
      <c r="G862" s="338">
        <f ca="1">G842</f>
        <v>159.78</v>
      </c>
      <c r="H862" s="309"/>
      <c r="I862" s="306">
        <f ca="1">ROUND(G862*$C862*$G$850,0)</f>
        <v>0</v>
      </c>
      <c r="J862" s="306"/>
      <c r="K862" s="338">
        <f ca="1">K842</f>
        <v>159.78</v>
      </c>
      <c r="L862" s="309"/>
      <c r="M862" s="306">
        <f ca="1">ROUND(K862*$C862*$G$850,0)</f>
        <v>0</v>
      </c>
      <c r="N862" s="306"/>
      <c r="O862" s="338" t="str">
        <f>O842</f>
        <v xml:space="preserve"> </v>
      </c>
      <c r="P862" s="309"/>
      <c r="Q862" s="306">
        <f>ROUND(O862*$C862*$G$850,0)</f>
        <v>0</v>
      </c>
      <c r="R862" s="306"/>
      <c r="S862" s="338" t="str">
        <f>S842</f>
        <v xml:space="preserve"> </v>
      </c>
      <c r="T862" s="309"/>
      <c r="U862" s="306">
        <f>ROUND(S862*$C862*$G$850,0)</f>
        <v>0</v>
      </c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4">
      <c r="A863" s="294" t="s">
        <v>452</v>
      </c>
      <c r="B863" s="1"/>
      <c r="C863" s="304"/>
      <c r="D863" s="322"/>
      <c r="E863" s="309"/>
      <c r="F863" s="306"/>
      <c r="G863" s="322"/>
      <c r="H863" s="309"/>
      <c r="I863" s="306"/>
      <c r="J863" s="306"/>
      <c r="K863" s="322"/>
      <c r="L863" s="309"/>
      <c r="M863" s="306"/>
      <c r="N863" s="306"/>
      <c r="O863" s="322"/>
      <c r="P863" s="309"/>
      <c r="Q863" s="306"/>
      <c r="R863" s="306"/>
      <c r="S863" s="322"/>
      <c r="T863" s="309"/>
      <c r="U863" s="306"/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4">
      <c r="A864" s="294" t="s">
        <v>447</v>
      </c>
      <c r="B864" s="1"/>
      <c r="C864" s="304">
        <v>0</v>
      </c>
      <c r="D864" s="348">
        <v>-26.02</v>
      </c>
      <c r="E864" s="309"/>
      <c r="F864" s="306">
        <f>ROUND(D864*$C864*$D$744,0)</f>
        <v>0</v>
      </c>
      <c r="G864" s="348">
        <f ca="1">G844</f>
        <v>-26.63</v>
      </c>
      <c r="H864" s="309"/>
      <c r="I864" s="306">
        <f ca="1">ROUND(G864*$C864*$G$850,0)</f>
        <v>0</v>
      </c>
      <c r="J864" s="306"/>
      <c r="K864" s="348">
        <f ca="1">K844</f>
        <v>-26.63</v>
      </c>
      <c r="L864" s="309"/>
      <c r="M864" s="306">
        <f ca="1">ROUND(K864*$C864*$G$850,0)</f>
        <v>0</v>
      </c>
      <c r="N864" s="306"/>
      <c r="O864" s="348">
        <f>O844</f>
        <v>0</v>
      </c>
      <c r="P864" s="309"/>
      <c r="Q864" s="306">
        <f>ROUND(O864*$C864*$G$850,0)</f>
        <v>0</v>
      </c>
      <c r="R864" s="306"/>
      <c r="S864" s="348">
        <f>S844</f>
        <v>0</v>
      </c>
      <c r="T864" s="309"/>
      <c r="U864" s="306">
        <f>ROUND(S864*$C864*$G$850,0)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>
      <c r="A865" s="294" t="s">
        <v>453</v>
      </c>
      <c r="B865" s="1"/>
      <c r="C865" s="304">
        <v>0</v>
      </c>
      <c r="D865" s="348">
        <v>-26.02</v>
      </c>
      <c r="E865" s="309"/>
      <c r="F865" s="306">
        <f>ROUND(D865*$C865*$D$744,0)</f>
        <v>0</v>
      </c>
      <c r="G865" s="348">
        <f ca="1">G845</f>
        <v>-26.63</v>
      </c>
      <c r="H865" s="309"/>
      <c r="I865" s="306">
        <f ca="1">ROUND(G865*$C865*$G$850,0)</f>
        <v>0</v>
      </c>
      <c r="J865" s="306"/>
      <c r="K865" s="348">
        <f ca="1">K845</f>
        <v>-26.63</v>
      </c>
      <c r="L865" s="309"/>
      <c r="M865" s="306">
        <f ca="1">ROUND(K865*$C865*$G$850,0)</f>
        <v>0</v>
      </c>
      <c r="N865" s="306"/>
      <c r="O865" s="348">
        <f>O845</f>
        <v>0</v>
      </c>
      <c r="P865" s="309"/>
      <c r="Q865" s="306">
        <f>ROUND(O865*$C865*$G$850,0)</f>
        <v>0</v>
      </c>
      <c r="R865" s="306"/>
      <c r="S865" s="348">
        <f>S845</f>
        <v>0</v>
      </c>
      <c r="T865" s="309"/>
      <c r="U865" s="306">
        <f>ROUND(S865*$C865*$G$850,0)</f>
        <v>0</v>
      </c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>
      <c r="A866" s="308" t="s">
        <v>416</v>
      </c>
      <c r="B866" s="1"/>
      <c r="C866" s="304"/>
      <c r="D866" s="369"/>
      <c r="E866" s="306"/>
      <c r="F866" s="306"/>
      <c r="G866" s="369"/>
      <c r="H866" s="306"/>
      <c r="I866" s="306"/>
      <c r="J866" s="306"/>
      <c r="K866" s="369"/>
      <c r="L866" s="306"/>
      <c r="M866" s="306"/>
      <c r="N866" s="306"/>
      <c r="O866" s="369"/>
      <c r="P866" s="306"/>
      <c r="Q866" s="306"/>
      <c r="R866" s="306"/>
      <c r="S866" s="369"/>
      <c r="T866" s="306"/>
      <c r="U866" s="306"/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>
      <c r="A867" s="294" t="s">
        <v>454</v>
      </c>
      <c r="B867" s="1"/>
      <c r="C867" s="304">
        <v>0</v>
      </c>
      <c r="D867" s="370">
        <v>7.0350000000000001</v>
      </c>
      <c r="E867" s="306" t="s">
        <v>364</v>
      </c>
      <c r="F867" s="306">
        <f>ROUND(D867/100*C867*$D$744,0)</f>
        <v>0</v>
      </c>
      <c r="G867" s="370">
        <f ca="1">G847</f>
        <v>7.2030000000000003</v>
      </c>
      <c r="H867" s="306" t="s">
        <v>364</v>
      </c>
      <c r="I867" s="306">
        <f ca="1">ROUND(G867/100*$C867*$G$850,0)</f>
        <v>0</v>
      </c>
      <c r="J867" s="306"/>
      <c r="K867" s="370" t="e">
        <f ca="1">K847</f>
        <v>#REF!</v>
      </c>
      <c r="L867" s="306" t="s">
        <v>364</v>
      </c>
      <c r="M867" s="306" t="e">
        <f ca="1">ROUND(K867/100*$C867*$G$850,0)</f>
        <v>#REF!</v>
      </c>
      <c r="N867" s="306"/>
      <c r="O867" s="370" t="e">
        <f ca="1">O847</f>
        <v>#DIV/0!</v>
      </c>
      <c r="P867" s="306" t="s">
        <v>364</v>
      </c>
      <c r="Q867" s="306" t="e">
        <f ca="1">ROUND(O867/100*$C867*$G$850,0)</f>
        <v>#DIV/0!</v>
      </c>
      <c r="R867" s="306"/>
      <c r="S867" s="370" t="e">
        <f ca="1">S847</f>
        <v>#DIV/0!</v>
      </c>
      <c r="T867" s="306" t="s">
        <v>364</v>
      </c>
      <c r="U867" s="306" t="e">
        <f ca="1">ROUND(S867/100*$C867*$G$850,0)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>
      <c r="A868" s="308" t="s">
        <v>390</v>
      </c>
      <c r="B868" s="1"/>
      <c r="C868" s="304">
        <v>0</v>
      </c>
      <c r="D868" s="360">
        <v>57</v>
      </c>
      <c r="E868" s="308" t="s">
        <v>364</v>
      </c>
      <c r="F868" s="306">
        <f>ROUND(D868/100*C868*$D$744,0)</f>
        <v>0</v>
      </c>
      <c r="G868" s="360">
        <f ca="1">G848</f>
        <v>58</v>
      </c>
      <c r="H868" s="308" t="s">
        <v>364</v>
      </c>
      <c r="I868" s="306">
        <f ca="1">ROUND(G868/100*$C868*$G$850,0)</f>
        <v>0</v>
      </c>
      <c r="J868" s="306"/>
      <c r="K868" s="360" t="str">
        <f>K848</f>
        <v xml:space="preserve"> </v>
      </c>
      <c r="L868" s="308" t="s">
        <v>364</v>
      </c>
      <c r="M868" s="306">
        <f>ROUND(K868/100*$C868*$G$850,0)</f>
        <v>0</v>
      </c>
      <c r="N868" s="306"/>
      <c r="O868" s="360" t="e">
        <f ca="1">O848</f>
        <v>#DIV/0!</v>
      </c>
      <c r="P868" s="308" t="s">
        <v>364</v>
      </c>
      <c r="Q868" s="306" t="e">
        <f ca="1">ROUND(O868/100*$C868*$G$850,0)</f>
        <v>#DIV/0!</v>
      </c>
      <c r="R868" s="306"/>
      <c r="S868" s="360" t="e">
        <f ca="1">S848</f>
        <v>#DIV/0!</v>
      </c>
      <c r="T868" s="308" t="s">
        <v>364</v>
      </c>
      <c r="U868" s="306" t="e">
        <f ca="1">ROUND(S868/100*$C868*$G$850,0)</f>
        <v>#DIV/0!</v>
      </c>
      <c r="V868" s="20"/>
      <c r="W868" s="74"/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>
      <c r="A869" s="308" t="s">
        <v>433</v>
      </c>
      <c r="B869" s="1"/>
      <c r="C869" s="304">
        <v>0</v>
      </c>
      <c r="D869" s="283">
        <v>60</v>
      </c>
      <c r="E869" s="1"/>
      <c r="F869" s="306">
        <f>ROUND(D869*$C869,0)</f>
        <v>0</v>
      </c>
      <c r="G869" s="283">
        <f>$G$763</f>
        <v>60</v>
      </c>
      <c r="H869" s="1"/>
      <c r="I869" s="306">
        <f>ROUND(G869*$C869,0)</f>
        <v>0</v>
      </c>
      <c r="J869" s="306"/>
      <c r="K869" s="283">
        <v>0</v>
      </c>
      <c r="L869" s="1"/>
      <c r="M869" s="306">
        <f>ROUND(K869*$C869,0)</f>
        <v>0</v>
      </c>
      <c r="N869" s="306"/>
      <c r="O869" s="283" t="e">
        <f>O763</f>
        <v>#DIV/0!</v>
      </c>
      <c r="P869" s="1"/>
      <c r="Q869" s="306" t="e">
        <f>ROUND(O869*$C869,0)</f>
        <v>#DIV/0!</v>
      </c>
      <c r="R869" s="306"/>
      <c r="S869" s="283" t="e">
        <f>S763</f>
        <v>#DIV/0!</v>
      </c>
      <c r="T869" s="1"/>
      <c r="U869" s="306" t="e">
        <f>ROUND(S869*$C869,0)</f>
        <v>#DIV/0!</v>
      </c>
      <c r="V869" s="20"/>
      <c r="W869" s="32" t="s">
        <v>31</v>
      </c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>
      <c r="A870" s="308" t="s">
        <v>434</v>
      </c>
      <c r="B870" s="1"/>
      <c r="C870" s="304">
        <v>0</v>
      </c>
      <c r="D870" s="324">
        <v>-30</v>
      </c>
      <c r="E870" s="306" t="s">
        <v>364</v>
      </c>
      <c r="F870" s="306">
        <f>ROUND(D870*$C870/100,0)</f>
        <v>0</v>
      </c>
      <c r="G870" s="324">
        <f>$G$764</f>
        <v>-30</v>
      </c>
      <c r="H870" s="306" t="s">
        <v>364</v>
      </c>
      <c r="I870" s="306">
        <f>ROUND(G870*$C870/100,0)</f>
        <v>0</v>
      </c>
      <c r="J870" s="306"/>
      <c r="K870" s="324">
        <f>$G$764</f>
        <v>-30</v>
      </c>
      <c r="L870" s="306" t="s">
        <v>364</v>
      </c>
      <c r="M870" s="306">
        <f>ROUND(K870*$C870/100,0)</f>
        <v>0</v>
      </c>
      <c r="N870" s="306"/>
      <c r="O870" s="324">
        <v>0</v>
      </c>
      <c r="P870" s="306" t="s">
        <v>364</v>
      </c>
      <c r="Q870" s="306">
        <f>ROUND(O870*$C870/100,0)</f>
        <v>0</v>
      </c>
      <c r="R870" s="306"/>
      <c r="S870" s="324">
        <v>0</v>
      </c>
      <c r="T870" s="306" t="s">
        <v>364</v>
      </c>
      <c r="U870" s="306">
        <f>ROUND(S870*$C870/100,0)</f>
        <v>0</v>
      </c>
      <c r="V870" s="20"/>
      <c r="W870" s="74"/>
      <c r="X870" s="74"/>
      <c r="Y870" s="74"/>
      <c r="Z870" s="20"/>
      <c r="AA870" s="20"/>
      <c r="AB870" s="20"/>
      <c r="AC870" s="20"/>
      <c r="AD870" s="20"/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</row>
    <row r="871" spans="1:44" s="1118" customFormat="1" hidden="1">
      <c r="A871" s="968" t="s">
        <v>872</v>
      </c>
      <c r="C871" s="1122">
        <f>C867</f>
        <v>0</v>
      </c>
      <c r="D871" s="1426">
        <v>0</v>
      </c>
      <c r="E871" s="1119"/>
      <c r="F871" s="1123"/>
      <c r="G871" s="1135">
        <f>G765</f>
        <v>0</v>
      </c>
      <c r="H871" s="1000" t="s">
        <v>364</v>
      </c>
      <c r="I871" s="306">
        <f>ROUND(G871/100*$C871*$G$850,0)</f>
        <v>0</v>
      </c>
      <c r="J871" s="306"/>
      <c r="K871" s="1135" t="str">
        <f>K765</f>
        <v xml:space="preserve"> </v>
      </c>
      <c r="L871" s="1000" t="s">
        <v>364</v>
      </c>
      <c r="M871" s="306">
        <f>ROUND(K871/100*$C871*$G$850,0)</f>
        <v>0</v>
      </c>
      <c r="N871" s="306"/>
      <c r="O871" s="1135" t="str">
        <f>O765</f>
        <v xml:space="preserve"> </v>
      </c>
      <c r="P871" s="1000" t="s">
        <v>364</v>
      </c>
      <c r="Q871" s="306">
        <f>ROUND(O871/100*$C871*$G$850,0)</f>
        <v>0</v>
      </c>
      <c r="R871" s="306"/>
      <c r="S871" s="1135">
        <f>S765</f>
        <v>0</v>
      </c>
      <c r="T871" s="1000" t="s">
        <v>364</v>
      </c>
      <c r="U871" s="306">
        <f>ROUND(S871/100*$C871*$G$850,0)</f>
        <v>0</v>
      </c>
      <c r="W871" s="784"/>
      <c r="Z871" s="1125"/>
      <c r="AA871" s="1125"/>
      <c r="AF871" s="1119"/>
      <c r="AG871" s="1119"/>
      <c r="AH871" s="1119"/>
      <c r="AI871" s="1119"/>
      <c r="AJ871" s="1119"/>
      <c r="AK871" s="1119"/>
      <c r="AL871" s="1119"/>
      <c r="AM871" s="1119"/>
      <c r="AN871" s="1119"/>
      <c r="AO871" s="1119"/>
      <c r="AP871" s="1119"/>
      <c r="AR871" s="1124"/>
    </row>
    <row r="872" spans="1:44">
      <c r="A872" s="1" t="s">
        <v>371</v>
      </c>
      <c r="B872" s="1"/>
      <c r="C872" s="304">
        <f>SUM(C847:C847)</f>
        <v>48181287</v>
      </c>
      <c r="D872" s="315"/>
      <c r="E872" s="308"/>
      <c r="F872" s="2">
        <f>SUM(F827:F870)</f>
        <v>4121159</v>
      </c>
      <c r="G872" s="315"/>
      <c r="H872" s="308"/>
      <c r="I872" s="2">
        <f ca="1">SUM(I827:I871)</f>
        <v>4219243</v>
      </c>
      <c r="J872" s="2"/>
      <c r="K872" s="315"/>
      <c r="L872" s="308"/>
      <c r="M872" s="2" t="e">
        <f ca="1">SUM(M827:M871)</f>
        <v>#REF!</v>
      </c>
      <c r="N872" s="2"/>
      <c r="O872" s="315"/>
      <c r="P872" s="308"/>
      <c r="Q872" s="2" t="e">
        <f ca="1">SUM(Q827:Q871)</f>
        <v>#DIV/0!</v>
      </c>
      <c r="R872" s="2"/>
      <c r="S872" s="315"/>
      <c r="T872" s="308"/>
      <c r="U872" s="2" t="e">
        <f ca="1">SUM(U827:U871)</f>
        <v>#DIV/0!</v>
      </c>
      <c r="V872" s="20"/>
      <c r="W872" s="74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>
      <c r="A873" s="1" t="s">
        <v>353</v>
      </c>
      <c r="B873" s="1"/>
      <c r="C873" s="334">
        <f ca="1">'Table 2'!H102</f>
        <v>665268.792704936</v>
      </c>
      <c r="D873" s="294"/>
      <c r="E873" s="294"/>
      <c r="F873" s="295">
        <f ca="1">'Table 3'!E102</f>
        <v>50732.788498398135</v>
      </c>
      <c r="G873" s="294"/>
      <c r="H873" s="294"/>
      <c r="I873" s="295">
        <f ca="1">F873</f>
        <v>50732.788498398135</v>
      </c>
      <c r="J873" s="51"/>
      <c r="K873" s="294"/>
      <c r="L873" s="294"/>
      <c r="M873" s="295" t="e">
        <f ca="1">$I$873*V876/($V$876+$W$876+$X$876)</f>
        <v>#DIV/0!</v>
      </c>
      <c r="N873" s="51"/>
      <c r="O873" s="294"/>
      <c r="P873" s="294"/>
      <c r="Q873" s="295" t="e">
        <f ca="1">$I$873*W876/($V$876+$W$876+$X$876)</f>
        <v>#DIV/0!</v>
      </c>
      <c r="R873" s="51"/>
      <c r="S873" s="294"/>
      <c r="T873" s="294"/>
      <c r="U873" s="295" t="e">
        <f ca="1">$I$873*X876/($V$876+$W$876+$X$876)</f>
        <v>#DIV/0!</v>
      </c>
      <c r="V873" s="429"/>
      <c r="W873" s="272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thickBot="1">
      <c r="A874" s="1" t="s">
        <v>372</v>
      </c>
      <c r="B874" s="1"/>
      <c r="C874" s="351">
        <f ca="1">SUM(C872:C873)</f>
        <v>48846555.792704932</v>
      </c>
      <c r="D874" s="327"/>
      <c r="E874" s="330"/>
      <c r="F874" s="329">
        <f ca="1">F872+F873</f>
        <v>4171891.7884983979</v>
      </c>
      <c r="G874" s="327"/>
      <c r="H874" s="330"/>
      <c r="I874" s="329">
        <f ca="1">I872+I873</f>
        <v>4269975.7884983979</v>
      </c>
      <c r="J874" s="307"/>
      <c r="K874" s="327"/>
      <c r="L874" s="330"/>
      <c r="M874" s="329" t="e">
        <f ca="1">M872+M873</f>
        <v>#REF!</v>
      </c>
      <c r="N874" s="329"/>
      <c r="O874" s="327"/>
      <c r="P874" s="330"/>
      <c r="Q874" s="329" t="e">
        <f ca="1">Q872+Q873</f>
        <v>#DIV/0!</v>
      </c>
      <c r="R874" s="329"/>
      <c r="S874" s="327"/>
      <c r="T874" s="330"/>
      <c r="U874" s="329" t="e">
        <f ca="1">U872+U873</f>
        <v>#DIV/0!</v>
      </c>
      <c r="V874" s="396"/>
      <c r="W874" s="455"/>
      <c r="X874" s="74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t="16.5" thickTop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1280"/>
      <c r="W875" s="1280"/>
      <c r="X875" s="1280"/>
      <c r="Y875" s="74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>
      <c r="A876" s="1"/>
      <c r="B876" s="1"/>
      <c r="C876" s="26"/>
      <c r="D876" s="336"/>
      <c r="E876" s="23"/>
      <c r="F876" s="307"/>
      <c r="G876" s="336"/>
      <c r="H876" s="23"/>
      <c r="I876" s="307"/>
      <c r="J876" s="307"/>
      <c r="K876" s="336"/>
      <c r="L876" s="23"/>
      <c r="M876" s="307"/>
      <c r="N876" s="307"/>
      <c r="O876" s="336"/>
      <c r="P876" s="23"/>
      <c r="Q876" s="307"/>
      <c r="R876" s="307"/>
      <c r="S876" s="336"/>
      <c r="T876" s="23"/>
      <c r="U876" s="307"/>
      <c r="V876" s="396"/>
      <c r="W876" s="396"/>
      <c r="X876" s="396"/>
      <c r="Y876" s="32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88"/>
      <c r="B877" s="363"/>
      <c r="C877" s="288"/>
      <c r="D877" s="1"/>
      <c r="E877" s="288"/>
      <c r="F877" s="364" t="s">
        <v>31</v>
      </c>
      <c r="G877" s="288"/>
      <c r="H877" s="288"/>
      <c r="I877" s="288"/>
      <c r="J877" s="288"/>
      <c r="K877" s="288"/>
      <c r="L877" s="288"/>
      <c r="M877" s="288"/>
      <c r="N877" s="288"/>
      <c r="O877" s="288"/>
      <c r="P877" s="288"/>
      <c r="Q877" s="288"/>
      <c r="R877" s="288"/>
      <c r="S877" s="288"/>
      <c r="T877" s="288"/>
      <c r="U877" s="288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278" t="s">
        <v>459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294" t="s">
        <v>460</v>
      </c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/>
      <c r="B880" s="1"/>
      <c r="C880" s="1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383</v>
      </c>
      <c r="B881" s="1"/>
      <c r="C881" s="304"/>
      <c r="D881" s="2"/>
      <c r="E881" s="1"/>
      <c r="F881" s="1"/>
      <c r="G881" s="2"/>
      <c r="H881" s="1"/>
      <c r="I881" s="1"/>
      <c r="J881" s="1"/>
      <c r="K881" s="2"/>
      <c r="L881" s="1"/>
      <c r="M881" s="1"/>
      <c r="N881" s="1"/>
      <c r="O881" s="2"/>
      <c r="P881" s="1"/>
      <c r="Q881" s="1"/>
      <c r="R881" s="1"/>
      <c r="S881" s="2"/>
      <c r="T881" s="1"/>
      <c r="U881" s="1"/>
      <c r="V881" s="20"/>
      <c r="W881" s="74"/>
      <c r="X881" s="74"/>
      <c r="Y881" s="7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461</v>
      </c>
      <c r="B882" s="1"/>
      <c r="C882" s="304">
        <v>12</v>
      </c>
      <c r="D882" s="369">
        <v>1411</v>
      </c>
      <c r="E882" s="306"/>
      <c r="F882" s="2">
        <f>ROUND(D882*C882,0)</f>
        <v>16932</v>
      </c>
      <c r="G882" s="369">
        <f ca="1">G961</f>
        <v>1442</v>
      </c>
      <c r="H882" s="306"/>
      <c r="I882" s="2">
        <f ca="1">ROUND(G882*$C882,0)</f>
        <v>17304</v>
      </c>
      <c r="J882" s="2"/>
      <c r="K882" s="369">
        <f ca="1">K961</f>
        <v>1442</v>
      </c>
      <c r="L882" s="306"/>
      <c r="M882" s="2">
        <f ca="1">ROUND(K882*$C882,0)</f>
        <v>17304</v>
      </c>
      <c r="N882" s="2"/>
      <c r="O882" s="369" t="str">
        <f>O961</f>
        <v xml:space="preserve"> </v>
      </c>
      <c r="P882" s="306"/>
      <c r="Q882" s="2">
        <f>ROUND(O882*$C882,0)</f>
        <v>0</v>
      </c>
      <c r="R882" s="2"/>
      <c r="S882" s="369" t="str">
        <f>S961</f>
        <v xml:space="preserve"> </v>
      </c>
      <c r="T882" s="306"/>
      <c r="U882" s="2">
        <f>ROUND(S882*$C882,0)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462</v>
      </c>
      <c r="B883" s="1"/>
      <c r="C883" s="304">
        <v>0</v>
      </c>
      <c r="D883" s="369">
        <v>1703</v>
      </c>
      <c r="E883" s="309"/>
      <c r="F883" s="2">
        <f>ROUND(D883*C883,0)</f>
        <v>0</v>
      </c>
      <c r="G883" s="369">
        <f ca="1">G962</f>
        <v>1743</v>
      </c>
      <c r="H883" s="309"/>
      <c r="I883" s="2">
        <f ca="1">ROUND(G883*$C883,0)</f>
        <v>0</v>
      </c>
      <c r="J883" s="2"/>
      <c r="K883" s="369">
        <f ca="1">K962</f>
        <v>1743</v>
      </c>
      <c r="L883" s="309"/>
      <c r="M883" s="2">
        <f ca="1">ROUND(K883*$C883,0)</f>
        <v>0</v>
      </c>
      <c r="N883" s="2"/>
      <c r="O883" s="369" t="str">
        <f>O962</f>
        <v xml:space="preserve"> </v>
      </c>
      <c r="P883" s="309"/>
      <c r="Q883" s="2">
        <f>ROUND(O883*$C883,0)</f>
        <v>0</v>
      </c>
      <c r="R883" s="2"/>
      <c r="S883" s="369" t="str">
        <f>S962</f>
        <v xml:space="preserve"> </v>
      </c>
      <c r="T883" s="309"/>
      <c r="U883" s="2">
        <f>ROUND(S883*$C883,0)</f>
        <v>0</v>
      </c>
      <c r="W883" s="14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384</v>
      </c>
      <c r="B884" s="1"/>
      <c r="C884" s="304">
        <f>SUM(C882:C883)</f>
        <v>12</v>
      </c>
      <c r="D884" s="369" t="s">
        <v>31</v>
      </c>
      <c r="E884" s="306"/>
      <c r="F884" s="2" t="s">
        <v>31</v>
      </c>
      <c r="G884" s="369" t="str">
        <f>W925</f>
        <v xml:space="preserve"> </v>
      </c>
      <c r="H884" s="306"/>
      <c r="I884" s="2" t="s">
        <v>31</v>
      </c>
      <c r="J884" s="2"/>
      <c r="K884" s="365" t="s">
        <v>31</v>
      </c>
      <c r="L884" s="306"/>
      <c r="M884" s="2" t="s">
        <v>31</v>
      </c>
      <c r="N884" s="2"/>
      <c r="O884" s="365" t="s">
        <v>31</v>
      </c>
      <c r="P884" s="306"/>
      <c r="Q884" s="2" t="s">
        <v>31</v>
      </c>
      <c r="R884" s="2"/>
      <c r="S884" s="365" t="s">
        <v>31</v>
      </c>
      <c r="T884" s="306"/>
      <c r="U884" s="2" t="s">
        <v>31</v>
      </c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463</v>
      </c>
      <c r="B885" s="1"/>
      <c r="C885" s="304">
        <v>23896</v>
      </c>
      <c r="D885" s="369">
        <v>1.1200000000000001</v>
      </c>
      <c r="E885" s="306"/>
      <c r="F885" s="2">
        <f>ROUND(D885*C885,0)</f>
        <v>26764</v>
      </c>
      <c r="G885" s="369">
        <f ca="1">G964</f>
        <v>1.1499999999999999</v>
      </c>
      <c r="H885" s="306"/>
      <c r="I885" s="2">
        <f ca="1">ROUND(G885*$C885,0)</f>
        <v>27480</v>
      </c>
      <c r="J885" s="2"/>
      <c r="K885" s="369">
        <f ca="1">K964</f>
        <v>1.1499999999999999</v>
      </c>
      <c r="L885" s="306"/>
      <c r="M885" s="2">
        <f ca="1">ROUND(K885*$C885,0)</f>
        <v>27480</v>
      </c>
      <c r="N885" s="2"/>
      <c r="O885" s="369" t="str">
        <f>O964</f>
        <v xml:space="preserve"> </v>
      </c>
      <c r="P885" s="306"/>
      <c r="Q885" s="2">
        <f>ROUND(O885*$C885,0)</f>
        <v>0</v>
      </c>
      <c r="R885" s="2"/>
      <c r="S885" s="369" t="str">
        <f>S964</f>
        <v xml:space="preserve"> </v>
      </c>
      <c r="T885" s="306"/>
      <c r="U885" s="2">
        <f>ROUND(S885*$C885,0)</f>
        <v>0</v>
      </c>
      <c r="W885" s="14"/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308" t="s">
        <v>464</v>
      </c>
      <c r="B886" s="1"/>
      <c r="C886" s="304">
        <v>0</v>
      </c>
      <c r="D886" s="369">
        <v>1.01</v>
      </c>
      <c r="E886" s="306"/>
      <c r="F886" s="2">
        <f>ROUND(D886*C886,0)</f>
        <v>0</v>
      </c>
      <c r="G886" s="369">
        <f ca="1">G965</f>
        <v>1.03</v>
      </c>
      <c r="H886" s="306"/>
      <c r="I886" s="2">
        <f ca="1">ROUND(G886*$C886,0)</f>
        <v>0</v>
      </c>
      <c r="J886" s="2"/>
      <c r="K886" s="369">
        <f ca="1">K965</f>
        <v>1.03</v>
      </c>
      <c r="L886" s="306"/>
      <c r="M886" s="2">
        <f ca="1">ROUND(K886*$C886,0)</f>
        <v>0</v>
      </c>
      <c r="N886" s="2"/>
      <c r="O886" s="369" t="str">
        <f>O965</f>
        <v xml:space="preserve"> </v>
      </c>
      <c r="P886" s="306"/>
      <c r="Q886" s="2">
        <f>ROUND(O886*$C886,0)</f>
        <v>0</v>
      </c>
      <c r="R886" s="2"/>
      <c r="S886" s="369" t="str">
        <f>S965</f>
        <v xml:space="preserve"> </v>
      </c>
      <c r="T886" s="306"/>
      <c r="U886" s="2">
        <f>ROUND(S886*$C886,0)</f>
        <v>0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294" t="s">
        <v>393</v>
      </c>
      <c r="B887" s="1"/>
      <c r="C887" s="304">
        <v>19015</v>
      </c>
      <c r="D887" s="369">
        <v>7.97</v>
      </c>
      <c r="E887" s="306"/>
      <c r="F887" s="2">
        <f>ROUND(D887*C887,0)</f>
        <v>151550</v>
      </c>
      <c r="G887" s="369">
        <f ca="1">G966</f>
        <v>8.16</v>
      </c>
      <c r="H887" s="306"/>
      <c r="I887" s="2">
        <f ca="1">ROUND(G887*$C887,0)</f>
        <v>155162</v>
      </c>
      <c r="J887" s="2"/>
      <c r="K887" s="369" t="e">
        <f ca="1">K966</f>
        <v>#DIV/0!</v>
      </c>
      <c r="L887" s="306"/>
      <c r="M887" s="2" t="e">
        <f ca="1">ROUND(K887*$C887,0)</f>
        <v>#DIV/0!</v>
      </c>
      <c r="N887" s="2"/>
      <c r="O887" s="369" t="e">
        <f ca="1">O966</f>
        <v>#DIV/0!</v>
      </c>
      <c r="P887" s="306"/>
      <c r="Q887" s="2" t="e">
        <f ca="1">ROUND(O887*$C887,0)</f>
        <v>#DIV/0!</v>
      </c>
      <c r="R887" s="2"/>
      <c r="S887" s="369" t="e">
        <f ca="1">S966</f>
        <v>#DIV/0!</v>
      </c>
      <c r="T887" s="306"/>
      <c r="U887" s="2" t="e">
        <f ca="1">ROUND(S887*$C887,0)</f>
        <v>#DIV/0!</v>
      </c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416</v>
      </c>
      <c r="B888" s="1"/>
      <c r="C888" s="304"/>
      <c r="D888" s="369"/>
      <c r="E888" s="306"/>
      <c r="F888" s="2"/>
      <c r="G888" s="369"/>
      <c r="H888" s="306"/>
      <c r="I888" s="2"/>
      <c r="J888" s="2"/>
      <c r="K888" s="369"/>
      <c r="L888" s="306"/>
      <c r="M888" s="2"/>
      <c r="N888" s="2"/>
      <c r="O888" s="369"/>
      <c r="P888" s="306"/>
      <c r="Q888" s="2"/>
      <c r="R888" s="2"/>
      <c r="S888" s="369"/>
      <c r="T888" s="306"/>
      <c r="U888" s="2"/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454</v>
      </c>
      <c r="B889" s="1"/>
      <c r="C889" s="304">
        <v>2245825</v>
      </c>
      <c r="D889" s="372">
        <v>4.7409999999999997</v>
      </c>
      <c r="E889" s="306" t="s">
        <v>364</v>
      </c>
      <c r="F889" s="2">
        <f>ROUND(D889/100*C889,0)</f>
        <v>106475</v>
      </c>
      <c r="G889" s="372">
        <f ca="1">G968</f>
        <v>4.8520000000000003</v>
      </c>
      <c r="H889" s="306" t="s">
        <v>364</v>
      </c>
      <c r="I889" s="2">
        <f ca="1">ROUND(G889/100*$C889,0)</f>
        <v>108967</v>
      </c>
      <c r="J889" s="2"/>
      <c r="K889" s="372" t="str">
        <f>K968</f>
        <v xml:space="preserve"> </v>
      </c>
      <c r="L889" s="306" t="s">
        <v>31</v>
      </c>
      <c r="M889" s="2">
        <f>ROUND(K889/100*$C889,0)</f>
        <v>0</v>
      </c>
      <c r="N889" s="2"/>
      <c r="O889" s="372" t="e">
        <f ca="1">O968</f>
        <v>#DIV/0!</v>
      </c>
      <c r="P889" s="306" t="s">
        <v>364</v>
      </c>
      <c r="Q889" s="2" t="e">
        <f ca="1">ROUND(O889/100*$C889,0)</f>
        <v>#DIV/0!</v>
      </c>
      <c r="R889" s="2"/>
      <c r="S889" s="372" t="e">
        <f ca="1">S968</f>
        <v>#DIV/0!</v>
      </c>
      <c r="T889" s="306" t="s">
        <v>364</v>
      </c>
      <c r="U889" s="2" t="e">
        <f ca="1">ROUND(S889/100*$C889,0)</f>
        <v>#DIV/0!</v>
      </c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308" t="s">
        <v>390</v>
      </c>
      <c r="B890" s="1"/>
      <c r="C890" s="304">
        <v>0</v>
      </c>
      <c r="D890" s="369">
        <v>0.56000000000000005</v>
      </c>
      <c r="E890" s="306"/>
      <c r="F890" s="2">
        <f>ROUND(D890*C890,0)</f>
        <v>0</v>
      </c>
      <c r="G890" s="369">
        <f ca="1">G969</f>
        <v>0.56999999999999995</v>
      </c>
      <c r="H890" s="306"/>
      <c r="I890" s="2">
        <f ca="1">ROUND(G890*$C890,0)</f>
        <v>0</v>
      </c>
      <c r="J890" s="2"/>
      <c r="K890" s="369" t="str">
        <f>K969</f>
        <v xml:space="preserve"> </v>
      </c>
      <c r="L890" s="306"/>
      <c r="M890" s="2">
        <f>ROUND(K890*$C890,0)</f>
        <v>0</v>
      </c>
      <c r="N890" s="2"/>
      <c r="O890" s="369" t="e">
        <f ca="1">O969</f>
        <v>#DIV/0!</v>
      </c>
      <c r="P890" s="306"/>
      <c r="Q890" s="2" t="e">
        <f ca="1">ROUND(O890*$C890,0)</f>
        <v>#DIV/0!</v>
      </c>
      <c r="R890" s="2"/>
      <c r="S890" s="369" t="e">
        <f ca="1">S969</f>
        <v>#DIV/0!</v>
      </c>
      <c r="T890" s="306"/>
      <c r="U890" s="2" t="e">
        <f ca="1">ROUND(S890*$C890,0)</f>
        <v>#DIV/0!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418</v>
      </c>
      <c r="B891" s="1"/>
      <c r="C891" s="304">
        <v>0</v>
      </c>
      <c r="D891" s="1407">
        <v>5.9999999999999995E-4</v>
      </c>
      <c r="E891" s="306"/>
      <c r="F891" s="2">
        <f>ROUND(D891*C891,0)</f>
        <v>0</v>
      </c>
      <c r="G891" s="1407">
        <v>5.9999999999999995E-4</v>
      </c>
      <c r="H891" s="306"/>
      <c r="I891" s="2">
        <f>ROUND(G891*$C891,0)</f>
        <v>0</v>
      </c>
      <c r="J891" s="2"/>
      <c r="K891" s="373">
        <v>5.9999999999999995E-4</v>
      </c>
      <c r="L891" s="306"/>
      <c r="M891" s="2">
        <f>ROUND(K891*$C891,0)</f>
        <v>0</v>
      </c>
      <c r="N891" s="2"/>
      <c r="O891" s="373">
        <v>5.9999999999999995E-4</v>
      </c>
      <c r="P891" s="306"/>
      <c r="Q891" s="2">
        <f>ROUND(O891*$C891,0)</f>
        <v>0</v>
      </c>
      <c r="R891" s="2"/>
      <c r="S891" s="373">
        <v>5.9999999999999995E-4</v>
      </c>
      <c r="T891" s="306"/>
      <c r="U891" s="2">
        <f>ROUND(S891*$C891,0)</f>
        <v>0</v>
      </c>
      <c r="V891" s="304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423</v>
      </c>
      <c r="B892" s="1"/>
      <c r="C892" s="304">
        <v>4985</v>
      </c>
      <c r="D892" s="319">
        <v>3.9849999999999999</v>
      </c>
      <c r="E892" s="306"/>
      <c r="F892" s="306">
        <f>ROUND(D892*$C892,0)</f>
        <v>19865</v>
      </c>
      <c r="G892" s="319">
        <f ca="1">ROUND(G887/2,3)</f>
        <v>4.08</v>
      </c>
      <c r="H892" s="306"/>
      <c r="I892" s="306">
        <f ca="1">ROUND($C892*G892,0)</f>
        <v>20339</v>
      </c>
      <c r="J892" s="306"/>
      <c r="K892" s="319" t="e">
        <f ca="1">ROUND(K887/2,3)</f>
        <v>#DIV/0!</v>
      </c>
      <c r="L892" s="306"/>
      <c r="M892" s="306" t="e">
        <f ca="1">ROUND($C892*K892,0)</f>
        <v>#DIV/0!</v>
      </c>
      <c r="N892" s="306"/>
      <c r="O892" s="319" t="e">
        <f ca="1">ROUND(O887/2,3)</f>
        <v>#DIV/0!</v>
      </c>
      <c r="P892" s="306"/>
      <c r="Q892" s="306" t="e">
        <f ca="1">ROUND($C892*O892,0)</f>
        <v>#DIV/0!</v>
      </c>
      <c r="R892" s="306"/>
      <c r="S892" s="319" t="e">
        <f ca="1">ROUND(S887/2,3)</f>
        <v>#DIV/0!</v>
      </c>
      <c r="T892" s="306"/>
      <c r="U892" s="306" t="e">
        <f ca="1">ROUND($C892*S892,0)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294" t="s">
        <v>424</v>
      </c>
      <c r="B893" s="1"/>
      <c r="C893" s="304">
        <v>100</v>
      </c>
      <c r="D893" s="319">
        <v>31.88</v>
      </c>
      <c r="E893" s="306"/>
      <c r="F893" s="306">
        <f>ROUND(D893*$C893,0)</f>
        <v>3188</v>
      </c>
      <c r="G893" s="319">
        <f ca="1">G887*4</f>
        <v>32.64</v>
      </c>
      <c r="H893" s="306"/>
      <c r="I893" s="306">
        <f ca="1">ROUND($C893*G893,0)</f>
        <v>3264</v>
      </c>
      <c r="J893" s="306"/>
      <c r="K893" s="319" t="e">
        <f ca="1">K887*4</f>
        <v>#DIV/0!</v>
      </c>
      <c r="L893" s="306"/>
      <c r="M893" s="306" t="e">
        <f ca="1">ROUND($C893*K893,0)</f>
        <v>#DIV/0!</v>
      </c>
      <c r="N893" s="306"/>
      <c r="O893" s="319" t="e">
        <f ca="1">O887*4</f>
        <v>#DIV/0!</v>
      </c>
      <c r="P893" s="306"/>
      <c r="Q893" s="306" t="e">
        <f ca="1">ROUND($C893*O893,0)</f>
        <v>#DIV/0!</v>
      </c>
      <c r="R893" s="306"/>
      <c r="S893" s="319" t="e">
        <f ca="1">S887*4</f>
        <v>#DIV/0!</v>
      </c>
      <c r="T893" s="306"/>
      <c r="U893" s="306" t="e">
        <f ca="1">ROUND($C893*S893,0)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>
      <c r="A894" s="3" t="s">
        <v>425</v>
      </c>
      <c r="B894" s="288"/>
      <c r="C894" s="304">
        <v>175</v>
      </c>
      <c r="D894" s="377">
        <v>18.963999999999999</v>
      </c>
      <c r="E894" s="306" t="s">
        <v>364</v>
      </c>
      <c r="F894" s="306">
        <f>ROUND($C894*D894/100,0)</f>
        <v>33</v>
      </c>
      <c r="G894" s="377">
        <f ca="1">(G889+G895)*4</f>
        <v>19.408000000000001</v>
      </c>
      <c r="H894" s="306" t="s">
        <v>364</v>
      </c>
      <c r="I894" s="306">
        <f ca="1">ROUND($C894*G894/100,0)</f>
        <v>34</v>
      </c>
      <c r="J894" s="306"/>
      <c r="K894" s="377" t="s">
        <v>31</v>
      </c>
      <c r="L894" s="306" t="s">
        <v>31</v>
      </c>
      <c r="M894" s="306">
        <f>ROUND($C894*K894/100,0)</f>
        <v>0</v>
      </c>
      <c r="N894" s="306"/>
      <c r="O894" s="377" t="e">
        <f ca="1">(O889+O895)*4</f>
        <v>#DIV/0!</v>
      </c>
      <c r="P894" s="306" t="s">
        <v>364</v>
      </c>
      <c r="Q894" s="306" t="e">
        <f ca="1">ROUND($C894*O894/100,0)</f>
        <v>#DIV/0!</v>
      </c>
      <c r="R894" s="306"/>
      <c r="S894" s="377" t="e">
        <f ca="1">(S889+S895)*4</f>
        <v>#DIV/0!</v>
      </c>
      <c r="T894" s="306" t="s">
        <v>364</v>
      </c>
      <c r="U894" s="306" t="e">
        <f ca="1">ROUND($C894*S894/100,0)</f>
        <v>#DIV/0!</v>
      </c>
      <c r="Z894" s="20"/>
      <c r="AA894" s="20"/>
      <c r="AB894" s="20"/>
      <c r="AC894" s="20"/>
      <c r="AD894" s="20"/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</row>
    <row r="895" spans="1:44" s="1118" customFormat="1" hidden="1">
      <c r="A895" s="968" t="s">
        <v>891</v>
      </c>
      <c r="C895" s="1122">
        <f>C889</f>
        <v>2245825</v>
      </c>
      <c r="D895" s="1423">
        <v>0</v>
      </c>
      <c r="E895" s="1119"/>
      <c r="F895" s="1123"/>
      <c r="G895" s="1136">
        <f>G950</f>
        <v>0</v>
      </c>
      <c r="H895" s="1000" t="s">
        <v>364</v>
      </c>
      <c r="I895" s="1123">
        <f>ROUND(G895/100*$C895,0)</f>
        <v>0</v>
      </c>
      <c r="J895" s="1123"/>
      <c r="K895" s="1136" t="str">
        <f>K950</f>
        <v xml:space="preserve"> </v>
      </c>
      <c r="L895" s="1000" t="s">
        <v>31</v>
      </c>
      <c r="M895" s="1123">
        <f>ROUND(K895/100*$C895,0)</f>
        <v>0</v>
      </c>
      <c r="N895" s="1123"/>
      <c r="O895" s="1136" t="str">
        <f>O950</f>
        <v xml:space="preserve"> </v>
      </c>
      <c r="P895" s="1000" t="s">
        <v>31</v>
      </c>
      <c r="Q895" s="1123">
        <f>ROUND(O895/100*$C895,0)</f>
        <v>0</v>
      </c>
      <c r="R895" s="1123"/>
      <c r="S895" s="1136">
        <f>S950</f>
        <v>0</v>
      </c>
      <c r="T895" s="1000" t="s">
        <v>364</v>
      </c>
      <c r="U895" s="1123">
        <f>ROUND(S895/100*$C895,0)</f>
        <v>0</v>
      </c>
      <c r="W895" s="784"/>
      <c r="Z895" s="1125"/>
      <c r="AA895" s="1125"/>
      <c r="AF895" s="1119"/>
      <c r="AG895" s="1119"/>
      <c r="AH895" s="1119"/>
      <c r="AI895" s="1119"/>
      <c r="AJ895" s="1119"/>
      <c r="AK895" s="1119"/>
      <c r="AL895" s="1119"/>
      <c r="AM895" s="1119"/>
      <c r="AN895" s="1119"/>
      <c r="AO895" s="1119"/>
      <c r="AP895" s="1119"/>
      <c r="AR895" s="1124"/>
    </row>
    <row r="896" spans="1:44">
      <c r="A896" s="1" t="s">
        <v>371</v>
      </c>
      <c r="B896" s="1"/>
      <c r="C896" s="304">
        <f>C889</f>
        <v>2245825</v>
      </c>
      <c r="D896" s="315"/>
      <c r="E896" s="1"/>
      <c r="F896" s="2">
        <f>SUM(F882:F894)</f>
        <v>324807</v>
      </c>
      <c r="G896" s="315"/>
      <c r="H896" s="1"/>
      <c r="I896" s="2">
        <f ca="1">SUM(I882:I895)</f>
        <v>332550</v>
      </c>
      <c r="J896" s="2"/>
      <c r="K896" s="315"/>
      <c r="L896" s="1"/>
      <c r="M896" s="2" t="e">
        <f ca="1">SUM(M882:M895)</f>
        <v>#DIV/0!</v>
      </c>
      <c r="N896" s="2"/>
      <c r="O896" s="315"/>
      <c r="P896" s="1"/>
      <c r="Q896" s="2" t="e">
        <f ca="1">SUM(Q882:Q895)</f>
        <v>#DIV/0!</v>
      </c>
      <c r="R896" s="2"/>
      <c r="S896" s="315"/>
      <c r="T896" s="1"/>
      <c r="U896" s="2" t="e">
        <f ca="1">SUM(U882:U895)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>
      <c r="A897" s="1" t="s">
        <v>353</v>
      </c>
      <c r="B897" s="1"/>
      <c r="C897" s="304">
        <f ca="1">'Table 2'!H79</f>
        <v>6982.7291342675553</v>
      </c>
      <c r="D897" s="294"/>
      <c r="E897" s="294"/>
      <c r="F897" s="326">
        <f ca="1">'Table 3'!E79</f>
        <v>1009.9054190115011</v>
      </c>
      <c r="G897" s="294"/>
      <c r="H897" s="294"/>
      <c r="I897" s="326">
        <f ca="1">F897</f>
        <v>1009.9054190115011</v>
      </c>
      <c r="J897" s="307"/>
      <c r="K897" s="294"/>
      <c r="L897" s="294"/>
      <c r="M897" s="738" t="e">
        <f ca="1">$I$897*V955/(V955+$W$955+$X$955)</f>
        <v>#DIV/0!</v>
      </c>
      <c r="N897" s="51"/>
      <c r="O897" s="294"/>
      <c r="P897" s="294"/>
      <c r="Q897" s="738" t="e">
        <f ca="1">$I$897*W955/(V955+$W$955+$X$955)</f>
        <v>#DIV/0!</v>
      </c>
      <c r="R897" s="51"/>
      <c r="S897" s="294"/>
      <c r="T897" s="294"/>
      <c r="U897" s="738" t="e">
        <f ca="1">$I$897*X955/($V$955+$W$955+$X$955)</f>
        <v>#DIV/0!</v>
      </c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Bot="1">
      <c r="A898" s="1" t="s">
        <v>372</v>
      </c>
      <c r="B898" s="1"/>
      <c r="C898" s="378">
        <f ca="1">SUM(C896)+C897</f>
        <v>2252807.7291342677</v>
      </c>
      <c r="D898" s="327"/>
      <c r="E898" s="330"/>
      <c r="F898" s="329">
        <f ca="1">F896+F897</f>
        <v>325816.90541901148</v>
      </c>
      <c r="G898" s="327"/>
      <c r="H898" s="330"/>
      <c r="I898" s="329">
        <f ca="1">I896+I897</f>
        <v>333559.90541901148</v>
      </c>
      <c r="J898" s="329"/>
      <c r="K898" s="327"/>
      <c r="L898" s="330"/>
      <c r="M898" s="329" t="e">
        <f ca="1">M896+M897</f>
        <v>#DIV/0!</v>
      </c>
      <c r="N898" s="329"/>
      <c r="O898" s="327"/>
      <c r="P898" s="330"/>
      <c r="Q898" s="329" t="e">
        <f ca="1">Q896+Q897</f>
        <v>#DIV/0!</v>
      </c>
      <c r="R898" s="329"/>
      <c r="S898" s="327"/>
      <c r="T898" s="330"/>
      <c r="U898" s="329" t="e">
        <f ca="1">U896+U897</f>
        <v>#DIV/0!</v>
      </c>
      <c r="V898" s="757" t="s">
        <v>354</v>
      </c>
      <c r="W898" s="778">
        <f ca="1">'Rate Spread targets'!X28*1000</f>
        <v>333313.81917975377</v>
      </c>
      <c r="X898" s="1417">
        <f ca="1">'Rate Spread targets'!AA28</f>
        <v>2.3473253601397698E-2</v>
      </c>
      <c r="Y898" s="751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 ht="16.5" thickTop="1">
      <c r="A899" s="1"/>
      <c r="B899" s="1"/>
      <c r="C899" s="21"/>
      <c r="D899" s="322"/>
      <c r="E899" s="1"/>
      <c r="F899" s="2"/>
      <c r="G899" s="322"/>
      <c r="H899" s="1"/>
      <c r="I899" s="365"/>
      <c r="J899" s="365"/>
      <c r="K899" s="322"/>
      <c r="L899" s="1"/>
      <c r="M899" s="365"/>
      <c r="N899" s="365"/>
      <c r="O899" s="322"/>
      <c r="P899" s="1"/>
      <c r="Q899" s="365"/>
      <c r="R899" s="365"/>
      <c r="S899" s="322"/>
      <c r="T899" s="1"/>
      <c r="U899" s="365"/>
      <c r="V899" s="112" t="s">
        <v>257</v>
      </c>
      <c r="W899" s="780">
        <f ca="1">W898-I898</f>
        <v>-246.08623925771099</v>
      </c>
      <c r="X899" s="785" t="s">
        <v>31</v>
      </c>
      <c r="Y899" s="795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78" t="s">
        <v>466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294" t="s">
        <v>467</v>
      </c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/>
      <c r="B902" s="1"/>
      <c r="C902" s="1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383</v>
      </c>
      <c r="B903" s="1"/>
      <c r="C903" s="304"/>
      <c r="D903" s="2"/>
      <c r="E903" s="1"/>
      <c r="F903" s="1"/>
      <c r="G903" s="2"/>
      <c r="H903" s="1"/>
      <c r="I903" s="1"/>
      <c r="J903" s="1"/>
      <c r="K903" s="2"/>
      <c r="L903" s="1"/>
      <c r="M903" s="1"/>
      <c r="N903" s="1"/>
      <c r="O903" s="2"/>
      <c r="P903" s="1"/>
      <c r="Q903" s="1"/>
      <c r="R903" s="1"/>
      <c r="S903" s="2"/>
      <c r="T903" s="1"/>
      <c r="U903" s="1"/>
      <c r="V903" s="20"/>
      <c r="W903" s="74"/>
      <c r="X903" s="74"/>
      <c r="Y903" s="74"/>
      <c r="Z903" s="20"/>
      <c r="AA903" s="20"/>
      <c r="AB903" s="20"/>
      <c r="AC903" s="20"/>
      <c r="AD903" s="20"/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</row>
    <row r="904" spans="1:45">
      <c r="A904" s="308" t="s">
        <v>461</v>
      </c>
      <c r="B904" s="1"/>
      <c r="C904" s="304">
        <f t="shared" ref="C904:C909" si="172">C923+C1091</f>
        <v>781.84848484848533</v>
      </c>
      <c r="D904" s="322"/>
      <c r="E904" s="306"/>
      <c r="F904" s="2">
        <f>F923+F1091</f>
        <v>1107359</v>
      </c>
      <c r="G904" s="322"/>
      <c r="H904" s="306"/>
      <c r="I904" s="2">
        <f ca="1">I923+I1091</f>
        <v>1131987</v>
      </c>
      <c r="J904" s="2"/>
      <c r="K904" s="322"/>
      <c r="L904" s="306"/>
      <c r="M904" s="2">
        <f ca="1">M923+M1091</f>
        <v>1131987</v>
      </c>
      <c r="N904" s="2"/>
      <c r="O904" s="322"/>
      <c r="P904" s="306"/>
      <c r="Q904" s="2">
        <f>Q923+Q1091</f>
        <v>0</v>
      </c>
      <c r="R904" s="2"/>
      <c r="S904" s="322"/>
      <c r="T904" s="306"/>
      <c r="U904" s="2">
        <f>U923+U1091</f>
        <v>0</v>
      </c>
      <c r="W904" s="55" t="s">
        <v>31</v>
      </c>
      <c r="X904" s="3"/>
      <c r="Y904" s="3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462</v>
      </c>
      <c r="B905" s="1"/>
      <c r="C905" s="304">
        <f t="shared" si="172"/>
        <v>12.033333333333299</v>
      </c>
      <c r="D905" s="322"/>
      <c r="E905" s="309"/>
      <c r="F905" s="2">
        <f>F924+F1092</f>
        <v>32237</v>
      </c>
      <c r="G905" s="322"/>
      <c r="H905" s="309"/>
      <c r="I905" s="2">
        <f ca="1">I924+I1092</f>
        <v>34283</v>
      </c>
      <c r="J905" s="2"/>
      <c r="K905" s="322"/>
      <c r="L905" s="309"/>
      <c r="M905" s="2">
        <f ca="1">M924+M1092</f>
        <v>34283</v>
      </c>
      <c r="N905" s="2"/>
      <c r="O905" s="322"/>
      <c r="P905" s="309"/>
      <c r="Q905" s="2">
        <f>Q924+Q1092</f>
        <v>0</v>
      </c>
      <c r="R905" s="2"/>
      <c r="S905" s="322"/>
      <c r="T905" s="309"/>
      <c r="U905" s="2">
        <f>U924+U1092</f>
        <v>0</v>
      </c>
      <c r="W905" s="55" t="s">
        <v>31</v>
      </c>
      <c r="X905" s="3"/>
      <c r="Y905" s="3"/>
      <c r="Z905" s="106"/>
      <c r="AA905" s="106"/>
      <c r="AB905" s="106"/>
      <c r="AC905" s="106"/>
      <c r="AD905" s="106"/>
      <c r="AE905" s="106"/>
      <c r="AF905" s="222"/>
      <c r="AG905" s="314"/>
      <c r="AH905" s="314"/>
      <c r="AN905" s="20"/>
      <c r="AO905" s="20"/>
      <c r="AP905" s="20"/>
      <c r="AQ905" s="20"/>
      <c r="AR905" s="20"/>
      <c r="AS905" s="20"/>
    </row>
    <row r="906" spans="1:45">
      <c r="A906" s="308" t="s">
        <v>384</v>
      </c>
      <c r="B906" s="1"/>
      <c r="C906" s="304">
        <f t="shared" si="172"/>
        <v>793.88181818181874</v>
      </c>
      <c r="D906" s="322"/>
      <c r="E906" s="306"/>
      <c r="F906" s="2"/>
      <c r="G906" s="322"/>
      <c r="H906" s="306"/>
      <c r="I906" s="2"/>
      <c r="J906" s="2"/>
      <c r="K906" s="322"/>
      <c r="L906" s="306"/>
      <c r="M906" s="2"/>
      <c r="N906" s="2"/>
      <c r="O906" s="322"/>
      <c r="P906" s="306"/>
      <c r="Q906" s="2"/>
      <c r="R906" s="2"/>
      <c r="S906" s="322"/>
      <c r="T906" s="306"/>
      <c r="U906" s="2"/>
      <c r="W906" s="305"/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463</v>
      </c>
      <c r="B907" s="1"/>
      <c r="C907" s="304">
        <f t="shared" si="172"/>
        <v>1152406.7586206889</v>
      </c>
      <c r="D907" s="322"/>
      <c r="E907" s="306"/>
      <c r="F907" s="2">
        <f>F926+F1094</f>
        <v>1163685</v>
      </c>
      <c r="G907" s="322"/>
      <c r="H907" s="306"/>
      <c r="I907" s="2">
        <f ca="1">I926+I1094</f>
        <v>1193640</v>
      </c>
      <c r="J907" s="2"/>
      <c r="K907" s="322"/>
      <c r="L907" s="306"/>
      <c r="M907" s="2">
        <f ca="1">M926+M1094</f>
        <v>1193640</v>
      </c>
      <c r="N907" s="2"/>
      <c r="O907" s="322"/>
      <c r="P907" s="306"/>
      <c r="Q907" s="2">
        <f>Q926+Q1094</f>
        <v>0</v>
      </c>
      <c r="R907" s="2"/>
      <c r="S907" s="322"/>
      <c r="T907" s="306"/>
      <c r="U907" s="2">
        <f>U926+U1094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308" t="s">
        <v>464</v>
      </c>
      <c r="B908" s="1"/>
      <c r="C908" s="304">
        <f t="shared" si="172"/>
        <v>703485</v>
      </c>
      <c r="D908" s="322"/>
      <c r="E908" s="306"/>
      <c r="F908" s="2">
        <f>F927+F1095</f>
        <v>175871</v>
      </c>
      <c r="G908" s="322"/>
      <c r="H908" s="306"/>
      <c r="I908" s="2">
        <f ca="1">I927+I1095</f>
        <v>182906</v>
      </c>
      <c r="J908" s="2"/>
      <c r="K908" s="322"/>
      <c r="L908" s="306"/>
      <c r="M908" s="2">
        <f ca="1">M927+M1095</f>
        <v>182906</v>
      </c>
      <c r="N908" s="2"/>
      <c r="O908" s="322"/>
      <c r="P908" s="306"/>
      <c r="Q908" s="2">
        <f>Q927+Q1095</f>
        <v>0</v>
      </c>
      <c r="R908" s="2"/>
      <c r="S908" s="322"/>
      <c r="T908" s="306"/>
      <c r="U908" s="2">
        <f>U927+U1095</f>
        <v>0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294" t="s">
        <v>393</v>
      </c>
      <c r="B909" s="1"/>
      <c r="C909" s="304">
        <f t="shared" si="172"/>
        <v>1624150.3448275861</v>
      </c>
      <c r="D909" s="322"/>
      <c r="E909" s="306"/>
      <c r="F909" s="2">
        <f>F928+F1096</f>
        <v>12753358</v>
      </c>
      <c r="G909" s="322"/>
      <c r="H909" s="306"/>
      <c r="I909" s="2">
        <f ca="1">I928+I1096</f>
        <v>13055100</v>
      </c>
      <c r="J909" s="2"/>
      <c r="K909" s="322"/>
      <c r="L909" s="306"/>
      <c r="M909" s="2" t="e">
        <f ca="1">M928+M1096</f>
        <v>#DIV/0!</v>
      </c>
      <c r="N909" s="2"/>
      <c r="O909" s="322"/>
      <c r="P909" s="306"/>
      <c r="Q909" s="2" t="e">
        <f ca="1">Q928+Q1096</f>
        <v>#DIV/0!</v>
      </c>
      <c r="R909" s="2"/>
      <c r="S909" s="322"/>
      <c r="T909" s="306"/>
      <c r="U909" s="2" t="e">
        <f ca="1">U928+U1096</f>
        <v>#DIV/0!</v>
      </c>
      <c r="W909" s="55" t="s">
        <v>31</v>
      </c>
      <c r="X909" s="3"/>
      <c r="Y909" s="3"/>
      <c r="Z909" s="106"/>
      <c r="AA909" s="106"/>
      <c r="AB909" s="106"/>
      <c r="AC909" s="106"/>
      <c r="AD909" s="106"/>
      <c r="AE909" s="106"/>
      <c r="AF909" s="222"/>
      <c r="AN909" s="20"/>
      <c r="AO909" s="20"/>
      <c r="AP909" s="20"/>
      <c r="AQ909" s="20"/>
      <c r="AR909" s="20"/>
      <c r="AS909" s="20"/>
    </row>
    <row r="910" spans="1:45">
      <c r="A910" s="308" t="s">
        <v>416</v>
      </c>
      <c r="B910" s="1"/>
      <c r="C910" s="304"/>
      <c r="D910" s="322"/>
      <c r="E910" s="306"/>
      <c r="F910" s="2"/>
      <c r="G910" s="322"/>
      <c r="H910" s="306"/>
      <c r="I910" s="2"/>
      <c r="J910" s="2"/>
      <c r="K910" s="322"/>
      <c r="L910" s="306"/>
      <c r="M910" s="2"/>
      <c r="N910" s="2"/>
      <c r="O910" s="322"/>
      <c r="P910" s="306"/>
      <c r="Q910" s="2"/>
      <c r="R910" s="2"/>
      <c r="S910" s="322"/>
      <c r="T910" s="306"/>
      <c r="U910" s="2"/>
      <c r="W910" s="305"/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454</v>
      </c>
      <c r="B911" s="1"/>
      <c r="C911" s="304">
        <f>C930+C1098</f>
        <v>869720303.16002488</v>
      </c>
      <c r="D911" s="957"/>
      <c r="E911" s="306"/>
      <c r="F911" s="2">
        <f>F930+F1098</f>
        <v>40771202</v>
      </c>
      <c r="G911" s="380"/>
      <c r="H911" s="306"/>
      <c r="I911" s="2">
        <f ca="1">I930+I1098</f>
        <v>41726660</v>
      </c>
      <c r="J911" s="2"/>
      <c r="K911" s="380"/>
      <c r="L911" s="306"/>
      <c r="M911" s="2">
        <f>M930+M1098</f>
        <v>0</v>
      </c>
      <c r="N911" s="2"/>
      <c r="O911" s="380"/>
      <c r="P911" s="306"/>
      <c r="Q911" s="2" t="e">
        <f ca="1">Q930+Q1098</f>
        <v>#DIV/0!</v>
      </c>
      <c r="R911" s="2"/>
      <c r="S911" s="380"/>
      <c r="T911" s="306"/>
      <c r="U911" s="2" t="e">
        <f ca="1">U930+U1098</f>
        <v>#DIV/0!</v>
      </c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>
      <c r="A912" s="308" t="s">
        <v>390</v>
      </c>
      <c r="B912" s="1"/>
      <c r="C912" s="304">
        <f>C931+C1099</f>
        <v>359083.13939393929</v>
      </c>
      <c r="D912" s="322"/>
      <c r="E912" s="306"/>
      <c r="F912" s="2">
        <f>F931+F1099</f>
        <v>197256</v>
      </c>
      <c r="G912" s="322"/>
      <c r="H912" s="306"/>
      <c r="I912" s="2">
        <f ca="1">I931+I1099</f>
        <v>200846</v>
      </c>
      <c r="J912" s="2"/>
      <c r="K912" s="322"/>
      <c r="L912" s="306"/>
      <c r="M912" s="2">
        <f>M931+M1099</f>
        <v>0</v>
      </c>
      <c r="N912" s="2"/>
      <c r="O912" s="322"/>
      <c r="P912" s="306"/>
      <c r="Q912" s="2" t="e">
        <f ca="1">Q931+Q1099</f>
        <v>#DIV/0!</v>
      </c>
      <c r="R912" s="2"/>
      <c r="S912" s="322"/>
      <c r="T912" s="306"/>
      <c r="U912" s="2" t="e">
        <f ca="1">U931+U1099</f>
        <v>#DIV/0!</v>
      </c>
      <c r="V912" s="305"/>
      <c r="W912" s="55" t="s">
        <v>31</v>
      </c>
      <c r="AI912" s="20"/>
      <c r="AJ912" s="20"/>
      <c r="AK912" s="20"/>
      <c r="AL912" s="20"/>
      <c r="AM912" s="20"/>
      <c r="AN912" s="20"/>
      <c r="AO912" s="20"/>
      <c r="AP912" s="20"/>
    </row>
    <row r="913" spans="1:44" s="1118" customFormat="1" hidden="1">
      <c r="A913" s="968" t="s">
        <v>891</v>
      </c>
      <c r="C913" s="987">
        <f>C933+C1115</f>
        <v>411242303.16002488</v>
      </c>
      <c r="D913" s="254"/>
      <c r="E913" s="1119"/>
      <c r="F913" s="1123"/>
      <c r="G913" s="250"/>
      <c r="H913" s="1119"/>
      <c r="I913" s="1123">
        <f ca="1">I933+I1115</f>
        <v>29970919</v>
      </c>
      <c r="J913" s="1123"/>
      <c r="K913" s="250"/>
      <c r="L913" s="1119"/>
      <c r="M913" s="1123" t="e">
        <f ca="1">M933+M1115</f>
        <v>#DIV/0!</v>
      </c>
      <c r="N913" s="1123"/>
      <c r="O913" s="250"/>
      <c r="P913" s="1119"/>
      <c r="Q913" s="1123" t="e">
        <f ca="1">Q933+Q1115</f>
        <v>#DIV/0!</v>
      </c>
      <c r="R913" s="1123"/>
      <c r="S913" s="250"/>
      <c r="T913" s="1119"/>
      <c r="U913" s="1123" t="e">
        <f ca="1">U933+U1115</f>
        <v>#DIV/0!</v>
      </c>
      <c r="W913" s="784"/>
      <c r="Z913" s="1125"/>
      <c r="AA913" s="1125"/>
      <c r="AF913" s="1119"/>
      <c r="AG913" s="1119"/>
      <c r="AH913" s="1119"/>
      <c r="AI913" s="1119"/>
      <c r="AJ913" s="1119"/>
      <c r="AK913" s="1119"/>
      <c r="AL913" s="1119"/>
      <c r="AM913" s="1119"/>
      <c r="AN913" s="1119"/>
      <c r="AO913" s="1119"/>
      <c r="AP913" s="1119"/>
      <c r="AR913" s="1124"/>
    </row>
    <row r="914" spans="1:44">
      <c r="A914" s="1" t="s">
        <v>371</v>
      </c>
      <c r="B914" s="1"/>
      <c r="C914" s="304">
        <f>C933+C1102</f>
        <v>869720303.16002488</v>
      </c>
      <c r="D914" s="309"/>
      <c r="E914" s="1"/>
      <c r="F914" s="2">
        <f>F933+F1102</f>
        <v>56200968</v>
      </c>
      <c r="G914" s="2"/>
      <c r="H914" s="1"/>
      <c r="I914" s="2">
        <f ca="1">I933+I1102</f>
        <v>57525422</v>
      </c>
      <c r="J914" s="2"/>
      <c r="K914" s="2"/>
      <c r="L914" s="1"/>
      <c r="M914" s="2" t="e">
        <f ca="1">M933+M1102</f>
        <v>#DIV/0!</v>
      </c>
      <c r="N914" s="2"/>
      <c r="O914" s="2"/>
      <c r="P914" s="1"/>
      <c r="Q914" s="2" t="e">
        <f ca="1">Q933+Q1102</f>
        <v>#DIV/0!</v>
      </c>
      <c r="R914" s="2"/>
      <c r="S914" s="2"/>
      <c r="T914" s="1"/>
      <c r="U914" s="2" t="e">
        <f ca="1">U933+U1102</f>
        <v>#DIV/0!</v>
      </c>
      <c r="AI914" s="20"/>
      <c r="AJ914" s="20"/>
      <c r="AK914" s="20"/>
      <c r="AL914" s="20"/>
      <c r="AM914" s="20"/>
      <c r="AN914" s="20"/>
      <c r="AO914" s="20"/>
      <c r="AP914" s="20"/>
    </row>
    <row r="915" spans="1:44">
      <c r="A915" s="1" t="s">
        <v>353</v>
      </c>
      <c r="B915" s="1"/>
      <c r="C915" s="325">
        <f ca="1">C934+C1103</f>
        <v>3474016.6711449809</v>
      </c>
      <c r="D915" s="294"/>
      <c r="E915" s="294"/>
      <c r="F915" s="738">
        <f ca="1">F934+F1103</f>
        <v>239959.44409985474</v>
      </c>
      <c r="G915" s="294"/>
      <c r="H915" s="294"/>
      <c r="I915" s="738">
        <f ca="1">I934+I1103</f>
        <v>239959.44409985474</v>
      </c>
      <c r="J915" s="51"/>
      <c r="K915" s="294"/>
      <c r="L915" s="294"/>
      <c r="M915" s="738" t="e">
        <f ca="1">M934+M1103</f>
        <v>#DIV/0!</v>
      </c>
      <c r="N915" s="51"/>
      <c r="O915" s="294"/>
      <c r="P915" s="294"/>
      <c r="Q915" s="738" t="e">
        <f ca="1">Q934+Q1103</f>
        <v>#DIV/0!</v>
      </c>
      <c r="R915" s="51"/>
      <c r="S915" s="294"/>
      <c r="T915" s="294"/>
      <c r="U915" s="738" t="e">
        <f ca="1">U934+U1103</f>
        <v>#DIV/0!</v>
      </c>
      <c r="Z915" s="261"/>
      <c r="AA915" s="26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Bot="1">
      <c r="A916" s="1" t="s">
        <v>372</v>
      </c>
      <c r="B916" s="1"/>
      <c r="C916" s="741">
        <f ca="1">SUM(C914:C915)</f>
        <v>873194319.83116984</v>
      </c>
      <c r="D916" s="327"/>
      <c r="E916" s="330"/>
      <c r="F916" s="739">
        <f ca="1">F914+F915</f>
        <v>56440927.444099858</v>
      </c>
      <c r="G916" s="327"/>
      <c r="H916" s="330"/>
      <c r="I916" s="739">
        <f ca="1">I914+I915</f>
        <v>57765381.444099858</v>
      </c>
      <c r="J916" s="51"/>
      <c r="K916" s="327"/>
      <c r="L916" s="330"/>
      <c r="M916" s="739" t="e">
        <f ca="1">M914+M915</f>
        <v>#DIV/0!</v>
      </c>
      <c r="N916" s="51"/>
      <c r="O916" s="327"/>
      <c r="P916" s="330"/>
      <c r="Q916" s="739" t="e">
        <f ca="1">Q914+Q915</f>
        <v>#DIV/0!</v>
      </c>
      <c r="R916" s="51"/>
      <c r="S916" s="327"/>
      <c r="T916" s="330"/>
      <c r="U916" s="739" t="e">
        <f ca="1">U914+U915</f>
        <v>#DIV/0!</v>
      </c>
      <c r="V916" s="757" t="s">
        <v>354</v>
      </c>
      <c r="W916" s="778">
        <f ca="1">('Rate Spread targets'!X28+'Rate Spread targets'!X29+'Rate Spread targets'!X30)*1000</f>
        <v>58099015.069449544</v>
      </c>
      <c r="X916" s="1417">
        <f ca="1">'Rate Spread targets'!AA29</f>
        <v>2.3473253601397698E-2</v>
      </c>
      <c r="Y916" s="751"/>
      <c r="AI916" s="20"/>
      <c r="AJ916" s="20"/>
      <c r="AK916" s="20"/>
      <c r="AL916" s="20"/>
      <c r="AM916" s="20"/>
      <c r="AN916" s="20"/>
      <c r="AO916" s="20"/>
      <c r="AP916" s="20"/>
    </row>
    <row r="917" spans="1:44" ht="16.5" thickTop="1">
      <c r="A917" s="1"/>
      <c r="B917" s="1"/>
      <c r="C917" s="21"/>
      <c r="D917" s="322" t="s">
        <v>31</v>
      </c>
      <c r="E917" s="1"/>
      <c r="F917" s="2"/>
      <c r="G917" s="338" t="s">
        <v>31</v>
      </c>
      <c r="H917" s="1"/>
      <c r="I917" s="2" t="s">
        <v>31</v>
      </c>
      <c r="J917" s="2"/>
      <c r="K917" s="338" t="s">
        <v>31</v>
      </c>
      <c r="L917" s="1"/>
      <c r="M917" s="2" t="s">
        <v>31</v>
      </c>
      <c r="N917" s="2"/>
      <c r="O917" s="338" t="s">
        <v>31</v>
      </c>
      <c r="P917" s="1"/>
      <c r="Q917" s="2" t="s">
        <v>31</v>
      </c>
      <c r="R917" s="2"/>
      <c r="S917" s="338" t="s">
        <v>31</v>
      </c>
      <c r="T917" s="1"/>
      <c r="U917" s="2" t="s">
        <v>31</v>
      </c>
      <c r="V917" s="112" t="s">
        <v>257</v>
      </c>
      <c r="W917" s="780">
        <f ca="1">W916-I916-I898</f>
        <v>73.719930674065836</v>
      </c>
      <c r="X917" s="783" t="s">
        <v>31</v>
      </c>
      <c r="Y917" s="794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1"/>
      <c r="B918" s="1"/>
      <c r="C918" s="21"/>
      <c r="D918" s="322"/>
      <c r="E918" s="1"/>
      <c r="F918" s="2" t="s">
        <v>31</v>
      </c>
      <c r="G918" s="322"/>
      <c r="H918" s="1"/>
      <c r="I918" s="365"/>
      <c r="J918" s="365"/>
      <c r="K918" s="322"/>
      <c r="L918" s="1"/>
      <c r="M918" s="365"/>
      <c r="N918" s="365"/>
      <c r="O918" s="322"/>
      <c r="P918" s="1"/>
      <c r="Q918" s="365"/>
      <c r="R918" s="365"/>
      <c r="S918" s="322"/>
      <c r="T918" s="1"/>
      <c r="U918" s="365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78" t="s">
        <v>466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401"/>
      <c r="W919" s="74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294" t="s">
        <v>468</v>
      </c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/>
      <c r="B921" s="1"/>
      <c r="C921" s="1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V921" s="20"/>
      <c r="W921" s="74"/>
      <c r="X921" s="74"/>
      <c r="Y921" s="74"/>
      <c r="Z921" s="20"/>
      <c r="AA921" s="20"/>
      <c r="AB921" s="20"/>
      <c r="AC921" s="20"/>
      <c r="AD921" s="20"/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</row>
    <row r="922" spans="1:44">
      <c r="A922" s="308" t="s">
        <v>383</v>
      </c>
      <c r="B922" s="1"/>
      <c r="C922" s="304"/>
      <c r="D922" s="2"/>
      <c r="E922" s="1"/>
      <c r="F922" s="1"/>
      <c r="G922" s="2"/>
      <c r="H922" s="1"/>
      <c r="I922" s="1"/>
      <c r="J922" s="1"/>
      <c r="K922" s="2"/>
      <c r="L922" s="1"/>
      <c r="M922" s="1"/>
      <c r="N922" s="1"/>
      <c r="O922" s="2"/>
      <c r="P922" s="1"/>
      <c r="Q922" s="1"/>
      <c r="R922" s="1"/>
      <c r="S922" s="2"/>
      <c r="T922" s="1"/>
      <c r="U922" s="1"/>
      <c r="X922" s="20"/>
      <c r="Y922" s="20"/>
      <c r="Z922" s="69" t="s">
        <v>31</v>
      </c>
      <c r="AH922" s="19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461</v>
      </c>
      <c r="B923" s="1"/>
      <c r="C923" s="304">
        <f>C941+C997</f>
        <v>781.84848484848533</v>
      </c>
      <c r="D923" s="398"/>
      <c r="E923" s="306"/>
      <c r="F923" s="306">
        <f>F941+F997</f>
        <v>1107359</v>
      </c>
      <c r="H923" s="306"/>
      <c r="I923" s="306">
        <f ca="1">I941+I997</f>
        <v>1131987</v>
      </c>
      <c r="J923" s="2"/>
      <c r="L923" s="306"/>
      <c r="M923" s="306">
        <f ca="1">M941+M997</f>
        <v>1131987</v>
      </c>
      <c r="N923" s="2"/>
      <c r="P923" s="306"/>
      <c r="Q923" s="306">
        <f>Q941+Q997</f>
        <v>0</v>
      </c>
      <c r="R923" s="2"/>
      <c r="T923" s="306"/>
      <c r="U923" s="306">
        <f>U941+U997</f>
        <v>0</v>
      </c>
      <c r="W923" s="322">
        <f ca="1">G961</f>
        <v>1442</v>
      </c>
      <c r="X923" s="14">
        <f ca="1">(W923-D941)/D941</f>
        <v>2.1970233876683204E-2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462</v>
      </c>
      <c r="B924" s="1"/>
      <c r="C924" s="304">
        <f>C942+C998</f>
        <v>0</v>
      </c>
      <c r="D924" s="398"/>
      <c r="E924" s="309"/>
      <c r="F924" s="306">
        <f>F942+F998</f>
        <v>0</v>
      </c>
      <c r="H924" s="309"/>
      <c r="I924" s="306">
        <f ca="1">I942+I998</f>
        <v>0</v>
      </c>
      <c r="J924" s="2"/>
      <c r="L924" s="309"/>
      <c r="M924" s="306">
        <f ca="1">M942+M998</f>
        <v>0</v>
      </c>
      <c r="N924" s="2"/>
      <c r="P924" s="309"/>
      <c r="Q924" s="306">
        <f>Q942+Q998</f>
        <v>0</v>
      </c>
      <c r="R924" s="2"/>
      <c r="T924" s="309"/>
      <c r="U924" s="306">
        <f>U942+U998</f>
        <v>0</v>
      </c>
      <c r="W924" s="322">
        <f ca="1">G962</f>
        <v>1743</v>
      </c>
      <c r="X924" s="14">
        <f ca="1">(W924-D942)/D942</f>
        <v>2.3487962419260128E-2</v>
      </c>
      <c r="Y924" s="14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384</v>
      </c>
      <c r="B925" s="1"/>
      <c r="C925" s="304">
        <f t="shared" ref="C925:C929" si="173">C1056+C1075</f>
        <v>781.84848484848544</v>
      </c>
      <c r="D925" s="398"/>
      <c r="E925" s="306"/>
      <c r="F925" s="306">
        <f t="shared" ref="F925:F929" si="174">F1056+F1075</f>
        <v>0</v>
      </c>
      <c r="H925" s="306"/>
      <c r="I925" s="306">
        <f t="shared" ref="I925:I929" si="175">I1056+I1075</f>
        <v>0</v>
      </c>
      <c r="J925" s="2"/>
      <c r="L925" s="306"/>
      <c r="M925" s="306">
        <f t="shared" ref="M925:M929" si="176">M1056+M1075</f>
        <v>0</v>
      </c>
      <c r="N925" s="2"/>
      <c r="P925" s="306"/>
      <c r="Q925" s="306">
        <f t="shared" ref="Q925:Q929" si="177">Q1056+Q1075</f>
        <v>0</v>
      </c>
      <c r="R925" s="2"/>
      <c r="T925" s="306"/>
      <c r="U925" s="306">
        <f t="shared" ref="U925:U929" si="178">U1056+U1075</f>
        <v>0</v>
      </c>
      <c r="W925" s="322" t="s">
        <v>31</v>
      </c>
      <c r="X925" s="305"/>
      <c r="Y925" s="305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463</v>
      </c>
      <c r="B926" s="1"/>
      <c r="C926" s="304">
        <f>C944+C1000</f>
        <v>1152406.7586206889</v>
      </c>
      <c r="D926" s="398"/>
      <c r="E926" s="306"/>
      <c r="F926" s="306">
        <f>F944+F1000</f>
        <v>1163685</v>
      </c>
      <c r="H926" s="306"/>
      <c r="I926" s="306">
        <f ca="1">I944+I1000</f>
        <v>1193640</v>
      </c>
      <c r="J926" s="2"/>
      <c r="L926" s="306"/>
      <c r="M926" s="306">
        <f ca="1">M944+M1000</f>
        <v>1193640</v>
      </c>
      <c r="N926" s="2"/>
      <c r="P926" s="306"/>
      <c r="Q926" s="306">
        <f>Q944+Q1000</f>
        <v>0</v>
      </c>
      <c r="R926" s="2"/>
      <c r="T926" s="306"/>
      <c r="U926" s="306">
        <f>U944+U1000</f>
        <v>0</v>
      </c>
      <c r="W926" s="322">
        <f ca="1">G964</f>
        <v>1.1499999999999999</v>
      </c>
      <c r="X926" s="14">
        <f ca="1">(W926-D944)/D944</f>
        <v>2.6785714285714107E-2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308" t="s">
        <v>464</v>
      </c>
      <c r="B927" s="1"/>
      <c r="C927" s="304">
        <f t="shared" ref="C927:C928" si="179">C945+C1001</f>
        <v>0</v>
      </c>
      <c r="D927" s="398"/>
      <c r="E927" s="306"/>
      <c r="F927" s="306">
        <f t="shared" ref="F927:F928" si="180">F945+F1001</f>
        <v>0</v>
      </c>
      <c r="H927" s="306"/>
      <c r="I927" s="306">
        <f t="shared" ref="I927:I928" ca="1" si="181">I945+I1001</f>
        <v>0</v>
      </c>
      <c r="J927" s="2"/>
      <c r="L927" s="306"/>
      <c r="M927" s="306">
        <f t="shared" ref="M927:M928" ca="1" si="182">M945+M1001</f>
        <v>0</v>
      </c>
      <c r="N927" s="2"/>
      <c r="P927" s="306"/>
      <c r="Q927" s="306">
        <f t="shared" ref="Q927:Q928" si="183">Q945+Q1001</f>
        <v>0</v>
      </c>
      <c r="R927" s="2"/>
      <c r="T927" s="306"/>
      <c r="U927" s="306">
        <f t="shared" ref="U927:U928" si="184">U945+U1001</f>
        <v>0</v>
      </c>
      <c r="W927" s="322">
        <f ca="1">G965</f>
        <v>1.03</v>
      </c>
      <c r="X927" s="14">
        <f ca="1">(W927-D945)/D945</f>
        <v>1.980198019801982E-2</v>
      </c>
      <c r="Y927" s="14"/>
      <c r="AB927" s="106"/>
      <c r="AC927" s="222"/>
      <c r="AD927" s="106"/>
      <c r="AE927" s="222"/>
      <c r="AF927" s="106"/>
      <c r="AG927" s="106"/>
      <c r="AH927" s="71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</row>
    <row r="928" spans="1:44">
      <c r="A928" s="294" t="s">
        <v>393</v>
      </c>
      <c r="B928" s="1"/>
      <c r="C928" s="304">
        <f t="shared" si="179"/>
        <v>939556.34482758609</v>
      </c>
      <c r="D928" s="398"/>
      <c r="E928" s="306"/>
      <c r="F928" s="306">
        <f t="shared" si="180"/>
        <v>7454600</v>
      </c>
      <c r="H928" s="306"/>
      <c r="I928" s="306">
        <f t="shared" ca="1" si="181"/>
        <v>7633116</v>
      </c>
      <c r="J928" s="2"/>
      <c r="L928" s="306"/>
      <c r="M928" s="306" t="e">
        <f t="shared" ca="1" si="182"/>
        <v>#DIV/0!</v>
      </c>
      <c r="N928" s="2"/>
      <c r="P928" s="306"/>
      <c r="Q928" s="306" t="e">
        <f t="shared" ca="1" si="183"/>
        <v>#DIV/0!</v>
      </c>
      <c r="R928" s="2"/>
      <c r="T928" s="306"/>
      <c r="U928" s="306" t="e">
        <f t="shared" ca="1" si="184"/>
        <v>#DIV/0!</v>
      </c>
      <c r="W928" s="322">
        <f ca="1">G966</f>
        <v>8.16</v>
      </c>
      <c r="X928" s="14">
        <f ca="1">(W928-D946)/D946</f>
        <v>2.383939774153079E-2</v>
      </c>
      <c r="Y928" s="14"/>
      <c r="AA928" s="74"/>
      <c r="AB928" s="714"/>
      <c r="AC928" s="710"/>
      <c r="AD928" s="714"/>
      <c r="AE928" s="710"/>
      <c r="AF928" s="714"/>
      <c r="AG928" s="74"/>
      <c r="AH928" s="71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416</v>
      </c>
      <c r="B929" s="1"/>
      <c r="C929" s="304">
        <f t="shared" si="173"/>
        <v>0</v>
      </c>
      <c r="D929" s="398"/>
      <c r="E929" s="306"/>
      <c r="F929" s="306">
        <f t="shared" si="174"/>
        <v>0</v>
      </c>
      <c r="H929" s="306"/>
      <c r="I929" s="306">
        <f t="shared" si="175"/>
        <v>0</v>
      </c>
      <c r="J929" s="2"/>
      <c r="L929" s="306"/>
      <c r="M929" s="306">
        <f t="shared" si="176"/>
        <v>0</v>
      </c>
      <c r="N929" s="2"/>
      <c r="P929" s="306"/>
      <c r="Q929" s="306">
        <f t="shared" si="177"/>
        <v>0</v>
      </c>
      <c r="R929" s="2"/>
      <c r="T929" s="306"/>
      <c r="U929" s="306">
        <f t="shared" si="178"/>
        <v>0</v>
      </c>
      <c r="W929" s="322" t="s">
        <v>31</v>
      </c>
      <c r="X929" s="305"/>
      <c r="Y929" s="305"/>
      <c r="AA929" s="74"/>
      <c r="AB929" s="20"/>
      <c r="AC929" s="20"/>
      <c r="AD929" s="401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454</v>
      </c>
      <c r="B930" s="1"/>
      <c r="C930" s="304">
        <f>C948+C1004</f>
        <v>411242303.16002488</v>
      </c>
      <c r="D930" s="398"/>
      <c r="E930" s="306"/>
      <c r="F930" s="306">
        <f>F948+F1004</f>
        <v>19456560</v>
      </c>
      <c r="H930" s="306"/>
      <c r="I930" s="306">
        <f ca="1">I948+I1004</f>
        <v>19912277</v>
      </c>
      <c r="J930" s="2"/>
      <c r="L930" s="306"/>
      <c r="M930" s="306">
        <f>M948+M1004</f>
        <v>0</v>
      </c>
      <c r="N930" s="2"/>
      <c r="P930" s="306"/>
      <c r="Q930" s="306" t="e">
        <f ca="1">Q948+Q1004</f>
        <v>#DIV/0!</v>
      </c>
      <c r="R930" s="2"/>
      <c r="T930" s="306"/>
      <c r="U930" s="306" t="e">
        <f ca="1">U948+U1004</f>
        <v>#DIV/0!</v>
      </c>
      <c r="W930" s="777" t="s">
        <v>31</v>
      </c>
      <c r="X930" s="55" t="s">
        <v>31</v>
      </c>
      <c r="Y930" s="14"/>
      <c r="AA930" s="74"/>
      <c r="AB930" s="20"/>
      <c r="AC930" s="20"/>
      <c r="AD930" s="714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>
      <c r="A931" s="308" t="s">
        <v>390</v>
      </c>
      <c r="B931" s="1"/>
      <c r="C931" s="304">
        <f>C949+C1005</f>
        <v>175542.2727272723</v>
      </c>
      <c r="D931" s="398"/>
      <c r="E931" s="306"/>
      <c r="F931" s="306">
        <f>F949+F1005</f>
        <v>98144</v>
      </c>
      <c r="H931" s="306"/>
      <c r="I931" s="306">
        <f ca="1">I949+I1005</f>
        <v>99899</v>
      </c>
      <c r="J931" s="2"/>
      <c r="L931" s="306"/>
      <c r="M931" s="306">
        <f>M949+M1005</f>
        <v>0</v>
      </c>
      <c r="N931" s="2"/>
      <c r="P931" s="306"/>
      <c r="Q931" s="306" t="e">
        <f ca="1">Q949+Q1005</f>
        <v>#DIV/0!</v>
      </c>
      <c r="R931" s="2"/>
      <c r="T931" s="306"/>
      <c r="U931" s="306" t="e">
        <f ca="1">U949+U1005</f>
        <v>#DIV/0!</v>
      </c>
      <c r="W931" s="322">
        <f ca="1">G949</f>
        <v>0.56999999999999995</v>
      </c>
      <c r="X931" s="14">
        <f ca="1">(W931-D949)/D949</f>
        <v>1.7857142857142672E-2</v>
      </c>
      <c r="Y931" s="14"/>
      <c r="AA931" s="74"/>
      <c r="AB931" s="2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</row>
    <row r="932" spans="1:44" s="1118" customFormat="1" hidden="1">
      <c r="A932" s="968" t="s">
        <v>891</v>
      </c>
      <c r="C932" s="304">
        <f>C950+C1006</f>
        <v>411242303.16002488</v>
      </c>
      <c r="D932" s="254"/>
      <c r="E932" s="1119"/>
      <c r="F932" s="306">
        <f>F950+F1006</f>
        <v>0</v>
      </c>
      <c r="G932" s="250"/>
      <c r="H932" s="1119"/>
      <c r="I932" s="306">
        <f>I950+I1006</f>
        <v>0</v>
      </c>
      <c r="J932" s="1123"/>
      <c r="K932" s="250"/>
      <c r="L932" s="1119"/>
      <c r="M932" s="306">
        <f>M950+M1006</f>
        <v>0</v>
      </c>
      <c r="N932" s="1123"/>
      <c r="O932" s="250"/>
      <c r="P932" s="1119"/>
      <c r="Q932" s="306">
        <f>Q950+Q1006</f>
        <v>0</v>
      </c>
      <c r="R932" s="1123"/>
      <c r="S932" s="250"/>
      <c r="T932" s="1119"/>
      <c r="U932" s="306">
        <f>U950+U1006</f>
        <v>0</v>
      </c>
      <c r="W932" s="784"/>
      <c r="Z932" s="1125"/>
      <c r="AA932" s="1125"/>
      <c r="AF932" s="1119"/>
      <c r="AG932" s="1119"/>
      <c r="AH932" s="1119"/>
      <c r="AI932" s="1119"/>
      <c r="AJ932" s="1119"/>
      <c r="AK932" s="1119"/>
      <c r="AL932" s="1119"/>
      <c r="AM932" s="1119"/>
      <c r="AN932" s="1119"/>
      <c r="AO932" s="1119"/>
      <c r="AP932" s="1119"/>
      <c r="AR932" s="1124"/>
    </row>
    <row r="933" spans="1:44">
      <c r="A933" s="1" t="s">
        <v>371</v>
      </c>
      <c r="B933" s="1"/>
      <c r="C933" s="304">
        <f>C952+C1008</f>
        <v>411242303.16002488</v>
      </c>
      <c r="D933" s="309"/>
      <c r="E933" s="1"/>
      <c r="F933" s="306">
        <f>F952+F1008</f>
        <v>29280348</v>
      </c>
      <c r="G933" s="2"/>
      <c r="H933" s="1"/>
      <c r="I933" s="306">
        <f ca="1">I952+I1008</f>
        <v>29970919</v>
      </c>
      <c r="J933" s="2"/>
      <c r="K933" s="2"/>
      <c r="L933" s="1"/>
      <c r="M933" s="306" t="e">
        <f ca="1">M952+M1008</f>
        <v>#DIV/0!</v>
      </c>
      <c r="N933" s="2"/>
      <c r="O933" s="2"/>
      <c r="P933" s="1"/>
      <c r="Q933" s="306" t="e">
        <f ca="1">Q952+Q1008</f>
        <v>#DIV/0!</v>
      </c>
      <c r="R933" s="2"/>
      <c r="S933" s="2"/>
      <c r="T933" s="1"/>
      <c r="U933" s="306" t="e">
        <f ca="1">U952+U1008</f>
        <v>#DIV/0!</v>
      </c>
      <c r="V933" s="20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>
      <c r="A934" s="1" t="s">
        <v>353</v>
      </c>
      <c r="B934" s="1"/>
      <c r="C934" s="293">
        <f ca="1">C953+C1009</f>
        <v>2048514.8230398428</v>
      </c>
      <c r="D934" s="294"/>
      <c r="E934" s="294"/>
      <c r="F934" s="738">
        <f ca="1">F953+F1009</f>
        <v>156326.57925890732</v>
      </c>
      <c r="G934" s="294"/>
      <c r="H934" s="294"/>
      <c r="I934" s="738">
        <f ca="1">I953+I1009</f>
        <v>156326.57925890732</v>
      </c>
      <c r="J934" s="51"/>
      <c r="K934" s="294"/>
      <c r="L934" s="294"/>
      <c r="M934" s="738" t="e">
        <f ca="1">M953+M1009</f>
        <v>#DIV/0!</v>
      </c>
      <c r="N934" s="51"/>
      <c r="O934" s="294"/>
      <c r="P934" s="294"/>
      <c r="Q934" s="738" t="e">
        <f ca="1">Q953+Q1009</f>
        <v>#DIV/0!</v>
      </c>
      <c r="R934" s="51"/>
      <c r="S934" s="294"/>
      <c r="T934" s="294"/>
      <c r="U934" s="738" t="e">
        <f ca="1">U953+U1009</f>
        <v>#DIV/0!</v>
      </c>
      <c r="V934" s="429"/>
      <c r="W934" s="272"/>
      <c r="X934" s="74"/>
      <c r="Y934" s="74"/>
      <c r="Z934" s="20"/>
      <c r="AA934" s="20"/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Bot="1">
      <c r="A935" s="1" t="s">
        <v>372</v>
      </c>
      <c r="B935" s="1"/>
      <c r="C935" s="1287">
        <f ca="1">C954+C1010</f>
        <v>413290817.98306477</v>
      </c>
      <c r="D935" s="327"/>
      <c r="E935" s="330"/>
      <c r="F935" s="740">
        <f ca="1">F954+F1010</f>
        <v>29436674.579258908</v>
      </c>
      <c r="G935" s="327"/>
      <c r="H935" s="330"/>
      <c r="I935" s="740">
        <f ca="1">I954+I1010</f>
        <v>30127245.579258908</v>
      </c>
      <c r="J935" s="51"/>
      <c r="K935" s="327"/>
      <c r="L935" s="330"/>
      <c r="M935" s="740" t="e">
        <f ca="1">M954+M1010</f>
        <v>#DIV/0!</v>
      </c>
      <c r="N935" s="51"/>
      <c r="O935" s="327"/>
      <c r="P935" s="330"/>
      <c r="Q935" s="740" t="e">
        <f ca="1">Q954+Q1010</f>
        <v>#DIV/0!</v>
      </c>
      <c r="R935" s="51"/>
      <c r="S935" s="327"/>
      <c r="T935" s="330"/>
      <c r="U935" s="740" t="e">
        <f ca="1">U954+U1010</f>
        <v>#DIV/0!</v>
      </c>
      <c r="V935" s="757" t="s">
        <v>354</v>
      </c>
      <c r="W935" s="778">
        <f ca="1">('Rate Spread targets'!X29+'Rate Spread targets'!X28)*1000</f>
        <v>30460876.496378485</v>
      </c>
      <c r="X935" s="1417">
        <f ca="1">'Rate Spread targets'!AA29</f>
        <v>2.3473253601397698E-2</v>
      </c>
      <c r="Y935" s="751"/>
      <c r="Z935" s="69" t="s">
        <v>699</v>
      </c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 ht="16.5" thickTop="1">
      <c r="A936" s="1"/>
      <c r="B936" s="1"/>
      <c r="C936" s="335"/>
      <c r="D936" s="336"/>
      <c r="E936" s="23"/>
      <c r="F936" s="51"/>
      <c r="G936" s="336"/>
      <c r="H936" s="23"/>
      <c r="I936" s="51"/>
      <c r="J936" s="51"/>
      <c r="K936" s="336"/>
      <c r="L936" s="23"/>
      <c r="M936" s="51"/>
      <c r="N936" s="51"/>
      <c r="O936" s="336"/>
      <c r="P936" s="23"/>
      <c r="Q936" s="51"/>
      <c r="R936" s="51"/>
      <c r="S936" s="336"/>
      <c r="T936" s="23"/>
      <c r="U936" s="51"/>
      <c r="V936" s="760" t="s">
        <v>257</v>
      </c>
      <c r="W936" s="1452">
        <f ca="1">W935-I898-I954-I1010</f>
        <v>71.011700566858053</v>
      </c>
      <c r="X936" s="758"/>
      <c r="Y936" s="74"/>
      <c r="Z936" s="719">
        <f ca="1">'Rate Spread targets'!AA29</f>
        <v>2.3473253601397698E-2</v>
      </c>
      <c r="AA936" s="7" t="s">
        <v>893</v>
      </c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78" t="s">
        <v>466</v>
      </c>
      <c r="B937" s="1"/>
      <c r="C937" s="1"/>
      <c r="D937" s="2"/>
      <c r="E937" s="1"/>
      <c r="F937" s="1"/>
      <c r="G937" s="2"/>
      <c r="H937" s="1"/>
      <c r="K937" s="2"/>
      <c r="L937" s="1"/>
      <c r="O937" s="2"/>
      <c r="P937" s="1"/>
      <c r="S937" s="2"/>
      <c r="T937" s="1"/>
      <c r="X937" s="74"/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294" t="s">
        <v>676</v>
      </c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">
        <f ca="1">I898+I954+I1010</f>
        <v>30460805.484677918</v>
      </c>
      <c r="W938" s="32" t="s">
        <v>699</v>
      </c>
      <c r="X938" s="1450">
        <f ca="1">(V938-(F935+F898))/(F935+F898)</f>
        <v>2.3462887855322873E-2</v>
      </c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/>
      <c r="B939" s="1"/>
      <c r="C939" s="1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383</v>
      </c>
      <c r="B940" s="1"/>
      <c r="C940" s="304"/>
      <c r="D940" s="2"/>
      <c r="E940" s="1"/>
      <c r="F940" s="1"/>
      <c r="G940" s="2"/>
      <c r="H940" s="1"/>
      <c r="I940" s="1"/>
      <c r="J940" s="1"/>
      <c r="K940" s="2"/>
      <c r="L940" s="1"/>
      <c r="M940" s="1"/>
      <c r="N940" s="1"/>
      <c r="O940" s="2"/>
      <c r="P940" s="1"/>
      <c r="Q940" s="1"/>
      <c r="R940" s="1"/>
      <c r="S940" s="2"/>
      <c r="T940" s="1"/>
      <c r="U940" s="1"/>
      <c r="V940" s="20"/>
      <c r="W940" s="74"/>
      <c r="X940" s="74"/>
      <c r="Y940" s="74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461</v>
      </c>
      <c r="B941" s="1"/>
      <c r="C941" s="304">
        <f t="shared" ref="C941:C946" si="185">C961+C979</f>
        <v>651.51515151515196</v>
      </c>
      <c r="D941" s="322">
        <v>1411</v>
      </c>
      <c r="E941" s="306"/>
      <c r="F941" s="2">
        <f>ROUND(D941*C941,0)</f>
        <v>919288</v>
      </c>
      <c r="G941" s="311">
        <f ca="1">ROUND(D941*(1+$Z$936),0)-2</f>
        <v>1442</v>
      </c>
      <c r="H941" s="306"/>
      <c r="I941" s="2">
        <f ca="1">ROUND(G941*$C941,0)</f>
        <v>939485</v>
      </c>
      <c r="J941" s="2"/>
      <c r="K941" s="311">
        <f ca="1">G941</f>
        <v>1442</v>
      </c>
      <c r="L941" s="306"/>
      <c r="M941" s="2">
        <f ca="1">ROUND(K941*$C941,0)</f>
        <v>939485</v>
      </c>
      <c r="N941" s="2"/>
      <c r="O941" s="311" t="s">
        <v>31</v>
      </c>
      <c r="P941" s="306"/>
      <c r="Q941" s="2">
        <f>ROUND(O941*$C941,0)</f>
        <v>0</v>
      </c>
      <c r="R941" s="2"/>
      <c r="S941" s="311" t="s">
        <v>31</v>
      </c>
      <c r="T941" s="306"/>
      <c r="U941" s="2">
        <f>ROUND(S941*$C941,0)</f>
        <v>0</v>
      </c>
      <c r="V941" s="20"/>
      <c r="X941" s="796">
        <f ca="1">(G941-D941)/D941</f>
        <v>2.1970233876683204E-2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462</v>
      </c>
      <c r="B942" s="1"/>
      <c r="C942" s="304">
        <f t="shared" si="185"/>
        <v>0</v>
      </c>
      <c r="D942" s="322">
        <v>1703</v>
      </c>
      <c r="E942" s="309"/>
      <c r="F942" s="2">
        <f>ROUND(D942*C942,0)</f>
        <v>0</v>
      </c>
      <c r="G942" s="311">
        <f ca="1">ROUND(D942*(1+$Z$936),0)</f>
        <v>1743</v>
      </c>
      <c r="H942" s="309"/>
      <c r="I942" s="2">
        <f ca="1">ROUND(G942*$C942,0)</f>
        <v>0</v>
      </c>
      <c r="J942" s="2"/>
      <c r="K942" s="311">
        <f ca="1">G942</f>
        <v>1743</v>
      </c>
      <c r="L942" s="1275"/>
      <c r="M942" s="2">
        <f ca="1">I942</f>
        <v>0</v>
      </c>
      <c r="N942" s="2"/>
      <c r="O942" s="311" t="s">
        <v>31</v>
      </c>
      <c r="P942" s="1275"/>
      <c r="Q942" s="2">
        <f>ROUND(O942*$C942,0)</f>
        <v>0</v>
      </c>
      <c r="R942" s="2"/>
      <c r="S942" s="311" t="s">
        <v>31</v>
      </c>
      <c r="T942" s="1275"/>
      <c r="U942" s="2">
        <f>ROUND(S942*$C942,0)</f>
        <v>0</v>
      </c>
      <c r="V942" s="20"/>
      <c r="X942" s="796">
        <f ca="1">(G942-D942)/D942</f>
        <v>2.3487962419260128E-2</v>
      </c>
      <c r="Y942" s="751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384</v>
      </c>
      <c r="B943" s="1"/>
      <c r="C943" s="304">
        <f t="shared" si="185"/>
        <v>651.51515151515196</v>
      </c>
      <c r="D943" s="322" t="s">
        <v>31</v>
      </c>
      <c r="E943" s="306"/>
      <c r="F943" s="2" t="s">
        <v>31</v>
      </c>
      <c r="G943" s="311" t="s">
        <v>31</v>
      </c>
      <c r="H943" s="306"/>
      <c r="I943" s="2" t="s">
        <v>31</v>
      </c>
      <c r="J943" s="2"/>
      <c r="K943" s="311" t="s">
        <v>31</v>
      </c>
      <c r="L943" s="306"/>
      <c r="M943" s="2" t="s">
        <v>31</v>
      </c>
      <c r="N943" s="2"/>
      <c r="O943" s="311" t="s">
        <v>31</v>
      </c>
      <c r="P943" s="306"/>
      <c r="Q943" s="2" t="s">
        <v>31</v>
      </c>
      <c r="R943" s="2"/>
      <c r="S943" s="311" t="s">
        <v>31</v>
      </c>
      <c r="T943" s="306"/>
      <c r="U943" s="2" t="s">
        <v>31</v>
      </c>
      <c r="V943" s="20"/>
      <c r="X943" s="1282"/>
      <c r="Y943" s="74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463</v>
      </c>
      <c r="B944" s="1"/>
      <c r="C944" s="304">
        <f t="shared" si="185"/>
        <v>921479.793103448</v>
      </c>
      <c r="D944" s="322">
        <v>1.1200000000000001</v>
      </c>
      <c r="E944" s="306"/>
      <c r="F944" s="2">
        <f>ROUND(D944*C944,0)</f>
        <v>1032057</v>
      </c>
      <c r="G944" s="311">
        <f ca="1">ROUND(D944*(1+$Z$936),2)</f>
        <v>1.1499999999999999</v>
      </c>
      <c r="H944" s="306"/>
      <c r="I944" s="2">
        <f ca="1">ROUND(G944*$C944,0)</f>
        <v>1059702</v>
      </c>
      <c r="J944" s="2"/>
      <c r="K944" s="311">
        <f ca="1">G944</f>
        <v>1.1499999999999999</v>
      </c>
      <c r="L944" s="306"/>
      <c r="M944" s="2">
        <f ca="1">ROUND(K944*$C944,0)</f>
        <v>1059702</v>
      </c>
      <c r="N944" s="2"/>
      <c r="O944" s="311" t="s">
        <v>31</v>
      </c>
      <c r="P944" s="306"/>
      <c r="Q944" s="2">
        <f>ROUND(O944*$C944,0)</f>
        <v>0</v>
      </c>
      <c r="R944" s="2"/>
      <c r="S944" s="311" t="s">
        <v>31</v>
      </c>
      <c r="T944" s="306"/>
      <c r="U944" s="2">
        <f>ROUND(S944*$C944,0)</f>
        <v>0</v>
      </c>
      <c r="V944" s="20"/>
      <c r="X944" s="796">
        <f ca="1">(G944-D944)/D944</f>
        <v>2.6785714285714107E-2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308" t="s">
        <v>464</v>
      </c>
      <c r="B945" s="1"/>
      <c r="C945" s="304">
        <f t="shared" si="185"/>
        <v>0</v>
      </c>
      <c r="D945" s="322">
        <v>1.01</v>
      </c>
      <c r="E945" s="306"/>
      <c r="F945" s="2">
        <f>ROUND(D945*C945,0)</f>
        <v>0</v>
      </c>
      <c r="G945" s="311">
        <f ca="1">ROUND(D945*(1+$Z$936),2)</f>
        <v>1.03</v>
      </c>
      <c r="H945" s="306"/>
      <c r="I945" s="2">
        <f ca="1">ROUND(G945*$C945,0)</f>
        <v>0</v>
      </c>
      <c r="J945" s="2"/>
      <c r="K945" s="311">
        <f ca="1">G945</f>
        <v>1.03</v>
      </c>
      <c r="L945" s="306"/>
      <c r="M945" s="2">
        <f ca="1">I945</f>
        <v>0</v>
      </c>
      <c r="N945" s="2"/>
      <c r="O945" s="311" t="s">
        <v>31</v>
      </c>
      <c r="P945" s="306"/>
      <c r="Q945" s="2">
        <f>ROUND(O945*$C945,0)</f>
        <v>0</v>
      </c>
      <c r="R945" s="2"/>
      <c r="S945" s="311" t="s">
        <v>31</v>
      </c>
      <c r="T945" s="306"/>
      <c r="U945" s="2">
        <f>ROUND(S945*$C945,0)</f>
        <v>0</v>
      </c>
      <c r="V945" s="20"/>
      <c r="X945" s="796">
        <f ca="1">(G945-D945)/D945</f>
        <v>1.980198019801982E-2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294" t="s">
        <v>393</v>
      </c>
      <c r="B946" s="1"/>
      <c r="C946" s="304">
        <f t="shared" si="185"/>
        <v>752533.72413793101</v>
      </c>
      <c r="D946" s="322">
        <v>7.97</v>
      </c>
      <c r="E946" s="306"/>
      <c r="F946" s="2">
        <f>ROUND(D946*C946,0)</f>
        <v>5997694</v>
      </c>
      <c r="G946" s="311">
        <f ca="1">ROUND(D946*(1+$Z$936),2)</f>
        <v>8.16</v>
      </c>
      <c r="H946" s="306"/>
      <c r="I946" s="2">
        <f ca="1">ROUND(G946*$C946,0)</f>
        <v>6140675</v>
      </c>
      <c r="J946" s="2"/>
      <c r="K946" s="311" t="e">
        <f ca="1">ROUND(M946/$C$946,2)</f>
        <v>#DIV/0!</v>
      </c>
      <c r="L946" s="306"/>
      <c r="M946" s="2" t="e">
        <f ca="1">(V956-M941-M942-M953-M945-M944)</f>
        <v>#DIV/0!</v>
      </c>
      <c r="N946" s="2"/>
      <c r="O946" s="311" t="e">
        <f ca="1">ROUND(Q946/$C$946,2)</f>
        <v>#DIV/0!</v>
      </c>
      <c r="P946" s="306"/>
      <c r="Q946" s="2" t="e">
        <f ca="1">($I$946-$M$946)*(W956/($W$956+$X$956))</f>
        <v>#DIV/0!</v>
      </c>
      <c r="R946" s="2"/>
      <c r="S946" s="311" t="e">
        <f ca="1">ROUND(U946/$C$946,2)</f>
        <v>#DIV/0!</v>
      </c>
      <c r="T946" s="306"/>
      <c r="U946" s="2" t="e">
        <f ca="1">($I$946-$M$946)*(X956/($W$956+$X$956))</f>
        <v>#DIV/0!</v>
      </c>
      <c r="V946" s="20"/>
      <c r="X946" s="796">
        <f ca="1">(G946-D946)/D946</f>
        <v>2.383939774153079E-2</v>
      </c>
      <c r="Y946" s="751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416</v>
      </c>
      <c r="B947" s="1"/>
      <c r="C947" s="304"/>
      <c r="D947" s="322" t="s">
        <v>31</v>
      </c>
      <c r="E947" s="306"/>
      <c r="F947" s="2"/>
      <c r="G947" s="311" t="s">
        <v>31</v>
      </c>
      <c r="H947" s="306"/>
      <c r="I947" s="2"/>
      <c r="J947" s="2"/>
      <c r="K947" s="411" t="s">
        <v>31</v>
      </c>
      <c r="L947" s="306"/>
      <c r="M947" s="2"/>
      <c r="N947" s="2"/>
      <c r="O947" s="411" t="s">
        <v>31</v>
      </c>
      <c r="P947" s="306"/>
      <c r="Q947" s="2"/>
      <c r="R947" s="2"/>
      <c r="S947" s="411" t="s">
        <v>31</v>
      </c>
      <c r="T947" s="306"/>
      <c r="U947" s="2"/>
      <c r="V947" s="20"/>
      <c r="X947" s="1282"/>
      <c r="Y947" s="74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454</v>
      </c>
      <c r="B948" s="1"/>
      <c r="C948" s="304">
        <f>C968+C986</f>
        <v>334945415.26665139</v>
      </c>
      <c r="D948" s="380">
        <v>4.7409999999999997</v>
      </c>
      <c r="E948" s="306" t="s">
        <v>364</v>
      </c>
      <c r="F948" s="2">
        <f>ROUND(D948/100*C948,0)</f>
        <v>15879762</v>
      </c>
      <c r="G948" s="777">
        <f ca="1">ROUND(D948*(1+$Z$936),3)</f>
        <v>4.8520000000000003</v>
      </c>
      <c r="H948" s="306" t="s">
        <v>364</v>
      </c>
      <c r="I948" s="2">
        <f ca="1">ROUND(G948/100*$C948,0)</f>
        <v>16251552</v>
      </c>
      <c r="J948" s="2"/>
      <c r="K948" s="771" t="s">
        <v>31</v>
      </c>
      <c r="L948" s="850" t="s">
        <v>31</v>
      </c>
      <c r="M948" s="2">
        <v>0</v>
      </c>
      <c r="N948" s="2"/>
      <c r="O948" s="771" t="e">
        <f ca="1">ROUND(Q948/C948*100,3)</f>
        <v>#DIV/0!</v>
      </c>
      <c r="P948" s="306" t="s">
        <v>364</v>
      </c>
      <c r="Q948" s="2" t="e">
        <f ca="1">I948-U948</f>
        <v>#DIV/0!</v>
      </c>
      <c r="R948" s="2"/>
      <c r="S948" s="771" t="e">
        <f ca="1">ROUND(U948/C948*100,3)</f>
        <v>#DIV/0!</v>
      </c>
      <c r="T948" s="306" t="s">
        <v>364</v>
      </c>
      <c r="U948" s="2" t="e">
        <f ca="1">X956-U941-U942-U944-U945-U946-U949-U950-U953</f>
        <v>#DIV/0!</v>
      </c>
      <c r="V948" s="20"/>
      <c r="X948" s="796">
        <f ca="1">((G948+G950)-D948)/D948</f>
        <v>2.341278211347831E-2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>
      <c r="A949" s="308" t="s">
        <v>390</v>
      </c>
      <c r="B949" s="1"/>
      <c r="C949" s="304">
        <f>C969+C987</f>
        <v>159554.87878787841</v>
      </c>
      <c r="D949" s="322">
        <v>0.56000000000000005</v>
      </c>
      <c r="E949" s="306"/>
      <c r="F949" s="2">
        <f>ROUND(D949*C949,0)</f>
        <v>89351</v>
      </c>
      <c r="G949" s="311">
        <f ca="1">ROUND(D949*(1+$Z$936),2)</f>
        <v>0.56999999999999995</v>
      </c>
      <c r="H949" s="306"/>
      <c r="I949" s="2">
        <f ca="1">ROUND(G949*$C949,0)</f>
        <v>90946</v>
      </c>
      <c r="J949" s="2"/>
      <c r="K949" s="311" t="s">
        <v>31</v>
      </c>
      <c r="L949" s="306"/>
      <c r="M949" s="2">
        <f>ROUND(K949*$C949,0)</f>
        <v>0</v>
      </c>
      <c r="N949" s="2"/>
      <c r="O949" s="311" t="e">
        <f ca="1">ROUND(Q949/$C$949,2)</f>
        <v>#DIV/0!</v>
      </c>
      <c r="P949" s="306"/>
      <c r="Q949" s="2" t="e">
        <f ca="1">$I$949*(W956/(W956+X956))</f>
        <v>#DIV/0!</v>
      </c>
      <c r="R949" s="2"/>
      <c r="S949" s="311" t="e">
        <f ca="1">ROUND(U949/$C$949,2)</f>
        <v>#DIV/0!</v>
      </c>
      <c r="T949" s="306"/>
      <c r="U949" s="2" t="e">
        <f ca="1">$I$949*(X956/(W956+X956))</f>
        <v>#DIV/0!</v>
      </c>
      <c r="V949" s="20"/>
      <c r="X949" s="796">
        <f ca="1">(G949-D949)/D949</f>
        <v>1.7857142857142672E-2</v>
      </c>
      <c r="Y949" s="751"/>
      <c r="Z949" s="20"/>
      <c r="AA949" s="20"/>
      <c r="AB949" s="20"/>
      <c r="AC949" s="20"/>
      <c r="AD949" s="20"/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</row>
    <row r="950" spans="1:44" s="1118" customFormat="1" hidden="1">
      <c r="A950" s="968" t="s">
        <v>891</v>
      </c>
      <c r="C950" s="987">
        <f>C971+C988</f>
        <v>334945415.26665139</v>
      </c>
      <c r="D950" s="1423">
        <v>0</v>
      </c>
      <c r="E950" s="1119"/>
      <c r="F950" s="1123"/>
      <c r="G950" s="1128">
        <v>0</v>
      </c>
      <c r="H950" s="1000" t="s">
        <v>364</v>
      </c>
      <c r="I950" s="1123">
        <f>ROUND(G950/100*$C950,0)</f>
        <v>0</v>
      </c>
      <c r="J950" s="1123"/>
      <c r="K950" s="1128" t="s">
        <v>31</v>
      </c>
      <c r="L950" s="1000" t="s">
        <v>31</v>
      </c>
      <c r="M950" s="1000">
        <f>ROUND(K950*$C950/100,0)</f>
        <v>0</v>
      </c>
      <c r="N950" s="1000"/>
      <c r="O950" s="1128" t="s">
        <v>31</v>
      </c>
      <c r="P950" s="1000" t="s">
        <v>31</v>
      </c>
      <c r="Q950" s="1000">
        <f>ROUND(O950*$C950/100,0)</f>
        <v>0</v>
      </c>
      <c r="R950" s="1000"/>
      <c r="S950" s="1128">
        <f>G950</f>
        <v>0</v>
      </c>
      <c r="T950" s="1000" t="s">
        <v>364</v>
      </c>
      <c r="U950" s="1000">
        <f>ROUND(S950*$C950/100,0)</f>
        <v>0</v>
      </c>
      <c r="V950" s="1124"/>
      <c r="W950" s="784"/>
      <c r="Z950" s="1125"/>
      <c r="AA950" s="1125"/>
      <c r="AF950" s="1119"/>
      <c r="AG950" s="1119"/>
      <c r="AH950" s="1119"/>
      <c r="AI950" s="1119"/>
      <c r="AJ950" s="1119"/>
      <c r="AK950" s="1119"/>
      <c r="AL950" s="1119"/>
      <c r="AM950" s="1119"/>
      <c r="AN950" s="1119"/>
      <c r="AO950" s="1119"/>
      <c r="AP950" s="1119"/>
      <c r="AR950" s="1124"/>
    </row>
    <row r="951" spans="1:44" s="1256" customFormat="1" hidden="1">
      <c r="A951" s="1255" t="s">
        <v>873</v>
      </c>
      <c r="C951" s="1262"/>
      <c r="D951" s="1268">
        <v>4.7409999999999997</v>
      </c>
      <c r="E951" s="1266" t="s">
        <v>364</v>
      </c>
      <c r="F951" s="1259"/>
      <c r="G951" s="1260">
        <f ca="1">G948+G950</f>
        <v>4.8520000000000003</v>
      </c>
      <c r="H951" s="1266" t="s">
        <v>364</v>
      </c>
      <c r="I951" s="1259"/>
      <c r="J951" s="1259"/>
      <c r="K951" s="1270" t="s">
        <v>31</v>
      </c>
      <c r="L951" s="1266" t="s">
        <v>31</v>
      </c>
      <c r="M951" s="1266"/>
      <c r="N951" s="1266"/>
      <c r="O951" s="1270" t="e">
        <f ca="1">O948+O950</f>
        <v>#DIV/0!</v>
      </c>
      <c r="P951" s="1266" t="s">
        <v>364</v>
      </c>
      <c r="Q951" s="1266"/>
      <c r="R951" s="1266"/>
      <c r="S951" s="1270" t="e">
        <f ca="1">S948+S950</f>
        <v>#DIV/0!</v>
      </c>
      <c r="T951" s="1266" t="s">
        <v>364</v>
      </c>
      <c r="U951" s="1266"/>
      <c r="V951" s="1283"/>
      <c r="W951" s="1284"/>
      <c r="X951" s="1285">
        <f ca="1">(G951-D951)/D951</f>
        <v>2.341278211347831E-2</v>
      </c>
      <c r="Z951" s="1286"/>
      <c r="AA951" s="1286"/>
      <c r="AF951" s="1258"/>
      <c r="AG951" s="1258"/>
      <c r="AH951" s="1258"/>
      <c r="AI951" s="1258"/>
      <c r="AJ951" s="1258"/>
      <c r="AK951" s="1258"/>
      <c r="AL951" s="1258"/>
      <c r="AM951" s="1258"/>
      <c r="AN951" s="1258"/>
      <c r="AO951" s="1258"/>
      <c r="AP951" s="1258"/>
      <c r="AR951" s="1283"/>
    </row>
    <row r="952" spans="1:44">
      <c r="A952" s="1" t="s">
        <v>371</v>
      </c>
      <c r="B952" s="1"/>
      <c r="C952" s="304">
        <f>C948</f>
        <v>334945415.26665139</v>
      </c>
      <c r="D952" s="315"/>
      <c r="E952" s="1"/>
      <c r="F952" s="2">
        <f>SUM(F941:F949)</f>
        <v>23918152</v>
      </c>
      <c r="G952" s="315"/>
      <c r="H952" s="1"/>
      <c r="I952" s="2">
        <f ca="1">SUM(I941:I951)</f>
        <v>24482360</v>
      </c>
      <c r="J952" s="2"/>
      <c r="K952" s="772"/>
      <c r="L952" s="1"/>
      <c r="M952" s="2" t="e">
        <f ca="1">SUM(M941:M951)</f>
        <v>#DIV/0!</v>
      </c>
      <c r="N952" s="2"/>
      <c r="O952" s="772"/>
      <c r="P952" s="1"/>
      <c r="Q952" s="2" t="e">
        <f ca="1">SUM(Q941:Q951)</f>
        <v>#DIV/0!</v>
      </c>
      <c r="R952" s="2"/>
      <c r="S952" s="772"/>
      <c r="T952" s="1"/>
      <c r="U952" s="2" t="e">
        <f ca="1">SUM(U941:U951)</f>
        <v>#DIV/0!</v>
      </c>
      <c r="V952" s="20"/>
      <c r="W952" s="74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>
      <c r="A953" s="1" t="s">
        <v>353</v>
      </c>
      <c r="B953" s="1"/>
      <c r="C953" s="304">
        <f ca="1">C972+C990</f>
        <v>1536540.0713919159</v>
      </c>
      <c r="D953" s="294"/>
      <c r="E953" s="294"/>
      <c r="F953" s="325">
        <f ca="1">F972+F990</f>
        <v>117155.49709223211</v>
      </c>
      <c r="G953" s="294"/>
      <c r="H953" s="294"/>
      <c r="I953" s="326">
        <f ca="1">F953</f>
        <v>117155.49709223211</v>
      </c>
      <c r="J953" s="307"/>
      <c r="K953" s="294"/>
      <c r="L953" s="294"/>
      <c r="M953" s="738" t="e">
        <f ca="1">$I$953*V956/($V956+$W$956+$X$956)</f>
        <v>#DIV/0!</v>
      </c>
      <c r="N953" s="51"/>
      <c r="O953" s="294"/>
      <c r="P953" s="294"/>
      <c r="Q953" s="738" t="e">
        <f ca="1">$I$953*W956/($V956+$W$956+$X$956)</f>
        <v>#DIV/0!</v>
      </c>
      <c r="R953" s="51"/>
      <c r="S953" s="294"/>
      <c r="T953" s="294"/>
      <c r="U953" s="738" t="e">
        <f ca="1">$I$953*X956/($V956+$W$956+$X$956)</f>
        <v>#DIV/0!</v>
      </c>
      <c r="V953" s="429"/>
      <c r="W953" s="272"/>
      <c r="X953" s="74"/>
      <c r="Y953" s="74"/>
      <c r="Z953" s="20"/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8" customHeight="1" thickBot="1">
      <c r="A954" s="1" t="s">
        <v>372</v>
      </c>
      <c r="B954" s="1"/>
      <c r="C954" s="378">
        <f ca="1">SUM(C952)+C953</f>
        <v>336481955.33804333</v>
      </c>
      <c r="D954" s="327"/>
      <c r="E954" s="330"/>
      <c r="F954" s="329">
        <f ca="1">F952+F953</f>
        <v>24035307.497092232</v>
      </c>
      <c r="G954" s="327"/>
      <c r="H954" s="330"/>
      <c r="I954" s="329">
        <f ca="1">I952+I953</f>
        <v>24599515.497092232</v>
      </c>
      <c r="J954" s="307"/>
      <c r="K954" s="327"/>
      <c r="L954" s="330"/>
      <c r="M954" s="329" t="e">
        <f ca="1">M952+M953</f>
        <v>#DIV/0!</v>
      </c>
      <c r="N954" s="329"/>
      <c r="O954" s="327"/>
      <c r="P954" s="330"/>
      <c r="Q954" s="329" t="e">
        <f ca="1">Q952+Q953</f>
        <v>#DIV/0!</v>
      </c>
      <c r="R954" s="329"/>
      <c r="S954" s="327"/>
      <c r="T954" s="330"/>
      <c r="U954" s="329" t="e">
        <f ca="1">U952+U953</f>
        <v>#DIV/0!</v>
      </c>
      <c r="V954" s="7" t="s">
        <v>31</v>
      </c>
      <c r="W954" s="32" t="s">
        <v>31</v>
      </c>
      <c r="X954" s="74"/>
      <c r="Y954" s="74"/>
      <c r="Z954" s="770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t="16.5" thickTop="1">
      <c r="A955" s="1"/>
      <c r="B955" s="1"/>
      <c r="C955" s="21"/>
      <c r="D955" s="322"/>
      <c r="E955" s="1"/>
      <c r="F955" s="2" t="s">
        <v>31</v>
      </c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1274"/>
      <c r="W955" s="1274"/>
      <c r="X955" s="1274"/>
      <c r="Y955" s="74"/>
      <c r="Z955" s="7" t="s">
        <v>31</v>
      </c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>
      <c r="A956" s="1"/>
      <c r="B956" s="1"/>
      <c r="C956" s="21"/>
      <c r="D956" s="322"/>
      <c r="E956" s="1"/>
      <c r="F956" s="2"/>
      <c r="G956" s="322"/>
      <c r="H956" s="1"/>
      <c r="I956" s="365"/>
      <c r="J956" s="365"/>
      <c r="K956" s="322"/>
      <c r="L956" s="1"/>
      <c r="M956" s="365"/>
      <c r="N956" s="365"/>
      <c r="O956" s="322"/>
      <c r="P956" s="1"/>
      <c r="Q956" s="365"/>
      <c r="R956" s="365"/>
      <c r="S956" s="322"/>
      <c r="T956" s="1"/>
      <c r="U956" s="365"/>
      <c r="V956" s="396"/>
      <c r="W956" s="396"/>
      <c r="X956" s="396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>
      <c r="A957" s="278" t="s">
        <v>466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>
      <c r="A958" s="294" t="s">
        <v>675</v>
      </c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>
      <c r="A959" s="308"/>
      <c r="B959" s="1"/>
      <c r="C959" s="1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/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>
      <c r="A960" s="308" t="s">
        <v>383</v>
      </c>
      <c r="B960" s="1"/>
      <c r="C960" s="304"/>
      <c r="D960" s="2"/>
      <c r="E960" s="1"/>
      <c r="F960" s="1"/>
      <c r="G960" s="2"/>
      <c r="H960" s="1"/>
      <c r="I960" s="1"/>
      <c r="J960" s="1"/>
      <c r="K960" s="2"/>
      <c r="L960" s="1"/>
      <c r="M960" s="1"/>
      <c r="N960" s="1"/>
      <c r="O960" s="2"/>
      <c r="P960" s="1"/>
      <c r="Q960" s="1"/>
      <c r="R960" s="1"/>
      <c r="S960" s="2"/>
      <c r="T960" s="1"/>
      <c r="U960" s="1"/>
      <c r="V960" s="20"/>
      <c r="W960" s="74" t="s">
        <v>31</v>
      </c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>
      <c r="A961" s="308" t="s">
        <v>461</v>
      </c>
      <c r="B961" s="1"/>
      <c r="C961" s="304">
        <v>318.69696969696997</v>
      </c>
      <c r="D961" s="322">
        <v>1411</v>
      </c>
      <c r="E961" s="306"/>
      <c r="F961" s="2">
        <f>ROUND(D961*C961,0)</f>
        <v>449681</v>
      </c>
      <c r="G961" s="322">
        <f ca="1">G941</f>
        <v>1442</v>
      </c>
      <c r="H961" s="306"/>
      <c r="I961" s="2">
        <f ca="1">ROUND(G961*$C961,0)</f>
        <v>459561</v>
      </c>
      <c r="J961" s="2"/>
      <c r="K961" s="322">
        <f ca="1">K941</f>
        <v>1442</v>
      </c>
      <c r="L961" s="306"/>
      <c r="M961" s="2">
        <f ca="1">ROUND(K961*$C961,0)</f>
        <v>459561</v>
      </c>
      <c r="N961" s="2"/>
      <c r="O961" s="322" t="str">
        <f>O941</f>
        <v xml:space="preserve"> </v>
      </c>
      <c r="P961" s="306"/>
      <c r="Q961" s="2">
        <f>ROUND(O961*$C961,0)</f>
        <v>0</v>
      </c>
      <c r="R961" s="2"/>
      <c r="S961" s="322" t="str">
        <f>S941</f>
        <v xml:space="preserve"> </v>
      </c>
      <c r="T961" s="306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>
      <c r="A962" s="308" t="s">
        <v>462</v>
      </c>
      <c r="B962" s="1"/>
      <c r="C962" s="304">
        <v>0</v>
      </c>
      <c r="D962" s="322">
        <v>1703</v>
      </c>
      <c r="E962" s="309"/>
      <c r="F962" s="2">
        <f>ROUND(D962*C962,0)</f>
        <v>0</v>
      </c>
      <c r="G962" s="322">
        <f ca="1">G942</f>
        <v>1743</v>
      </c>
      <c r="H962" s="309"/>
      <c r="I962" s="2">
        <f ca="1">ROUND(G962*$C962,0)</f>
        <v>0</v>
      </c>
      <c r="J962" s="2"/>
      <c r="K962" s="322">
        <f ca="1">K942</f>
        <v>1743</v>
      </c>
      <c r="L962" s="309"/>
      <c r="M962" s="2">
        <f ca="1">ROUND(K962*$C962,0)</f>
        <v>0</v>
      </c>
      <c r="N962" s="2"/>
      <c r="O962" s="322" t="str">
        <f>O942</f>
        <v xml:space="preserve"> </v>
      </c>
      <c r="P962" s="309"/>
      <c r="Q962" s="2">
        <f>ROUND(O962*$C962,0)</f>
        <v>0</v>
      </c>
      <c r="R962" s="2"/>
      <c r="S962" s="322" t="str">
        <f>S942</f>
        <v xml:space="preserve"> </v>
      </c>
      <c r="T962" s="309"/>
      <c r="U962" s="2">
        <f>ROUND(S962*$C962,0)</f>
        <v>0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>
      <c r="A963" s="308" t="s">
        <v>384</v>
      </c>
      <c r="B963" s="1"/>
      <c r="C963" s="304">
        <f>SUM(C961:C962)</f>
        <v>318.69696969696997</v>
      </c>
      <c r="D963" s="322" t="s">
        <v>31</v>
      </c>
      <c r="E963" s="306"/>
      <c r="F963" s="2" t="s">
        <v>31</v>
      </c>
      <c r="G963" s="322" t="s">
        <v>31</v>
      </c>
      <c r="H963" s="306"/>
      <c r="I963" s="2" t="s">
        <v>31</v>
      </c>
      <c r="J963" s="2"/>
      <c r="K963" s="322" t="s">
        <v>31</v>
      </c>
      <c r="L963" s="306"/>
      <c r="M963" s="2" t="s">
        <v>31</v>
      </c>
      <c r="N963" s="2"/>
      <c r="O963" s="322" t="s">
        <v>31</v>
      </c>
      <c r="P963" s="306"/>
      <c r="Q963" s="2" t="s">
        <v>31</v>
      </c>
      <c r="R963" s="2"/>
      <c r="S963" s="322" t="s">
        <v>31</v>
      </c>
      <c r="T963" s="306"/>
      <c r="U963" s="2" t="s">
        <v>31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>
      <c r="A964" s="308" t="s">
        <v>463</v>
      </c>
      <c r="B964" s="1"/>
      <c r="C964" s="304">
        <v>384073</v>
      </c>
      <c r="D964" s="322">
        <v>1.1200000000000001</v>
      </c>
      <c r="E964" s="306"/>
      <c r="F964" s="2">
        <f>ROUND(D964*C964,0)</f>
        <v>430162</v>
      </c>
      <c r="G964" s="322">
        <f ca="1">G944</f>
        <v>1.1499999999999999</v>
      </c>
      <c r="H964" s="306"/>
      <c r="I964" s="2">
        <f ca="1">ROUND(G964*$C964,0)</f>
        <v>441684</v>
      </c>
      <c r="J964" s="2"/>
      <c r="K964" s="322">
        <f ca="1">K944</f>
        <v>1.1499999999999999</v>
      </c>
      <c r="L964" s="306"/>
      <c r="M964" s="2">
        <f ca="1">ROUND(K964*$C964,0)</f>
        <v>441684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>
      <c r="A965" s="308" t="s">
        <v>464</v>
      </c>
      <c r="B965" s="1"/>
      <c r="C965" s="304">
        <v>0</v>
      </c>
      <c r="D965" s="322">
        <v>1.01</v>
      </c>
      <c r="E965" s="306"/>
      <c r="F965" s="2">
        <f>ROUND(D965*C965,0)</f>
        <v>0</v>
      </c>
      <c r="G965" s="322">
        <f ca="1">G945</f>
        <v>1.03</v>
      </c>
      <c r="H965" s="306"/>
      <c r="I965" s="2">
        <f ca="1">ROUND(G965*$C965,0)</f>
        <v>0</v>
      </c>
      <c r="J965" s="2"/>
      <c r="K965" s="322">
        <f ca="1">K945</f>
        <v>1.03</v>
      </c>
      <c r="L965" s="306"/>
      <c r="M965" s="2">
        <f ca="1">ROUND(K965*$C965,0)</f>
        <v>0</v>
      </c>
      <c r="N965" s="2"/>
      <c r="O965" s="322" t="str">
        <f>O945</f>
        <v xml:space="preserve"> </v>
      </c>
      <c r="P965" s="306"/>
      <c r="Q965" s="2">
        <f>ROUND(O965*$C965,0)</f>
        <v>0</v>
      </c>
      <c r="R965" s="2"/>
      <c r="S965" s="322" t="str">
        <f>S945</f>
        <v xml:space="preserve"> </v>
      </c>
      <c r="T965" s="306"/>
      <c r="U965" s="2">
        <f>ROUND(S965*$C965,0)</f>
        <v>0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>
      <c r="A966" s="294" t="s">
        <v>393</v>
      </c>
      <c r="B966" s="1"/>
      <c r="C966" s="304">
        <v>287401.24137931003</v>
      </c>
      <c r="D966" s="322">
        <v>7.97</v>
      </c>
      <c r="E966" s="306"/>
      <c r="F966" s="2">
        <f>ROUND(D966*C966,0)</f>
        <v>2290588</v>
      </c>
      <c r="G966" s="322">
        <f ca="1">G946</f>
        <v>8.16</v>
      </c>
      <c r="H966" s="306"/>
      <c r="I966" s="2">
        <f ca="1">ROUND(G966*$C966,0)</f>
        <v>2345194</v>
      </c>
      <c r="J966" s="2"/>
      <c r="K966" s="322" t="e">
        <f ca="1">K946</f>
        <v>#DIV/0!</v>
      </c>
      <c r="L966" s="306"/>
      <c r="M966" s="2" t="e">
        <f ca="1">ROUND(K966*$C966,0)</f>
        <v>#DIV/0!</v>
      </c>
      <c r="N966" s="2"/>
      <c r="O966" s="322" t="e">
        <f ca="1">O946</f>
        <v>#DIV/0!</v>
      </c>
      <c r="P966" s="306"/>
      <c r="Q966" s="2" t="e">
        <f ca="1">ROUND(O966*$C966,0)</f>
        <v>#DIV/0!</v>
      </c>
      <c r="R966" s="2"/>
      <c r="S966" s="322" t="e">
        <f ca="1">S946</f>
        <v>#DIV/0!</v>
      </c>
      <c r="T966" s="306"/>
      <c r="U966" s="2" t="e">
        <f ca="1">ROUND(S966*$C966,0)</f>
        <v>#DIV/0!</v>
      </c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>
      <c r="A967" s="308" t="s">
        <v>416</v>
      </c>
      <c r="B967" s="1"/>
      <c r="C967" s="304"/>
      <c r="D967" s="322" t="s">
        <v>31</v>
      </c>
      <c r="E967" s="306"/>
      <c r="F967" s="2"/>
      <c r="G967" s="322" t="s">
        <v>31</v>
      </c>
      <c r="H967" s="306"/>
      <c r="I967" s="2"/>
      <c r="J967" s="2"/>
      <c r="K967" s="322" t="s">
        <v>31</v>
      </c>
      <c r="L967" s="306"/>
      <c r="M967" s="2"/>
      <c r="N967" s="2"/>
      <c r="O967" s="322" t="s">
        <v>31</v>
      </c>
      <c r="P967" s="306"/>
      <c r="Q967" s="2"/>
      <c r="R967" s="2"/>
      <c r="S967" s="322" t="s">
        <v>31</v>
      </c>
      <c r="T967" s="306"/>
      <c r="U967" s="2"/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>
      <c r="A968" s="308" t="s">
        <v>454</v>
      </c>
      <c r="B968" s="1"/>
      <c r="C968" s="304">
        <v>125244965.26665136</v>
      </c>
      <c r="D968" s="380">
        <v>4.7409999999999997</v>
      </c>
      <c r="E968" s="306" t="s">
        <v>364</v>
      </c>
      <c r="F968" s="2">
        <f>ROUND(D968/100*C968,0)</f>
        <v>5937864</v>
      </c>
      <c r="G968" s="380">
        <f ca="1">G948</f>
        <v>4.8520000000000003</v>
      </c>
      <c r="H968" s="306" t="s">
        <v>364</v>
      </c>
      <c r="I968" s="2">
        <f ca="1">ROUND(G968/100*$C968,0)</f>
        <v>6076886</v>
      </c>
      <c r="J968" s="2"/>
      <c r="K968" s="380" t="str">
        <f>K948</f>
        <v xml:space="preserve"> </v>
      </c>
      <c r="L968" s="306" t="s">
        <v>364</v>
      </c>
      <c r="M968" s="2">
        <f>ROUND(K968/100*$C968,0)</f>
        <v>0</v>
      </c>
      <c r="N968" s="2"/>
      <c r="O968" s="380" t="e">
        <f ca="1">O948</f>
        <v>#DIV/0!</v>
      </c>
      <c r="P968" s="306" t="s">
        <v>364</v>
      </c>
      <c r="Q968" s="2" t="e">
        <f ca="1">ROUND(O968/100*$C968,0)</f>
        <v>#DIV/0!</v>
      </c>
      <c r="R968" s="2"/>
      <c r="S968" s="380" t="e">
        <f ca="1">S948</f>
        <v>#DIV/0!</v>
      </c>
      <c r="T968" s="306" t="s">
        <v>364</v>
      </c>
      <c r="U968" s="2" t="e">
        <f ca="1">ROUND(S968/100*$C968,0)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>
      <c r="A969" s="308" t="s">
        <v>390</v>
      </c>
      <c r="B969" s="1"/>
      <c r="C969" s="304">
        <v>30465.6363636364</v>
      </c>
      <c r="D969" s="322">
        <v>0.56000000000000005</v>
      </c>
      <c r="E969" s="306"/>
      <c r="F969" s="2">
        <f>ROUND(D969*C969,0)</f>
        <v>17061</v>
      </c>
      <c r="G969" s="322">
        <f ca="1">G949</f>
        <v>0.56999999999999995</v>
      </c>
      <c r="H969" s="306"/>
      <c r="I969" s="2">
        <f ca="1">ROUND(G969*$C969,0)</f>
        <v>17365</v>
      </c>
      <c r="J969" s="2"/>
      <c r="K969" s="322" t="str">
        <f>K949</f>
        <v xml:space="preserve"> </v>
      </c>
      <c r="L969" s="306"/>
      <c r="M969" s="2">
        <f>ROUND(K969*$C969,0)</f>
        <v>0</v>
      </c>
      <c r="N969" s="2"/>
      <c r="O969" s="322" t="e">
        <f ca="1">O949</f>
        <v>#DIV/0!</v>
      </c>
      <c r="P969" s="306"/>
      <c r="Q969" s="2" t="e">
        <f ca="1">ROUND(O969*$C969,0)</f>
        <v>#DIV/0!</v>
      </c>
      <c r="R969" s="2"/>
      <c r="S969" s="322" t="e">
        <f ca="1">S949</f>
        <v>#DIV/0!</v>
      </c>
      <c r="T969" s="306"/>
      <c r="U969" s="2" t="e">
        <f ca="1">ROUND(S969*$C969,0)</f>
        <v>#DIV/0!</v>
      </c>
      <c r="V969" s="20"/>
      <c r="W969" s="74"/>
      <c r="X969" s="74"/>
      <c r="Y969" s="74"/>
      <c r="Z969" s="20"/>
      <c r="AA969" s="20"/>
      <c r="AB969" s="20"/>
      <c r="AC969" s="20"/>
      <c r="AD969" s="20"/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</row>
    <row r="970" spans="1:44" s="1118" customFormat="1" hidden="1">
      <c r="A970" s="968" t="s">
        <v>872</v>
      </c>
      <c r="C970" s="1122">
        <f>C968</f>
        <v>125244965.26665136</v>
      </c>
      <c r="D970" s="1423">
        <v>0</v>
      </c>
      <c r="E970" s="1119"/>
      <c r="F970" s="1123"/>
      <c r="G970" s="1128">
        <f>G950</f>
        <v>0</v>
      </c>
      <c r="H970" s="1000" t="s">
        <v>364</v>
      </c>
      <c r="I970" s="1123">
        <f>ROUND(G970*$C970/100,0)</f>
        <v>0</v>
      </c>
      <c r="J970" s="1123"/>
      <c r="K970" s="1128" t="str">
        <f>K950</f>
        <v xml:space="preserve"> </v>
      </c>
      <c r="L970" s="1000" t="s">
        <v>364</v>
      </c>
      <c r="M970" s="1123">
        <f>ROUND(K970*$C970/100,0)</f>
        <v>0</v>
      </c>
      <c r="N970" s="1123"/>
      <c r="O970" s="1128" t="str">
        <f>O950</f>
        <v xml:space="preserve"> </v>
      </c>
      <c r="P970" s="1000" t="s">
        <v>364</v>
      </c>
      <c r="Q970" s="1123">
        <f>ROUND(O970*$C970/100,0)</f>
        <v>0</v>
      </c>
      <c r="R970" s="1123"/>
      <c r="S970" s="1128">
        <f>S950</f>
        <v>0</v>
      </c>
      <c r="T970" s="1000" t="s">
        <v>364</v>
      </c>
      <c r="U970" s="1123">
        <f>ROUND(S970*$C970/100,0)</f>
        <v>0</v>
      </c>
      <c r="W970" s="784"/>
      <c r="Z970" s="1125"/>
      <c r="AA970" s="1125"/>
      <c r="AF970" s="1119"/>
      <c r="AG970" s="1119"/>
      <c r="AH970" s="1119"/>
      <c r="AI970" s="1119"/>
      <c r="AJ970" s="1119"/>
      <c r="AK970" s="1119"/>
      <c r="AL970" s="1119"/>
      <c r="AM970" s="1119"/>
      <c r="AN970" s="1119"/>
      <c r="AO970" s="1119"/>
      <c r="AP970" s="1119"/>
      <c r="AR970" s="1124"/>
    </row>
    <row r="971" spans="1:44">
      <c r="A971" s="1" t="s">
        <v>371</v>
      </c>
      <c r="B971" s="1"/>
      <c r="C971" s="304">
        <f>C968</f>
        <v>125244965.26665136</v>
      </c>
      <c r="D971" s="315"/>
      <c r="E971" s="1"/>
      <c r="F971" s="2">
        <f>SUM(F961:F969)</f>
        <v>9125356</v>
      </c>
      <c r="G971" s="315"/>
      <c r="H971" s="1"/>
      <c r="I971" s="2">
        <f ca="1">SUM(I961:I970)</f>
        <v>9340690</v>
      </c>
      <c r="J971" s="2"/>
      <c r="K971" s="315"/>
      <c r="L971" s="1"/>
      <c r="M971" s="2" t="e">
        <f ca="1">SUM(M961:M970)</f>
        <v>#DIV/0!</v>
      </c>
      <c r="N971" s="2"/>
      <c r="O971" s="315"/>
      <c r="P971" s="1"/>
      <c r="Q971" s="2" t="e">
        <f ca="1">SUM(Q961:Q970)</f>
        <v>#DIV/0!</v>
      </c>
      <c r="R971" s="2"/>
      <c r="S971" s="315"/>
      <c r="T971" s="1"/>
      <c r="U971" s="2" t="e">
        <f ca="1">SUM(U961:U970)</f>
        <v>#DIV/0!</v>
      </c>
      <c r="V971" s="20"/>
      <c r="W971" s="74"/>
      <c r="X971" s="751"/>
      <c r="Y971" s="751"/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>
      <c r="A972" s="1" t="s">
        <v>353</v>
      </c>
      <c r="B972" s="1"/>
      <c r="C972" s="304">
        <f>C971/($C$971+$C$1028)*$C$1065</f>
        <v>884538.49438390473</v>
      </c>
      <c r="D972" s="294"/>
      <c r="E972" s="294"/>
      <c r="F972" s="325">
        <f>F971/($F$971+$F$1028)*$F$1065</f>
        <v>71149.752721287237</v>
      </c>
      <c r="G972" s="294"/>
      <c r="H972" s="294"/>
      <c r="I972" s="326">
        <f>F972</f>
        <v>71149.752721287237</v>
      </c>
      <c r="J972" s="307"/>
      <c r="K972" s="294"/>
      <c r="L972" s="294"/>
      <c r="M972" s="326" t="e">
        <f>$I$972*V956/($V956+$W$956+$X$956)</f>
        <v>#DIV/0!</v>
      </c>
      <c r="N972" s="51"/>
      <c r="O972" s="294"/>
      <c r="P972" s="294"/>
      <c r="Q972" s="326" t="e">
        <f>$I$972*W956/($V956+$W$956+$X$956)</f>
        <v>#DIV/0!</v>
      </c>
      <c r="R972" s="51"/>
      <c r="S972" s="294"/>
      <c r="T972" s="294"/>
      <c r="U972" s="326" t="e">
        <f>$I$972*X956/($V956+$W$956+$X$956)</f>
        <v>#DIV/0!</v>
      </c>
      <c r="V972" s="429"/>
      <c r="W972" s="751" t="s">
        <v>31</v>
      </c>
      <c r="Z972" s="20"/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thickBot="1">
      <c r="A973" s="1" t="s">
        <v>372</v>
      </c>
      <c r="B973" s="1"/>
      <c r="C973" s="378">
        <f>SUM(C971)+C972</f>
        <v>126129503.76103526</v>
      </c>
      <c r="D973" s="327"/>
      <c r="E973" s="330"/>
      <c r="F973" s="329">
        <f>F971+F972</f>
        <v>9196505.7527212873</v>
      </c>
      <c r="G973" s="327"/>
      <c r="H973" s="330"/>
      <c r="I973" s="329">
        <f ca="1">I971+I972</f>
        <v>9411839.7527212873</v>
      </c>
      <c r="J973" s="307"/>
      <c r="K973" s="327"/>
      <c r="L973" s="330"/>
      <c r="M973" s="329" t="e">
        <f ca="1">M971+M972</f>
        <v>#DIV/0!</v>
      </c>
      <c r="N973" s="329"/>
      <c r="O973" s="327"/>
      <c r="P973" s="330"/>
      <c r="Q973" s="329" t="e">
        <f ca="1">Q971+Q972</f>
        <v>#DIV/0!</v>
      </c>
      <c r="R973" s="329"/>
      <c r="S973" s="327"/>
      <c r="T973" s="330"/>
      <c r="U973" s="329" t="e">
        <f ca="1">U971+U972</f>
        <v>#DIV/0!</v>
      </c>
      <c r="V973" s="396"/>
      <c r="W973" s="751" t="s">
        <v>31</v>
      </c>
      <c r="X973" s="74"/>
      <c r="Y973" s="74"/>
      <c r="Z973" s="770" t="s">
        <v>31</v>
      </c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t="16.5" thickTop="1">
      <c r="A974" s="1"/>
      <c r="B974" s="1"/>
      <c r="C974" s="21"/>
      <c r="D974" s="322"/>
      <c r="E974" s="1"/>
      <c r="F974" s="2"/>
      <c r="G974" s="322"/>
      <c r="H974" s="1"/>
      <c r="I974" s="365"/>
      <c r="J974" s="365"/>
      <c r="K974" s="322"/>
      <c r="L974" s="1"/>
      <c r="M974" s="365"/>
      <c r="N974" s="365"/>
      <c r="O974" s="322"/>
      <c r="P974" s="1"/>
      <c r="Q974" s="365"/>
      <c r="R974" s="365"/>
      <c r="S974" s="322"/>
      <c r="T974" s="1"/>
      <c r="U974" s="365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>
      <c r="A975" s="278" t="s">
        <v>466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>
      <c r="A976" s="294" t="s">
        <v>674</v>
      </c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>
      <c r="A977" s="308"/>
      <c r="B977" s="1"/>
      <c r="C977" s="1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>
      <c r="A978" s="308" t="s">
        <v>383</v>
      </c>
      <c r="B978" s="1"/>
      <c r="C978" s="304"/>
      <c r="D978" s="2"/>
      <c r="E978" s="1"/>
      <c r="F978" s="1"/>
      <c r="G978" s="2"/>
      <c r="H978" s="1"/>
      <c r="I978" s="1"/>
      <c r="J978" s="1"/>
      <c r="K978" s="2"/>
      <c r="L978" s="1"/>
      <c r="M978" s="1"/>
      <c r="N978" s="1"/>
      <c r="O978" s="2"/>
      <c r="P978" s="1"/>
      <c r="Q978" s="1"/>
      <c r="R978" s="1"/>
      <c r="S978" s="2"/>
      <c r="T978" s="1"/>
      <c r="U978" s="1"/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>
      <c r="A979" s="308" t="s">
        <v>461</v>
      </c>
      <c r="B979" s="1"/>
      <c r="C979" s="304">
        <v>332.81818181818198</v>
      </c>
      <c r="D979" s="322">
        <v>1411</v>
      </c>
      <c r="E979" s="306"/>
      <c r="F979" s="2">
        <f>ROUND(D979*C979,0)</f>
        <v>469606</v>
      </c>
      <c r="G979" s="322">
        <f ca="1">G941</f>
        <v>1442</v>
      </c>
      <c r="H979" s="306"/>
      <c r="I979" s="2">
        <f ca="1">ROUND(G979*$C979,0)</f>
        <v>479924</v>
      </c>
      <c r="J979" s="2"/>
      <c r="K979" s="322">
        <f ca="1">K941</f>
        <v>1442</v>
      </c>
      <c r="L979" s="306"/>
      <c r="M979" s="2">
        <f ca="1">ROUND(K979*$C979,0)</f>
        <v>479924</v>
      </c>
      <c r="N979" s="2"/>
      <c r="O979" s="322" t="str">
        <f>O941</f>
        <v xml:space="preserve"> </v>
      </c>
      <c r="P979" s="306"/>
      <c r="Q979" s="2">
        <f>ROUND(O979*$C979,0)</f>
        <v>0</v>
      </c>
      <c r="R979" s="2"/>
      <c r="S979" s="322" t="str">
        <f>S941</f>
        <v xml:space="preserve"> </v>
      </c>
      <c r="T979" s="306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>
      <c r="A980" s="308" t="s">
        <v>462</v>
      </c>
      <c r="B980" s="1"/>
      <c r="C980" s="304">
        <v>0</v>
      </c>
      <c r="D980" s="322">
        <v>1703</v>
      </c>
      <c r="E980" s="309"/>
      <c r="F980" s="2">
        <f>ROUND(D980*C980,0)</f>
        <v>0</v>
      </c>
      <c r="G980" s="322">
        <f ca="1">G942</f>
        <v>1743</v>
      </c>
      <c r="H980" s="309"/>
      <c r="I980" s="2">
        <f ca="1">ROUND(G980*$C980,0)</f>
        <v>0</v>
      </c>
      <c r="J980" s="2"/>
      <c r="K980" s="322">
        <f ca="1">K942</f>
        <v>1743</v>
      </c>
      <c r="L980" s="309"/>
      <c r="M980" s="2">
        <f ca="1">ROUND(K980*$C980,0)</f>
        <v>0</v>
      </c>
      <c r="N980" s="2"/>
      <c r="O980" s="322" t="str">
        <f>O942</f>
        <v xml:space="preserve"> </v>
      </c>
      <c r="P980" s="309"/>
      <c r="Q980" s="2">
        <f>ROUND(O980*$C980,0)</f>
        <v>0</v>
      </c>
      <c r="R980" s="2"/>
      <c r="S980" s="322" t="str">
        <f>S942</f>
        <v xml:space="preserve"> </v>
      </c>
      <c r="T980" s="309"/>
      <c r="U980" s="2">
        <f>ROUND(S980*$C980,0)</f>
        <v>0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>
      <c r="A981" s="308" t="s">
        <v>384</v>
      </c>
      <c r="B981" s="1"/>
      <c r="C981" s="304">
        <f>SUM(C979:C980)</f>
        <v>332.81818181818198</v>
      </c>
      <c r="D981" s="322" t="s">
        <v>31</v>
      </c>
      <c r="E981" s="306"/>
      <c r="F981" s="2" t="s">
        <v>31</v>
      </c>
      <c r="G981" s="322" t="s">
        <v>31</v>
      </c>
      <c r="H981" s="306"/>
      <c r="I981" s="2" t="s">
        <v>31</v>
      </c>
      <c r="J981" s="2"/>
      <c r="K981" s="322" t="s">
        <v>31</v>
      </c>
      <c r="L981" s="306"/>
      <c r="M981" s="2" t="s">
        <v>31</v>
      </c>
      <c r="N981" s="2"/>
      <c r="O981" s="322" t="s">
        <v>31</v>
      </c>
      <c r="P981" s="306"/>
      <c r="Q981" s="2" t="s">
        <v>31</v>
      </c>
      <c r="R981" s="2"/>
      <c r="S981" s="322" t="s">
        <v>31</v>
      </c>
      <c r="T981" s="306"/>
      <c r="U981" s="2" t="s">
        <v>31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>
      <c r="A982" s="308" t="s">
        <v>463</v>
      </c>
      <c r="B982" s="1"/>
      <c r="C982" s="304">
        <v>537406.793103448</v>
      </c>
      <c r="D982" s="322">
        <v>1.1200000000000001</v>
      </c>
      <c r="E982" s="306"/>
      <c r="F982" s="2">
        <f>ROUND(D982*C982,0)</f>
        <v>601896</v>
      </c>
      <c r="G982" s="322">
        <f ca="1">G944</f>
        <v>1.1499999999999999</v>
      </c>
      <c r="H982" s="306"/>
      <c r="I982" s="2">
        <f ca="1">ROUND(G982*$C982,0)</f>
        <v>618018</v>
      </c>
      <c r="J982" s="2"/>
      <c r="K982" s="322">
        <f ca="1">K944</f>
        <v>1.1499999999999999</v>
      </c>
      <c r="L982" s="306"/>
      <c r="M982" s="2">
        <f ca="1">ROUND(K982*$C982,0)</f>
        <v>618018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>
      <c r="A983" s="308" t="s">
        <v>464</v>
      </c>
      <c r="B983" s="1"/>
      <c r="C983" s="304">
        <v>0</v>
      </c>
      <c r="D983" s="322">
        <v>1.01</v>
      </c>
      <c r="E983" s="306"/>
      <c r="F983" s="2">
        <f>ROUND(D983*C983,0)</f>
        <v>0</v>
      </c>
      <c r="G983" s="322">
        <f ca="1">G945</f>
        <v>1.03</v>
      </c>
      <c r="H983" s="306"/>
      <c r="I983" s="2">
        <f ca="1">ROUND(G983*$C983,0)</f>
        <v>0</v>
      </c>
      <c r="J983" s="2"/>
      <c r="K983" s="322">
        <f ca="1">K945</f>
        <v>1.03</v>
      </c>
      <c r="L983" s="306"/>
      <c r="M983" s="2">
        <f ca="1">ROUND(K983*$C983,0)</f>
        <v>0</v>
      </c>
      <c r="N983" s="2"/>
      <c r="O983" s="322" t="str">
        <f>O945</f>
        <v xml:space="preserve"> </v>
      </c>
      <c r="P983" s="306"/>
      <c r="Q983" s="2">
        <f>ROUND(O983*$C983,0)</f>
        <v>0</v>
      </c>
      <c r="R983" s="2"/>
      <c r="S983" s="322" t="str">
        <f>S945</f>
        <v xml:space="preserve"> </v>
      </c>
      <c r="T983" s="306"/>
      <c r="U983" s="2">
        <f>ROUND(S983*$C983,0)</f>
        <v>0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>
      <c r="A984" s="294" t="s">
        <v>393</v>
      </c>
      <c r="B984" s="1"/>
      <c r="C984" s="304">
        <v>465132.48275862099</v>
      </c>
      <c r="D984" s="322">
        <v>7.97</v>
      </c>
      <c r="E984" s="306"/>
      <c r="F984" s="2">
        <f>ROUND(D984*C984,0)</f>
        <v>3707106</v>
      </c>
      <c r="G984" s="322">
        <f ca="1">G946</f>
        <v>8.16</v>
      </c>
      <c r="H984" s="306"/>
      <c r="I984" s="2">
        <f ca="1">ROUND(G984*$C984,0)</f>
        <v>3795481</v>
      </c>
      <c r="J984" s="2"/>
      <c r="K984" s="322" t="e">
        <f ca="1">K946</f>
        <v>#DIV/0!</v>
      </c>
      <c r="L984" s="306"/>
      <c r="M984" s="2" t="e">
        <f ca="1">ROUND(K984*$C984,0)</f>
        <v>#DIV/0!</v>
      </c>
      <c r="N984" s="2"/>
      <c r="O984" s="322" t="e">
        <f ca="1">O946</f>
        <v>#DIV/0!</v>
      </c>
      <c r="P984" s="306"/>
      <c r="Q984" s="2" t="e">
        <f ca="1">ROUND(O984*$C984,0)</f>
        <v>#DIV/0!</v>
      </c>
      <c r="R984" s="2"/>
      <c r="S984" s="322" t="e">
        <f ca="1">S946</f>
        <v>#DIV/0!</v>
      </c>
      <c r="T984" s="306"/>
      <c r="U984" s="2" t="e">
        <f ca="1">ROUND(S984*$C984,0)</f>
        <v>#DIV/0!</v>
      </c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>
      <c r="A985" s="308" t="s">
        <v>416</v>
      </c>
      <c r="B985" s="1"/>
      <c r="C985" s="304"/>
      <c r="D985" s="322" t="s">
        <v>31</v>
      </c>
      <c r="E985" s="306"/>
      <c r="F985" s="2"/>
      <c r="G985" s="322" t="s">
        <v>31</v>
      </c>
      <c r="H985" s="306"/>
      <c r="I985" s="2"/>
      <c r="J985" s="2"/>
      <c r="K985" s="322" t="s">
        <v>31</v>
      </c>
      <c r="L985" s="306"/>
      <c r="M985" s="2"/>
      <c r="N985" s="2"/>
      <c r="O985" s="322" t="s">
        <v>31</v>
      </c>
      <c r="P985" s="306"/>
      <c r="Q985" s="2"/>
      <c r="R985" s="2"/>
      <c r="S985" s="322" t="s">
        <v>31</v>
      </c>
      <c r="T985" s="306"/>
      <c r="U985" s="2"/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>
      <c r="A986" s="308" t="s">
        <v>454</v>
      </c>
      <c r="B986" s="1"/>
      <c r="C986" s="304">
        <v>209700450</v>
      </c>
      <c r="D986" s="380">
        <v>4.7409999999999997</v>
      </c>
      <c r="E986" s="306" t="s">
        <v>364</v>
      </c>
      <c r="F986" s="2">
        <f>ROUND(D986/100*C986,0)</f>
        <v>9941898</v>
      </c>
      <c r="G986" s="380">
        <f ca="1">G948</f>
        <v>4.8520000000000003</v>
      </c>
      <c r="H986" s="306" t="s">
        <v>364</v>
      </c>
      <c r="I986" s="2">
        <f ca="1">ROUND(G986/100*$C986,0)</f>
        <v>10174666</v>
      </c>
      <c r="J986" s="2"/>
      <c r="K986" s="380" t="str">
        <f>K948</f>
        <v xml:space="preserve"> </v>
      </c>
      <c r="L986" s="306" t="s">
        <v>364</v>
      </c>
      <c r="M986" s="2">
        <f>ROUND(K986/100*$C986,0)</f>
        <v>0</v>
      </c>
      <c r="N986" s="2"/>
      <c r="O986" s="380" t="e">
        <f ca="1">O948</f>
        <v>#DIV/0!</v>
      </c>
      <c r="P986" s="306" t="s">
        <v>364</v>
      </c>
      <c r="Q986" s="2" t="e">
        <f ca="1">ROUND(O986/100*$C986,0)</f>
        <v>#DIV/0!</v>
      </c>
      <c r="R986" s="2"/>
      <c r="S986" s="380" t="e">
        <f ca="1">S948</f>
        <v>#DIV/0!</v>
      </c>
      <c r="T986" s="306" t="s">
        <v>364</v>
      </c>
      <c r="U986" s="2" t="e">
        <f ca="1">ROUND(S986/100*$C986,0)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>
      <c r="A987" s="308" t="s">
        <v>390</v>
      </c>
      <c r="B987" s="1"/>
      <c r="C987" s="304">
        <v>129089.24242424199</v>
      </c>
      <c r="D987" s="322">
        <v>0.56000000000000005</v>
      </c>
      <c r="E987" s="306"/>
      <c r="F987" s="2">
        <f>ROUND(D987*C987,0)</f>
        <v>72290</v>
      </c>
      <c r="G987" s="322">
        <f ca="1">G949</f>
        <v>0.56999999999999995</v>
      </c>
      <c r="H987" s="306"/>
      <c r="I987" s="2">
        <f ca="1">ROUND(G987*$C987,0)</f>
        <v>73581</v>
      </c>
      <c r="J987" s="2"/>
      <c r="K987" s="322" t="str">
        <f>K949</f>
        <v xml:space="preserve"> </v>
      </c>
      <c r="L987" s="306"/>
      <c r="M987" s="2">
        <f>ROUND(K987*$C987,0)</f>
        <v>0</v>
      </c>
      <c r="N987" s="2"/>
      <c r="O987" s="322" t="e">
        <f ca="1">O949</f>
        <v>#DIV/0!</v>
      </c>
      <c r="P987" s="306"/>
      <c r="Q987" s="2" t="e">
        <f ca="1">ROUND(O987*$C987,0)</f>
        <v>#DIV/0!</v>
      </c>
      <c r="R987" s="2"/>
      <c r="S987" s="322" t="e">
        <f ca="1">S949</f>
        <v>#DIV/0!</v>
      </c>
      <c r="T987" s="306"/>
      <c r="U987" s="2" t="e">
        <f ca="1">ROUND(S987*$C987,0)</f>
        <v>#DIV/0!</v>
      </c>
      <c r="V987" s="20"/>
      <c r="W987" s="74"/>
      <c r="X987" s="74"/>
      <c r="Y987" s="74"/>
      <c r="Z987" s="20"/>
      <c r="AA987" s="20"/>
      <c r="AB987" s="2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</row>
    <row r="988" spans="1:44" s="1118" customFormat="1" hidden="1">
      <c r="A988" s="968" t="s">
        <v>872</v>
      </c>
      <c r="C988" s="1122">
        <f>C986</f>
        <v>209700450</v>
      </c>
      <c r="D988" s="1423">
        <v>0</v>
      </c>
      <c r="E988" s="1119"/>
      <c r="F988" s="1123"/>
      <c r="G988" s="1128">
        <f>G950</f>
        <v>0</v>
      </c>
      <c r="H988" s="1000" t="s">
        <v>364</v>
      </c>
      <c r="I988" s="1123">
        <f>ROUND(G988*$C988/100,0)</f>
        <v>0</v>
      </c>
      <c r="J988" s="1123"/>
      <c r="K988" s="1128" t="str">
        <f>K950</f>
        <v xml:space="preserve"> </v>
      </c>
      <c r="L988" s="1000" t="s">
        <v>364</v>
      </c>
      <c r="M988" s="1123">
        <f>ROUND(K988*$C988/100,0)</f>
        <v>0</v>
      </c>
      <c r="N988" s="1123"/>
      <c r="O988" s="1128" t="str">
        <f>O950</f>
        <v xml:space="preserve"> </v>
      </c>
      <c r="P988" s="1000" t="s">
        <v>364</v>
      </c>
      <c r="Q988" s="1123">
        <f>ROUND(O988*$C988/100,0)</f>
        <v>0</v>
      </c>
      <c r="R988" s="1123"/>
      <c r="S988" s="1128">
        <f>S950</f>
        <v>0</v>
      </c>
      <c r="T988" s="1000" t="s">
        <v>364</v>
      </c>
      <c r="U988" s="1123">
        <f>ROUND(S988*$C988/100,0)</f>
        <v>0</v>
      </c>
      <c r="W988" s="784"/>
      <c r="Z988" s="1125"/>
      <c r="AA988" s="1125"/>
      <c r="AF988" s="1119"/>
      <c r="AG988" s="1119"/>
      <c r="AH988" s="1119"/>
      <c r="AI988" s="1119"/>
      <c r="AJ988" s="1119"/>
      <c r="AK988" s="1119"/>
      <c r="AL988" s="1119"/>
      <c r="AM988" s="1119"/>
      <c r="AN988" s="1119"/>
      <c r="AO988" s="1119"/>
      <c r="AP988" s="1119"/>
      <c r="AR988" s="1124"/>
    </row>
    <row r="989" spans="1:44">
      <c r="A989" s="1" t="s">
        <v>371</v>
      </c>
      <c r="B989" s="1"/>
      <c r="C989" s="304">
        <f>C986</f>
        <v>209700450</v>
      </c>
      <c r="D989" s="315"/>
      <c r="E989" s="1"/>
      <c r="F989" s="2">
        <f>SUM(F979:F987)</f>
        <v>14792796</v>
      </c>
      <c r="G989" s="315"/>
      <c r="H989" s="1"/>
      <c r="I989" s="2">
        <f ca="1">SUM(I979:I988)</f>
        <v>15141670</v>
      </c>
      <c r="J989" s="2"/>
      <c r="K989" s="315"/>
      <c r="L989" s="1"/>
      <c r="M989" s="2" t="e">
        <f ca="1">SUM(M979:M988)</f>
        <v>#DIV/0!</v>
      </c>
      <c r="N989" s="2"/>
      <c r="O989" s="315"/>
      <c r="P989" s="1"/>
      <c r="Q989" s="2" t="e">
        <f ca="1">SUM(Q979:Q988)</f>
        <v>#DIV/0!</v>
      </c>
      <c r="R989" s="2"/>
      <c r="S989" s="315"/>
      <c r="T989" s="1"/>
      <c r="U989" s="2" t="e">
        <f ca="1">SUM(U979:U988)</f>
        <v>#DIV/0!</v>
      </c>
      <c r="V989" s="7" t="s">
        <v>31</v>
      </c>
      <c r="W989" s="74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>
      <c r="A990" s="1" t="s">
        <v>353</v>
      </c>
      <c r="B990" s="1"/>
      <c r="C990" s="304">
        <f ca="1">C989/($C$989+$C$1046)*$C$1084</f>
        <v>652001.57700801117</v>
      </c>
      <c r="D990" s="294"/>
      <c r="E990" s="294"/>
      <c r="F990" s="325">
        <f ca="1">F989/($F$989+$F$1046)*$F$1084</f>
        <v>46005.744370944871</v>
      </c>
      <c r="G990" s="294"/>
      <c r="H990" s="294"/>
      <c r="I990" s="326">
        <f ca="1">F990</f>
        <v>46005.744370944871</v>
      </c>
      <c r="J990" s="307"/>
      <c r="K990" s="294"/>
      <c r="L990" s="294"/>
      <c r="M990" s="326" t="e">
        <f ca="1">$I$990*V956/($V956+$W$956+$X$956)</f>
        <v>#DIV/0!</v>
      </c>
      <c r="N990" s="51"/>
      <c r="O990" s="294"/>
      <c r="P990" s="294"/>
      <c r="Q990" s="326" t="e">
        <f ca="1">$I$990*W956/($V956+$W$956+$X$956)</f>
        <v>#DIV/0!</v>
      </c>
      <c r="R990" s="51"/>
      <c r="S990" s="294"/>
      <c r="T990" s="294"/>
      <c r="U990" s="326" t="e">
        <f ca="1">$I$990*X956/($V956+$W$956+$X$956)</f>
        <v>#DIV/0!</v>
      </c>
      <c r="V990" s="429"/>
      <c r="W990" s="272"/>
      <c r="X990" s="74"/>
      <c r="Y990" s="74"/>
      <c r="Z990" s="20"/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thickBot="1">
      <c r="A991" s="1" t="s">
        <v>372</v>
      </c>
      <c r="B991" s="1"/>
      <c r="C991" s="378">
        <f ca="1">SUM(C989)+C990</f>
        <v>210352451.57700801</v>
      </c>
      <c r="D991" s="327"/>
      <c r="E991" s="330"/>
      <c r="F991" s="329">
        <f ca="1">F989+F990</f>
        <v>14838801.744370945</v>
      </c>
      <c r="G991" s="327"/>
      <c r="H991" s="330"/>
      <c r="I991" s="329">
        <f ca="1">I989+I990</f>
        <v>15187675.744370945</v>
      </c>
      <c r="J991" s="307"/>
      <c r="K991" s="327"/>
      <c r="L991" s="330"/>
      <c r="M991" s="329" t="e">
        <f ca="1">M989+M990</f>
        <v>#DIV/0!</v>
      </c>
      <c r="N991" s="329"/>
      <c r="O991" s="327"/>
      <c r="P991" s="330"/>
      <c r="Q991" s="329" t="e">
        <f ca="1">Q989+Q990</f>
        <v>#DIV/0!</v>
      </c>
      <c r="R991" s="329"/>
      <c r="S991" s="327"/>
      <c r="T991" s="330"/>
      <c r="U991" s="329" t="e">
        <f ca="1">U989+U990</f>
        <v>#DIV/0!</v>
      </c>
      <c r="V991" s="396"/>
      <c r="W991" s="455"/>
      <c r="X991" s="74"/>
      <c r="Y991" s="74"/>
      <c r="Z991" s="770" t="s">
        <v>31</v>
      </c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t="16.5" thickTop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 t="s">
        <v>31</v>
      </c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86">C1018+C1036</f>
        <v>130.3333333333334</v>
      </c>
      <c r="D997" s="322">
        <v>1443</v>
      </c>
      <c r="E997" s="306"/>
      <c r="F997" s="2">
        <f>ROUND(D997*C997,0)</f>
        <v>188071</v>
      </c>
      <c r="G997" s="311">
        <f ca="1">ROUND(D997*(1+$Z$936),0)</f>
        <v>1477</v>
      </c>
      <c r="H997" s="306"/>
      <c r="I997" s="2">
        <f ca="1">ROUND(G997*$C997,0)</f>
        <v>192502</v>
      </c>
      <c r="J997" s="2"/>
      <c r="K997" s="311">
        <f ca="1">G997</f>
        <v>1477</v>
      </c>
      <c r="L997" s="306"/>
      <c r="M997" s="2">
        <f ca="1">ROUND(K997*$C997,0)</f>
        <v>192502</v>
      </c>
      <c r="N997" s="2"/>
      <c r="O997" s="311" t="s">
        <v>31</v>
      </c>
      <c r="P997" s="306"/>
      <c r="Q997" s="2">
        <f>ROUND(O997*$C997,0)</f>
        <v>0</v>
      </c>
      <c r="R997" s="2"/>
      <c r="S997" s="311" t="s">
        <v>31</v>
      </c>
      <c r="T997" s="306"/>
      <c r="U997" s="2">
        <f>ROUND(S997*$C997,0)</f>
        <v>0</v>
      </c>
      <c r="V997" s="20"/>
      <c r="X997" s="796">
        <f ca="1">(G997-D997)/D997</f>
        <v>2.3562023562023561E-2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86"/>
        <v>0</v>
      </c>
      <c r="D998" s="322">
        <v>1736</v>
      </c>
      <c r="E998" s="309"/>
      <c r="F998" s="2">
        <f>ROUND(D998*C998,0)</f>
        <v>0</v>
      </c>
      <c r="G998" s="311">
        <f ca="1">ROUND(D998*(1+$Z$936),0)</f>
        <v>1777</v>
      </c>
      <c r="H998" s="309"/>
      <c r="I998" s="2">
        <f ca="1">ROUND(G998*$C998,0)</f>
        <v>0</v>
      </c>
      <c r="J998" s="2"/>
      <c r="K998" s="311">
        <f ca="1">G998</f>
        <v>1777</v>
      </c>
      <c r="L998" s="1275"/>
      <c r="M998" s="2">
        <f ca="1">I998</f>
        <v>0</v>
      </c>
      <c r="N998" s="2"/>
      <c r="O998" s="311" t="s">
        <v>31</v>
      </c>
      <c r="P998" s="1275"/>
      <c r="Q998" s="2">
        <f>ROUND(O998*$C998,0)</f>
        <v>0</v>
      </c>
      <c r="R998" s="2"/>
      <c r="S998" s="311" t="s">
        <v>31</v>
      </c>
      <c r="T998" s="1275"/>
      <c r="U998" s="2">
        <f>ROUND(S998*$C998,0)</f>
        <v>0</v>
      </c>
      <c r="V998" s="20"/>
      <c r="X998" s="796">
        <f ca="1">(G998-D998)/D998</f>
        <v>2.3617511520737326E-2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86"/>
        <v>130.3333333333334</v>
      </c>
      <c r="D999" s="322" t="s">
        <v>31</v>
      </c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86"/>
        <v>230926.96551724101</v>
      </c>
      <c r="D1000" s="322">
        <v>0.56999999999999995</v>
      </c>
      <c r="E1000" s="306"/>
      <c r="F1000" s="2">
        <f>ROUND(D1000*C1000,0)</f>
        <v>131628</v>
      </c>
      <c r="G1000" s="311">
        <f ca="1">ROUND(D1000*(1+$Z$936),2)</f>
        <v>0.57999999999999996</v>
      </c>
      <c r="H1000" s="306"/>
      <c r="I1000" s="2">
        <f ca="1">ROUND(G1000*$C1000,0)</f>
        <v>133938</v>
      </c>
      <c r="J1000" s="2"/>
      <c r="K1000" s="311">
        <f ca="1">G1000</f>
        <v>0.57999999999999996</v>
      </c>
      <c r="L1000" s="306"/>
      <c r="M1000" s="2">
        <f ca="1">ROUND(K1000*$C1000,0)</f>
        <v>133938</v>
      </c>
      <c r="N1000" s="2"/>
      <c r="O1000" s="311" t="s">
        <v>31</v>
      </c>
      <c r="P1000" s="306"/>
      <c r="Q1000" s="2">
        <f>ROUND(O1000*$C1000,0)</f>
        <v>0</v>
      </c>
      <c r="R1000" s="2"/>
      <c r="S1000" s="311" t="s">
        <v>31</v>
      </c>
      <c r="T1000" s="306"/>
      <c r="U1000" s="2">
        <f>ROUND(S1000*$C1000,0)</f>
        <v>0</v>
      </c>
      <c r="X1000" s="796">
        <f ca="1">(G1000-D1000)/D1000</f>
        <v>1.7543859649122823E-2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86"/>
        <v>0</v>
      </c>
      <c r="D1001" s="322">
        <v>0.46</v>
      </c>
      <c r="E1001" s="306"/>
      <c r="F1001" s="2">
        <f>ROUND(D1001*C1001,0)</f>
        <v>0</v>
      </c>
      <c r="G1001" s="311">
        <f ca="1">ROUND(D1001*(1+$Z$936),2)</f>
        <v>0.47</v>
      </c>
      <c r="H1001" s="306"/>
      <c r="I1001" s="2">
        <f ca="1">ROUND(G1001*$C1001,0)</f>
        <v>0</v>
      </c>
      <c r="J1001" s="2"/>
      <c r="K1001" s="311">
        <f ca="1">G1001</f>
        <v>0.47</v>
      </c>
      <c r="L1001" s="306"/>
      <c r="M1001" s="2">
        <f ca="1">I1001</f>
        <v>0</v>
      </c>
      <c r="N1001" s="2"/>
      <c r="O1001" s="311" t="s">
        <v>31</v>
      </c>
      <c r="P1001" s="306"/>
      <c r="Q1001" s="2">
        <f>ROUND(O1001*$C1001,0)</f>
        <v>0</v>
      </c>
      <c r="R1001" s="2"/>
      <c r="S1001" s="311" t="s">
        <v>31</v>
      </c>
      <c r="T1001" s="306"/>
      <c r="U1001" s="2">
        <f>ROUND(S1001*$C1001,0)</f>
        <v>0</v>
      </c>
      <c r="V1001" s="20"/>
      <c r="X1001" s="796">
        <f ca="1">(G1001-D1001)/D1001</f>
        <v>2.1739130434782507E-2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86"/>
        <v>187022.62068965501</v>
      </c>
      <c r="D1002" s="322">
        <v>7.79</v>
      </c>
      <c r="E1002" s="306"/>
      <c r="F1002" s="2">
        <f>ROUND(D1002*C1002,0)</f>
        <v>1456906</v>
      </c>
      <c r="G1002" s="311">
        <f ca="1">ROUND(D1002*(1+$Z$936),2)+0.01</f>
        <v>7.9799999999999995</v>
      </c>
      <c r="H1002" s="306"/>
      <c r="I1002" s="2">
        <f ca="1">ROUND(G1002*$C1002,0)</f>
        <v>1492441</v>
      </c>
      <c r="J1002" s="2"/>
      <c r="K1002" s="311" t="e">
        <f ca="1">M1002/$C$1002</f>
        <v>#DIV/0!</v>
      </c>
      <c r="L1002" s="306"/>
      <c r="M1002" s="2" t="e">
        <f ca="1">(V1012-M997-M998-M1009-M1001-M1000)</f>
        <v>#DIV/0!</v>
      </c>
      <c r="N1002" s="2"/>
      <c r="O1002" s="311" t="e">
        <f ca="1">Q1002/$C$1002</f>
        <v>#DIV/0!</v>
      </c>
      <c r="P1002" s="306"/>
      <c r="Q1002" s="2" t="e">
        <f ca="1">($I$1002-$M$1002)*(W1012/($W$1012+$X$1012))</f>
        <v>#DIV/0!</v>
      </c>
      <c r="R1002" s="2"/>
      <c r="S1002" s="311" t="e">
        <f ca="1">U1002/$C$1002-0.01</f>
        <v>#DIV/0!</v>
      </c>
      <c r="T1002" s="306"/>
      <c r="U1002" s="2" t="e">
        <f ca="1">($I$1002-$M$1002)*(X1012/($W$1012+$X$1012))</f>
        <v>#DIV/0!</v>
      </c>
      <c r="V1002" s="20"/>
      <c r="X1002" s="796">
        <f ca="1">(G1002-D1002)/D1002</f>
        <v>2.4390243902438959E-2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 t="s">
        <v>31</v>
      </c>
      <c r="E1003" s="306"/>
      <c r="F1003" s="2"/>
      <c r="G1003" s="311" t="s">
        <v>31</v>
      </c>
      <c r="H1003" s="306"/>
      <c r="I1003" s="2"/>
      <c r="J1003" s="2"/>
      <c r="K1003" s="411" t="s">
        <v>31</v>
      </c>
      <c r="L1003" s="306"/>
      <c r="M1003" s="2"/>
      <c r="N1003" s="2"/>
      <c r="O1003" s="411" t="s">
        <v>31</v>
      </c>
      <c r="P1003" s="306"/>
      <c r="Q1003" s="2"/>
      <c r="R1003" s="2"/>
      <c r="S1003" s="4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v>4.6879999999999997</v>
      </c>
      <c r="E1004" s="306" t="s">
        <v>364</v>
      </c>
      <c r="F1004" s="2">
        <f>ROUND(D1004/100*C1004,0)</f>
        <v>3576798</v>
      </c>
      <c r="G1004" s="777">
        <f ca="1">ROUND(D1004*(1+$Z$936),3)</f>
        <v>4.798</v>
      </c>
      <c r="H1004" s="306" t="s">
        <v>364</v>
      </c>
      <c r="I1004" s="2">
        <f ca="1">ROUND(G1004/100*$C1004,0)</f>
        <v>3660725</v>
      </c>
      <c r="J1004" s="2"/>
      <c r="K1004" s="771" t="s">
        <v>31</v>
      </c>
      <c r="L1004" s="850" t="s">
        <v>31</v>
      </c>
      <c r="M1004" s="2">
        <v>0</v>
      </c>
      <c r="N1004" s="2"/>
      <c r="O1004" s="771" t="e">
        <f ca="1">ROUND(Q1004/C1004*100,3)</f>
        <v>#DIV/0!</v>
      </c>
      <c r="P1004" s="306" t="s">
        <v>364</v>
      </c>
      <c r="Q1004" s="2" t="e">
        <f ca="1">I1004-U1004</f>
        <v>#DIV/0!</v>
      </c>
      <c r="R1004" s="2"/>
      <c r="S1004" s="771" t="e">
        <f ca="1">ROUND(U1004/C1004*100,3)</f>
        <v>#DIV/0!</v>
      </c>
      <c r="T1004" s="306" t="s">
        <v>364</v>
      </c>
      <c r="U1004" s="2" t="e">
        <f ca="1">X1012-U997-U998-U1000-U1001-U1002-U1005-U1006-U1009</f>
        <v>#DIV/0!</v>
      </c>
      <c r="V1004" s="20"/>
      <c r="X1004" s="796">
        <f ca="1">(G1004-D1004)/D1004</f>
        <v>2.3464163822525665E-2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v>0.55000000000000004</v>
      </c>
      <c r="E1005" s="306"/>
      <c r="F1005" s="2">
        <f>ROUND(D1005*C1005,0)</f>
        <v>8793</v>
      </c>
      <c r="G1005" s="311">
        <f ca="1">ROUND(D1005*(1+$Z$936),2)</f>
        <v>0.56000000000000005</v>
      </c>
      <c r="H1005" s="306"/>
      <c r="I1005" s="2">
        <f ca="1">ROUND(G1005*$C1005,0)</f>
        <v>8953</v>
      </c>
      <c r="J1005" s="2"/>
      <c r="K1005" s="311" t="s">
        <v>31</v>
      </c>
      <c r="L1005" s="306"/>
      <c r="M1005" s="2">
        <f>ROUND(K1005*$C1005,0)</f>
        <v>0</v>
      </c>
      <c r="N1005" s="2"/>
      <c r="O1005" s="311" t="e">
        <f ca="1">ROUND(Q1005/$C$1005,2)</f>
        <v>#DIV/0!</v>
      </c>
      <c r="P1005" s="306"/>
      <c r="Q1005" s="2" t="e">
        <f ca="1">$I$1005*(W1012/(W1012+X1012))</f>
        <v>#DIV/0!</v>
      </c>
      <c r="R1005" s="2"/>
      <c r="S1005" s="311" t="e">
        <f ca="1">ROUND(U1005/$C$1005,2)</f>
        <v>#DIV/0!</v>
      </c>
      <c r="T1005" s="306"/>
      <c r="U1005" s="2" t="e">
        <f ca="1">$I$1005*(X1012/(W1012+X1012))</f>
        <v>#DIV/0!</v>
      </c>
      <c r="V1005" s="20"/>
      <c r="X1005" s="796">
        <f ca="1">(G1005-D1005)/D1005</f>
        <v>1.8181818181818195E-2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1423">
        <v>0</v>
      </c>
      <c r="E1006" s="1119"/>
      <c r="F1006" s="1123"/>
      <c r="G1006" s="1128">
        <v>0</v>
      </c>
      <c r="H1006" s="1000" t="s">
        <v>364</v>
      </c>
      <c r="I1006" s="1123">
        <f>ROUND(G1006/100*$C1006,0)</f>
        <v>0</v>
      </c>
      <c r="J1006" s="1123"/>
      <c r="K1006" s="1128" t="s">
        <v>31</v>
      </c>
      <c r="L1006" s="1000" t="s">
        <v>31</v>
      </c>
      <c r="M1006" s="1000">
        <f>ROUND(K1006*$C1006/100,0)</f>
        <v>0</v>
      </c>
      <c r="N1006" s="1000"/>
      <c r="O1006" s="1128" t="s">
        <v>31</v>
      </c>
      <c r="P1006" s="1000" t="s">
        <v>31</v>
      </c>
      <c r="Q1006" s="1000">
        <f>ROUND(O1006*$C1006/100,0)</f>
        <v>0</v>
      </c>
      <c r="R1006" s="1000"/>
      <c r="S1006" s="1128">
        <f>G1006</f>
        <v>0</v>
      </c>
      <c r="T1006" s="1000" t="s">
        <v>364</v>
      </c>
      <c r="U1006" s="1000">
        <f>ROUND(S1006*$C1006/100,0)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v>4.6879999999999997</v>
      </c>
      <c r="E1007" s="1266" t="s">
        <v>364</v>
      </c>
      <c r="F1007" s="1259"/>
      <c r="G1007" s="1260">
        <f ca="1">G1004+G1006</f>
        <v>4.798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2.3464163822525665E-2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5362196</v>
      </c>
      <c r="G1008" s="315"/>
      <c r="H1008" s="1"/>
      <c r="I1008" s="2">
        <f ca="1">SUM(I997:I1007)</f>
        <v>5488559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5">
        <f ca="1">F1029+F1047</f>
        <v>39171.082166675216</v>
      </c>
      <c r="G1009" s="294"/>
      <c r="H1009" s="294"/>
      <c r="I1009" s="326">
        <f ca="1">F1009</f>
        <v>39171.082166675216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5401367.0821666755</v>
      </c>
      <c r="G1010" s="327"/>
      <c r="H1010" s="330"/>
      <c r="I1010" s="329">
        <f ca="1">I1008+I1009</f>
        <v>5527730.0821666755</v>
      </c>
      <c r="J1010" s="307"/>
      <c r="K1010" s="327"/>
      <c r="L1010" s="330"/>
      <c r="M1010" s="329" t="e">
        <f ca="1">M1008+M1009</f>
        <v>#DIV/0!</v>
      </c>
      <c r="N1010" s="329"/>
      <c r="O1010" s="327"/>
      <c r="P1010" s="330"/>
      <c r="Q1010" s="329" t="e">
        <f ca="1">Q1008+Q1009</f>
        <v>#DIV/0!</v>
      </c>
      <c r="R1010" s="329"/>
      <c r="S1010" s="327"/>
      <c r="T1010" s="330"/>
      <c r="U1010" s="329" t="e">
        <f ca="1">U1008+U1009</f>
        <v>#DIV/0!</v>
      </c>
      <c r="V1010" s="396" t="s">
        <v>31</v>
      </c>
      <c r="W1010" s="751" t="s">
        <v>31</v>
      </c>
      <c r="X1010" s="703">
        <f ca="1">(I1010-F1010)/F1010</f>
        <v>2.3394632891588517E-2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>
      <c r="A1018" s="308" t="s">
        <v>461</v>
      </c>
      <c r="B1018" s="1"/>
      <c r="C1018" s="304">
        <v>106.57575757575761</v>
      </c>
      <c r="D1018" s="322">
        <v>1443</v>
      </c>
      <c r="E1018" s="306"/>
      <c r="F1018" s="2">
        <f>ROUND(D1018*C1018,0)</f>
        <v>153789</v>
      </c>
      <c r="G1018" s="322">
        <f ca="1">G997</f>
        <v>1477</v>
      </c>
      <c r="H1018" s="306"/>
      <c r="I1018" s="2">
        <f ca="1">ROUND(G1018*$C1018,0)</f>
        <v>157412</v>
      </c>
      <c r="J1018" s="2"/>
      <c r="K1018" s="322">
        <f ca="1">K997</f>
        <v>1477</v>
      </c>
      <c r="L1018" s="306"/>
      <c r="M1018" s="2">
        <f ca="1">ROUND(K1018*$C1018,0)</f>
        <v>157412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>
      <c r="A1019" s="308" t="s">
        <v>462</v>
      </c>
      <c r="B1019" s="1"/>
      <c r="C1019" s="304">
        <v>0</v>
      </c>
      <c r="D1019" s="322">
        <v>1736</v>
      </c>
      <c r="E1019" s="309"/>
      <c r="F1019" s="2">
        <f>ROUND(D1019*C1019,0)</f>
        <v>0</v>
      </c>
      <c r="G1019" s="322">
        <f ca="1">G998</f>
        <v>1777</v>
      </c>
      <c r="H1019" s="309"/>
      <c r="I1019" s="2">
        <f ca="1">ROUND(G1019*$C1019,0)</f>
        <v>0</v>
      </c>
      <c r="J1019" s="2"/>
      <c r="K1019" s="322">
        <f ca="1">K998</f>
        <v>1777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>
      <c r="A1020" s="308" t="s">
        <v>384</v>
      </c>
      <c r="B1020" s="1"/>
      <c r="C1020" s="304">
        <f>SUM(C1018:C1019)</f>
        <v>106.57575757575761</v>
      </c>
      <c r="D1020" s="322" t="s">
        <v>31</v>
      </c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>
      <c r="A1021" s="308" t="s">
        <v>463</v>
      </c>
      <c r="B1021" s="1"/>
      <c r="C1021" s="304">
        <v>201387.96551724101</v>
      </c>
      <c r="D1021" s="322">
        <v>0.56999999999999995</v>
      </c>
      <c r="E1021" s="306"/>
      <c r="F1021" s="2">
        <f>ROUND(D1021*C1021,0)</f>
        <v>114791</v>
      </c>
      <c r="G1021" s="322">
        <f ca="1">G1000</f>
        <v>0.57999999999999996</v>
      </c>
      <c r="H1021" s="306"/>
      <c r="I1021" s="2">
        <f ca="1">ROUND(G1021*$C1021,0)</f>
        <v>116805</v>
      </c>
      <c r="J1021" s="2"/>
      <c r="K1021" s="322">
        <f ca="1">K1000</f>
        <v>0.57999999999999996</v>
      </c>
      <c r="L1021" s="306"/>
      <c r="M1021" s="2">
        <f ca="1">ROUND(K1021*$C1021,0)</f>
        <v>116805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>
      <c r="A1022" s="308" t="s">
        <v>464</v>
      </c>
      <c r="B1022" s="1"/>
      <c r="C1022" s="304">
        <v>0</v>
      </c>
      <c r="D1022" s="322">
        <v>0.46</v>
      </c>
      <c r="E1022" s="306"/>
      <c r="F1022" s="2">
        <f>ROUND(D1022*C1022,0)</f>
        <v>0</v>
      </c>
      <c r="G1022" s="322">
        <f ca="1">G1001</f>
        <v>0.47</v>
      </c>
      <c r="H1022" s="306"/>
      <c r="I1022" s="2">
        <f ca="1">ROUND(G1022*$C1022,0)</f>
        <v>0</v>
      </c>
      <c r="J1022" s="2"/>
      <c r="K1022" s="322">
        <f ca="1">K1001</f>
        <v>0.47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>
      <c r="A1023" s="294" t="s">
        <v>393</v>
      </c>
      <c r="B1023" s="1"/>
      <c r="C1023" s="304">
        <v>162363.62068965501</v>
      </c>
      <c r="D1023" s="322">
        <v>7.79</v>
      </c>
      <c r="E1023" s="306"/>
      <c r="F1023" s="2">
        <f>ROUND(D1023*C1023,0)</f>
        <v>1264813</v>
      </c>
      <c r="G1023" s="322">
        <f ca="1">G1002</f>
        <v>7.9799999999999995</v>
      </c>
      <c r="H1023" s="306"/>
      <c r="I1023" s="2">
        <f ca="1">ROUND(G1023*$C1023,0)</f>
        <v>1295662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>
      <c r="A1024" s="308" t="s">
        <v>416</v>
      </c>
      <c r="B1024" s="1"/>
      <c r="C1024" s="304"/>
      <c r="D1024" s="322" t="s">
        <v>31</v>
      </c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>
      <c r="A1025" s="308" t="s">
        <v>454</v>
      </c>
      <c r="B1025" s="1"/>
      <c r="C1025" s="304">
        <v>69500087.893373474</v>
      </c>
      <c r="D1025" s="380">
        <v>4.6879999999999997</v>
      </c>
      <c r="E1025" s="306" t="s">
        <v>364</v>
      </c>
      <c r="F1025" s="2">
        <f>ROUND(D1025/100*C1025,0)</f>
        <v>3258164</v>
      </c>
      <c r="G1025" s="380">
        <f ca="1">G1004</f>
        <v>4.798</v>
      </c>
      <c r="H1025" s="306" t="s">
        <v>364</v>
      </c>
      <c r="I1025" s="2">
        <f ca="1">ROUND(G1025/100*$C1025,0)</f>
        <v>3334614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>
      <c r="A1026" s="308" t="s">
        <v>390</v>
      </c>
      <c r="B1026" s="1"/>
      <c r="C1026" s="304">
        <v>14336.3939393939</v>
      </c>
      <c r="D1026" s="322">
        <v>0.55000000000000004</v>
      </c>
      <c r="E1026" s="306"/>
      <c r="F1026" s="2">
        <f>ROUND(D1026*C1026,0)</f>
        <v>7885</v>
      </c>
      <c r="G1026" s="322">
        <f ca="1">G1005</f>
        <v>0.56000000000000005</v>
      </c>
      <c r="H1026" s="306"/>
      <c r="I1026" s="2">
        <f ca="1">ROUND(G1026*$C1026,0)</f>
        <v>8028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872</v>
      </c>
      <c r="C1027" s="1122">
        <f>C1025</f>
        <v>69500087.893373474</v>
      </c>
      <c r="D1027" s="1423"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4799442</v>
      </c>
      <c r="G1028" s="315"/>
      <c r="H1028" s="1"/>
      <c r="I1028" s="2">
        <f ca="1">SUM(I1018:I1027)</f>
        <v>4912521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>
      <c r="A1029" s="1" t="s">
        <v>353</v>
      </c>
      <c r="B1029" s="1"/>
      <c r="C1029" s="304">
        <f>C1028/($C$971+$C$1028)*$C$1065</f>
        <v>490842.11068979814</v>
      </c>
      <c r="D1029" s="294"/>
      <c r="E1029" s="294"/>
      <c r="F1029" s="325">
        <f>F1028/($F$971+$F$1028)*$F$1065</f>
        <v>37420.908455534263</v>
      </c>
      <c r="G1029" s="294"/>
      <c r="H1029" s="294"/>
      <c r="I1029" s="326">
        <f>F1029</f>
        <v>37420.908455534263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4836862.9084555339</v>
      </c>
      <c r="G1030" s="327"/>
      <c r="H1030" s="330"/>
      <c r="I1030" s="329">
        <f ca="1">I1028+I1029</f>
        <v>4949941.9084555339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>
      <c r="A1036" s="308" t="s">
        <v>461</v>
      </c>
      <c r="B1036" s="1"/>
      <c r="C1036" s="304">
        <v>23.7575757575758</v>
      </c>
      <c r="D1036" s="322">
        <v>1443</v>
      </c>
      <c r="E1036" s="306"/>
      <c r="F1036" s="2">
        <f>ROUND(D1036*C1036,0)</f>
        <v>34282</v>
      </c>
      <c r="G1036" s="322">
        <f ca="1">G997</f>
        <v>1477</v>
      </c>
      <c r="H1036" s="306"/>
      <c r="I1036" s="2">
        <f ca="1">ROUND(G1036*$C1036,0)</f>
        <v>35090</v>
      </c>
      <c r="J1036" s="2"/>
      <c r="K1036" s="322">
        <f ca="1">K997</f>
        <v>1477</v>
      </c>
      <c r="L1036" s="306"/>
      <c r="M1036" s="2">
        <f ca="1">ROUND(K1036*$C1036,0)</f>
        <v>35090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>
      <c r="A1037" s="308" t="s">
        <v>462</v>
      </c>
      <c r="B1037" s="1"/>
      <c r="C1037" s="304">
        <v>0</v>
      </c>
      <c r="D1037" s="322">
        <v>1736</v>
      </c>
      <c r="E1037" s="309"/>
      <c r="F1037" s="2">
        <f>ROUND(D1037*C1037,0)</f>
        <v>0</v>
      </c>
      <c r="G1037" s="322">
        <f ca="1">G998</f>
        <v>1777</v>
      </c>
      <c r="H1037" s="309"/>
      <c r="I1037" s="2">
        <f ca="1">ROUND(G1037*$C1037,0)</f>
        <v>0</v>
      </c>
      <c r="J1037" s="2"/>
      <c r="K1037" s="322">
        <f ca="1">K998</f>
        <v>1777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>
      <c r="A1038" s="308" t="s">
        <v>384</v>
      </c>
      <c r="B1038" s="1"/>
      <c r="C1038" s="304">
        <f>SUM(C1036:C1037)</f>
        <v>23.7575757575758</v>
      </c>
      <c r="D1038" s="322" t="s">
        <v>31</v>
      </c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>
      <c r="A1039" s="308" t="s">
        <v>463</v>
      </c>
      <c r="B1039" s="1"/>
      <c r="C1039" s="304">
        <v>29539</v>
      </c>
      <c r="D1039" s="322">
        <v>0.56999999999999995</v>
      </c>
      <c r="E1039" s="306"/>
      <c r="F1039" s="2">
        <f>ROUND(D1039*C1039,0)</f>
        <v>16837</v>
      </c>
      <c r="G1039" s="322">
        <f ca="1">G1000</f>
        <v>0.57999999999999996</v>
      </c>
      <c r="H1039" s="306"/>
      <c r="I1039" s="2">
        <f ca="1">ROUND(G1039*$C1039,0)</f>
        <v>17133</v>
      </c>
      <c r="J1039" s="2"/>
      <c r="K1039" s="322">
        <f ca="1">K1000</f>
        <v>0.57999999999999996</v>
      </c>
      <c r="L1039" s="306"/>
      <c r="M1039" s="2">
        <f ca="1">ROUND(K1039*$C1039,0)</f>
        <v>17133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>
      <c r="A1040" s="308" t="s">
        <v>464</v>
      </c>
      <c r="B1040" s="1"/>
      <c r="C1040" s="304">
        <v>0</v>
      </c>
      <c r="D1040" s="322">
        <v>0.46</v>
      </c>
      <c r="E1040" s="306"/>
      <c r="F1040" s="2">
        <f>ROUND(D1040*C1040,0)</f>
        <v>0</v>
      </c>
      <c r="G1040" s="322">
        <f ca="1">G1001</f>
        <v>0.47</v>
      </c>
      <c r="H1040" s="306"/>
      <c r="I1040" s="2">
        <f ca="1">ROUND(G1040*$C1040,0)</f>
        <v>0</v>
      </c>
      <c r="J1040" s="2"/>
      <c r="K1040" s="322">
        <f ca="1">K1001</f>
        <v>0.47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>
      <c r="A1041" s="294" t="s">
        <v>393</v>
      </c>
      <c r="B1041" s="1"/>
      <c r="C1041" s="304">
        <v>24659</v>
      </c>
      <c r="D1041" s="322">
        <v>7.79</v>
      </c>
      <c r="E1041" s="306"/>
      <c r="F1041" s="2">
        <f>ROUND(D1041*C1041,0)</f>
        <v>192094</v>
      </c>
      <c r="G1041" s="322">
        <f ca="1">G1002</f>
        <v>7.9799999999999995</v>
      </c>
      <c r="H1041" s="306"/>
      <c r="I1041" s="2">
        <f ca="1">ROUND(G1041*$C1041,0)</f>
        <v>196779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>
      <c r="A1042" s="308" t="s">
        <v>416</v>
      </c>
      <c r="B1042" s="1"/>
      <c r="C1042" s="304"/>
      <c r="D1042" s="322" t="s">
        <v>31</v>
      </c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>
      <c r="A1043" s="308" t="s">
        <v>454</v>
      </c>
      <c r="B1043" s="1"/>
      <c r="C1043" s="304">
        <v>6796800</v>
      </c>
      <c r="D1043" s="380">
        <v>4.6879999999999997</v>
      </c>
      <c r="E1043" s="306" t="s">
        <v>364</v>
      </c>
      <c r="F1043" s="2">
        <f>ROUND(D1043/100*C1043,0)</f>
        <v>318634</v>
      </c>
      <c r="G1043" s="380">
        <f ca="1">G1004</f>
        <v>4.798</v>
      </c>
      <c r="H1043" s="306" t="s">
        <v>364</v>
      </c>
      <c r="I1043" s="2">
        <f ca="1">ROUND(G1043/100*$C1043,0)</f>
        <v>326110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>
      <c r="A1044" s="308" t="s">
        <v>390</v>
      </c>
      <c r="B1044" s="1"/>
      <c r="C1044" s="304">
        <v>1651</v>
      </c>
      <c r="D1044" s="322">
        <v>0.55000000000000004</v>
      </c>
      <c r="E1044" s="306"/>
      <c r="F1044" s="2">
        <f>ROUND(D1044*C1044,0)</f>
        <v>908</v>
      </c>
      <c r="G1044" s="322">
        <f ca="1">G1005</f>
        <v>0.56000000000000005</v>
      </c>
      <c r="H1044" s="306"/>
      <c r="I1044" s="2">
        <f ca="1">ROUND(G1044*$C1044,0)</f>
        <v>925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872</v>
      </c>
      <c r="C1045" s="1122">
        <f>C1043</f>
        <v>6796800</v>
      </c>
      <c r="D1045" s="1423"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562755</v>
      </c>
      <c r="G1046" s="315"/>
      <c r="H1046" s="1"/>
      <c r="I1046" s="2">
        <f ca="1">SUM(I1036:I1045)</f>
        <v>576037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>
      <c r="A1047" s="1" t="s">
        <v>353</v>
      </c>
      <c r="B1047" s="1"/>
      <c r="C1047" s="304">
        <f ca="1">C1046/($C$989+$C$1046)*$C$1084</f>
        <v>21132.640958128846</v>
      </c>
      <c r="D1047" s="294"/>
      <c r="E1047" s="294"/>
      <c r="F1047" s="325">
        <f ca="1">F1046/($F$989+$F$1046)*$F$1084</f>
        <v>1750.1737111409554</v>
      </c>
      <c r="G1047" s="294"/>
      <c r="H1047" s="294"/>
      <c r="I1047" s="326">
        <f ca="1">F1047</f>
        <v>1750.1737111409554</v>
      </c>
      <c r="J1047" s="307"/>
      <c r="K1047" s="294"/>
      <c r="L1047" s="294"/>
      <c r="M1047" s="326" t="e">
        <f ca="1">$I$1047*V1012/($V$1012+$W$1012+$X$1012)</f>
        <v>#DIV/0!</v>
      </c>
      <c r="N1047" s="51"/>
      <c r="O1047" s="294"/>
      <c r="P1047" s="294"/>
      <c r="Q1047" s="326" t="e">
        <f ca="1">$I$1047*W1012/($V$1012+$W$1012+$X$1012)</f>
        <v>#DIV/0!</v>
      </c>
      <c r="R1047" s="51"/>
      <c r="S1047" s="294"/>
      <c r="T1047" s="294"/>
      <c r="U1047" s="326" t="e">
        <f ca="1">$I$1047*X1012/($V$1012+$W$1012+$X$1012)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564505.17371114099</v>
      </c>
      <c r="G1048" s="327"/>
      <c r="H1048" s="330"/>
      <c r="I1048" s="329">
        <f ca="1">I1046+I1047</f>
        <v>577787.17371114099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>
      <c r="A1054" s="308" t="s">
        <v>461</v>
      </c>
      <c r="B1054" s="1"/>
      <c r="C1054" s="304">
        <f t="shared" ref="C1054:C1059" si="187">C1018+C961</f>
        <v>425.27272727272759</v>
      </c>
      <c r="D1054" s="322"/>
      <c r="E1054" s="306"/>
      <c r="F1054" s="2">
        <f>F1018+F961</f>
        <v>603470</v>
      </c>
      <c r="G1054" s="322"/>
      <c r="H1054" s="306"/>
      <c r="I1054" s="2">
        <f ca="1">I1018+I961</f>
        <v>616973</v>
      </c>
      <c r="J1054" s="2"/>
      <c r="K1054" s="322"/>
      <c r="L1054" s="306"/>
      <c r="M1054" s="2">
        <f ca="1">M1018+M961</f>
        <v>616973</v>
      </c>
      <c r="N1054" s="2"/>
      <c r="O1054" s="322"/>
      <c r="P1054" s="306"/>
      <c r="Q1054" s="2">
        <f>Q1018+Q961</f>
        <v>0</v>
      </c>
      <c r="R1054" s="2"/>
      <c r="S1054" s="322"/>
      <c r="T1054" s="306"/>
      <c r="U1054" s="2">
        <f>U1018+U961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>
      <c r="A1055" s="308" t="s">
        <v>462</v>
      </c>
      <c r="B1055" s="1"/>
      <c r="C1055" s="304">
        <f t="shared" si="187"/>
        <v>0</v>
      </c>
      <c r="D1055" s="322"/>
      <c r="E1055" s="309"/>
      <c r="F1055" s="2">
        <f>F1019+F962</f>
        <v>0</v>
      </c>
      <c r="G1055" s="322"/>
      <c r="H1055" s="309"/>
      <c r="I1055" s="2">
        <f ca="1">I1019+I962</f>
        <v>0</v>
      </c>
      <c r="J1055" s="2"/>
      <c r="K1055" s="322"/>
      <c r="L1055" s="309"/>
      <c r="M1055" s="2">
        <f ca="1">M1019+M962</f>
        <v>0</v>
      </c>
      <c r="N1055" s="2"/>
      <c r="O1055" s="322"/>
      <c r="P1055" s="309"/>
      <c r="Q1055" s="2">
        <f>Q1019+Q962</f>
        <v>0</v>
      </c>
      <c r="R1055" s="2"/>
      <c r="S1055" s="322"/>
      <c r="T1055" s="309"/>
      <c r="U1055" s="2">
        <f>U1019+U962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>
      <c r="A1056" s="308" t="s">
        <v>384</v>
      </c>
      <c r="B1056" s="1"/>
      <c r="C1056" s="304">
        <f t="shared" si="187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>
      <c r="A1057" s="308" t="s">
        <v>463</v>
      </c>
      <c r="B1057" s="1"/>
      <c r="C1057" s="304">
        <f t="shared" si="187"/>
        <v>585460.96551724104</v>
      </c>
      <c r="D1057" s="322"/>
      <c r="E1057" s="306"/>
      <c r="F1057" s="2">
        <f>F1021+F964</f>
        <v>544953</v>
      </c>
      <c r="G1057" s="322"/>
      <c r="H1057" s="306"/>
      <c r="I1057" s="2">
        <f ca="1">I1021+I964</f>
        <v>558489</v>
      </c>
      <c r="J1057" s="2"/>
      <c r="K1057" s="322"/>
      <c r="L1057" s="306"/>
      <c r="M1057" s="2">
        <f ca="1">M1021+M964</f>
        <v>558489</v>
      </c>
      <c r="N1057" s="2"/>
      <c r="O1057" s="322"/>
      <c r="P1057" s="306"/>
      <c r="Q1057" s="2">
        <f>Q1021+Q964</f>
        <v>0</v>
      </c>
      <c r="R1057" s="2"/>
      <c r="S1057" s="322"/>
      <c r="T1057" s="306"/>
      <c r="U1057" s="2">
        <f>U1021+U964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>
      <c r="A1058" s="308" t="s">
        <v>464</v>
      </c>
      <c r="B1058" s="1"/>
      <c r="C1058" s="304">
        <f t="shared" si="187"/>
        <v>0</v>
      </c>
      <c r="D1058" s="322"/>
      <c r="E1058" s="306"/>
      <c r="F1058" s="2">
        <f>F1022+F965</f>
        <v>0</v>
      </c>
      <c r="G1058" s="322"/>
      <c r="H1058" s="306"/>
      <c r="I1058" s="2">
        <f ca="1">I1022+I965</f>
        <v>0</v>
      </c>
      <c r="J1058" s="2"/>
      <c r="K1058" s="322"/>
      <c r="L1058" s="306"/>
      <c r="M1058" s="2">
        <f ca="1">M1022+M965</f>
        <v>0</v>
      </c>
      <c r="N1058" s="2"/>
      <c r="O1058" s="322"/>
      <c r="P1058" s="306"/>
      <c r="Q1058" s="2">
        <f>Q1022+Q965</f>
        <v>0</v>
      </c>
      <c r="R1058" s="2"/>
      <c r="S1058" s="322"/>
      <c r="T1058" s="306"/>
      <c r="U1058" s="2">
        <f>U1022+U965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>
      <c r="A1059" s="294" t="s">
        <v>393</v>
      </c>
      <c r="B1059" s="1"/>
      <c r="C1059" s="304">
        <f t="shared" si="187"/>
        <v>449764.86206896504</v>
      </c>
      <c r="D1059" s="322"/>
      <c r="E1059" s="306"/>
      <c r="F1059" s="2">
        <f>F1023+F966</f>
        <v>3555401</v>
      </c>
      <c r="G1059" s="322"/>
      <c r="H1059" s="306"/>
      <c r="I1059" s="2">
        <f ca="1">I1023+I966</f>
        <v>3640856</v>
      </c>
      <c r="J1059" s="2"/>
      <c r="K1059" s="322"/>
      <c r="L1059" s="306"/>
      <c r="M1059" s="2" t="e">
        <f ca="1">M1023+M966</f>
        <v>#DIV/0!</v>
      </c>
      <c r="N1059" s="2"/>
      <c r="O1059" s="322"/>
      <c r="P1059" s="306"/>
      <c r="Q1059" s="2" t="e">
        <f ca="1">Q1023+Q966</f>
        <v>#DIV/0!</v>
      </c>
      <c r="R1059" s="2"/>
      <c r="S1059" s="322"/>
      <c r="T1059" s="306"/>
      <c r="U1059" s="2" t="e">
        <f ca="1">U1023+U966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>
      <c r="A1061" s="308" t="s">
        <v>454</v>
      </c>
      <c r="B1061" s="1"/>
      <c r="C1061" s="304">
        <f>C1025+C968</f>
        <v>194745053.16002482</v>
      </c>
      <c r="D1061" s="380"/>
      <c r="E1061" s="306"/>
      <c r="F1061" s="2">
        <f>F1025+F968</f>
        <v>9196028</v>
      </c>
      <c r="G1061" s="380"/>
      <c r="H1061" s="306"/>
      <c r="I1061" s="2">
        <f ca="1">I1025+I968</f>
        <v>9411500</v>
      </c>
      <c r="J1061" s="2"/>
      <c r="K1061" s="380"/>
      <c r="L1061" s="306"/>
      <c r="M1061" s="2">
        <f>M1025+M968</f>
        <v>0</v>
      </c>
      <c r="N1061" s="2"/>
      <c r="O1061" s="380"/>
      <c r="P1061" s="306"/>
      <c r="Q1061" s="2" t="e">
        <f ca="1">Q1025+Q968</f>
        <v>#DIV/0!</v>
      </c>
      <c r="R1061" s="2"/>
      <c r="S1061" s="380"/>
      <c r="T1061" s="306"/>
      <c r="U1061" s="2" t="e">
        <f ca="1">U1025+U968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>
      <c r="A1062" s="308" t="s">
        <v>390</v>
      </c>
      <c r="B1062" s="1"/>
      <c r="C1062" s="304">
        <f>C1026+C969</f>
        <v>44802.030303030304</v>
      </c>
      <c r="D1062" s="322"/>
      <c r="E1062" s="306"/>
      <c r="F1062" s="2">
        <f>F1026+F969</f>
        <v>24946</v>
      </c>
      <c r="G1062" s="322"/>
      <c r="H1062" s="306"/>
      <c r="I1062" s="2">
        <f ca="1">I1026+I969</f>
        <v>25393</v>
      </c>
      <c r="J1062" s="2"/>
      <c r="K1062" s="322"/>
      <c r="L1062" s="306"/>
      <c r="M1062" s="2">
        <f>M1026+M969</f>
        <v>0</v>
      </c>
      <c r="N1062" s="2"/>
      <c r="O1062" s="322"/>
      <c r="P1062" s="306"/>
      <c r="Q1062" s="2" t="e">
        <f ca="1">Q1026+Q969</f>
        <v>#DIV/0!</v>
      </c>
      <c r="R1062" s="2"/>
      <c r="S1062" s="322"/>
      <c r="T1062" s="306"/>
      <c r="U1062" s="2" t="e">
        <f ca="1">U1026+U969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872</v>
      </c>
      <c r="C1063" s="987">
        <f>C1027+C970</f>
        <v>194745053.16002482</v>
      </c>
      <c r="D1063" s="254"/>
      <c r="E1063" s="1119"/>
      <c r="F1063" s="1123"/>
      <c r="G1063" s="250"/>
      <c r="H1063" s="1119"/>
      <c r="I1063" s="1123">
        <f>I1027+I970</f>
        <v>0</v>
      </c>
      <c r="J1063" s="1123"/>
      <c r="K1063" s="250"/>
      <c r="L1063" s="1119"/>
      <c r="M1063" s="1123">
        <f>M1027+M970</f>
        <v>0</v>
      </c>
      <c r="N1063" s="1123"/>
      <c r="O1063" s="250"/>
      <c r="P1063" s="1119"/>
      <c r="Q1063" s="1123">
        <f>Q1027+Q970</f>
        <v>0</v>
      </c>
      <c r="R1063" s="1123"/>
      <c r="S1063" s="250"/>
      <c r="T1063" s="1119"/>
      <c r="U1063" s="1123">
        <f>U1027+U970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>
      <c r="A1064" s="1" t="s">
        <v>371</v>
      </c>
      <c r="B1064" s="1"/>
      <c r="C1064" s="304">
        <f>C1028+C971</f>
        <v>194745053.16002482</v>
      </c>
      <c r="D1064" s="315"/>
      <c r="E1064" s="1"/>
      <c r="F1064" s="2">
        <f>F1028+F971</f>
        <v>13924798</v>
      </c>
      <c r="G1064" s="315"/>
      <c r="H1064" s="1"/>
      <c r="I1064" s="2">
        <f ca="1">I1028+I971</f>
        <v>14253211</v>
      </c>
      <c r="J1064" s="2"/>
      <c r="K1064" s="315"/>
      <c r="L1064" s="1"/>
      <c r="M1064" s="2" t="e">
        <f ca="1">M1028+M971</f>
        <v>#DIV/0!</v>
      </c>
      <c r="N1064" s="2"/>
      <c r="O1064" s="315"/>
      <c r="P1064" s="1"/>
      <c r="Q1064" s="2" t="e">
        <f ca="1">Q1028+Q971</f>
        <v>#DIV/0!</v>
      </c>
      <c r="R1064" s="2"/>
      <c r="S1064" s="315"/>
      <c r="T1064" s="1"/>
      <c r="U1064" s="2" t="e">
        <f ca="1">U1028+U971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$I$1065*V1012/($V$1012+$W$1012+$X$1012)</f>
        <v>#DIV/0!</v>
      </c>
      <c r="N1065" s="51"/>
      <c r="O1065" s="294"/>
      <c r="P1065" s="294"/>
      <c r="Q1065" s="738" t="e">
        <f>$I$1065*W1012/($V$1012+$W$1012+$X$1012)</f>
        <v>#DIV/0!</v>
      </c>
      <c r="R1065" s="51"/>
      <c r="S1065" s="294"/>
      <c r="T1065" s="294"/>
      <c r="U1065" s="738" t="e">
        <f>$I$1065*X1012/($V$1012+$W$1012+$X$1012)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14033368.661176821</v>
      </c>
      <c r="G1066" s="327"/>
      <c r="H1066" s="330"/>
      <c r="I1066" s="740">
        <f ca="1">I1064+I1065</f>
        <v>14361781.661176821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>
      <c r="A1073" s="308" t="s">
        <v>461</v>
      </c>
      <c r="B1073" s="1"/>
      <c r="C1073" s="304">
        <f t="shared" ref="C1073:C1078" si="188">C1036+C979</f>
        <v>356.57575757575779</v>
      </c>
      <c r="D1073" s="322"/>
      <c r="E1073" s="306"/>
      <c r="F1073" s="2">
        <f>F1036+F979</f>
        <v>503888</v>
      </c>
      <c r="G1073" s="322"/>
      <c r="H1073" s="306"/>
      <c r="I1073" s="2">
        <f ca="1">I1036+I979</f>
        <v>515014</v>
      </c>
      <c r="J1073" s="2"/>
      <c r="K1073" s="322"/>
      <c r="L1073" s="306"/>
      <c r="M1073" s="2">
        <f ca="1">M1036+M979</f>
        <v>515014</v>
      </c>
      <c r="N1073" s="2"/>
      <c r="O1073" s="322"/>
      <c r="P1073" s="306"/>
      <c r="Q1073" s="2">
        <f>Q1036+Q979</f>
        <v>0</v>
      </c>
      <c r="R1073" s="2"/>
      <c r="S1073" s="322"/>
      <c r="T1073" s="306"/>
      <c r="U1073" s="2">
        <f>U1036+U979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>
      <c r="A1074" s="308" t="s">
        <v>462</v>
      </c>
      <c r="B1074" s="1"/>
      <c r="C1074" s="304">
        <f t="shared" si="188"/>
        <v>0</v>
      </c>
      <c r="D1074" s="322"/>
      <c r="E1074" s="309"/>
      <c r="F1074" s="2">
        <f>F1037+F980</f>
        <v>0</v>
      </c>
      <c r="G1074" s="322"/>
      <c r="H1074" s="309"/>
      <c r="I1074" s="2">
        <f ca="1">I1037+I980</f>
        <v>0</v>
      </c>
      <c r="J1074" s="2"/>
      <c r="K1074" s="322"/>
      <c r="L1074" s="309"/>
      <c r="M1074" s="2">
        <f ca="1">M1037+M980</f>
        <v>0</v>
      </c>
      <c r="N1074" s="2"/>
      <c r="O1074" s="322"/>
      <c r="P1074" s="309"/>
      <c r="Q1074" s="2">
        <f>Q1037+Q980</f>
        <v>0</v>
      </c>
      <c r="R1074" s="2"/>
      <c r="S1074" s="322"/>
      <c r="T1074" s="309"/>
      <c r="U1074" s="2">
        <f>U1037+U980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>
      <c r="A1075" s="308" t="s">
        <v>384</v>
      </c>
      <c r="B1075" s="1"/>
      <c r="C1075" s="304">
        <f t="shared" si="188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>
      <c r="A1076" s="308" t="s">
        <v>463</v>
      </c>
      <c r="B1076" s="1"/>
      <c r="C1076" s="304">
        <f t="shared" si="188"/>
        <v>566945.793103448</v>
      </c>
      <c r="D1076" s="322"/>
      <c r="E1076" s="306"/>
      <c r="F1076" s="2">
        <f>F1039+F982</f>
        <v>618733</v>
      </c>
      <c r="G1076" s="322"/>
      <c r="H1076" s="306"/>
      <c r="I1076" s="2">
        <f ca="1">I1039+I982</f>
        <v>635151</v>
      </c>
      <c r="J1076" s="2"/>
      <c r="K1076" s="322"/>
      <c r="L1076" s="306"/>
      <c r="M1076" s="2">
        <f ca="1">M1039+M982</f>
        <v>635151</v>
      </c>
      <c r="N1076" s="2"/>
      <c r="O1076" s="322"/>
      <c r="P1076" s="306"/>
      <c r="Q1076" s="2">
        <f>Q1039+Q982</f>
        <v>0</v>
      </c>
      <c r="R1076" s="2"/>
      <c r="S1076" s="322"/>
      <c r="T1076" s="306"/>
      <c r="U1076" s="2">
        <f>U1039+U982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>
      <c r="A1077" s="308" t="s">
        <v>464</v>
      </c>
      <c r="B1077" s="1"/>
      <c r="C1077" s="304">
        <f t="shared" si="188"/>
        <v>0</v>
      </c>
      <c r="D1077" s="322"/>
      <c r="E1077" s="306"/>
      <c r="F1077" s="2">
        <f>F1040+F983</f>
        <v>0</v>
      </c>
      <c r="G1077" s="322"/>
      <c r="H1077" s="306"/>
      <c r="I1077" s="2">
        <f ca="1">I1040+I983</f>
        <v>0</v>
      </c>
      <c r="J1077" s="2"/>
      <c r="K1077" s="322"/>
      <c r="L1077" s="306"/>
      <c r="M1077" s="2">
        <f ca="1">M1040+M983</f>
        <v>0</v>
      </c>
      <c r="N1077" s="2"/>
      <c r="O1077" s="322"/>
      <c r="P1077" s="306"/>
      <c r="Q1077" s="2">
        <f>Q1040+Q983</f>
        <v>0</v>
      </c>
      <c r="R1077" s="2"/>
      <c r="S1077" s="322"/>
      <c r="T1077" s="306"/>
      <c r="U1077" s="2">
        <f>U1040+U983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>
      <c r="A1078" s="294" t="s">
        <v>393</v>
      </c>
      <c r="B1078" s="1"/>
      <c r="C1078" s="304">
        <f t="shared" si="188"/>
        <v>489791.48275862099</v>
      </c>
      <c r="D1078" s="322"/>
      <c r="E1078" s="306"/>
      <c r="F1078" s="2">
        <f>F1041+F984</f>
        <v>3899200</v>
      </c>
      <c r="G1078" s="322"/>
      <c r="H1078" s="306"/>
      <c r="I1078" s="2">
        <f ca="1">I1041+I984</f>
        <v>3992260</v>
      </c>
      <c r="J1078" s="2"/>
      <c r="K1078" s="322"/>
      <c r="L1078" s="306"/>
      <c r="M1078" s="2" t="e">
        <f ca="1">M1041+M984</f>
        <v>#DIV/0!</v>
      </c>
      <c r="N1078" s="2"/>
      <c r="O1078" s="322"/>
      <c r="P1078" s="306"/>
      <c r="Q1078" s="2" t="e">
        <f ca="1">Q1041+Q984</f>
        <v>#DIV/0!</v>
      </c>
      <c r="R1078" s="2"/>
      <c r="S1078" s="322"/>
      <c r="T1078" s="306"/>
      <c r="U1078" s="2" t="e">
        <f ca="1">U1041+U984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>
      <c r="A1080" s="308" t="s">
        <v>454</v>
      </c>
      <c r="B1080" s="1"/>
      <c r="C1080" s="304">
        <f>C1043+C986</f>
        <v>216497250</v>
      </c>
      <c r="D1080" s="380"/>
      <c r="E1080" s="306"/>
      <c r="F1080" s="2">
        <f>F1043+F986</f>
        <v>10260532</v>
      </c>
      <c r="G1080" s="380"/>
      <c r="H1080" s="306"/>
      <c r="I1080" s="2">
        <f ca="1">I1043+I986</f>
        <v>10500776</v>
      </c>
      <c r="J1080" s="2"/>
      <c r="K1080" s="380"/>
      <c r="L1080" s="306"/>
      <c r="M1080" s="2">
        <f>M1043+M986</f>
        <v>0</v>
      </c>
      <c r="N1080" s="2"/>
      <c r="O1080" s="380"/>
      <c r="P1080" s="306"/>
      <c r="Q1080" s="2" t="e">
        <f ca="1">Q1043+Q986</f>
        <v>#DIV/0!</v>
      </c>
      <c r="R1080" s="2"/>
      <c r="S1080" s="380"/>
      <c r="T1080" s="306"/>
      <c r="U1080" s="2" t="e">
        <f ca="1">U1043+U986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>
      <c r="A1081" s="308" t="s">
        <v>390</v>
      </c>
      <c r="B1081" s="1"/>
      <c r="C1081" s="304">
        <f>C1044+C987</f>
        <v>130740.24242424199</v>
      </c>
      <c r="D1081" s="322"/>
      <c r="E1081" s="306"/>
      <c r="F1081" s="2">
        <f>F1044+F987</f>
        <v>73198</v>
      </c>
      <c r="G1081" s="322"/>
      <c r="H1081" s="306"/>
      <c r="I1081" s="2">
        <f ca="1">I1044+I987</f>
        <v>74506</v>
      </c>
      <c r="J1081" s="2"/>
      <c r="K1081" s="322"/>
      <c r="L1081" s="306"/>
      <c r="M1081" s="2">
        <f>M1044+M987</f>
        <v>0</v>
      </c>
      <c r="N1081" s="2"/>
      <c r="O1081" s="322"/>
      <c r="P1081" s="306"/>
      <c r="Q1081" s="2" t="e">
        <f ca="1">Q1044+Q987</f>
        <v>#DIV/0!</v>
      </c>
      <c r="R1081" s="2"/>
      <c r="S1081" s="322"/>
      <c r="T1081" s="306"/>
      <c r="U1081" s="2" t="e">
        <f ca="1">U1044+U987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872</v>
      </c>
      <c r="C1082" s="987">
        <f>C1045+C988</f>
        <v>216497250</v>
      </c>
      <c r="D1082" s="254"/>
      <c r="E1082" s="1119"/>
      <c r="F1082" s="1123"/>
      <c r="G1082" s="250"/>
      <c r="H1082" s="1119"/>
      <c r="I1082" s="1123">
        <f>I1045+I988</f>
        <v>0</v>
      </c>
      <c r="J1082" s="1123"/>
      <c r="K1082" s="250"/>
      <c r="L1082" s="1119"/>
      <c r="M1082" s="1123">
        <f>M1045+M988</f>
        <v>0</v>
      </c>
      <c r="N1082" s="1123"/>
      <c r="O1082" s="250"/>
      <c r="P1082" s="1119"/>
      <c r="Q1082" s="1123">
        <f>Q1045+Q988</f>
        <v>0</v>
      </c>
      <c r="R1082" s="1123"/>
      <c r="S1082" s="250"/>
      <c r="T1082" s="1119"/>
      <c r="U1082" s="1123">
        <f>U1045+U988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>
      <c r="A1083" s="1" t="s">
        <v>371</v>
      </c>
      <c r="B1083" s="1"/>
      <c r="C1083" s="335">
        <f>C1046+C989</f>
        <v>216497250</v>
      </c>
      <c r="D1083" s="315"/>
      <c r="E1083" s="1"/>
      <c r="F1083" s="51">
        <f>F1046+F989</f>
        <v>15355551</v>
      </c>
      <c r="G1083" s="315"/>
      <c r="H1083" s="1"/>
      <c r="I1083" s="51">
        <f ca="1">I1046+I989</f>
        <v>15717707</v>
      </c>
      <c r="J1083" s="51"/>
      <c r="K1083" s="315"/>
      <c r="L1083" s="1"/>
      <c r="M1083" s="51" t="e">
        <f ca="1">M1046+M989</f>
        <v>#DIV/0!</v>
      </c>
      <c r="N1083" s="51"/>
      <c r="O1083" s="315"/>
      <c r="P1083" s="1"/>
      <c r="Q1083" s="51" t="e">
        <f ca="1">Q1046+Q989</f>
        <v>#DIV/0!</v>
      </c>
      <c r="R1083" s="51"/>
      <c r="S1083" s="315"/>
      <c r="T1083" s="1"/>
      <c r="U1083" s="51" t="e">
        <f ca="1">U1046+U989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$I$1084*V1012/($V$1012+$W$1012+$X$1012)</f>
        <v>#DIV/0!</v>
      </c>
      <c r="N1084" s="51"/>
      <c r="O1084" s="294"/>
      <c r="P1084" s="294"/>
      <c r="Q1084" s="738" t="e">
        <f ca="1">$I$1084*W1012/($V$1012+$W$1012+$X$1012)</f>
        <v>#DIV/0!</v>
      </c>
      <c r="R1084" s="51"/>
      <c r="S1084" s="294"/>
      <c r="T1084" s="294"/>
      <c r="U1084" s="738" t="e">
        <f ca="1">$I$1084*X1012/($V$1012+$W$1012+$X$1012)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15403306.918082086</v>
      </c>
      <c r="G1085" s="327"/>
      <c r="H1085" s="330"/>
      <c r="I1085" s="739">
        <f ca="1">I1083+I1084</f>
        <v>15765462.918082086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ROUND(K1091*$C1091,0)</f>
        <v>0</v>
      </c>
      <c r="N1091" s="2"/>
      <c r="O1091" s="311" t="s">
        <v>31</v>
      </c>
      <c r="P1091" s="306"/>
      <c r="Q1091" s="2">
        <f>ROUND(O1091*$C1091,0)</f>
        <v>0</v>
      </c>
      <c r="R1091" s="2"/>
      <c r="S1091" s="311" t="s">
        <v>31</v>
      </c>
      <c r="T1091" s="306"/>
      <c r="U1091" s="2">
        <f>ROUND(S1091*$C1091,0)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v>12.033333333333299</v>
      </c>
      <c r="D1092" s="322">
        <v>2679</v>
      </c>
      <c r="E1092" s="309"/>
      <c r="F1092" s="2">
        <f>ROUND(C1092*D1092,0)</f>
        <v>32237</v>
      </c>
      <c r="G1092" s="311">
        <f ca="1">ROUND(D1092*(1+$Z$1104),0)+107</f>
        <v>2849</v>
      </c>
      <c r="H1092" s="309"/>
      <c r="I1092" s="2">
        <f ca="1">ROUND(G1092*$C1092,0)</f>
        <v>34283</v>
      </c>
      <c r="J1092" s="2"/>
      <c r="K1092" s="311">
        <f ca="1">G1092</f>
        <v>2849</v>
      </c>
      <c r="L1092" s="1275"/>
      <c r="M1092" s="2">
        <f ca="1">I1092</f>
        <v>34283</v>
      </c>
      <c r="N1092" s="2"/>
      <c r="O1092" s="311" t="s">
        <v>31</v>
      </c>
      <c r="P1092" s="1275"/>
      <c r="Q1092" s="2">
        <f>ROUND(O1092*$C1092,0)</f>
        <v>0</v>
      </c>
      <c r="R1092" s="2"/>
      <c r="S1092" s="311" t="s">
        <v>31</v>
      </c>
      <c r="T1092" s="1275"/>
      <c r="U1092" s="2">
        <f>ROUND(S1092*$C1092,0)</f>
        <v>0</v>
      </c>
      <c r="V1092" s="20"/>
      <c r="X1092" s="796">
        <f ca="1">(G1092-D1092)/D1092</f>
        <v>6.3456513624486746E-2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 t="s">
        <v>31</v>
      </c>
      <c r="E1093" s="306"/>
      <c r="F1093" s="2" t="s">
        <v>31</v>
      </c>
      <c r="G1093" s="311" t="s">
        <v>31</v>
      </c>
      <c r="H1093" s="306"/>
      <c r="I1093" s="2" t="s">
        <v>31</v>
      </c>
      <c r="J1093" s="2"/>
      <c r="K1093" s="311" t="s">
        <v>31</v>
      </c>
      <c r="L1093" s="306"/>
      <c r="M1093" s="2" t="s">
        <v>31</v>
      </c>
      <c r="N1093" s="2"/>
      <c r="O1093" s="311" t="s">
        <v>31</v>
      </c>
      <c r="P1093" s="306"/>
      <c r="Q1093" s="2" t="s">
        <v>31</v>
      </c>
      <c r="R1093" s="2"/>
      <c r="S1093" s="311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 t="s">
        <v>31</v>
      </c>
      <c r="E1094" s="306"/>
      <c r="F1094" s="2">
        <f>ROUND(C1094*D1094,0)</f>
        <v>0</v>
      </c>
      <c r="G1094" s="311" t="s">
        <v>31</v>
      </c>
      <c r="H1094" s="306"/>
      <c r="I1094" s="2">
        <f>ROUND(G1094*$C1094,0)</f>
        <v>0</v>
      </c>
      <c r="J1094" s="2"/>
      <c r="K1094" s="311" t="s">
        <v>31</v>
      </c>
      <c r="L1094" s="306"/>
      <c r="M1094" s="2">
        <f>ROUND(K1094*$C1094,0)</f>
        <v>0</v>
      </c>
      <c r="N1094" s="2"/>
      <c r="O1094" s="311" t="s">
        <v>31</v>
      </c>
      <c r="P1094" s="306"/>
      <c r="Q1094" s="2">
        <f>ROUND(O1094*$C1094,0)</f>
        <v>0</v>
      </c>
      <c r="R1094" s="2"/>
      <c r="S1094" s="311" t="s">
        <v>31</v>
      </c>
      <c r="T1094" s="306"/>
      <c r="U1094" s="2">
        <f>ROUND(S1094*$C1094,0)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v>703485</v>
      </c>
      <c r="D1095" s="322">
        <v>0.25</v>
      </c>
      <c r="E1095" s="306"/>
      <c r="F1095" s="2">
        <f>ROUND(C1095*D1095,0)</f>
        <v>175871</v>
      </c>
      <c r="G1095" s="311">
        <f ca="1">ROUND(D1095*(1+$Z$1104),2)</f>
        <v>0.26</v>
      </c>
      <c r="H1095" s="306"/>
      <c r="I1095" s="2">
        <f ca="1">ROUND(G1095*$C1095,0)</f>
        <v>182906</v>
      </c>
      <c r="J1095" s="2"/>
      <c r="K1095" s="311">
        <f ca="1">ROUND(M1095/$C$1095,2)</f>
        <v>0.26</v>
      </c>
      <c r="L1095" s="306"/>
      <c r="M1095" s="2">
        <f ca="1">I1095</f>
        <v>182906</v>
      </c>
      <c r="N1095" s="2"/>
      <c r="O1095" s="311" t="s">
        <v>31</v>
      </c>
      <c r="P1095" s="306"/>
      <c r="Q1095" s="2">
        <f>ROUND(O1095*$C1095,0)</f>
        <v>0</v>
      </c>
      <c r="R1095" s="2"/>
      <c r="S1095" s="311" t="s">
        <v>31</v>
      </c>
      <c r="T1095" s="306"/>
      <c r="U1095" s="2">
        <f>ROUND(S1095*$C1095,0)</f>
        <v>0</v>
      </c>
      <c r="V1095" s="20"/>
      <c r="X1095" s="796">
        <f ca="1">(G1095-D1095)/D1095</f>
        <v>4.0000000000000036E-2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v>684594</v>
      </c>
      <c r="D1096" s="322">
        <v>7.74</v>
      </c>
      <c r="E1096" s="306"/>
      <c r="F1096" s="2">
        <f>ROUND(C1096*D1096,0)</f>
        <v>5298758</v>
      </c>
      <c r="G1096" s="311">
        <f ca="1">ROUND(D1096*(1+$Z$1104),2)</f>
        <v>7.92</v>
      </c>
      <c r="H1096" s="306"/>
      <c r="I1096" s="2">
        <f ca="1">ROUND(G1096*$C1096,0)</f>
        <v>5421984</v>
      </c>
      <c r="J1096" s="2"/>
      <c r="K1096" s="311" t="e">
        <f ca="1">M1096/$C$1096</f>
        <v>#DIV/0!</v>
      </c>
      <c r="L1096" s="306"/>
      <c r="M1096" s="2" t="e">
        <f ca="1">(V1107-M1092-M1103-M1095-M1098)</f>
        <v>#DIV/0!</v>
      </c>
      <c r="N1096" s="2"/>
      <c r="O1096" s="311" t="e">
        <f ca="1">Q1096/$C$1096</f>
        <v>#DIV/0!</v>
      </c>
      <c r="P1096" s="306"/>
      <c r="Q1096" s="2" t="e">
        <f ca="1">($I$1096-M1096)*(W1107/(W1107+X1107))</f>
        <v>#DIV/0!</v>
      </c>
      <c r="R1096" s="2"/>
      <c r="S1096" s="311" t="e">
        <f ca="1">U1096/$C$1096</f>
        <v>#DIV/0!</v>
      </c>
      <c r="T1096" s="306"/>
      <c r="U1096" s="2" t="e">
        <f ca="1">($I$1096-M1096)*(X1107/(W1107+X1107))</f>
        <v>#DIV/0!</v>
      </c>
      <c r="V1096" s="20"/>
      <c r="X1096" s="796">
        <f ca="1">(G1096-D1096)/D1096</f>
        <v>2.3255813953488334E-2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 t="s">
        <v>31</v>
      </c>
      <c r="E1097" s="306"/>
      <c r="F1097" s="2"/>
      <c r="G1097" s="411" t="s">
        <v>31</v>
      </c>
      <c r="H1097" s="306"/>
      <c r="I1097" s="2"/>
      <c r="J1097" s="2"/>
      <c r="K1097" s="411" t="s">
        <v>31</v>
      </c>
      <c r="L1097" s="306"/>
      <c r="M1097" s="2"/>
      <c r="N1097" s="2"/>
      <c r="O1097" s="411" t="s">
        <v>31</v>
      </c>
      <c r="P1097" s="306"/>
      <c r="Q1097" s="2"/>
      <c r="R1097" s="2"/>
      <c r="S1097" s="411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v>458478000</v>
      </c>
      <c r="D1098" s="367">
        <v>4.649</v>
      </c>
      <c r="E1098" s="306" t="s">
        <v>364</v>
      </c>
      <c r="F1098" s="2">
        <f>ROUND(C1098/100*D1098,0)</f>
        <v>21314642</v>
      </c>
      <c r="G1098" s="799">
        <f ca="1">ROUND(D1098*(1+$Z$1104),3)</f>
        <v>4.758</v>
      </c>
      <c r="H1098" s="306" t="s">
        <v>364</v>
      </c>
      <c r="I1098" s="2">
        <f ca="1">ROUND(G1098/100*$C1098,0)</f>
        <v>21814383</v>
      </c>
      <c r="J1098" s="2"/>
      <c r="K1098" s="771" t="s">
        <v>31</v>
      </c>
      <c r="L1098" s="850" t="s">
        <v>31</v>
      </c>
      <c r="M1098" s="2">
        <v>0</v>
      </c>
      <c r="N1098" s="2"/>
      <c r="O1098" s="771" t="e">
        <f ca="1">ROUND(Q1098/C1098*100,3)</f>
        <v>#DIV/0!</v>
      </c>
      <c r="P1098" s="306" t="s">
        <v>364</v>
      </c>
      <c r="Q1098" s="2" t="e">
        <f ca="1">W1107-Q1091-Q1092-Q1094-Q1095-Q1096-Q1099-Q1103</f>
        <v>#DIV/0!</v>
      </c>
      <c r="R1098" s="2"/>
      <c r="S1098" s="771" t="e">
        <f ca="1">ROUND(U1098/C1098*100,3)</f>
        <v>#DIV/0!</v>
      </c>
      <c r="T1098" s="306" t="s">
        <v>364</v>
      </c>
      <c r="U1098" s="2" t="e">
        <f ca="1">X1107-U1091-U1092-U1094-U1095-U1096-U1099-U1100-U1103</f>
        <v>#DIV/0!</v>
      </c>
      <c r="V1098" s="20"/>
      <c r="X1098" s="796">
        <f ca="1">((G1098+G1100)-D1098)/D1098</f>
        <v>2.3445902344590232E-2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v>183540.86666666699</v>
      </c>
      <c r="D1099" s="322">
        <v>0.54</v>
      </c>
      <c r="E1099" s="306"/>
      <c r="F1099" s="2">
        <f>ROUND(C1099*D1099,0)</f>
        <v>99112</v>
      </c>
      <c r="G1099" s="311">
        <f ca="1">ROUND(D1099*(1+$Z$1104),2)</f>
        <v>0.55000000000000004</v>
      </c>
      <c r="H1099" s="306"/>
      <c r="I1099" s="2">
        <f ca="1">ROUND(G1099*$C1099,0)</f>
        <v>100947</v>
      </c>
      <c r="J1099" s="2"/>
      <c r="K1099" s="311" t="s">
        <v>31</v>
      </c>
      <c r="L1099" s="306"/>
      <c r="M1099" s="2">
        <f>ROUND(K1099*$C1099,0)</f>
        <v>0</v>
      </c>
      <c r="N1099" s="2"/>
      <c r="O1099" s="311" t="e">
        <f ca="1">ROUND(Q1099/$C$1099,2)</f>
        <v>#DIV/0!</v>
      </c>
      <c r="P1099" s="306"/>
      <c r="Q1099" s="2" t="e">
        <f ca="1">$I$1099*(W1107/(W1107+X1107))</f>
        <v>#DIV/0!</v>
      </c>
      <c r="R1099" s="2"/>
      <c r="S1099" s="311" t="e">
        <f ca="1">ROUND(U1099/$C$1099,2)</f>
        <v>#DIV/0!</v>
      </c>
      <c r="T1099" s="306"/>
      <c r="U1099" s="2" t="e">
        <f ca="1">$I$1099*(X1107/(W1107+X1107))</f>
        <v>#DIV/0!</v>
      </c>
      <c r="V1099" s="20"/>
      <c r="X1099" s="796">
        <f ca="1">(G1099-D1099)/D1099</f>
        <v>1.8518518518518535E-2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1423">
        <v>0</v>
      </c>
      <c r="E1100" s="1119"/>
      <c r="F1100" s="1123"/>
      <c r="G1100" s="1128">
        <v>0</v>
      </c>
      <c r="H1100" s="1000" t="s">
        <v>364</v>
      </c>
      <c r="I1100" s="1000">
        <f>ROUND(G1100*$C1100/100,0)</f>
        <v>0</v>
      </c>
      <c r="J1100" s="1000"/>
      <c r="K1100" s="1128" t="s">
        <v>31</v>
      </c>
      <c r="L1100" s="1000" t="s">
        <v>31</v>
      </c>
      <c r="M1100" s="1000">
        <f>ROUND(K1100*$C1100/100,0)</f>
        <v>0</v>
      </c>
      <c r="N1100" s="1000"/>
      <c r="O1100" s="1128" t="s">
        <v>31</v>
      </c>
      <c r="P1100" s="1000" t="s">
        <v>31</v>
      </c>
      <c r="Q1100" s="1000">
        <f>ROUND(O1100*$C1100/100,0)</f>
        <v>0</v>
      </c>
      <c r="R1100" s="1000"/>
      <c r="S1100" s="1128">
        <f>G1100</f>
        <v>0</v>
      </c>
      <c r="T1100" s="1000" t="s">
        <v>364</v>
      </c>
      <c r="U1100" s="1000">
        <f>ROUND(S1100*$C1100/100,0)</f>
        <v>0</v>
      </c>
      <c r="V1100" s="1124"/>
      <c r="W1100" s="784"/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v>4.649</v>
      </c>
      <c r="E1101" s="1266" t="s">
        <v>364</v>
      </c>
      <c r="F1101" s="1259"/>
      <c r="G1101" s="1270">
        <f ca="1">G1098+G1100</f>
        <v>4.758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2.3445902344590232E-2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26920620</v>
      </c>
      <c r="G1102" s="315"/>
      <c r="H1102" s="1"/>
      <c r="I1102" s="2">
        <f ca="1">SUM(I1091:I1101)</f>
        <v>27554503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27004252.864840947</v>
      </c>
      <c r="G1104" s="327"/>
      <c r="H1104" s="330"/>
      <c r="I1104" s="329">
        <f ca="1">I1102+I1103</f>
        <v>27638135.864840947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778">
        <f ca="1">'Rate Spread targets'!X30*1000</f>
        <v>27638138.573071063</v>
      </c>
      <c r="X1104" s="1417">
        <f ca="1">'Rate Spread targets'!AA30</f>
        <v>2.3473253601397698E-2</v>
      </c>
      <c r="Y1104" s="751"/>
      <c r="Z1104" s="770">
        <f ca="1">'Rate Spread targets'!AA30</f>
        <v>2.3473253601397698E-2</v>
      </c>
      <c r="AA1104" s="7" t="s">
        <v>893</v>
      </c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1452">
        <f ca="1">W1104-I1104</f>
        <v>2.7082301154732704</v>
      </c>
      <c r="X1105" s="1441" t="s">
        <v>31</v>
      </c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v>13549.416232977699</v>
      </c>
      <c r="D1112" s="250">
        <v>8.7200000000000006</v>
      </c>
      <c r="F1112" s="2">
        <f t="shared" ref="F1112:F1121" si="189">ROUND(C1112*D1112,0)</f>
        <v>118151</v>
      </c>
      <c r="G1112" s="250">
        <f t="shared" ref="G1112:G1119" si="190">ROUND(D1112+(D1112*$X$1140),2)</f>
        <v>8.93</v>
      </c>
      <c r="I1112" s="2">
        <f>ROUND(G1112*$C1112,0)</f>
        <v>120996</v>
      </c>
      <c r="J1112" s="2"/>
      <c r="K1112" s="250" t="e">
        <f>ROUND(M1112/C1112,2)</f>
        <v>#DIV/0!</v>
      </c>
      <c r="M1112" s="2" t="e">
        <f t="shared" ref="M1112:M1121" si="191">($V$1142-$M$1136-$M$1138)*(I1112/($I$1112+$I$1113+$I$1114+$I$1115+$I$1116+$I$1117+$I$1118+$I$1119+$I$1120+$I$1121+$I$1128+$I$1129+I$1130+$I$1131+$I$1132+$I$1133+$I$1134))</f>
        <v>#DIV/0!</v>
      </c>
      <c r="N1112" s="2"/>
      <c r="O1112" s="250" t="e">
        <f>ROUND(Q1112/C1112,2)</f>
        <v>#DIV/0!</v>
      </c>
      <c r="Q1112" s="2" t="e">
        <f>($W$1142-$Q$1136-$Q$1138)*(I1112/($I$1112+$I$1113+$I$1114+$I$1115+$I$1116+$I$1117+$I$1118+$I$1119+$I$1120+$I$1121+$I$1128+$I$1129+I$1130+$I$1131+$I$1132+$I$1133+$I$1134))</f>
        <v>#DIV/0!</v>
      </c>
      <c r="R1112" s="2"/>
      <c r="S1112" s="250" t="e">
        <f>ROUND(U1112/C1112,2)+0.01</f>
        <v>#DIV/0!</v>
      </c>
      <c r="U1112" s="2" t="e">
        <f>($X$1142-$U$1136-$U$1138)*(I1112/($I$1112+$I$1113+$I$1114+$I$1115+$I$1116+$I$1117+$I$1118+$I$1119+$I$1120+$I$1121+$I$1128+$I$1129+I$1130+$I$1131+$I$1132+$I$1133+$I$1134))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v>19571.021805529799</v>
      </c>
      <c r="D1113" s="250">
        <v>10.47</v>
      </c>
      <c r="F1113" s="2">
        <f t="shared" si="189"/>
        <v>204909</v>
      </c>
      <c r="G1113" s="250">
        <f t="shared" si="190"/>
        <v>10.72</v>
      </c>
      <c r="I1113" s="2">
        <f t="shared" ref="I1113:I1131" si="192">ROUND(G1113*$C1113,0)</f>
        <v>209801</v>
      </c>
      <c r="J1113" s="2"/>
      <c r="K1113" s="250" t="e">
        <f>ROUND(M1113/C1113,2)</f>
        <v>#DIV/0!</v>
      </c>
      <c r="M1113" s="2" t="e">
        <f t="shared" si="191"/>
        <v>#DIV/0!</v>
      </c>
      <c r="N1113" s="2"/>
      <c r="O1113" s="250" t="e">
        <f>ROUND(Q1113/C1113,2)</f>
        <v>#DIV/0!</v>
      </c>
      <c r="Q1113" s="2" t="e">
        <f t="shared" ref="Q1113:Q1121" si="193">($W$1142-$Q$1136-$Q$1138)*(I1113/($I$1112+$I$1113+$I$1114+$I$1115+$I$1116+$I$1117+$I$1118+$I$1119+$I$1120+$I$1121+$I$1128+$I$1129+M$1130+$I$1131+$I$1132+$I$1133+$I$1134))</f>
        <v>#DIV/0!</v>
      </c>
      <c r="R1113" s="2"/>
      <c r="S1113" s="250" t="e">
        <f>ROUND(U1113/C1113,2)</f>
        <v>#DIV/0!</v>
      </c>
      <c r="U1113" s="2" t="e">
        <f t="shared" ref="U1113:U1121" si="194">($X$1142-$U$1136-$U$1138)*(I1113/($I$1112+$I$1113+$I$1114+$I$1115+$I$1116+$I$1117+$I$1118+$I$1119+$I$1120+$I$1121+$I$1128+$I$1129+Q$1130+$I$1131+$I$1132+$I$1133+$I$1134))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v>0</v>
      </c>
      <c r="D1114" s="250">
        <v>33.24</v>
      </c>
      <c r="F1114" s="2">
        <f t="shared" si="189"/>
        <v>0</v>
      </c>
      <c r="G1114" s="250">
        <f t="shared" si="190"/>
        <v>34.03</v>
      </c>
      <c r="I1114" s="2">
        <f t="shared" si="192"/>
        <v>0</v>
      </c>
      <c r="J1114" s="2"/>
      <c r="K1114" s="250" t="e">
        <f>ROUND(SUM($M$1112:$M$1121)/SUM($I$1112:$I$1121)*G1114,2)</f>
        <v>#DIV/0!</v>
      </c>
      <c r="M1114" s="2" t="e">
        <f t="shared" si="191"/>
        <v>#DIV/0!</v>
      </c>
      <c r="N1114" s="2"/>
      <c r="O1114" s="250" t="e">
        <f t="shared" ref="O1114:O1118" si="195">ROUND(SUM($Q$1112:$Q$1121)/SUM($I$1112:$I$1121)*G1114,2)</f>
        <v>#DIV/0!</v>
      </c>
      <c r="Q1114" s="2" t="e">
        <f t="shared" si="193"/>
        <v>#DIV/0!</v>
      </c>
      <c r="R1114" s="2"/>
      <c r="S1114" s="250" t="e">
        <f t="shared" ref="S1114" si="196">ROUND(SUM($U$1112:$U$1121)/SUM($I$1112:$I$1121)*G1114,2)</f>
        <v>#DIV/0!</v>
      </c>
      <c r="U1114" s="2" t="e">
        <f t="shared" si="194"/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v>0</v>
      </c>
      <c r="D1115" s="250">
        <v>25.84</v>
      </c>
      <c r="F1115" s="2">
        <f t="shared" si="189"/>
        <v>0</v>
      </c>
      <c r="G1115" s="250">
        <f t="shared" si="190"/>
        <v>26.46</v>
      </c>
      <c r="I1115" s="2">
        <f t="shared" si="192"/>
        <v>0</v>
      </c>
      <c r="J1115" s="2"/>
      <c r="K1115" s="250" t="e">
        <f>ROUND(SUM($M$1112:$M$1121)/SUM($I$1112:$I$1121)*G1115,2)</f>
        <v>#DIV/0!</v>
      </c>
      <c r="M1115" s="2" t="e">
        <f t="shared" si="191"/>
        <v>#DIV/0!</v>
      </c>
      <c r="N1115" s="2"/>
      <c r="O1115" s="250" t="e">
        <f t="shared" si="195"/>
        <v>#DIV/0!</v>
      </c>
      <c r="Q1115" s="2" t="e">
        <f t="shared" si="193"/>
        <v>#DIV/0!</v>
      </c>
      <c r="R1115" s="2"/>
      <c r="S1115" s="250" t="e">
        <f>ROUND(SUM($U$1112:$U$1121)/SUM($I$1112:$I$1121)*G1115,2)</f>
        <v>#DIV/0!</v>
      </c>
      <c r="U1115" s="2" t="e">
        <f t="shared" si="194"/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v>936.93671211539902</v>
      </c>
      <c r="D1116" s="250">
        <v>13.37</v>
      </c>
      <c r="F1116" s="2">
        <f t="shared" si="189"/>
        <v>12527</v>
      </c>
      <c r="G1116" s="250">
        <f t="shared" si="190"/>
        <v>13.69</v>
      </c>
      <c r="I1116" s="2">
        <f t="shared" si="192"/>
        <v>12827</v>
      </c>
      <c r="J1116" s="2"/>
      <c r="K1116" s="250" t="e">
        <f>ROUND(M1116/C1116,2)</f>
        <v>#DIV/0!</v>
      </c>
      <c r="M1116" s="2" t="e">
        <f t="shared" si="191"/>
        <v>#DIV/0!</v>
      </c>
      <c r="N1116" s="2"/>
      <c r="O1116" s="250" t="e">
        <f>ROUND(Q1116/C1116,2)</f>
        <v>#DIV/0!</v>
      </c>
      <c r="Q1116" s="2" t="e">
        <f t="shared" si="193"/>
        <v>#DIV/0!</v>
      </c>
      <c r="R1116" s="2"/>
      <c r="S1116" s="250" t="e">
        <f>ROUND(U1116/C1116,2)</f>
        <v>#DIV/0!</v>
      </c>
      <c r="U1116" s="2" t="e">
        <f t="shared" si="194"/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v>0</v>
      </c>
      <c r="D1117" s="250">
        <v>34.43</v>
      </c>
      <c r="F1117" s="2">
        <f t="shared" si="189"/>
        <v>0</v>
      </c>
      <c r="G1117" s="250">
        <f t="shared" si="190"/>
        <v>35.25</v>
      </c>
      <c r="I1117" s="2">
        <f t="shared" si="192"/>
        <v>0</v>
      </c>
      <c r="J1117" s="2"/>
      <c r="K1117" s="250" t="e">
        <f t="shared" ref="K1117:K1118" si="197">ROUND(SUM($M$1112:$M$1121)/SUM($I$1112:$I$1121)*G1117,2)</f>
        <v>#DIV/0!</v>
      </c>
      <c r="M1117" s="2" t="e">
        <f t="shared" si="191"/>
        <v>#DIV/0!</v>
      </c>
      <c r="N1117" s="2"/>
      <c r="O1117" s="250" t="e">
        <f t="shared" si="195"/>
        <v>#DIV/0!</v>
      </c>
      <c r="Q1117" s="2" t="e">
        <f t="shared" si="193"/>
        <v>#DIV/0!</v>
      </c>
      <c r="R1117" s="2"/>
      <c r="S1117" s="250" t="e">
        <f t="shared" ref="S1117:S1118" si="198">ROUND(SUM($U$1112:$U$1121)/SUM($I$1112:$I$1121)*G1117,2)</f>
        <v>#DIV/0!</v>
      </c>
      <c r="U1117" s="2" t="e">
        <f t="shared" si="194"/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v>0</v>
      </c>
      <c r="D1118" s="250">
        <v>27.07</v>
      </c>
      <c r="F1118" s="2">
        <f t="shared" si="189"/>
        <v>0</v>
      </c>
      <c r="G1118" s="250">
        <f t="shared" si="190"/>
        <v>27.72</v>
      </c>
      <c r="I1118" s="2">
        <f t="shared" si="192"/>
        <v>0</v>
      </c>
      <c r="J1118" s="2"/>
      <c r="K1118" s="250" t="e">
        <f t="shared" si="197"/>
        <v>#DIV/0!</v>
      </c>
      <c r="M1118" s="2" t="e">
        <f t="shared" si="191"/>
        <v>#DIV/0!</v>
      </c>
      <c r="N1118" s="2"/>
      <c r="O1118" s="250" t="e">
        <f t="shared" si="195"/>
        <v>#DIV/0!</v>
      </c>
      <c r="Q1118" s="2" t="e">
        <f t="shared" si="193"/>
        <v>#DIV/0!</v>
      </c>
      <c r="R1118" s="2"/>
      <c r="S1118" s="250" t="e">
        <f t="shared" si="198"/>
        <v>#DIV/0!</v>
      </c>
      <c r="U1118" s="2" t="e">
        <f t="shared" si="194"/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v>19952.514273228699</v>
      </c>
      <c r="D1119" s="250">
        <v>15.27</v>
      </c>
      <c r="F1119" s="2">
        <f t="shared" si="189"/>
        <v>304675</v>
      </c>
      <c r="G1119" s="250">
        <f t="shared" si="190"/>
        <v>15.63</v>
      </c>
      <c r="I1119" s="2">
        <f t="shared" si="192"/>
        <v>311858</v>
      </c>
      <c r="J1119" s="2"/>
      <c r="K1119" s="250" t="e">
        <f>ROUND(M1119/C1119,2)</f>
        <v>#DIV/0!</v>
      </c>
      <c r="M1119" s="2" t="e">
        <f t="shared" si="191"/>
        <v>#DIV/0!</v>
      </c>
      <c r="N1119" s="2"/>
      <c r="O1119" s="250" t="e">
        <f>ROUND(Q1119/C1119,2)</f>
        <v>#DIV/0!</v>
      </c>
      <c r="Q1119" s="2" t="e">
        <f t="shared" si="193"/>
        <v>#DIV/0!</v>
      </c>
      <c r="R1119" s="2"/>
      <c r="S1119" s="250" t="e">
        <f>ROUND(U1119/C1119,2)</f>
        <v>#DIV/0!</v>
      </c>
      <c r="U1119" s="2" t="e">
        <f t="shared" si="194"/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v>1982.0024720791801</v>
      </c>
      <c r="D1120" s="250">
        <v>19.36</v>
      </c>
      <c r="F1120" s="2">
        <f t="shared" si="189"/>
        <v>38372</v>
      </c>
      <c r="G1120" s="250">
        <f>ROUND(D1120+(D1120*$X$1140),2)-0.02</f>
        <v>19.8</v>
      </c>
      <c r="I1120" s="2">
        <f t="shared" si="192"/>
        <v>39244</v>
      </c>
      <c r="J1120" s="2"/>
      <c r="K1120" s="250" t="e">
        <f>ROUND(M1120/C1120,2)</f>
        <v>#DIV/0!</v>
      </c>
      <c r="M1120" s="2" t="e">
        <f t="shared" si="191"/>
        <v>#DIV/0!</v>
      </c>
      <c r="N1120" s="2"/>
      <c r="O1120" s="250" t="e">
        <f>ROUND(Q1120/C1120,2)</f>
        <v>#DIV/0!</v>
      </c>
      <c r="Q1120" s="2" t="e">
        <f t="shared" si="193"/>
        <v>#DIV/0!</v>
      </c>
      <c r="R1120" s="2"/>
      <c r="S1120" s="250" t="e">
        <f>ROUND(U1120/C1120,2)</f>
        <v>#DIV/0!</v>
      </c>
      <c r="U1120" s="2" t="e">
        <f t="shared" si="194"/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4">
      <c r="A1121" s="3" t="s">
        <v>350</v>
      </c>
      <c r="C1121" s="249">
        <v>3479.9991629691299</v>
      </c>
      <c r="D1121" s="250">
        <v>25.56</v>
      </c>
      <c r="F1121" s="2">
        <f t="shared" si="189"/>
        <v>88949</v>
      </c>
      <c r="G1121" s="250">
        <f>ROUND(D1121+(D1121*$X$1140),2)-0.01</f>
        <v>26.16</v>
      </c>
      <c r="I1121" s="2">
        <f>ROUND(G1121*$C1121,0)</f>
        <v>91037</v>
      </c>
      <c r="J1121" s="2"/>
      <c r="K1121" s="250" t="e">
        <f>ROUND(M1121/C1121,2)</f>
        <v>#DIV/0!</v>
      </c>
      <c r="M1121" s="2" t="e">
        <f t="shared" si="191"/>
        <v>#DIV/0!</v>
      </c>
      <c r="N1121" s="2"/>
      <c r="O1121" s="250" t="e">
        <f>ROUND(Q1121/C1121,2)</f>
        <v>#DIV/0!</v>
      </c>
      <c r="Q1121" s="2" t="e">
        <f t="shared" si="193"/>
        <v>#DIV/0!</v>
      </c>
      <c r="R1121" s="2"/>
      <c r="S1121" s="250" t="e">
        <f>ROUND(U1121/C1121,2)</f>
        <v>#DIV/0!</v>
      </c>
      <c r="U1121" s="2" t="e">
        <f t="shared" si="194"/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4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4">
      <c r="A1123" s="4" t="s">
        <v>905</v>
      </c>
      <c r="C1123" s="249">
        <v>26.521225423076601</v>
      </c>
      <c r="D1123" s="250">
        <v>9.64</v>
      </c>
      <c r="F1123" s="2">
        <f>ROUND(C1123*D1123,0)</f>
        <v>256</v>
      </c>
      <c r="G1123" s="250">
        <f>ROUND(D1123+(D1123*$X$1140),2)-0.01</f>
        <v>9.86</v>
      </c>
      <c r="I1123" s="2">
        <f>ROUND(G1123*$C1123,0)</f>
        <v>261</v>
      </c>
      <c r="J1123" s="2"/>
      <c r="K1123" s="250" t="e">
        <f t="shared" ref="K1123:K1126" si="199">ROUND(SUM($M$1112:$M$1121)/SUM($I$1112:$I$1121)*G1123,2)</f>
        <v>#DIV/0!</v>
      </c>
      <c r="M1123" s="2" t="e">
        <f>ROUND(K1123*$C1123,0)</f>
        <v>#DIV/0!</v>
      </c>
      <c r="N1123" s="2"/>
      <c r="O1123" s="250" t="e">
        <f t="shared" ref="O1123:O1126" si="200">ROUND(SUM($Q$1112:$Q$1121)/SUM($I$1112:$I$1121)*G1123,2)</f>
        <v>#DIV/0!</v>
      </c>
      <c r="Q1123" s="2" t="e">
        <f>ROUND(O1123*$C1123,0)</f>
        <v>#DIV/0!</v>
      </c>
      <c r="R1123" s="2"/>
      <c r="S1123" s="250" t="e">
        <f>ROUND(SUM($U$1112:$U$1121)/SUM($I$1112:$I$1121)*G1123,2)</f>
        <v>#DIV/0!</v>
      </c>
      <c r="U1123" s="2" t="e">
        <f>ROUND(S1123*$C1123,0)</f>
        <v>#DIV/0!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4">
      <c r="A1124" s="4" t="s">
        <v>906</v>
      </c>
      <c r="C1124" s="249">
        <v>27.733736654054098</v>
      </c>
      <c r="D1124" s="250">
        <v>12.15</v>
      </c>
      <c r="F1124" s="2">
        <f>ROUND(C1124*D1124,0)</f>
        <v>337</v>
      </c>
      <c r="G1124" s="250">
        <f>ROUND(D1124+(D1124*$X$1140),2)-0.01</f>
        <v>12.43</v>
      </c>
      <c r="I1124" s="2">
        <f>ROUND(G1124*$C1124,0)</f>
        <v>345</v>
      </c>
      <c r="J1124" s="2"/>
      <c r="K1124" s="250" t="e">
        <f t="shared" si="199"/>
        <v>#DIV/0!</v>
      </c>
      <c r="M1124" s="2" t="e">
        <f>ROUND(K1124*$C1124,0)</f>
        <v>#DIV/0!</v>
      </c>
      <c r="N1124" s="2"/>
      <c r="O1124" s="250" t="e">
        <f t="shared" si="200"/>
        <v>#DIV/0!</v>
      </c>
      <c r="Q1124" s="2" t="e">
        <f>ROUND(O1124*$C1124,0)</f>
        <v>#DIV/0!</v>
      </c>
      <c r="R1124" s="2"/>
      <c r="S1124" s="250" t="e">
        <f>ROUND(SUM($U$1112:$U$1121)/SUM($I$1112:$I$1121)*G1124,2)</f>
        <v>#DIV/0!</v>
      </c>
      <c r="U1124" s="2" t="e">
        <f>ROUND(S1124*$C1124,0)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4">
      <c r="A1125" s="4" t="s">
        <v>907</v>
      </c>
      <c r="C1125" s="249">
        <v>55.638368302961503</v>
      </c>
      <c r="D1125" s="250">
        <v>20.2</v>
      </c>
      <c r="F1125" s="2">
        <f>ROUND(C1125*D1125,0)</f>
        <v>1124</v>
      </c>
      <c r="G1125" s="250">
        <f>ROUND(D1125+(D1125*$X$1140),2)-0.01</f>
        <v>20.669999999999998</v>
      </c>
      <c r="I1125" s="2">
        <f>ROUND(G1125*$C1125,0)</f>
        <v>1150</v>
      </c>
      <c r="J1125" s="2"/>
      <c r="K1125" s="250" t="e">
        <f t="shared" si="199"/>
        <v>#DIV/0!</v>
      </c>
      <c r="M1125" s="2" t="e">
        <f>ROUND(K1125*$C1125,0)</f>
        <v>#DIV/0!</v>
      </c>
      <c r="N1125" s="2"/>
      <c r="O1125" s="250" t="e">
        <f t="shared" si="200"/>
        <v>#DIV/0!</v>
      </c>
      <c r="Q1125" s="2" t="e">
        <f>ROUND(O1125*$C1125,0)</f>
        <v>#DIV/0!</v>
      </c>
      <c r="R1125" s="2"/>
      <c r="S1125" s="250" t="e">
        <f>ROUND(SUM($U$1112:$U$1121)/SUM($I$1112:$I$1121)*G1125,2)</f>
        <v>#DIV/0!</v>
      </c>
      <c r="U1125" s="2" t="e">
        <f>ROUND(S1125*$C1125,0)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4">
      <c r="A1126" s="4" t="s">
        <v>908</v>
      </c>
      <c r="C1126" s="249">
        <v>33.215584669332003</v>
      </c>
      <c r="D1126" s="250">
        <v>25.49</v>
      </c>
      <c r="F1126" s="2">
        <f>ROUND(C1126*D1126,0)</f>
        <v>847</v>
      </c>
      <c r="G1126" s="250">
        <f>ROUND(D1126+(D1126*$X$1140),2)-0.01</f>
        <v>26.09</v>
      </c>
      <c r="I1126" s="2">
        <f>ROUND(G1126*$C1126,0)</f>
        <v>867</v>
      </c>
      <c r="J1126" s="2"/>
      <c r="K1126" s="250" t="e">
        <f t="shared" si="199"/>
        <v>#DIV/0!</v>
      </c>
      <c r="M1126" s="2" t="e">
        <f>ROUND(K1126*$C1126,0)</f>
        <v>#DIV/0!</v>
      </c>
      <c r="N1126" s="2"/>
      <c r="O1126" s="250" t="e">
        <f t="shared" si="200"/>
        <v>#DIV/0!</v>
      </c>
      <c r="Q1126" s="2" t="e">
        <f>ROUND(O1126*$C1126,0)</f>
        <v>#DIV/0!</v>
      </c>
      <c r="R1126" s="2"/>
      <c r="S1126" s="250" t="e">
        <f>ROUND(SUM($U$1112:$U$1121)/SUM($I$1112:$I$1121)*G1126,2)</f>
        <v>#DIV/0!</v>
      </c>
      <c r="U1126" s="2" t="e">
        <f>ROUND(S1126*$C1126,0)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4">
      <c r="A1127" s="3" t="s">
        <v>577</v>
      </c>
      <c r="C1127" s="249"/>
      <c r="D1127" s="250"/>
      <c r="F1127" s="2"/>
      <c r="G1127" s="250"/>
      <c r="I1127" s="2"/>
      <c r="J1127" s="2"/>
      <c r="K1127" s="250"/>
      <c r="M1127" s="2"/>
      <c r="N1127" s="2"/>
      <c r="O1127" s="250"/>
      <c r="Q1127" s="2"/>
      <c r="R1127" s="2"/>
      <c r="S1127" s="250"/>
      <c r="U1127" s="2"/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4">
      <c r="A1128" s="3" t="s">
        <v>582</v>
      </c>
      <c r="C1128" s="249">
        <v>0</v>
      </c>
      <c r="D1128" s="250">
        <v>31.87</v>
      </c>
      <c r="F1128" s="2">
        <f t="shared" ref="F1128:F1134" si="201">ROUND(C1128*D1128,0)</f>
        <v>0</v>
      </c>
      <c r="G1128" s="250">
        <f t="shared" ref="G1128:G1134" si="202">ROUND(D1128+(D1128*$X$1140),2)</f>
        <v>32.630000000000003</v>
      </c>
      <c r="I1128" s="2">
        <f>ROUND(G1128*$C1128,0)</f>
        <v>0</v>
      </c>
      <c r="J1128" s="2"/>
      <c r="K1128" s="250" t="e">
        <f t="shared" ref="K1128:K1134" si="203">ROUND(SUM($M$1112:$M$1121)/SUM($I$1112:$I$1121)*G1128,2)</f>
        <v>#DIV/0!</v>
      </c>
      <c r="M1128" s="2" t="e">
        <f t="shared" ref="M1128:M1134" si="204">($V$1142-$M$1136-$M$1138)*(I1128/($I$1112+$I$1113+$I$1114+$I$1115+$I$1116+$I$1117+$I$1118+$I$1119+$I$1120+$I$1121+$I$1128+$I$1129+I$1130+$I$1131+$I$1132+$I$1133+$I$1134))</f>
        <v>#DIV/0!</v>
      </c>
      <c r="N1128" s="2"/>
      <c r="O1128" s="250" t="e">
        <f t="shared" ref="O1128:O1134" si="205">ROUND(SUM($Q$1112:$Q$1121)/SUM($I$1112:$I$1121)*G1128,2)</f>
        <v>#DIV/0!</v>
      </c>
      <c r="Q1128" s="2" t="e">
        <f t="shared" ref="Q1128:Q1134" si="206">($W$1142-$Q$1136-$Q$1138)*(I1128/($I$1112+$I$1113+$I$1114+$I$1115+$I$1116+$I$1117+$I$1118+$I$1119+$I$1120+$I$1121+$I$1128+$I$1129+M$1130+$I$1131+$I$1132+$I$1133+$I$1134))</f>
        <v>#DIV/0!</v>
      </c>
      <c r="R1128" s="2"/>
      <c r="S1128" s="250" t="e">
        <f>ROUND(SUM($U$1112:$U$1121)/SUM($I$1112:$I$1121)*G1128,2)</f>
        <v>#DIV/0!</v>
      </c>
      <c r="U1128" s="2" t="e">
        <f t="shared" ref="U1128:U1134" si="207">($X$1142-$U$1136-$U$1138)*(I1128/($I$1112+$I$1113+$I$1114+$I$1115+$I$1116+$I$1117+$I$1118+$I$1119+$I$1120+$I$1121+$I$1128+$I$1129+Q$1130+$I$1131+$I$1132+$I$1133+$I$1134))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4">
      <c r="A1129" s="3" t="s">
        <v>583</v>
      </c>
      <c r="C1129" s="249">
        <v>0</v>
      </c>
      <c r="D1129" s="250">
        <v>26.58</v>
      </c>
      <c r="F1129" s="2">
        <f t="shared" si="201"/>
        <v>0</v>
      </c>
      <c r="G1129" s="250">
        <f t="shared" si="202"/>
        <v>27.22</v>
      </c>
      <c r="I1129" s="2">
        <f t="shared" si="192"/>
        <v>0</v>
      </c>
      <c r="J1129" s="2"/>
      <c r="K1129" s="250" t="e">
        <f t="shared" si="203"/>
        <v>#DIV/0!</v>
      </c>
      <c r="M1129" s="2" t="e">
        <f t="shared" si="204"/>
        <v>#DIV/0!</v>
      </c>
      <c r="N1129" s="2"/>
      <c r="O1129" s="250" t="e">
        <f t="shared" si="205"/>
        <v>#DIV/0!</v>
      </c>
      <c r="Q1129" s="2" t="e">
        <f t="shared" si="206"/>
        <v>#DIV/0!</v>
      </c>
      <c r="R1129" s="2"/>
      <c r="S1129" s="250" t="e">
        <f>ROUND(SUM($U$1112:$U$1121)/SUM($I$1112:$I$1121)*G1129,2)</f>
        <v>#DIV/0!</v>
      </c>
      <c r="U1129" s="2" t="e">
        <f t="shared" si="207"/>
        <v>#DIV/0!</v>
      </c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4">
      <c r="A1130" s="3" t="s">
        <v>584</v>
      </c>
      <c r="C1130" s="249">
        <v>0</v>
      </c>
      <c r="D1130" s="250">
        <v>24.5</v>
      </c>
      <c r="F1130" s="2">
        <f t="shared" si="201"/>
        <v>0</v>
      </c>
      <c r="G1130" s="250">
        <f t="shared" si="202"/>
        <v>25.09</v>
      </c>
      <c r="I1130" s="2">
        <f>ROUND(G1130*$C1130,0)</f>
        <v>0</v>
      </c>
      <c r="J1130" s="2"/>
      <c r="K1130" s="250" t="e">
        <f t="shared" si="203"/>
        <v>#DIV/0!</v>
      </c>
      <c r="M1130" s="2" t="e">
        <f t="shared" si="204"/>
        <v>#DIV/0!</v>
      </c>
      <c r="N1130" s="2"/>
      <c r="O1130" s="250" t="e">
        <f t="shared" si="205"/>
        <v>#DIV/0!</v>
      </c>
      <c r="Q1130" s="2" t="e">
        <f t="shared" si="206"/>
        <v>#DIV/0!</v>
      </c>
      <c r="R1130" s="2"/>
      <c r="S1130" s="250" t="e">
        <f t="shared" ref="S1130:S1133" si="208">ROUND(SUM($U$1112:$U$1121)/SUM($I$1112:$I$1121)*G1130,2)</f>
        <v>#DIV/0!</v>
      </c>
      <c r="U1130" s="2" t="e">
        <f t="shared" si="207"/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4">
      <c r="A1131" s="3" t="s">
        <v>585</v>
      </c>
      <c r="C1131" s="249">
        <v>0</v>
      </c>
      <c r="D1131" s="250">
        <v>35.81</v>
      </c>
      <c r="F1131" s="2">
        <f t="shared" si="201"/>
        <v>0</v>
      </c>
      <c r="G1131" s="250">
        <f t="shared" si="202"/>
        <v>36.67</v>
      </c>
      <c r="I1131" s="2">
        <f t="shared" si="192"/>
        <v>0</v>
      </c>
      <c r="J1131" s="2"/>
      <c r="K1131" s="250" t="e">
        <f t="shared" si="203"/>
        <v>#DIV/0!</v>
      </c>
      <c r="M1131" s="2" t="e">
        <f t="shared" si="204"/>
        <v>#DIV/0!</v>
      </c>
      <c r="N1131" s="2"/>
      <c r="O1131" s="250" t="e">
        <f t="shared" si="205"/>
        <v>#DIV/0!</v>
      </c>
      <c r="Q1131" s="2" t="e">
        <f t="shared" si="206"/>
        <v>#DIV/0!</v>
      </c>
      <c r="R1131" s="2"/>
      <c r="S1131" s="250" t="e">
        <f>ROUND(SUM($U$1112:$U$1121)/SUM($I$1112:$I$1121)*G1131,2)-0.01</f>
        <v>#DIV/0!</v>
      </c>
      <c r="U1131" s="2" t="e">
        <f t="shared" si="207"/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4">
      <c r="A1132" s="3" t="s">
        <v>586</v>
      </c>
      <c r="C1132" s="249">
        <v>0</v>
      </c>
      <c r="D1132" s="250">
        <v>28.83</v>
      </c>
      <c r="F1132" s="2">
        <f t="shared" si="201"/>
        <v>0</v>
      </c>
      <c r="G1132" s="250">
        <f t="shared" si="202"/>
        <v>29.52</v>
      </c>
      <c r="I1132" s="2">
        <f>ROUND(G1132*$C1132,0)</f>
        <v>0</v>
      </c>
      <c r="J1132" s="2"/>
      <c r="K1132" s="250" t="e">
        <f t="shared" si="203"/>
        <v>#DIV/0!</v>
      </c>
      <c r="M1132" s="2" t="e">
        <f t="shared" si="204"/>
        <v>#DIV/0!</v>
      </c>
      <c r="N1132" s="2"/>
      <c r="O1132" s="250" t="e">
        <f t="shared" si="205"/>
        <v>#DIV/0!</v>
      </c>
      <c r="Q1132" s="2" t="e">
        <f t="shared" si="206"/>
        <v>#DIV/0!</v>
      </c>
      <c r="R1132" s="2"/>
      <c r="S1132" s="250" t="e">
        <f t="shared" si="208"/>
        <v>#DIV/0!</v>
      </c>
      <c r="U1132" s="2" t="e">
        <f t="shared" si="207"/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4">
      <c r="A1133" s="3" t="s">
        <v>587</v>
      </c>
      <c r="C1133" s="249">
        <v>0</v>
      </c>
      <c r="D1133" s="250">
        <v>28.33</v>
      </c>
      <c r="F1133" s="2">
        <f t="shared" si="201"/>
        <v>0</v>
      </c>
      <c r="G1133" s="250">
        <f t="shared" si="202"/>
        <v>29.01</v>
      </c>
      <c r="I1133" s="2">
        <f>ROUND(G1133*$C1133,0)</f>
        <v>0</v>
      </c>
      <c r="J1133" s="2"/>
      <c r="K1133" s="250" t="e">
        <f t="shared" si="203"/>
        <v>#DIV/0!</v>
      </c>
      <c r="M1133" s="2" t="e">
        <f t="shared" si="204"/>
        <v>#DIV/0!</v>
      </c>
      <c r="N1133" s="2"/>
      <c r="O1133" s="250" t="e">
        <f t="shared" si="205"/>
        <v>#DIV/0!</v>
      </c>
      <c r="Q1133" s="2" t="e">
        <f t="shared" si="206"/>
        <v>#DIV/0!</v>
      </c>
      <c r="R1133" s="2"/>
      <c r="S1133" s="250" t="e">
        <f t="shared" si="208"/>
        <v>#DIV/0!</v>
      </c>
      <c r="U1133" s="2" t="e">
        <f t="shared" si="207"/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4">
      <c r="A1134" s="3" t="s">
        <v>588</v>
      </c>
      <c r="C1134" s="249">
        <v>0</v>
      </c>
      <c r="D1134" s="250">
        <v>30.85</v>
      </c>
      <c r="F1134" s="2">
        <f t="shared" si="201"/>
        <v>0</v>
      </c>
      <c r="G1134" s="250">
        <f t="shared" si="202"/>
        <v>31.59</v>
      </c>
      <c r="I1134" s="2">
        <f>ROUND(G1134*$C1134,0)</f>
        <v>0</v>
      </c>
      <c r="J1134" s="2"/>
      <c r="K1134" s="250" t="e">
        <f t="shared" si="203"/>
        <v>#DIV/0!</v>
      </c>
      <c r="M1134" s="2" t="e">
        <f t="shared" si="204"/>
        <v>#DIV/0!</v>
      </c>
      <c r="N1134" s="2"/>
      <c r="O1134" s="250" t="e">
        <f t="shared" si="205"/>
        <v>#DIV/0!</v>
      </c>
      <c r="Q1134" s="2" t="e">
        <f t="shared" si="206"/>
        <v>#DIV/0!</v>
      </c>
      <c r="R1134" s="2"/>
      <c r="S1134" s="250" t="e">
        <f>ROUND(SUM($U$1112:$U$1121)/SUM($I$1112:$I$1121)*G1134,2)+0.01</f>
        <v>#DIV/0!</v>
      </c>
      <c r="U1134" s="2" t="e">
        <f t="shared" si="207"/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4">
      <c r="A1135" s="3" t="s">
        <v>352</v>
      </c>
      <c r="C1135" s="249">
        <v>2124</v>
      </c>
      <c r="D1135" s="250"/>
      <c r="F1135" s="2"/>
      <c r="G1135" s="250"/>
      <c r="I1135" s="2"/>
      <c r="J1135" s="2"/>
      <c r="K1135" s="250"/>
      <c r="M1135" s="2"/>
      <c r="N1135" s="2"/>
      <c r="O1135" s="250"/>
      <c r="Q1135" s="2"/>
      <c r="R1135" s="2"/>
      <c r="S1135" s="250"/>
      <c r="U1135" s="2"/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66"/>
      <c r="AK1135" s="266"/>
      <c r="AL1135" s="20"/>
      <c r="AM1135" s="20"/>
      <c r="AN1135" s="20"/>
      <c r="AO1135" s="20"/>
      <c r="AP1135" s="20"/>
    </row>
    <row r="1136" spans="1:44" s="1118" customFormat="1" hidden="1">
      <c r="A1136" s="968" t="s">
        <v>891</v>
      </c>
      <c r="C1136" s="1122">
        <f>C1137</f>
        <v>3883379.6674147383</v>
      </c>
      <c r="D1136" s="1423">
        <v>0</v>
      </c>
      <c r="E1136" s="1119"/>
      <c r="F1136" s="1123"/>
      <c r="G1136" s="1128">
        <v>0</v>
      </c>
      <c r="H1136" s="1000" t="s">
        <v>364</v>
      </c>
      <c r="I1136" s="1000">
        <f>ROUND(G1136*$C1136/100,0)</f>
        <v>0</v>
      </c>
      <c r="J1136" s="1000"/>
      <c r="K1136" s="1128" t="s">
        <v>31</v>
      </c>
      <c r="L1136" s="1126" t="s">
        <v>31</v>
      </c>
      <c r="M1136" s="1123">
        <f>K1136*C1136</f>
        <v>0</v>
      </c>
      <c r="N1136" s="1123"/>
      <c r="O1136" s="1128" t="s">
        <v>31</v>
      </c>
      <c r="P1136" s="1126" t="s">
        <v>31</v>
      </c>
      <c r="Q1136" s="1123">
        <f>O1136*C1136</f>
        <v>0</v>
      </c>
      <c r="R1136" s="1123"/>
      <c r="S1136" s="1128">
        <f>G1136</f>
        <v>0</v>
      </c>
      <c r="T1136" s="1126" t="s">
        <v>364</v>
      </c>
      <c r="U1136" s="1123">
        <f>I1136</f>
        <v>0</v>
      </c>
      <c r="V1136" s="1124">
        <f>'NPC Spread'!J51</f>
        <v>89506.790674119737</v>
      </c>
      <c r="W1136" s="784" t="s">
        <v>857</v>
      </c>
      <c r="Z1136" s="1125"/>
      <c r="AA1136" s="1125"/>
      <c r="AF1136" s="1119"/>
      <c r="AG1136" s="1119"/>
      <c r="AH1136" s="1119"/>
      <c r="AI1136" s="1119"/>
      <c r="AJ1136" s="1119"/>
      <c r="AK1136" s="1119"/>
      <c r="AL1136" s="1119"/>
      <c r="AM1136" s="1119"/>
      <c r="AN1136" s="1119"/>
      <c r="AO1136" s="1119"/>
      <c r="AP1136" s="1119"/>
      <c r="AR1136" s="1124"/>
    </row>
    <row r="1137" spans="1:44">
      <c r="A1137" s="3" t="s">
        <v>371</v>
      </c>
      <c r="C1137" s="249">
        <v>3883379.6674147383</v>
      </c>
      <c r="D1137" s="254"/>
      <c r="E1137" s="20"/>
      <c r="F1137" s="257">
        <f>SUM(F1112:F1134)</f>
        <v>770147</v>
      </c>
      <c r="G1137" s="254"/>
      <c r="H1137" s="20"/>
      <c r="I1137" s="257">
        <f>SUM(I1112:I1136)</f>
        <v>788386</v>
      </c>
      <c r="J1137" s="257"/>
      <c r="K1137" s="254"/>
      <c r="L1137" s="20"/>
      <c r="M1137" s="257" t="e">
        <f>SUM(M1112:M1136)</f>
        <v>#DIV/0!</v>
      </c>
      <c r="N1137" s="257"/>
      <c r="O1137" s="254"/>
      <c r="P1137" s="20"/>
      <c r="Q1137" s="257" t="e">
        <f>SUM(Q1112:Q1136)</f>
        <v>#DIV/0!</v>
      </c>
      <c r="R1137" s="257"/>
      <c r="S1137" s="254"/>
      <c r="T1137" s="20"/>
      <c r="U1137" s="257" t="e">
        <f>SUM(U1112:U1136)</f>
        <v>#DIV/0!</v>
      </c>
      <c r="X1137" s="266"/>
      <c r="Y1137" s="266"/>
      <c r="Z1137" s="390"/>
      <c r="AA1137" s="20"/>
      <c r="AB1137" s="20"/>
      <c r="AC1137" s="272"/>
      <c r="AD1137" s="272"/>
      <c r="AE1137" s="272"/>
      <c r="AF1137" s="263"/>
      <c r="AG1137" s="263"/>
      <c r="AH1137" s="273"/>
      <c r="AI1137" s="263"/>
      <c r="AJ1137" s="263"/>
      <c r="AK1137" s="263"/>
      <c r="AL1137" s="20"/>
      <c r="AM1137" s="20"/>
      <c r="AN1137" s="20"/>
      <c r="AO1137" s="20"/>
      <c r="AP1137" s="20"/>
    </row>
    <row r="1138" spans="1:44">
      <c r="A1138" s="3" t="s">
        <v>353</v>
      </c>
      <c r="C1138" s="249">
        <f ca="1">'Table 2'!H124</f>
        <v>49178.118055078899</v>
      </c>
      <c r="D1138" s="254"/>
      <c r="E1138" s="20"/>
      <c r="F1138" s="257">
        <f>'Table 3'!E124</f>
        <v>11953.205380162623</v>
      </c>
      <c r="G1138" s="254"/>
      <c r="H1138" s="20"/>
      <c r="I1138" s="257">
        <f>F1138</f>
        <v>11953.205380162623</v>
      </c>
      <c r="J1138" s="257"/>
      <c r="K1138" s="254"/>
      <c r="L1138" s="20"/>
      <c r="M1138" s="257" t="e">
        <f>$I$1138*V1142/($V$1142+$W$1142+$X$1142)</f>
        <v>#DIV/0!</v>
      </c>
      <c r="N1138" s="51"/>
      <c r="O1138" s="294"/>
      <c r="P1138" s="294"/>
      <c r="Q1138" s="257" t="e">
        <f>$I$1138*W1142/($V$1142+$W$1142+$X$1142)</f>
        <v>#DIV/0!</v>
      </c>
      <c r="R1138" s="51"/>
      <c r="S1138" s="294"/>
      <c r="T1138" s="294"/>
      <c r="U1138" s="257" t="e">
        <f>$I$1138*X1142/($V$1142+$W$1142+$X$1142)</f>
        <v>#DIV/0!</v>
      </c>
      <c r="V1138" s="274"/>
      <c r="X1138" s="272"/>
      <c r="Y1138" s="272"/>
      <c r="Z1138" s="388"/>
      <c r="AA1138" s="20"/>
      <c r="AB1138" s="20"/>
      <c r="AC1138" s="20"/>
      <c r="AD1138" s="20"/>
      <c r="AE1138" s="20"/>
      <c r="AF1138" s="266"/>
      <c r="AG1138" s="263"/>
      <c r="AH1138" s="20"/>
      <c r="AI1138" s="20"/>
      <c r="AJ1138" s="20"/>
      <c r="AK1138" s="20"/>
      <c r="AL1138" s="20"/>
      <c r="AM1138" s="20"/>
      <c r="AN1138" s="20"/>
      <c r="AO1138" s="20"/>
      <c r="AP1138" s="20"/>
    </row>
    <row r="1139" spans="1:44" ht="16.5" thickBot="1">
      <c r="A1139" s="3" t="s">
        <v>9</v>
      </c>
      <c r="C1139" s="258">
        <f ca="1">C1137+C1138</f>
        <v>3932557.785469817</v>
      </c>
      <c r="D1139" s="297"/>
      <c r="E1139" s="297"/>
      <c r="F1139" s="259">
        <f>F1137+F1138</f>
        <v>782100.20538016257</v>
      </c>
      <c r="G1139" s="297"/>
      <c r="H1139" s="297"/>
      <c r="I1139" s="259">
        <f>I1137+I1138</f>
        <v>800339.20538016257</v>
      </c>
      <c r="J1139" s="297"/>
      <c r="K1139" s="297"/>
      <c r="L1139" s="259"/>
      <c r="M1139" s="259" t="e">
        <f>M1137+M1138</f>
        <v>#DIV/0!</v>
      </c>
      <c r="N1139" s="297"/>
      <c r="O1139" s="297"/>
      <c r="P1139" s="259"/>
      <c r="Q1139" s="259" t="e">
        <f>Q1137+Q1138</f>
        <v>#DIV/0!</v>
      </c>
      <c r="R1139" s="297"/>
      <c r="S1139" s="297"/>
      <c r="T1139" s="259"/>
      <c r="U1139" s="259" t="e">
        <f>U1137+U1138</f>
        <v>#DIV/0!</v>
      </c>
      <c r="V1139" s="761" t="s">
        <v>399</v>
      </c>
      <c r="W1139" s="786">
        <f ca="1">'Rate Spread targets'!X38*1000</f>
        <v>800356.82676552574</v>
      </c>
      <c r="X1139" s="1440">
        <f>(I1139-F1139)/F1139</f>
        <v>2.332054112060283E-2</v>
      </c>
      <c r="Y1139" s="751"/>
      <c r="AF1139" s="263"/>
      <c r="AG1139" s="263"/>
      <c r="AH1139" s="20"/>
      <c r="AI1139" s="20"/>
      <c r="AJ1139" s="20"/>
      <c r="AK1139" s="20"/>
      <c r="AL1139" s="20"/>
      <c r="AM1139" s="20"/>
      <c r="AN1139" s="20"/>
      <c r="AO1139" s="20"/>
      <c r="AP1139" s="20"/>
    </row>
    <row r="1140" spans="1:44" ht="16.5" thickTop="1">
      <c r="C1140" s="335"/>
      <c r="D1140" s="51"/>
      <c r="E1140" s="51"/>
      <c r="F1140" s="51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762" t="s">
        <v>257</v>
      </c>
      <c r="W1140" s="781">
        <f ca="1">W1139-I1139</f>
        <v>17.621385363163427</v>
      </c>
      <c r="X1140" s="1087">
        <v>2.3900000000000001E-2</v>
      </c>
      <c r="Y1140" s="751"/>
      <c r="AF1140" s="263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>
      <c r="C1141" s="335"/>
      <c r="D1141" s="51"/>
      <c r="E1141" s="51"/>
      <c r="F1141" s="51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719"/>
      <c r="W1141" s="719"/>
      <c r="X1141" s="719"/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401"/>
      <c r="W1142" s="401"/>
      <c r="X1142" s="401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A1143" s="1"/>
      <c r="B1143" s="1"/>
      <c r="C1143" s="21"/>
      <c r="D1143" s="21" t="s">
        <v>31</v>
      </c>
      <c r="E1143" s="21"/>
      <c r="F1143" s="2"/>
      <c r="G1143" s="21" t="s">
        <v>31</v>
      </c>
      <c r="H1143" s="21"/>
      <c r="I1143" s="2" t="s">
        <v>31</v>
      </c>
      <c r="J1143" s="2"/>
      <c r="K1143" s="21" t="s">
        <v>31</v>
      </c>
      <c r="L1143" s="21"/>
      <c r="M1143" s="2" t="s">
        <v>31</v>
      </c>
      <c r="N1143" s="2"/>
      <c r="O1143" s="21" t="s">
        <v>31</v>
      </c>
      <c r="P1143" s="21"/>
      <c r="Q1143" s="2" t="s">
        <v>31</v>
      </c>
      <c r="R1143" s="2"/>
      <c r="S1143" s="21" t="s">
        <v>31</v>
      </c>
      <c r="T1143" s="21"/>
      <c r="U1143" s="2" t="s">
        <v>31</v>
      </c>
      <c r="W1143" s="3"/>
      <c r="X1143" s="3"/>
      <c r="Y1143" s="226"/>
      <c r="AA1143" s="262"/>
      <c r="AB1143" s="262"/>
      <c r="AC1143" s="262"/>
      <c r="AD1143" s="262"/>
      <c r="AE1143" s="262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A1144" s="278" t="s">
        <v>476</v>
      </c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263"/>
      <c r="W1144" s="272"/>
      <c r="X1144" s="263"/>
      <c r="Y1144" s="263"/>
      <c r="Z1144" s="20"/>
      <c r="AA1144" s="20"/>
      <c r="AB1144" s="20"/>
      <c r="AC1144" s="20"/>
      <c r="AD1144" s="20"/>
      <c r="AE1144" s="20"/>
      <c r="AF1144" s="20"/>
      <c r="AG1144" s="263"/>
      <c r="AH1144" s="263"/>
      <c r="AI1144" s="263"/>
      <c r="AJ1144" s="263"/>
      <c r="AK1144" s="263"/>
      <c r="AL1144" s="20"/>
      <c r="AM1144" s="20"/>
      <c r="AN1144" s="20"/>
      <c r="AO1144" s="20"/>
      <c r="AP1144" s="20"/>
    </row>
    <row r="1145" spans="1:44">
      <c r="A1145" s="1" t="s">
        <v>477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20"/>
      <c r="W1145" s="74"/>
      <c r="X1145" s="74"/>
      <c r="Y1145" s="74"/>
      <c r="Z1145" s="20"/>
      <c r="AA1145" s="20"/>
      <c r="AB1145" s="20"/>
      <c r="AC1145" s="20"/>
      <c r="AD1145" s="20"/>
      <c r="AE1145" s="20"/>
      <c r="AF1145" s="20"/>
      <c r="AG1145" s="263"/>
      <c r="AH1145" s="263"/>
      <c r="AI1145" s="263"/>
      <c r="AJ1145" s="263"/>
      <c r="AK1145" s="263"/>
      <c r="AL1145" s="20"/>
      <c r="AM1145" s="20"/>
      <c r="AN1145" s="20"/>
      <c r="AO1145" s="20"/>
      <c r="AP1145" s="20"/>
    </row>
    <row r="1146" spans="1:44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20"/>
      <c r="W1146" s="74"/>
      <c r="X1146" s="74" t="s">
        <v>31</v>
      </c>
      <c r="Y1146" s="74"/>
      <c r="Z1146" s="20"/>
      <c r="AA1146" s="20"/>
      <c r="AB1146" s="20"/>
      <c r="AC1146" s="20"/>
      <c r="AD1146" s="20"/>
      <c r="AE1146" s="20"/>
      <c r="AF1146" s="20"/>
      <c r="AG1146" s="263"/>
      <c r="AH1146" s="263"/>
      <c r="AI1146" s="263"/>
      <c r="AJ1146" s="263"/>
      <c r="AK1146" s="263"/>
      <c r="AL1146" s="20"/>
      <c r="AM1146" s="20"/>
      <c r="AN1146" s="20"/>
      <c r="AO1146" s="20"/>
      <c r="AP1146" s="20"/>
    </row>
    <row r="1147" spans="1:44">
      <c r="A1147" s="1" t="s">
        <v>478</v>
      </c>
      <c r="B1147" s="1"/>
      <c r="C1147" s="21"/>
      <c r="D1147" s="283"/>
      <c r="E1147" s="1"/>
      <c r="F1147" s="397">
        <v>19085.726609179299</v>
      </c>
      <c r="G1147" s="283"/>
      <c r="H1147" s="1"/>
      <c r="I1147" s="2">
        <f>F1147</f>
        <v>19085.726609179299</v>
      </c>
      <c r="J1147" s="2"/>
      <c r="K1147" s="283"/>
      <c r="L1147" s="1"/>
      <c r="M1147" s="2">
        <f>I1147</f>
        <v>19085.726609179299</v>
      </c>
      <c r="N1147" s="2"/>
      <c r="O1147" s="283"/>
      <c r="P1147" s="1"/>
      <c r="Q1147" s="2" t="s">
        <v>31</v>
      </c>
      <c r="R1147" s="2"/>
      <c r="S1147" s="283"/>
      <c r="T1147" s="1"/>
      <c r="U1147" s="2" t="str">
        <f>Q1147</f>
        <v xml:space="preserve"> </v>
      </c>
      <c r="V1147" s="20"/>
      <c r="W1147" s="74"/>
      <c r="X1147" s="74" t="s">
        <v>31</v>
      </c>
      <c r="Y1147" s="74"/>
      <c r="Z1147" s="20"/>
      <c r="AA1147" s="20"/>
      <c r="AB1147" s="2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</row>
    <row r="1148" spans="1:44">
      <c r="A1148" s="1" t="s">
        <v>479</v>
      </c>
      <c r="B1148" s="1"/>
      <c r="C1148" s="249">
        <v>209541.66875847799</v>
      </c>
      <c r="D1148" s="367">
        <v>8.3360000000000003</v>
      </c>
      <c r="E1148" s="1" t="s">
        <v>364</v>
      </c>
      <c r="F1148" s="399">
        <f>ROUND(D1148*C1148/100,0)</f>
        <v>17467</v>
      </c>
      <c r="G1148" s="367">
        <v>8.7520000000000007</v>
      </c>
      <c r="H1148" s="1" t="s">
        <v>364</v>
      </c>
      <c r="I1148" s="2">
        <f>ROUND(G1148*$C1148/100,0)</f>
        <v>18339</v>
      </c>
      <c r="J1148" s="2"/>
      <c r="K1148" s="367" t="e">
        <f>M1148/C1148*100</f>
        <v>#DIV/0!</v>
      </c>
      <c r="L1148" s="1" t="s">
        <v>364</v>
      </c>
      <c r="M1148" s="2" t="e">
        <f>V1158-M1147-M1151-M1154</f>
        <v>#DIV/0!</v>
      </c>
      <c r="N1148" s="2"/>
      <c r="O1148" s="367" t="e">
        <f>Q1148/C1148*100</f>
        <v>#DIV/0!</v>
      </c>
      <c r="P1148" s="1" t="s">
        <v>364</v>
      </c>
      <c r="Q1148" s="2" t="e">
        <f>W1158-Q1151-Q1154</f>
        <v>#DIV/0!</v>
      </c>
      <c r="R1148" s="2"/>
      <c r="S1148" s="367" t="e">
        <f>U1148/C1148*100+0.001</f>
        <v>#DIV/0!</v>
      </c>
      <c r="T1148" s="1" t="s">
        <v>364</v>
      </c>
      <c r="U1148" s="2" t="e">
        <f>X1158-U1151-U1154</f>
        <v>#DIV/0!</v>
      </c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</row>
    <row r="1149" spans="1:44">
      <c r="A1149" s="1" t="s">
        <v>480</v>
      </c>
      <c r="B1149" s="1"/>
      <c r="C1149" s="249">
        <v>0</v>
      </c>
      <c r="D1149" s="367">
        <v>9.3279999999999994</v>
      </c>
      <c r="E1149" s="1" t="s">
        <v>364</v>
      </c>
      <c r="F1149" s="399">
        <f>ROUND(D1149*C1149/100,0)</f>
        <v>0</v>
      </c>
      <c r="G1149" s="367">
        <f>ROUND(D1149/D1148*G1148,3)</f>
        <v>9.7940000000000005</v>
      </c>
      <c r="H1149" s="1" t="s">
        <v>364</v>
      </c>
      <c r="I1149" s="2">
        <f>ROUND(G1149*$C1149/100,0)</f>
        <v>0</v>
      </c>
      <c r="J1149" s="2"/>
      <c r="K1149" s="367" t="e">
        <f>G1149/G1148*K1148</f>
        <v>#DIV/0!</v>
      </c>
      <c r="L1149" s="1" t="s">
        <v>364</v>
      </c>
      <c r="M1149" s="2" t="e">
        <f>ROUND(K1149*$C1149/100,0)</f>
        <v>#DIV/0!</v>
      </c>
      <c r="N1149" s="2"/>
      <c r="O1149" s="367" t="e">
        <f>K1149/K1148*O1148</f>
        <v>#DIV/0!</v>
      </c>
      <c r="P1149" s="1" t="s">
        <v>364</v>
      </c>
      <c r="Q1149" s="2" t="e">
        <f>ROUND(O1149*$C1149/100,0)</f>
        <v>#DIV/0!</v>
      </c>
      <c r="R1149" s="2"/>
      <c r="S1149" s="367" t="e">
        <f>O1149/O1148*S1148-0.001</f>
        <v>#DIV/0!</v>
      </c>
      <c r="T1149" s="1" t="s">
        <v>364</v>
      </c>
      <c r="U1149" s="2" t="e">
        <f>ROUND(S1149*$C1149/100,0)</f>
        <v>#DIV/0!</v>
      </c>
      <c r="V1149" s="20"/>
      <c r="W1149" s="74"/>
      <c r="X1149" s="20"/>
      <c r="Y1149" s="20"/>
      <c r="Z1149" s="20"/>
      <c r="AA1149" s="20"/>
      <c r="AB1149" s="20"/>
      <c r="AC1149" s="20"/>
      <c r="AD1149" s="20"/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</row>
    <row r="1150" spans="1:44">
      <c r="A1150" s="1" t="s">
        <v>352</v>
      </c>
      <c r="B1150" s="1"/>
      <c r="C1150" s="249">
        <v>14</v>
      </c>
      <c r="D1150" s="400"/>
      <c r="E1150" s="1"/>
      <c r="F1150" s="2"/>
      <c r="G1150" s="400"/>
      <c r="H1150" s="1"/>
      <c r="I1150" s="2"/>
      <c r="J1150" s="2"/>
      <c r="K1150" s="400"/>
      <c r="L1150" s="1"/>
      <c r="M1150" s="2"/>
      <c r="N1150" s="2"/>
      <c r="O1150" s="400"/>
      <c r="P1150" s="1"/>
      <c r="Q1150" s="2"/>
      <c r="R1150" s="2"/>
      <c r="S1150" s="400"/>
      <c r="T1150" s="1"/>
      <c r="U1150" s="2"/>
      <c r="V1150" s="20"/>
      <c r="W1150" s="74"/>
      <c r="X1150" s="74"/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 s="1118" customFormat="1" hidden="1">
      <c r="A1151" s="968" t="s">
        <v>891</v>
      </c>
      <c r="C1151" s="1122">
        <f>C1153</f>
        <v>209541.66875847799</v>
      </c>
      <c r="D1151" s="1423">
        <v>0</v>
      </c>
      <c r="E1151" s="1119"/>
      <c r="F1151" s="1123"/>
      <c r="G1151" s="1128">
        <v>0</v>
      </c>
      <c r="H1151" s="1000" t="s">
        <v>364</v>
      </c>
      <c r="I1151" s="1000">
        <f>ROUND(G1151*$C1151/100,0)</f>
        <v>0</v>
      </c>
      <c r="J1151" s="1000"/>
      <c r="K1151" s="1128" t="s">
        <v>31</v>
      </c>
      <c r="L1151" s="1126" t="s">
        <v>31</v>
      </c>
      <c r="M1151" s="1123">
        <f>K1151*C1151</f>
        <v>0</v>
      </c>
      <c r="N1151" s="1123"/>
      <c r="O1151" s="1128" t="s">
        <v>31</v>
      </c>
      <c r="P1151" s="1126" t="s">
        <v>31</v>
      </c>
      <c r="Q1151" s="1123">
        <f>O1151*C1151</f>
        <v>0</v>
      </c>
      <c r="R1151" s="1123"/>
      <c r="S1151" s="1128">
        <f>G1151</f>
        <v>0</v>
      </c>
      <c r="T1151" s="1126" t="s">
        <v>364</v>
      </c>
      <c r="U1151" s="1123">
        <f>I1151</f>
        <v>0</v>
      </c>
      <c r="V1151" s="1124"/>
      <c r="W1151" s="784"/>
      <c r="Z1151" s="1125"/>
      <c r="AA1151" s="1125"/>
      <c r="AF1151" s="1119"/>
      <c r="AG1151" s="1119"/>
      <c r="AH1151" s="1119"/>
      <c r="AI1151" s="1119"/>
      <c r="AJ1151" s="1119"/>
      <c r="AK1151" s="1119"/>
      <c r="AL1151" s="1119"/>
      <c r="AM1151" s="1119"/>
      <c r="AN1151" s="1119"/>
      <c r="AO1151" s="1119"/>
      <c r="AP1151" s="1119"/>
      <c r="AR1151" s="1124"/>
    </row>
    <row r="1152" spans="1:44" s="1118" customFormat="1" hidden="1">
      <c r="A1152" s="1255" t="s">
        <v>874</v>
      </c>
      <c r="B1152" s="1256"/>
      <c r="C1152" s="1269"/>
      <c r="D1152" s="1270">
        <v>8.3360000000000003</v>
      </c>
      <c r="E1152" s="1261" t="s">
        <v>364</v>
      </c>
      <c r="F1152" s="1259"/>
      <c r="G1152" s="1270">
        <f>G1148+G1151</f>
        <v>8.7520000000000007</v>
      </c>
      <c r="H1152" s="1261" t="s">
        <v>364</v>
      </c>
      <c r="I1152" s="1266"/>
      <c r="J1152" s="1266"/>
      <c r="K1152" s="1270" t="e">
        <f>K1148+K1151</f>
        <v>#DIV/0!</v>
      </c>
      <c r="L1152" s="1261" t="s">
        <v>364</v>
      </c>
      <c r="M1152" s="1266"/>
      <c r="N1152" s="1266"/>
      <c r="O1152" s="1270" t="e">
        <f>O1148+O1151</f>
        <v>#DIV/0!</v>
      </c>
      <c r="P1152" s="1261" t="s">
        <v>364</v>
      </c>
      <c r="Q1152" s="1266"/>
      <c r="R1152" s="1266"/>
      <c r="S1152" s="1270" t="e">
        <f>S1148+S1151</f>
        <v>#DIV/0!</v>
      </c>
      <c r="T1152" s="1261" t="s">
        <v>364</v>
      </c>
      <c r="U1152" s="1266"/>
      <c r="V1152" s="1124"/>
      <c r="W1152" s="784"/>
      <c r="X1152" s="795" t="s">
        <v>31</v>
      </c>
      <c r="Z1152" s="1125"/>
      <c r="AA1152" s="1125"/>
      <c r="AF1152" s="1119"/>
      <c r="AG1152" s="1119"/>
      <c r="AH1152" s="1119"/>
      <c r="AI1152" s="1119"/>
      <c r="AJ1152" s="1119"/>
      <c r="AK1152" s="1119"/>
      <c r="AL1152" s="1119"/>
      <c r="AM1152" s="1119"/>
      <c r="AN1152" s="1119"/>
      <c r="AO1152" s="1119"/>
      <c r="AP1152" s="1119"/>
      <c r="AR1152" s="1124"/>
    </row>
    <row r="1153" spans="1:44">
      <c r="A1153" s="3" t="s">
        <v>481</v>
      </c>
      <c r="C1153" s="249">
        <f>SUM(C1148:C1149)</f>
        <v>209541.66875847799</v>
      </c>
      <c r="D1153" s="254"/>
      <c r="E1153" s="20"/>
      <c r="F1153" s="257">
        <f>SUM(F1147:F1149)</f>
        <v>36552.726609179299</v>
      </c>
      <c r="G1153" s="254"/>
      <c r="H1153" s="20"/>
      <c r="I1153" s="257">
        <f>SUM(I1147:I1152)</f>
        <v>37424.726609179299</v>
      </c>
      <c r="J1153" s="257"/>
      <c r="K1153" s="254"/>
      <c r="L1153" s="20"/>
      <c r="M1153" s="257" t="e">
        <f>SUM(M1147:M1152)</f>
        <v>#DIV/0!</v>
      </c>
      <c r="N1153" s="257"/>
      <c r="O1153" s="254"/>
      <c r="P1153" s="20"/>
      <c r="Q1153" s="257" t="e">
        <f>SUM(Q1147:Q1152)</f>
        <v>#DIV/0!</v>
      </c>
      <c r="R1153" s="257"/>
      <c r="S1153" s="254"/>
      <c r="T1153" s="20"/>
      <c r="U1153" s="257" t="e">
        <f>SUM(U1147:U1152)</f>
        <v>#DIV/0!</v>
      </c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>
      <c r="A1154" s="3" t="s">
        <v>482</v>
      </c>
      <c r="C1154" s="249">
        <f ca="1">'Table 2'!H121</f>
        <v>2653.5816237928889</v>
      </c>
      <c r="D1154" s="254"/>
      <c r="E1154" s="20"/>
      <c r="F1154" s="257">
        <f>'Table 3'!E121</f>
        <v>567.41534451217819</v>
      </c>
      <c r="G1154" s="254"/>
      <c r="H1154" s="20"/>
      <c r="I1154" s="257">
        <f>F1154</f>
        <v>567.41534451217819</v>
      </c>
      <c r="J1154" s="257"/>
      <c r="K1154" s="254"/>
      <c r="L1154" s="20"/>
      <c r="M1154" s="257" t="e">
        <f>$I$1154*V1158/($V$1158+$W$1158+$X$1158)</f>
        <v>#DIV/0!</v>
      </c>
      <c r="N1154" s="51"/>
      <c r="O1154" s="294"/>
      <c r="P1154" s="294"/>
      <c r="Q1154" s="257" t="e">
        <f>$I$1154*W1158/($V$1158+$W$1158+$X$1158)</f>
        <v>#DIV/0!</v>
      </c>
      <c r="R1154" s="51"/>
      <c r="S1154" s="294"/>
      <c r="T1154" s="294"/>
      <c r="U1154" s="257" t="e">
        <f>$I$1154*X1158/($V$1158+$W$1158+$X$1158)</f>
        <v>#DIV/0!</v>
      </c>
      <c r="V1154" s="274"/>
      <c r="W1154" s="275"/>
      <c r="X1154" s="74"/>
      <c r="Y1154" s="74"/>
      <c r="Z1154" s="20"/>
      <c r="AA1154" s="20"/>
      <c r="AB1154" s="20"/>
      <c r="AC1154" s="20"/>
      <c r="AD1154" s="20"/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</row>
    <row r="1155" spans="1:44" ht="16.5" thickBot="1">
      <c r="A1155" s="1" t="s">
        <v>9</v>
      </c>
      <c r="B1155" s="1"/>
      <c r="C1155" s="378">
        <f ca="1">C1153+C1154</f>
        <v>212195.25038227087</v>
      </c>
      <c r="D1155" s="962"/>
      <c r="E1155" s="330"/>
      <c r="F1155" s="259">
        <f>F1153+F1154</f>
        <v>37120.141953691476</v>
      </c>
      <c r="G1155" s="962"/>
      <c r="H1155" s="330"/>
      <c r="I1155" s="259">
        <f>I1153+I1154</f>
        <v>37992.141953691476</v>
      </c>
      <c r="J1155" s="297"/>
      <c r="K1155" s="962"/>
      <c r="L1155" s="330"/>
      <c r="M1155" s="259" t="e">
        <f>M1153+M1154</f>
        <v>#DIV/0!</v>
      </c>
      <c r="N1155" s="297"/>
      <c r="O1155" s="962"/>
      <c r="P1155" s="330"/>
      <c r="Q1155" s="259" t="e">
        <f>Q1153+Q1154</f>
        <v>#DIV/0!</v>
      </c>
      <c r="R1155" s="297"/>
      <c r="S1155" s="962"/>
      <c r="T1155" s="330"/>
      <c r="U1155" s="259" t="e">
        <f>U1153+U1154</f>
        <v>#DIV/0!</v>
      </c>
      <c r="V1155" s="761" t="s">
        <v>399</v>
      </c>
      <c r="W1155" s="778">
        <f ca="1">'Rate Spread targets'!X39*1000</f>
        <v>37991.880991169499</v>
      </c>
      <c r="X1155" s="1440">
        <f>(I1155-F1155)/F1155</f>
        <v>2.3491289475343249E-2</v>
      </c>
      <c r="Y1155" s="796"/>
      <c r="Z1155" s="20"/>
      <c r="AA1155" s="20"/>
      <c r="AB1155" s="2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</row>
    <row r="1156" spans="1:44" ht="16.5" thickTop="1">
      <c r="A1156" s="1"/>
      <c r="B1156" s="1"/>
      <c r="C1156" s="1"/>
      <c r="D1156" s="404" t="s">
        <v>31</v>
      </c>
      <c r="E1156" s="1"/>
      <c r="F1156" s="1"/>
      <c r="G1156" s="404" t="s">
        <v>31</v>
      </c>
      <c r="H1156" s="1"/>
      <c r="I1156" s="2" t="s">
        <v>31</v>
      </c>
      <c r="J1156" s="2"/>
      <c r="K1156" s="404" t="s">
        <v>31</v>
      </c>
      <c r="L1156" s="1"/>
      <c r="M1156" s="2" t="s">
        <v>31</v>
      </c>
      <c r="N1156" s="2"/>
      <c r="O1156" s="404" t="s">
        <v>31</v>
      </c>
      <c r="P1156" s="1"/>
      <c r="Q1156" s="2" t="s">
        <v>31</v>
      </c>
      <c r="R1156" s="2"/>
      <c r="S1156" s="404" t="s">
        <v>31</v>
      </c>
      <c r="T1156" s="1"/>
      <c r="U1156" s="2" t="s">
        <v>31</v>
      </c>
      <c r="V1156" s="762" t="s">
        <v>257</v>
      </c>
      <c r="W1156" s="780">
        <f ca="1">W1155-I1155</f>
        <v>-0.26096252197748981</v>
      </c>
      <c r="X1156" s="779" t="s">
        <v>31</v>
      </c>
      <c r="Y1156" s="226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1"/>
      <c r="B1157" s="1"/>
      <c r="C1157" s="1"/>
      <c r="D1157" s="404"/>
      <c r="E1157" s="1"/>
      <c r="F1157" s="1"/>
      <c r="G1157" s="404"/>
      <c r="H1157" s="1"/>
      <c r="I1157" s="2"/>
      <c r="J1157" s="2"/>
      <c r="K1157" s="404"/>
      <c r="L1157" s="1"/>
      <c r="M1157" s="2"/>
      <c r="N1157" s="2"/>
      <c r="O1157" s="404"/>
      <c r="P1157" s="1"/>
      <c r="Q1157" s="2"/>
      <c r="R1157" s="2"/>
      <c r="S1157" s="404"/>
      <c r="T1157" s="1"/>
      <c r="U1157" s="2"/>
      <c r="V1157" s="719"/>
      <c r="W1157" s="719"/>
      <c r="X1157" s="719"/>
      <c r="Y1157" s="226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>
      <c r="A1158" s="1"/>
      <c r="B1158" s="1"/>
      <c r="C1158" s="1"/>
      <c r="D1158" s="404"/>
      <c r="E1158" s="1"/>
      <c r="F1158" s="1"/>
      <c r="G1158" s="404"/>
      <c r="H1158" s="1"/>
      <c r="I1158" s="2"/>
      <c r="J1158" s="2"/>
      <c r="K1158" s="404"/>
      <c r="L1158" s="1"/>
      <c r="M1158" s="2"/>
      <c r="N1158" s="2"/>
      <c r="O1158" s="404"/>
      <c r="P1158" s="1"/>
      <c r="Q1158" s="2"/>
      <c r="R1158" s="2"/>
      <c r="S1158" s="404"/>
      <c r="T1158" s="1"/>
      <c r="U1158" s="2"/>
      <c r="V1158" s="401"/>
      <c r="W1158" s="401"/>
      <c r="X1158" s="401"/>
      <c r="Y1158" s="22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>
      <c r="A1159" s="278" t="s">
        <v>483</v>
      </c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20"/>
      <c r="W1159" s="74"/>
      <c r="X1159" s="74"/>
      <c r="Y1159" s="74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>
      <c r="A1160" s="1" t="s">
        <v>484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20"/>
      <c r="W1160" s="74"/>
      <c r="X1160" s="74"/>
      <c r="Y1160" s="74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>
      <c r="A1161" s="1"/>
      <c r="B1161" s="1"/>
      <c r="C1161" s="1"/>
      <c r="D1161" s="404"/>
      <c r="E1161" s="1"/>
      <c r="F1161" s="1"/>
      <c r="G1161" s="404"/>
      <c r="H1161" s="1"/>
      <c r="I1161" s="1"/>
      <c r="J1161" s="1"/>
      <c r="K1161" s="404"/>
      <c r="L1161" s="1"/>
      <c r="M1161" s="1"/>
      <c r="N1161" s="1"/>
      <c r="O1161" s="404"/>
      <c r="P1161" s="1"/>
      <c r="Q1161" s="1"/>
      <c r="R1161" s="1"/>
      <c r="S1161" s="404"/>
      <c r="T1161" s="1"/>
      <c r="U1161" s="1"/>
      <c r="V1161" s="20"/>
      <c r="W1161" s="74"/>
      <c r="X1161" s="74"/>
      <c r="Y1161" s="74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1" t="s">
        <v>478</v>
      </c>
      <c r="B1162" s="1"/>
      <c r="C1162" s="21"/>
      <c r="D1162" s="283"/>
      <c r="E1162" s="1"/>
      <c r="F1162" s="397">
        <f>F1176+F1204</f>
        <v>2258.3938334562231</v>
      </c>
      <c r="G1162" s="283"/>
      <c r="H1162" s="1"/>
      <c r="I1162" s="2">
        <f>I1176+I1204</f>
        <v>2258.3938334562231</v>
      </c>
      <c r="J1162" s="2"/>
      <c r="K1162" s="283"/>
      <c r="L1162" s="1"/>
      <c r="M1162" s="2">
        <f>M1176+M1204</f>
        <v>2258.3938334562231</v>
      </c>
      <c r="N1162" s="2"/>
      <c r="O1162" s="283"/>
      <c r="P1162" s="1"/>
      <c r="Q1162" s="2">
        <f>Q1176+Q1204</f>
        <v>0</v>
      </c>
      <c r="R1162" s="2"/>
      <c r="S1162" s="283"/>
      <c r="T1162" s="1"/>
      <c r="U1162" s="2">
        <f>U1176+U1204</f>
        <v>0</v>
      </c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600</v>
      </c>
      <c r="B1163" s="1"/>
      <c r="C1163" s="249">
        <f>C1192+C1205+C1206</f>
        <v>2331237.4144894434</v>
      </c>
      <c r="D1163" s="799" t="s">
        <v>31</v>
      </c>
      <c r="E1163" s="1" t="s">
        <v>31</v>
      </c>
      <c r="F1163" s="399">
        <f>F1192+F1206</f>
        <v>164236</v>
      </c>
      <c r="G1163" s="799" t="s">
        <v>31</v>
      </c>
      <c r="H1163" s="1" t="s">
        <v>31</v>
      </c>
      <c r="I1163" s="2">
        <f>I1192+I1206</f>
        <v>168199</v>
      </c>
      <c r="J1163" s="2"/>
      <c r="K1163" s="799" t="s">
        <v>31</v>
      </c>
      <c r="L1163" s="1" t="s">
        <v>31</v>
      </c>
      <c r="M1163" s="2" t="e">
        <f>M1192+M1206</f>
        <v>#DIV/0!</v>
      </c>
      <c r="N1163" s="2"/>
      <c r="O1163" s="799" t="s">
        <v>31</v>
      </c>
      <c r="P1163" s="1" t="s">
        <v>31</v>
      </c>
      <c r="Q1163" s="2" t="e">
        <f>Q1192+Q1206</f>
        <v>#DIV/0!</v>
      </c>
      <c r="R1163" s="2"/>
      <c r="S1163" s="799" t="s">
        <v>31</v>
      </c>
      <c r="T1163" s="1" t="s">
        <v>31</v>
      </c>
      <c r="U1163" s="2" t="e">
        <f>U1192+U1206</f>
        <v>#DIV/0!</v>
      </c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 t="s">
        <v>602</v>
      </c>
      <c r="B1164" s="1"/>
      <c r="C1164" s="249">
        <f>C1193</f>
        <v>2267439.2993954606</v>
      </c>
      <c r="D1164" s="409" t="s">
        <v>31</v>
      </c>
      <c r="E1164" s="1" t="s">
        <v>31</v>
      </c>
      <c r="F1164" s="2">
        <f>F1178+F1179+F1180+F1181+F1182+F1183+F1186+F1187+F1188+F1189+F1190</f>
        <v>159739.89404560489</v>
      </c>
      <c r="G1164" s="409" t="s">
        <v>31</v>
      </c>
      <c r="H1164" s="1" t="s">
        <v>31</v>
      </c>
      <c r="I1164" s="2">
        <f>I1178+I1179+I1180+I1181+I1182+I1183+I1186+I1187+I1188+I1189+I1190</f>
        <v>163555.17538404744</v>
      </c>
      <c r="J1164" s="2"/>
      <c r="K1164" s="409" t="s">
        <v>31</v>
      </c>
      <c r="L1164" s="1" t="s">
        <v>31</v>
      </c>
      <c r="M1164" s="2" t="e">
        <f>M1178+M1179+M1180+M1181+M1182+M1183+M1186+M1187+M1188+M1189+M1190</f>
        <v>#DIV/0!</v>
      </c>
      <c r="N1164" s="2"/>
      <c r="O1164" s="409" t="s">
        <v>31</v>
      </c>
      <c r="P1164" s="1" t="s">
        <v>31</v>
      </c>
      <c r="Q1164" s="2" t="e">
        <f>Q1178+Q1179+Q1180+Q1181+Q1182+Q1183+Q1186+Q1187+Q1188+Q1189+Q1190</f>
        <v>#DIV/0!</v>
      </c>
      <c r="R1164" s="2"/>
      <c r="S1164" s="409" t="s">
        <v>31</v>
      </c>
      <c r="T1164" s="1" t="s">
        <v>31</v>
      </c>
      <c r="U1164" s="2" t="e">
        <f>U1178+U1179+U1180+U1181+U1182+U1183+U1186+U1187+U1188+U1189+U1190</f>
        <v>#DIV/0!</v>
      </c>
      <c r="V1164" s="20"/>
      <c r="W1164" s="74"/>
      <c r="X1164" s="32" t="s">
        <v>31</v>
      </c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352</v>
      </c>
      <c r="B1165" s="1"/>
      <c r="C1165" s="249">
        <f>C1194+C1207</f>
        <v>81.416666666666671</v>
      </c>
      <c r="D1165" s="400"/>
      <c r="E1165" s="1"/>
      <c r="F1165" s="2"/>
      <c r="G1165" s="400"/>
      <c r="H1165" s="1"/>
      <c r="I1165" s="2"/>
      <c r="J1165" s="2"/>
      <c r="K1165" s="400"/>
      <c r="L1165" s="1"/>
      <c r="M1165" s="2"/>
      <c r="N1165" s="2"/>
      <c r="O1165" s="400"/>
      <c r="P1165" s="1"/>
      <c r="Q1165" s="2"/>
      <c r="R1165" s="2"/>
      <c r="S1165" s="400"/>
      <c r="T1165" s="1"/>
      <c r="U1165" s="2"/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 s="1118" customFormat="1" hidden="1">
      <c r="A1166" s="968" t="s">
        <v>891</v>
      </c>
      <c r="C1166" s="1122">
        <f>C1167</f>
        <v>4598676.713884904</v>
      </c>
      <c r="D1166" s="1423">
        <v>0</v>
      </c>
      <c r="E1166" s="1119"/>
      <c r="F1166" s="1123"/>
      <c r="G1166" s="1128">
        <v>0</v>
      </c>
      <c r="H1166" s="1000" t="s">
        <v>364</v>
      </c>
      <c r="I1166" s="1000">
        <f>ROUND(G1166*$C1166/100,0)</f>
        <v>0</v>
      </c>
      <c r="J1166" s="1000"/>
      <c r="K1166" s="1128" t="s">
        <v>31</v>
      </c>
      <c r="L1166" s="1126" t="s">
        <v>31</v>
      </c>
      <c r="M1166" s="1123">
        <f>K1166*C1166</f>
        <v>0</v>
      </c>
      <c r="N1166" s="1123"/>
      <c r="O1166" s="1128" t="s">
        <v>31</v>
      </c>
      <c r="P1166" s="1126" t="s">
        <v>31</v>
      </c>
      <c r="Q1166" s="1123">
        <f>O1166*C1166</f>
        <v>0</v>
      </c>
      <c r="R1166" s="1123"/>
      <c r="S1166" s="1128">
        <f>G1166</f>
        <v>0</v>
      </c>
      <c r="T1166" s="1126" t="s">
        <v>364</v>
      </c>
      <c r="U1166" s="1123">
        <f>I1166</f>
        <v>0</v>
      </c>
      <c r="V1166" s="1130">
        <f>'NPC Spread'!J53</f>
        <v>105993.44624000302</v>
      </c>
      <c r="W1166" s="1137" t="s">
        <v>857</v>
      </c>
      <c r="Z1166" s="1125"/>
      <c r="AA1166" s="1125"/>
      <c r="AF1166" s="1119"/>
      <c r="AG1166" s="1119"/>
      <c r="AH1166" s="1119"/>
      <c r="AI1166" s="1119"/>
      <c r="AJ1166" s="1119"/>
      <c r="AK1166" s="1119"/>
      <c r="AL1166" s="1119"/>
      <c r="AM1166" s="1119"/>
      <c r="AN1166" s="1119"/>
      <c r="AO1166" s="1119"/>
      <c r="AP1166" s="1119"/>
      <c r="AR1166" s="1124"/>
    </row>
    <row r="1167" spans="1:44">
      <c r="A1167" s="3" t="s">
        <v>481</v>
      </c>
      <c r="C1167" s="249">
        <f>C1197+C1209</f>
        <v>4598676.713884904</v>
      </c>
      <c r="D1167" s="254"/>
      <c r="E1167" s="20"/>
      <c r="F1167" s="257">
        <f>F1197+F1209</f>
        <v>326234.28787906107</v>
      </c>
      <c r="G1167" s="254"/>
      <c r="H1167" s="20"/>
      <c r="I1167" s="257">
        <f>I1197+I1209</f>
        <v>334012.56921750365</v>
      </c>
      <c r="J1167" s="257"/>
      <c r="K1167" s="254"/>
      <c r="L1167" s="20"/>
      <c r="M1167" s="257" t="e">
        <f>M1197+M1209</f>
        <v>#DIV/0!</v>
      </c>
      <c r="N1167" s="257"/>
      <c r="O1167" s="254"/>
      <c r="P1167" s="20"/>
      <c r="Q1167" s="257" t="e">
        <f>Q1197+Q1209</f>
        <v>#DIV/0!</v>
      </c>
      <c r="R1167" s="257"/>
      <c r="S1167" s="254"/>
      <c r="T1167" s="20"/>
      <c r="U1167" s="257" t="e">
        <f>U1197+U1209</f>
        <v>#DIV/0!</v>
      </c>
      <c r="X1167" s="74"/>
      <c r="Y1167" s="74"/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3" t="s">
        <v>482</v>
      </c>
      <c r="C1168" s="249">
        <f ca="1">C1198+C1210</f>
        <v>58236.455278948066</v>
      </c>
      <c r="D1168" s="254"/>
      <c r="E1168" s="20"/>
      <c r="F1168" s="257">
        <f>F1198+F1210</f>
        <v>5063.9173543015222</v>
      </c>
      <c r="G1168" s="254"/>
      <c r="H1168" s="20"/>
      <c r="I1168" s="257">
        <f>F1168</f>
        <v>5063.9173543015222</v>
      </c>
      <c r="J1168" s="257"/>
      <c r="K1168" s="254"/>
      <c r="L1168" s="20"/>
      <c r="M1168" s="257" t="e">
        <f>M1198+M1210</f>
        <v>#DIV/0!</v>
      </c>
      <c r="N1168" s="257"/>
      <c r="O1168" s="254"/>
      <c r="P1168" s="20"/>
      <c r="Q1168" s="257" t="e">
        <f>Q1198+Q1210</f>
        <v>#DIV/0!</v>
      </c>
      <c r="R1168" s="257"/>
      <c r="S1168" s="254"/>
      <c r="T1168" s="20"/>
      <c r="U1168" s="257" t="e">
        <f>U1198+U1210</f>
        <v>#DIV/0!</v>
      </c>
      <c r="V1168" s="274"/>
      <c r="W1168" s="275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2" ht="16.5" thickBot="1">
      <c r="A1169" s="1" t="s">
        <v>9</v>
      </c>
      <c r="B1169" s="1"/>
      <c r="C1169" s="378">
        <f ca="1">C1167+C1168</f>
        <v>4656913.169163852</v>
      </c>
      <c r="D1169" s="962"/>
      <c r="E1169" s="330"/>
      <c r="F1169" s="259">
        <f>F1167+F1168</f>
        <v>331298.20523336262</v>
      </c>
      <c r="G1169" s="962"/>
      <c r="H1169" s="330"/>
      <c r="I1169" s="259">
        <f>I1167+I1168</f>
        <v>339076.4865718052</v>
      </c>
      <c r="J1169" s="297"/>
      <c r="K1169" s="962"/>
      <c r="L1169" s="330"/>
      <c r="M1169" s="259" t="e">
        <f>M1167+M1168</f>
        <v>#DIV/0!</v>
      </c>
      <c r="N1169" s="297"/>
      <c r="O1169" s="962"/>
      <c r="P1169" s="330"/>
      <c r="Q1169" s="259" t="e">
        <f>Q1167+Q1168</f>
        <v>#DIV/0!</v>
      </c>
      <c r="R1169" s="297"/>
      <c r="S1169" s="962"/>
      <c r="T1169" s="330"/>
      <c r="U1169" s="259" t="e">
        <f>U1167+U1168</f>
        <v>#DIV/0!</v>
      </c>
      <c r="V1169" s="761" t="s">
        <v>399</v>
      </c>
      <c r="W1169" s="778">
        <f ca="1">'Rate Spread targets'!X40*1000</f>
        <v>339087.49844314903</v>
      </c>
      <c r="X1169" s="1440">
        <f>(I1169-F1169)/F1169</f>
        <v>2.3478187371898534E-2</v>
      </c>
      <c r="Y1169" s="796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</row>
    <row r="1170" spans="1:42" ht="16.5" thickTop="1">
      <c r="A1170" s="1"/>
      <c r="B1170" s="1"/>
      <c r="C1170" s="26"/>
      <c r="D1170" s="407"/>
      <c r="E1170" s="23"/>
      <c r="F1170" s="51"/>
      <c r="G1170" s="407"/>
      <c r="H1170" s="23"/>
      <c r="I1170" s="51"/>
      <c r="J1170" s="51"/>
      <c r="K1170" s="407"/>
      <c r="L1170" s="23"/>
      <c r="M1170" s="51"/>
      <c r="N1170" s="51"/>
      <c r="O1170" s="407"/>
      <c r="P1170" s="23"/>
      <c r="Q1170" s="51"/>
      <c r="R1170" s="51"/>
      <c r="S1170" s="407"/>
      <c r="T1170" s="23"/>
      <c r="U1170" s="51"/>
      <c r="V1170" s="762" t="s">
        <v>257</v>
      </c>
      <c r="W1170" s="780">
        <f ca="1">W1169-I1169</f>
        <v>11.011871343827806</v>
      </c>
      <c r="X1170" s="758"/>
      <c r="Y1170" s="796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2">
      <c r="A1171" s="1"/>
      <c r="B1171" s="1"/>
      <c r="C1171" s="26"/>
      <c r="D1171" s="407"/>
      <c r="E1171" s="23"/>
      <c r="F1171" s="51"/>
      <c r="G1171" s="407"/>
      <c r="H1171" s="23"/>
      <c r="I1171" s="51"/>
      <c r="J1171" s="51"/>
      <c r="K1171" s="407"/>
      <c r="L1171" s="23"/>
      <c r="M1171" s="51"/>
      <c r="N1171" s="51"/>
      <c r="O1171" s="407"/>
      <c r="P1171" s="23"/>
      <c r="Q1171" s="51"/>
      <c r="R1171" s="51"/>
      <c r="S1171" s="407"/>
      <c r="T1171" s="23"/>
      <c r="U1171" s="51"/>
      <c r="V1171" s="719"/>
      <c r="W1171" s="719"/>
      <c r="X1171" s="719"/>
      <c r="Y1171" s="796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2">
      <c r="A1172" s="1"/>
      <c r="B1172" s="1"/>
      <c r="C1172" s="26"/>
      <c r="D1172" s="407" t="s">
        <v>31</v>
      </c>
      <c r="E1172" s="23"/>
      <c r="F1172" s="51"/>
      <c r="G1172" s="407" t="s">
        <v>31</v>
      </c>
      <c r="H1172" s="23"/>
      <c r="I1172" s="51" t="s">
        <v>31</v>
      </c>
      <c r="J1172" s="51"/>
      <c r="K1172" s="407" t="s">
        <v>31</v>
      </c>
      <c r="L1172" s="23"/>
      <c r="M1172" s="51" t="s">
        <v>31</v>
      </c>
      <c r="N1172" s="51"/>
      <c r="O1172" s="407" t="s">
        <v>31</v>
      </c>
      <c r="P1172" s="23"/>
      <c r="Q1172" s="51" t="s">
        <v>31</v>
      </c>
      <c r="R1172" s="51"/>
      <c r="S1172" s="407" t="s">
        <v>31</v>
      </c>
      <c r="T1172" s="23"/>
      <c r="U1172" s="51" t="s">
        <v>31</v>
      </c>
      <c r="V1172" s="401"/>
      <c r="W1172" s="401"/>
      <c r="X1172" s="401"/>
      <c r="Y1172" s="74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2">
      <c r="A1173" s="278" t="s">
        <v>487</v>
      </c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401"/>
      <c r="W1173" s="74"/>
      <c r="X1173" s="74"/>
      <c r="Y1173" s="74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2">
      <c r="A1174" s="1" t="s">
        <v>488</v>
      </c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20"/>
      <c r="W1174" s="74"/>
      <c r="X1174" s="74"/>
      <c r="Y1174" s="74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2">
      <c r="A1175" s="1"/>
      <c r="B1175" s="1"/>
      <c r="C1175" s="1"/>
      <c r="D1175" s="404"/>
      <c r="E1175" s="1"/>
      <c r="F1175" s="1"/>
      <c r="G1175" s="404"/>
      <c r="H1175" s="1"/>
      <c r="I1175" s="1"/>
      <c r="J1175" s="1"/>
      <c r="K1175" s="404"/>
      <c r="L1175" s="1"/>
      <c r="M1175" s="1"/>
      <c r="N1175" s="1"/>
      <c r="O1175" s="404"/>
      <c r="P1175" s="1"/>
      <c r="Q1175" s="1"/>
      <c r="R1175" s="1"/>
      <c r="S1175" s="404"/>
      <c r="T1175" s="1"/>
      <c r="U1175" s="1"/>
      <c r="V1175" s="20"/>
      <c r="W1175" s="74"/>
      <c r="X1175" s="74"/>
      <c r="Y1175" s="74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2">
      <c r="A1176" s="1" t="s">
        <v>478</v>
      </c>
      <c r="B1176" s="1"/>
      <c r="C1176" s="21"/>
      <c r="D1176" s="283"/>
      <c r="E1176" s="1"/>
      <c r="F1176" s="397">
        <v>2258.3938334562231</v>
      </c>
      <c r="G1176" s="283"/>
      <c r="H1176" s="1"/>
      <c r="I1176" s="2">
        <f>F1176</f>
        <v>2258.3938334562231</v>
      </c>
      <c r="J1176" s="2"/>
      <c r="K1176" s="283"/>
      <c r="L1176" s="1"/>
      <c r="M1176" s="2">
        <f>I1176</f>
        <v>2258.3938334562231</v>
      </c>
      <c r="N1176" s="2"/>
      <c r="O1176" s="283"/>
      <c r="P1176" s="1"/>
      <c r="Q1176" s="2" t="s">
        <v>31</v>
      </c>
      <c r="R1176" s="2"/>
      <c r="S1176" s="283"/>
      <c r="T1176" s="1"/>
      <c r="U1176" s="2" t="str">
        <f>Q1176</f>
        <v xml:space="preserve"> </v>
      </c>
      <c r="V1176" s="20"/>
      <c r="W1176" s="74"/>
      <c r="X1176" s="74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2">
      <c r="A1177" s="1" t="s">
        <v>576</v>
      </c>
      <c r="B1177" s="1"/>
      <c r="C1177" s="21"/>
      <c r="D1177" s="283"/>
      <c r="E1177" s="1"/>
      <c r="F1177" s="397"/>
      <c r="G1177" s="283"/>
      <c r="H1177" s="1"/>
      <c r="I1177" s="2"/>
      <c r="J1177" s="2"/>
      <c r="K1177" s="283"/>
      <c r="L1177" s="1"/>
      <c r="M1177" s="2"/>
      <c r="N1177" s="2"/>
      <c r="O1177" s="283"/>
      <c r="P1177" s="1"/>
      <c r="Q1177" s="2"/>
      <c r="R1177" s="2"/>
      <c r="S1177" s="283"/>
      <c r="T1177" s="1"/>
      <c r="U1177" s="2"/>
      <c r="V1177" s="20"/>
      <c r="Z1177" s="401">
        <f ca="1">W1169-I1169</f>
        <v>11.011871343827806</v>
      </c>
      <c r="AA1177" s="74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2">
      <c r="A1178" s="3" t="s">
        <v>589</v>
      </c>
      <c r="B1178" s="1"/>
      <c r="C1178" s="21">
        <v>4296.0202493777233</v>
      </c>
      <c r="D1178" s="283">
        <v>2.1800000000000002</v>
      </c>
      <c r="E1178" s="1"/>
      <c r="F1178" s="397">
        <f t="shared" ref="F1178:F1183" si="209">C1178*D1178</f>
        <v>9365.3241436434382</v>
      </c>
      <c r="G1178" s="283">
        <f t="shared" ref="G1178:G1183" si="210">ROUND(Z1178*$G$1192/100,2)</f>
        <v>2.2400000000000002</v>
      </c>
      <c r="H1178" s="1"/>
      <c r="I1178" s="2">
        <f t="shared" ref="I1178:I1183" si="211">G1178*$C1178</f>
        <v>9623.0853586061003</v>
      </c>
      <c r="J1178" s="2"/>
      <c r="K1178" s="283" t="e">
        <f t="shared" ref="K1178:K1183" si="212">ROUND(M1178/C1178,2)</f>
        <v>#DIV/0!</v>
      </c>
      <c r="L1178" s="1"/>
      <c r="M1178" s="2" t="e">
        <f>($V$1201-$M$1176-$M$1192-$M$1195-$M$1198)*(I1178/($I$1178+$I$1179+$I$1180+$I$1181+$I$1182+$I$1183+$I$1186+$I$1187+$I$1188+$I$1189+$I$1190))</f>
        <v>#DIV/0!</v>
      </c>
      <c r="N1178" s="2"/>
      <c r="O1178" s="283" t="e">
        <f t="shared" ref="O1178:O1183" si="213">ROUND(Q1178/C1178,2)</f>
        <v>#DIV/0!</v>
      </c>
      <c r="P1178" s="1"/>
      <c r="Q1178" s="2" t="e">
        <f>($W$1201-$Q$1176-$Q$1192-$Q$1195-$Q$1198)*(I1178/($I$1178+$I$1179+$I$1180+$I$1181+$I$1182+$I$1183+$I$1186+$I$1187+$I$1188+$I$1189+$I$1190))</f>
        <v>#DIV/0!</v>
      </c>
      <c r="R1178" s="2"/>
      <c r="S1178" s="283" t="e">
        <f>ROUND(U1178/C1178,2)</f>
        <v>#DIV/0!</v>
      </c>
      <c r="T1178" s="1"/>
      <c r="U1178" s="2" t="e">
        <f>($X$1201-$U$1176-$U$1192-$U$1195-$U$1198)*(I1178/($I$1178+$I$1179+$I$1180+$I$1181+$I$1182+$I$1183+$I$1186+$I$1187+$I$1188+$I$1189+$I$1190))</f>
        <v>#DIV/0!</v>
      </c>
      <c r="V1178" s="20"/>
      <c r="Z1178" s="74">
        <v>31</v>
      </c>
      <c r="AA1178" s="640"/>
      <c r="AB1178" s="20"/>
      <c r="AC1178" s="20"/>
      <c r="AD1178" s="7" t="s">
        <v>31</v>
      </c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2">
      <c r="A1179" s="3" t="s">
        <v>590</v>
      </c>
      <c r="B1179" s="1"/>
      <c r="C1179" s="21">
        <v>8160.0336742749596</v>
      </c>
      <c r="D1179" s="283">
        <v>3.1</v>
      </c>
      <c r="E1179" s="1"/>
      <c r="F1179" s="397">
        <f t="shared" si="209"/>
        <v>25296.104390252374</v>
      </c>
      <c r="G1179" s="283">
        <f t="shared" si="210"/>
        <v>3.17</v>
      </c>
      <c r="H1179" s="1"/>
      <c r="I1179" s="2">
        <f t="shared" si="211"/>
        <v>25867.306747451621</v>
      </c>
      <c r="J1179" s="2"/>
      <c r="K1179" s="283" t="e">
        <f t="shared" si="212"/>
        <v>#DIV/0!</v>
      </c>
      <c r="L1179" s="1"/>
      <c r="M1179" s="2" t="e">
        <f t="shared" ref="M1179:M1183" si="214">($V$1201-$M$1176-$M$1192-$M$1195-$M$1198)*(I1179/($I$1178+$I$1179+$I$1180+$I$1181+$I$1182+$I$1183+$I$1186+$I$1187+$I$1188+$I$1189+$I$1190))</f>
        <v>#DIV/0!</v>
      </c>
      <c r="N1179" s="2"/>
      <c r="O1179" s="283" t="e">
        <f t="shared" si="213"/>
        <v>#DIV/0!</v>
      </c>
      <c r="P1179" s="1"/>
      <c r="Q1179" s="2" t="e">
        <f t="shared" ref="Q1179:Q1183" si="215">($W$1201-$Q$1176-$Q$1192-$Q$1195-$Q$1198)*(I1179/($I$1178+$I$1179+$I$1180+$I$1181+$I$1182+$I$1183+$I$1186+$I$1187+$I$1188+$I$1189+$I$1190))</f>
        <v>#DIV/0!</v>
      </c>
      <c r="R1179" s="2"/>
      <c r="S1179" s="283" t="e">
        <f>ROUND(U1179/C1179,2)</f>
        <v>#DIV/0!</v>
      </c>
      <c r="T1179" s="1"/>
      <c r="U1179" s="2" t="e">
        <f t="shared" ref="U1179:U1183" si="216">($X$1201-$U$1176-$U$1192-$U$1195-$U$1198)*(I1179/($I$1178+$I$1179+$I$1180+$I$1181+$I$1182+$I$1183+$I$1186+$I$1187+$I$1188+$I$1189+$I$1190))</f>
        <v>#DIV/0!</v>
      </c>
      <c r="V1179" s="20"/>
      <c r="Z1179" s="74">
        <v>44</v>
      </c>
      <c r="AA1179" s="64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2">
      <c r="A1180" s="3" t="s">
        <v>591</v>
      </c>
      <c r="B1180" s="1"/>
      <c r="C1180" s="21">
        <v>60.009361129530397</v>
      </c>
      <c r="D1180" s="283">
        <v>4.51</v>
      </c>
      <c r="E1180" s="1"/>
      <c r="F1180" s="397">
        <f t="shared" si="209"/>
        <v>270.64221869418208</v>
      </c>
      <c r="G1180" s="283">
        <f t="shared" si="210"/>
        <v>4.62</v>
      </c>
      <c r="H1180" s="1"/>
      <c r="I1180" s="2">
        <f t="shared" si="211"/>
        <v>277.24324841843043</v>
      </c>
      <c r="J1180" s="2"/>
      <c r="K1180" s="283" t="e">
        <f t="shared" si="212"/>
        <v>#DIV/0!</v>
      </c>
      <c r="L1180" s="1"/>
      <c r="M1180" s="2" t="e">
        <f t="shared" si="214"/>
        <v>#DIV/0!</v>
      </c>
      <c r="N1180" s="2"/>
      <c r="O1180" s="283" t="e">
        <f t="shared" si="213"/>
        <v>#DIV/0!</v>
      </c>
      <c r="P1180" s="1"/>
      <c r="Q1180" s="2" t="e">
        <f t="shared" si="215"/>
        <v>#DIV/0!</v>
      </c>
      <c r="R1180" s="2"/>
      <c r="S1180" s="283" t="e">
        <f>ROUND(U1180/C1180,2)</f>
        <v>#DIV/0!</v>
      </c>
      <c r="T1180" s="1"/>
      <c r="U1180" s="2" t="e">
        <f t="shared" si="216"/>
        <v>#DIV/0!</v>
      </c>
      <c r="V1180" s="20"/>
      <c r="Z1180" s="74">
        <v>64</v>
      </c>
      <c r="AA1180" s="64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2">
      <c r="A1181" s="3" t="s">
        <v>592</v>
      </c>
      <c r="B1181" s="1"/>
      <c r="C1181" s="21">
        <v>11666.5444855351</v>
      </c>
      <c r="D1181" s="283">
        <v>5.99</v>
      </c>
      <c r="E1181" s="1"/>
      <c r="F1181" s="397">
        <f t="shared" si="209"/>
        <v>69882.601468355249</v>
      </c>
      <c r="G1181" s="283">
        <f t="shared" si="210"/>
        <v>6.13</v>
      </c>
      <c r="H1181" s="1"/>
      <c r="I1181" s="2">
        <f t="shared" si="211"/>
        <v>71515.917696330158</v>
      </c>
      <c r="J1181" s="2"/>
      <c r="K1181" s="283" t="e">
        <f t="shared" si="212"/>
        <v>#DIV/0!</v>
      </c>
      <c r="L1181" s="1"/>
      <c r="M1181" s="2" t="e">
        <f t="shared" si="214"/>
        <v>#DIV/0!</v>
      </c>
      <c r="N1181" s="2"/>
      <c r="O1181" s="283" t="e">
        <f t="shared" si="213"/>
        <v>#DIV/0!</v>
      </c>
      <c r="P1181" s="1"/>
      <c r="Q1181" s="2" t="e">
        <f t="shared" si="215"/>
        <v>#DIV/0!</v>
      </c>
      <c r="R1181" s="2"/>
      <c r="S1181" s="283" t="e">
        <f>ROUND(U1181/C1181,2)</f>
        <v>#DIV/0!</v>
      </c>
      <c r="T1181" s="1"/>
      <c r="U1181" s="2" t="e">
        <f t="shared" si="216"/>
        <v>#DIV/0!</v>
      </c>
      <c r="V1181" s="20"/>
      <c r="Z1181" s="74">
        <v>85</v>
      </c>
      <c r="AA1181" s="640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2">
      <c r="A1182" s="3" t="s">
        <v>593</v>
      </c>
      <c r="B1182" s="1"/>
      <c r="C1182" s="21">
        <v>4355.9951802476999</v>
      </c>
      <c r="D1182" s="283">
        <v>8.1</v>
      </c>
      <c r="E1182" s="1"/>
      <c r="F1182" s="397">
        <f t="shared" si="209"/>
        <v>35283.560960006369</v>
      </c>
      <c r="G1182" s="283">
        <f t="shared" si="210"/>
        <v>8.3000000000000007</v>
      </c>
      <c r="H1182" s="1"/>
      <c r="I1182" s="2">
        <f t="shared" si="211"/>
        <v>36154.759996055909</v>
      </c>
      <c r="J1182" s="2"/>
      <c r="K1182" s="283" t="e">
        <f t="shared" si="212"/>
        <v>#DIV/0!</v>
      </c>
      <c r="L1182" s="1"/>
      <c r="M1182" s="2" t="e">
        <f t="shared" si="214"/>
        <v>#DIV/0!</v>
      </c>
      <c r="N1182" s="2"/>
      <c r="O1182" s="283" t="e">
        <f t="shared" si="213"/>
        <v>#DIV/0!</v>
      </c>
      <c r="P1182" s="1"/>
      <c r="Q1182" s="2" t="e">
        <f t="shared" si="215"/>
        <v>#DIV/0!</v>
      </c>
      <c r="R1182" s="2"/>
      <c r="S1182" s="283" t="e">
        <f>ROUND(U1182/C1182,2)+0.01</f>
        <v>#DIV/0!</v>
      </c>
      <c r="T1182" s="1"/>
      <c r="U1182" s="2" t="e">
        <f t="shared" si="216"/>
        <v>#DIV/0!</v>
      </c>
      <c r="V1182" s="20"/>
      <c r="Z1182" s="74">
        <v>115</v>
      </c>
      <c r="AA1182" s="64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2">
      <c r="A1183" s="3" t="s">
        <v>594</v>
      </c>
      <c r="B1183" s="1"/>
      <c r="C1183" s="21">
        <v>1584.0049084397799</v>
      </c>
      <c r="D1183" s="283">
        <v>12.4</v>
      </c>
      <c r="E1183" s="1"/>
      <c r="F1183" s="397">
        <f t="shared" si="209"/>
        <v>19641.660864653273</v>
      </c>
      <c r="G1183" s="283">
        <f t="shared" si="210"/>
        <v>12.7</v>
      </c>
      <c r="H1183" s="1"/>
      <c r="I1183" s="2">
        <f t="shared" si="211"/>
        <v>20116.862337185205</v>
      </c>
      <c r="J1183" s="2"/>
      <c r="K1183" s="283" t="e">
        <f t="shared" si="212"/>
        <v>#DIV/0!</v>
      </c>
      <c r="L1183" s="1"/>
      <c r="M1183" s="2" t="e">
        <f t="shared" si="214"/>
        <v>#DIV/0!</v>
      </c>
      <c r="N1183" s="2"/>
      <c r="O1183" s="283" t="e">
        <f t="shared" si="213"/>
        <v>#DIV/0!</v>
      </c>
      <c r="P1183" s="1"/>
      <c r="Q1183" s="2" t="e">
        <f t="shared" si="215"/>
        <v>#DIV/0!</v>
      </c>
      <c r="R1183" s="2"/>
      <c r="S1183" s="283" t="e">
        <f>ROUND(U1183/C1183,2)-0.01</f>
        <v>#DIV/0!</v>
      </c>
      <c r="T1183" s="1"/>
      <c r="U1183" s="2" t="e">
        <f t="shared" si="216"/>
        <v>#DIV/0!</v>
      </c>
      <c r="X1183" s="796" t="s">
        <v>31</v>
      </c>
      <c r="Y1183" s="751"/>
      <c r="Z1183" s="74">
        <v>176</v>
      </c>
      <c r="AA1183" s="64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2">
      <c r="B1184" s="1"/>
      <c r="C1184" s="21"/>
      <c r="D1184" s="283"/>
      <c r="E1184" s="1"/>
      <c r="F1184" s="397"/>
      <c r="G1184" s="283"/>
      <c r="H1184" s="1"/>
      <c r="I1184" s="2"/>
      <c r="J1184" s="2"/>
      <c r="K1184" s="283"/>
      <c r="L1184" s="1"/>
      <c r="M1184" s="2"/>
      <c r="N1184" s="2"/>
      <c r="O1184" s="283"/>
      <c r="P1184" s="1"/>
      <c r="Q1184" s="2"/>
      <c r="R1184" s="2"/>
      <c r="S1184" s="283"/>
      <c r="T1184" s="1"/>
      <c r="U1184" s="2"/>
      <c r="V1184" s="20"/>
      <c r="W1184" s="88" t="s">
        <v>74</v>
      </c>
      <c r="Z1184" s="74"/>
      <c r="AA1184" s="74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577</v>
      </c>
      <c r="B1185" s="1"/>
      <c r="C1185" s="21"/>
      <c r="D1185" s="283" t="s">
        <v>31</v>
      </c>
      <c r="E1185" s="1"/>
      <c r="F1185" s="397"/>
      <c r="G1185" s="283" t="s">
        <v>31</v>
      </c>
      <c r="H1185" s="1"/>
      <c r="I1185" s="2"/>
      <c r="J1185" s="2"/>
      <c r="K1185" s="283" t="s">
        <v>31</v>
      </c>
      <c r="L1185" s="1"/>
      <c r="M1185" s="2"/>
      <c r="N1185" s="2"/>
      <c r="O1185" s="283" t="s">
        <v>31</v>
      </c>
      <c r="P1185" s="1"/>
      <c r="Q1185" s="2"/>
      <c r="R1185" s="2"/>
      <c r="S1185" s="283" t="s">
        <v>31</v>
      </c>
      <c r="T1185" s="1"/>
      <c r="U1185" s="2"/>
      <c r="V1185" s="20"/>
      <c r="Z1185" s="74"/>
      <c r="AA1185" s="74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595</v>
      </c>
      <c r="B1186" s="1"/>
      <c r="C1186" s="21">
        <v>0</v>
      </c>
      <c r="D1186" s="283">
        <v>2.75</v>
      </c>
      <c r="E1186" s="1"/>
      <c r="F1186" s="397">
        <f>C1186*D1186</f>
        <v>0</v>
      </c>
      <c r="G1186" s="283">
        <f>ROUND(Z1186*$G$1192/100,2)</f>
        <v>2.81</v>
      </c>
      <c r="H1186" s="1"/>
      <c r="I1186" s="2">
        <f>G1186*$C1186</f>
        <v>0</v>
      </c>
      <c r="J1186" s="2"/>
      <c r="K1186" s="283" t="e">
        <f>ROUND(SUM($M$1178:$M$1183)/SUM($I$1178:$I$1183)*G1186,2)</f>
        <v>#DIV/0!</v>
      </c>
      <c r="L1186" s="1"/>
      <c r="M1186" s="2" t="e">
        <f t="shared" ref="M1186:M1190" si="217">(V1209-$M$1176-$M$1195-$M$1198)*(I1186/($I$1178+$I$1179+$I$1180+$I$1181+$I$1182+$I$1183+$I$1186+$I$1187+$I$1188+$I$1189+$I$1190))</f>
        <v>#DIV/0!</v>
      </c>
      <c r="N1186" s="2"/>
      <c r="O1186" s="283" t="e">
        <f>ROUND(SUM($Q$1178:$Q$1183)/SUM($I$1178:$I$1183)*G1186,2)</f>
        <v>#DIV/0!</v>
      </c>
      <c r="P1186" s="1"/>
      <c r="Q1186" s="2" t="e">
        <f t="shared" ref="Q1186:Q1190" si="218">($W$1201-$Q$1176-$Q$1192-$Q$1195-$Q$1198)*(I1186/($I$1178+$I$1179+$I$1180+$I$1181+$I$1182+$I$1183+$I$1186+$I$1187+$I$1188+$I$1189+$I$1190))</f>
        <v>#DIV/0!</v>
      </c>
      <c r="R1186" s="2"/>
      <c r="S1186" s="283" t="e">
        <f>ROUND(SUM($U$1178:$U$1183)/SUM($I$1178:$I$1183)*G1186,2)</f>
        <v>#DIV/0!</v>
      </c>
      <c r="T1186" s="1"/>
      <c r="U1186" s="2" t="e">
        <f t="shared" ref="U1186:U1190" si="219">($X$1201-$U$1176-$U$1192-$U$1195-$U$1198)*(I1186/($I$1178+$I$1179+$I$1180+$I$1181+$I$1182+$I$1183+$I$1186+$I$1187+$I$1188+$I$1189+$I$1190))</f>
        <v>#DIV/0!</v>
      </c>
      <c r="V1186" s="20"/>
      <c r="Z1186" s="74">
        <v>39</v>
      </c>
      <c r="AA1186" s="640"/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596</v>
      </c>
      <c r="B1187" s="1"/>
      <c r="C1187" s="21">
        <v>0</v>
      </c>
      <c r="D1187" s="283">
        <v>4.79</v>
      </c>
      <c r="E1187" s="1"/>
      <c r="F1187" s="397">
        <f>C1187*D1187</f>
        <v>0</v>
      </c>
      <c r="G1187" s="283">
        <f>ROUND(Z1187*$G$1192/100,2)</f>
        <v>4.91</v>
      </c>
      <c r="H1187" s="1"/>
      <c r="I1187" s="2">
        <f>G1187*$C1187</f>
        <v>0</v>
      </c>
      <c r="J1187" s="2"/>
      <c r="K1187" s="283" t="e">
        <f t="shared" ref="K1187:K1190" si="220">ROUND(SUM($M$1178:$M$1183)/SUM($I$1178:$I$1183)*G1187,2)</f>
        <v>#DIV/0!</v>
      </c>
      <c r="L1187" s="1"/>
      <c r="M1187" s="2" t="e">
        <f t="shared" si="217"/>
        <v>#DIV/0!</v>
      </c>
      <c r="N1187" s="2"/>
      <c r="O1187" s="283" t="e">
        <f t="shared" ref="O1187:O1190" si="221">ROUND(SUM($Q$1178:$Q$1183)/SUM($I$1178:$I$1183)*G1187,2)</f>
        <v>#DIV/0!</v>
      </c>
      <c r="P1187" s="1"/>
      <c r="Q1187" s="2" t="e">
        <f t="shared" si="218"/>
        <v>#DIV/0!</v>
      </c>
      <c r="R1187" s="2"/>
      <c r="S1187" s="283" t="e">
        <f t="shared" ref="S1187:S1190" si="222">ROUND(SUM($U$1178:$U$1183)/SUM($I$1178:$I$1183)*G1187,2)</f>
        <v>#DIV/0!</v>
      </c>
      <c r="T1187" s="1"/>
      <c r="U1187" s="2" t="e">
        <f t="shared" si="219"/>
        <v>#DIV/0!</v>
      </c>
      <c r="V1187" s="20"/>
      <c r="Z1187" s="74">
        <v>68</v>
      </c>
      <c r="AA1187" s="640"/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A1188" s="3" t="s">
        <v>597</v>
      </c>
      <c r="B1188" s="1"/>
      <c r="C1188" s="21">
        <v>0</v>
      </c>
      <c r="D1188" s="283">
        <v>6.62</v>
      </c>
      <c r="E1188" s="1"/>
      <c r="F1188" s="397">
        <f>C1188*D1188</f>
        <v>0</v>
      </c>
      <c r="G1188" s="283">
        <f>ROUND(Z1188*$G$1192/100,2)</f>
        <v>6.78</v>
      </c>
      <c r="H1188" s="1"/>
      <c r="I1188" s="2">
        <f>G1188*$C1188</f>
        <v>0</v>
      </c>
      <c r="J1188" s="2"/>
      <c r="K1188" s="283" t="e">
        <f t="shared" si="220"/>
        <v>#DIV/0!</v>
      </c>
      <c r="L1188" s="1"/>
      <c r="M1188" s="2" t="e">
        <f t="shared" si="217"/>
        <v>#DIV/0!</v>
      </c>
      <c r="N1188" s="2"/>
      <c r="O1188" s="283" t="e">
        <f t="shared" si="221"/>
        <v>#DIV/0!</v>
      </c>
      <c r="P1188" s="1"/>
      <c r="Q1188" s="2" t="e">
        <f t="shared" si="218"/>
        <v>#DIV/0!</v>
      </c>
      <c r="R1188" s="2"/>
      <c r="S1188" s="283" t="e">
        <f t="shared" si="222"/>
        <v>#DIV/0!</v>
      </c>
      <c r="T1188" s="1"/>
      <c r="U1188" s="2" t="e">
        <f t="shared" si="219"/>
        <v>#DIV/0!</v>
      </c>
      <c r="V1188" s="20" t="s">
        <v>31</v>
      </c>
      <c r="Z1188" s="74">
        <v>94</v>
      </c>
      <c r="AA1188" s="640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598</v>
      </c>
      <c r="B1189" s="1"/>
      <c r="C1189" s="21">
        <v>0</v>
      </c>
      <c r="D1189" s="283">
        <v>10.5</v>
      </c>
      <c r="E1189" s="1"/>
      <c r="F1189" s="397">
        <f>C1189*D1189</f>
        <v>0</v>
      </c>
      <c r="G1189" s="283">
        <f>ROUND(Z1189*$G$1192/100,2)</f>
        <v>10.75</v>
      </c>
      <c r="H1189" s="1"/>
      <c r="I1189" s="2">
        <f>G1189*$C1189</f>
        <v>0</v>
      </c>
      <c r="J1189" s="2"/>
      <c r="K1189" s="283" t="e">
        <f t="shared" si="220"/>
        <v>#DIV/0!</v>
      </c>
      <c r="L1189" s="1"/>
      <c r="M1189" s="2" t="e">
        <f t="shared" si="217"/>
        <v>#DIV/0!</v>
      </c>
      <c r="N1189" s="2"/>
      <c r="O1189" s="283" t="e">
        <f t="shared" si="221"/>
        <v>#DIV/0!</v>
      </c>
      <c r="P1189" s="1"/>
      <c r="Q1189" s="2" t="e">
        <f t="shared" si="218"/>
        <v>#DIV/0!</v>
      </c>
      <c r="R1189" s="2"/>
      <c r="S1189" s="283" t="e">
        <f t="shared" si="222"/>
        <v>#DIV/0!</v>
      </c>
      <c r="T1189" s="1"/>
      <c r="U1189" s="2" t="e">
        <f t="shared" si="219"/>
        <v>#DIV/0!</v>
      </c>
      <c r="V1189" s="20"/>
      <c r="Z1189" s="74">
        <v>149</v>
      </c>
      <c r="AA1189" s="640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599</v>
      </c>
      <c r="B1190" s="1"/>
      <c r="C1190" s="21">
        <v>0</v>
      </c>
      <c r="D1190" s="283">
        <v>24.94</v>
      </c>
      <c r="E1190" s="1"/>
      <c r="F1190" s="397">
        <f>C1190*D1190</f>
        <v>0</v>
      </c>
      <c r="G1190" s="283">
        <f>ROUND(Z1190*$G$1192/100,2)</f>
        <v>25.54</v>
      </c>
      <c r="H1190" s="1"/>
      <c r="I1190" s="2">
        <f>G1190*$C1190</f>
        <v>0</v>
      </c>
      <c r="J1190" s="2"/>
      <c r="K1190" s="283" t="e">
        <f t="shared" si="220"/>
        <v>#DIV/0!</v>
      </c>
      <c r="L1190" s="1"/>
      <c r="M1190" s="2" t="e">
        <f t="shared" si="217"/>
        <v>#DIV/0!</v>
      </c>
      <c r="N1190" s="2"/>
      <c r="O1190" s="283" t="e">
        <f t="shared" si="221"/>
        <v>#DIV/0!</v>
      </c>
      <c r="P1190" s="1"/>
      <c r="Q1190" s="2" t="e">
        <f t="shared" si="218"/>
        <v>#DIV/0!</v>
      </c>
      <c r="R1190" s="2"/>
      <c r="S1190" s="283" t="e">
        <f t="shared" si="222"/>
        <v>#DIV/0!</v>
      </c>
      <c r="T1190" s="1"/>
      <c r="U1190" s="2" t="e">
        <f t="shared" si="219"/>
        <v>#DIV/0!</v>
      </c>
      <c r="V1190" s="20"/>
      <c r="Z1190" s="74">
        <v>354</v>
      </c>
      <c r="AA1190" s="640"/>
      <c r="AB1190" s="20" t="s">
        <v>31</v>
      </c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1"/>
      <c r="B1191" s="1"/>
      <c r="C1191" s="21"/>
      <c r="D1191" s="283"/>
      <c r="E1191" s="1"/>
      <c r="F1191" s="397"/>
      <c r="G1191" s="283"/>
      <c r="H1191" s="1"/>
      <c r="I1191" s="2"/>
      <c r="J1191" s="2"/>
      <c r="K1191" s="283"/>
      <c r="L1191" s="1"/>
      <c r="M1191" s="2"/>
      <c r="N1191" s="2"/>
      <c r="O1191" s="283"/>
      <c r="P1191" s="1"/>
      <c r="Q1191" s="2"/>
      <c r="R1191" s="2"/>
      <c r="S1191" s="283"/>
      <c r="T1191" s="1"/>
      <c r="U1191" s="2"/>
      <c r="V1191" s="20"/>
      <c r="Z1191" s="74"/>
      <c r="AA1191" s="74"/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1" t="s">
        <v>600</v>
      </c>
      <c r="B1192" s="1"/>
      <c r="C1192" s="249">
        <v>1180029.4144894434</v>
      </c>
      <c r="D1192" s="367">
        <v>7.0449999999999999</v>
      </c>
      <c r="E1192" s="1" t="s">
        <v>364</v>
      </c>
      <c r="F1192" s="399">
        <f>ROUND(D1192*C1192/100,0)</f>
        <v>83133</v>
      </c>
      <c r="G1192" s="367">
        <v>7.2149999999999999</v>
      </c>
      <c r="H1192" s="1" t="s">
        <v>364</v>
      </c>
      <c r="I1192" s="2">
        <f>ROUND(G1192*C1192/100,0)</f>
        <v>85139</v>
      </c>
      <c r="J1192" s="2"/>
      <c r="K1192" s="367" t="e">
        <f>K1206</f>
        <v>#DIV/0!</v>
      </c>
      <c r="L1192" s="1" t="s">
        <v>364</v>
      </c>
      <c r="M1192" s="2" t="e">
        <f>ROUND(K1192*C1192/100,0)</f>
        <v>#DIV/0!</v>
      </c>
      <c r="N1192" s="2"/>
      <c r="O1192" s="367" t="e">
        <f>O1206</f>
        <v>#DIV/0!</v>
      </c>
      <c r="P1192" s="1" t="s">
        <v>364</v>
      </c>
      <c r="Q1192" s="2" t="e">
        <f>ROUND(O1192*C1192/100,0)</f>
        <v>#DIV/0!</v>
      </c>
      <c r="R1192" s="2"/>
      <c r="S1192" s="367" t="e">
        <f>S1206</f>
        <v>#DIV/0!</v>
      </c>
      <c r="T1192" s="1" t="s">
        <v>364</v>
      </c>
      <c r="U1192" s="2" t="e">
        <f>ROUND(S1192*C1192/100,0)</f>
        <v>#DIV/0!</v>
      </c>
      <c r="V1192" s="20"/>
      <c r="Z1192" s="74"/>
      <c r="AA1192" s="74"/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1" t="s">
        <v>601</v>
      </c>
      <c r="B1193" s="1"/>
      <c r="C1193" s="249">
        <v>2267439.2993954606</v>
      </c>
      <c r="D1193" s="406">
        <v>0</v>
      </c>
      <c r="E1193" s="1" t="s">
        <v>364</v>
      </c>
      <c r="F1193" s="399">
        <f>ROUND(D1193*C1193/100,0)</f>
        <v>0</v>
      </c>
      <c r="G1193" s="406">
        <v>0</v>
      </c>
      <c r="H1193" s="1" t="s">
        <v>364</v>
      </c>
      <c r="I1193" s="2">
        <v>0</v>
      </c>
      <c r="J1193" s="2"/>
      <c r="K1193" s="406">
        <v>0</v>
      </c>
      <c r="L1193" s="1" t="s">
        <v>364</v>
      </c>
      <c r="M1193" s="2">
        <v>0</v>
      </c>
      <c r="N1193" s="2"/>
      <c r="O1193" s="406">
        <v>0</v>
      </c>
      <c r="P1193" s="1" t="s">
        <v>364</v>
      </c>
      <c r="Q1193" s="2">
        <v>0</v>
      </c>
      <c r="R1193" s="2"/>
      <c r="S1193" s="406">
        <v>0</v>
      </c>
      <c r="T1193" s="1" t="s">
        <v>364</v>
      </c>
      <c r="U1193" s="2">
        <v>0</v>
      </c>
      <c r="V1193" s="20"/>
      <c r="Z1193" s="74"/>
      <c r="AA1193" s="74">
        <v>211950</v>
      </c>
      <c r="AB1193" s="2">
        <f>C1193*0.06146</f>
        <v>139356.81934084502</v>
      </c>
      <c r="AC1193" s="2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1" t="s">
        <v>352</v>
      </c>
      <c r="B1194" s="1"/>
      <c r="C1194" s="249">
        <v>59.249999999999972</v>
      </c>
      <c r="D1194" s="400"/>
      <c r="E1194" s="1"/>
      <c r="F1194" s="2"/>
      <c r="G1194" s="400"/>
      <c r="H1194" s="1"/>
      <c r="I1194" s="2"/>
      <c r="J1194" s="2"/>
      <c r="K1194" s="400"/>
      <c r="L1194" s="1"/>
      <c r="M1194" s="2"/>
      <c r="N1194" s="2"/>
      <c r="O1194" s="400"/>
      <c r="P1194" s="1"/>
      <c r="Q1194" s="2"/>
      <c r="R1194" s="2"/>
      <c r="S1194" s="400"/>
      <c r="T1194" s="1"/>
      <c r="U1194" s="2"/>
      <c r="V1194" s="20"/>
      <c r="W1194" s="74"/>
      <c r="X1194" s="74"/>
      <c r="Y1194" s="74"/>
      <c r="Z1194" s="20"/>
      <c r="AA1194" s="20"/>
      <c r="AB1194" s="20"/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 s="1118" customFormat="1" hidden="1">
      <c r="A1195" s="968" t="s">
        <v>891</v>
      </c>
      <c r="C1195" s="1122">
        <f>C1197</f>
        <v>3447468.713884904</v>
      </c>
      <c r="D1195" s="1423">
        <v>0</v>
      </c>
      <c r="E1195" s="1119"/>
      <c r="F1195" s="1123"/>
      <c r="G1195" s="1128">
        <v>0</v>
      </c>
      <c r="H1195" s="1126" t="s">
        <v>364</v>
      </c>
      <c r="I1195" s="1000">
        <f>ROUND(G1195*$C1195/100,0)</f>
        <v>0</v>
      </c>
      <c r="J1195" s="1000"/>
      <c r="K1195" s="1128" t="str">
        <f>K1166</f>
        <v xml:space="preserve"> </v>
      </c>
      <c r="L1195" s="1126" t="s">
        <v>364</v>
      </c>
      <c r="M1195" s="1000">
        <f>ROUND(K1195*$C1195/100,0)</f>
        <v>0</v>
      </c>
      <c r="N1195" s="1000"/>
      <c r="O1195" s="1128" t="str">
        <f>O1166</f>
        <v xml:space="preserve"> </v>
      </c>
      <c r="P1195" s="1126" t="s">
        <v>364</v>
      </c>
      <c r="Q1195" s="1000">
        <f>ROUND(O1195*$C1195/100,0)</f>
        <v>0</v>
      </c>
      <c r="R1195" s="1000"/>
      <c r="S1195" s="1128">
        <f>S1166</f>
        <v>0</v>
      </c>
      <c r="T1195" s="1126" t="s">
        <v>364</v>
      </c>
      <c r="U1195" s="1000">
        <f>ROUND(S1195*$C1195/100,0)</f>
        <v>0</v>
      </c>
      <c r="W1195" s="784"/>
      <c r="Z1195" s="1125"/>
      <c r="AA1195" s="1125"/>
      <c r="AF1195" s="1119"/>
      <c r="AG1195" s="1119"/>
      <c r="AH1195" s="1119"/>
      <c r="AI1195" s="1119"/>
      <c r="AJ1195" s="1119"/>
      <c r="AK1195" s="1119"/>
      <c r="AL1195" s="1119"/>
      <c r="AM1195" s="1119"/>
      <c r="AN1195" s="1119"/>
      <c r="AO1195" s="1119"/>
      <c r="AP1195" s="1119"/>
      <c r="AR1195" s="1124"/>
    </row>
    <row r="1196" spans="1:44" s="1118" customFormat="1" hidden="1">
      <c r="A1196" s="1255" t="s">
        <v>875</v>
      </c>
      <c r="B1196" s="1256"/>
      <c r="C1196" s="1269"/>
      <c r="D1196" s="1270">
        <v>7.0449999999999999</v>
      </c>
      <c r="E1196" s="1261" t="s">
        <v>364</v>
      </c>
      <c r="F1196" s="1259"/>
      <c r="G1196" s="1270">
        <f>G1192+G1195</f>
        <v>7.2149999999999999</v>
      </c>
      <c r="H1196" s="1261" t="s">
        <v>364</v>
      </c>
      <c r="I1196" s="1266"/>
      <c r="J1196" s="1266"/>
      <c r="K1196" s="1270" t="e">
        <f>K1192+K1195</f>
        <v>#DIV/0!</v>
      </c>
      <c r="L1196" s="1261" t="s">
        <v>364</v>
      </c>
      <c r="M1196" s="1266"/>
      <c r="N1196" s="1266"/>
      <c r="O1196" s="1270" t="e">
        <f>O1192+O1195</f>
        <v>#DIV/0!</v>
      </c>
      <c r="P1196" s="1261" t="s">
        <v>364</v>
      </c>
      <c r="Q1196" s="1266"/>
      <c r="R1196" s="1266"/>
      <c r="S1196" s="1270" t="e">
        <f>S1192+S1195</f>
        <v>#DIV/0!</v>
      </c>
      <c r="T1196" s="1261" t="s">
        <v>364</v>
      </c>
      <c r="U1196" s="1266"/>
      <c r="W1196" s="784"/>
      <c r="X1196" s="795" t="s">
        <v>31</v>
      </c>
      <c r="Z1196" s="1125"/>
      <c r="AA1196" s="1125"/>
      <c r="AF1196" s="1119"/>
      <c r="AG1196" s="1119"/>
      <c r="AH1196" s="1119"/>
      <c r="AI1196" s="1119"/>
      <c r="AJ1196" s="1119"/>
      <c r="AK1196" s="1119"/>
      <c r="AL1196" s="1119"/>
      <c r="AM1196" s="1119"/>
      <c r="AN1196" s="1119"/>
      <c r="AO1196" s="1119"/>
      <c r="AP1196" s="1119"/>
      <c r="AR1196" s="1124"/>
    </row>
    <row r="1197" spans="1:44">
      <c r="A1197" s="3" t="s">
        <v>481</v>
      </c>
      <c r="C1197" s="249">
        <f>C1192+C1193</f>
        <v>3447468.713884904</v>
      </c>
      <c r="D1197" s="254"/>
      <c r="E1197" s="20"/>
      <c r="F1197" s="257">
        <f>SUM(F1176:F1193)</f>
        <v>245131.2878790611</v>
      </c>
      <c r="G1197" s="254"/>
      <c r="H1197" s="20"/>
      <c r="I1197" s="257">
        <f>SUM(I1176:I1196)</f>
        <v>250952.56921750365</v>
      </c>
      <c r="J1197" s="257"/>
      <c r="K1197" s="254"/>
      <c r="L1197" s="20"/>
      <c r="M1197" s="257" t="e">
        <f>SUM(M1176:M1195)</f>
        <v>#DIV/0!</v>
      </c>
      <c r="N1197" s="257"/>
      <c r="O1197" s="254"/>
      <c r="P1197" s="20"/>
      <c r="Q1197" s="257" t="e">
        <f>SUM(Q1176:Q1196)</f>
        <v>#DIV/0!</v>
      </c>
      <c r="R1197" s="257"/>
      <c r="S1197" s="254"/>
      <c r="T1197" s="20"/>
      <c r="U1197" s="257" t="e">
        <f>SUM(U1176:U1196)</f>
        <v>#DIV/0!</v>
      </c>
      <c r="V1197" s="20"/>
      <c r="W1197" s="74"/>
      <c r="X1197" s="74"/>
      <c r="Y1197" s="74"/>
      <c r="Z1197" s="20"/>
      <c r="AA1197" s="20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3" t="s">
        <v>482</v>
      </c>
      <c r="C1198" s="249">
        <f ca="1">'Table 2'!H122</f>
        <v>43657.854220442547</v>
      </c>
      <c r="D1198" s="254"/>
      <c r="E1198" s="20"/>
      <c r="F1198" s="257">
        <f>'Table 3'!E122</f>
        <v>3805.7819926921766</v>
      </c>
      <c r="G1198" s="254"/>
      <c r="H1198" s="20"/>
      <c r="I1198" s="257">
        <f>F1198</f>
        <v>3805.7819926921766</v>
      </c>
      <c r="J1198" s="257"/>
      <c r="K1198" s="254"/>
      <c r="L1198" s="20"/>
      <c r="M1198" s="257" t="e">
        <f>$I$1198*V1172/($V$1172+$W$1172+$X$1172)</f>
        <v>#DIV/0!</v>
      </c>
      <c r="N1198" s="51"/>
      <c r="O1198" s="294"/>
      <c r="P1198" s="294"/>
      <c r="Q1198" s="257" t="e">
        <f>$I$1198*W1172/($V$1172+$W$1172+$X$1172)</f>
        <v>#DIV/0!</v>
      </c>
      <c r="R1198" s="51"/>
      <c r="S1198" s="294"/>
      <c r="T1198" s="294"/>
      <c r="U1198" s="257" t="e">
        <f>$I$1198*X1172/($V$1172+$W$1172+$X$1172)</f>
        <v>#DIV/0!</v>
      </c>
      <c r="V1198" s="429"/>
      <c r="W1198" s="272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ht="16.5" thickBot="1">
      <c r="A1199" s="1" t="s">
        <v>9</v>
      </c>
      <c r="B1199" s="1"/>
      <c r="C1199" s="378">
        <f ca="1">C1197+C1198</f>
        <v>3491126.5681053465</v>
      </c>
      <c r="D1199" s="962"/>
      <c r="E1199" s="330"/>
      <c r="F1199" s="259">
        <f>F1197+F1198</f>
        <v>248937.06987175328</v>
      </c>
      <c r="G1199" s="962"/>
      <c r="H1199" s="330"/>
      <c r="I1199" s="259">
        <f>I1197+I1198</f>
        <v>254758.35121019583</v>
      </c>
      <c r="J1199" s="51"/>
      <c r="K1199" s="962"/>
      <c r="L1199" s="330"/>
      <c r="M1199" s="259" t="e">
        <f>M1197+M1198</f>
        <v>#DIV/0!</v>
      </c>
      <c r="N1199" s="297"/>
      <c r="O1199" s="962"/>
      <c r="P1199" s="330"/>
      <c r="Q1199" s="259" t="e">
        <f>Q1197+Q1198</f>
        <v>#DIV/0!</v>
      </c>
      <c r="R1199" s="297"/>
      <c r="S1199" s="962"/>
      <c r="T1199" s="330"/>
      <c r="U1199" s="259" t="e">
        <f>U1197+U1198</f>
        <v>#DIV/0!</v>
      </c>
      <c r="V1199" s="396"/>
      <c r="W1199" s="455"/>
      <c r="X1199" s="74"/>
      <c r="Y1199" s="74"/>
      <c r="Z1199" s="20"/>
      <c r="AA1199" s="20"/>
      <c r="AB1199" s="20"/>
      <c r="AC1199" s="20"/>
      <c r="AD1199" s="20"/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</row>
    <row r="1200" spans="1:44" ht="16.5" thickTop="1">
      <c r="A1200" s="1"/>
      <c r="B1200" s="1"/>
      <c r="C1200" s="26"/>
      <c r="D1200" s="407" t="s">
        <v>31</v>
      </c>
      <c r="E1200" s="23"/>
      <c r="F1200" s="51"/>
      <c r="G1200" s="407" t="s">
        <v>31</v>
      </c>
      <c r="H1200" s="23"/>
      <c r="I1200" s="51" t="s">
        <v>31</v>
      </c>
      <c r="J1200" s="51"/>
      <c r="K1200" s="407" t="s">
        <v>31</v>
      </c>
      <c r="L1200" s="23"/>
      <c r="M1200" s="51" t="s">
        <v>31</v>
      </c>
      <c r="N1200" s="51"/>
      <c r="O1200" s="407" t="s">
        <v>31</v>
      </c>
      <c r="P1200" s="23"/>
      <c r="Q1200" s="51" t="s">
        <v>31</v>
      </c>
      <c r="R1200" s="51"/>
      <c r="S1200" s="407" t="s">
        <v>31</v>
      </c>
      <c r="T1200" s="23"/>
      <c r="U1200" s="51" t="s">
        <v>31</v>
      </c>
      <c r="V1200" s="719"/>
      <c r="W1200" s="719"/>
      <c r="X1200" s="719"/>
      <c r="Y1200" s="74"/>
      <c r="Z1200" s="20"/>
      <c r="AA1200" s="20"/>
      <c r="AB1200" s="20"/>
      <c r="AC1200" s="20"/>
      <c r="AD1200" s="20"/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</row>
    <row r="1201" spans="1:44">
      <c r="A1201" s="278" t="s">
        <v>489</v>
      </c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401"/>
      <c r="W1201" s="401"/>
      <c r="X1201" s="401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1" t="s">
        <v>490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20"/>
      <c r="W1202" s="74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>
      <c r="A1203" s="1"/>
      <c r="B1203" s="1"/>
      <c r="C1203" s="1"/>
      <c r="D1203" s="404"/>
      <c r="E1203" s="1"/>
      <c r="F1203" s="1"/>
      <c r="G1203" s="404"/>
      <c r="H1203" s="1"/>
      <c r="I1203" s="1"/>
      <c r="J1203" s="1"/>
      <c r="K1203" s="404"/>
      <c r="L1203" s="1"/>
      <c r="M1203" s="1"/>
      <c r="N1203" s="1"/>
      <c r="O1203" s="404"/>
      <c r="P1203" s="1"/>
      <c r="Q1203" s="1"/>
      <c r="R1203" s="1"/>
      <c r="S1203" s="404"/>
      <c r="T1203" s="1"/>
      <c r="U1203" s="1"/>
      <c r="V1203" s="20"/>
      <c r="W1203" s="74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>
      <c r="A1204" s="1" t="s">
        <v>478</v>
      </c>
      <c r="B1204" s="1"/>
      <c r="C1204" s="21"/>
      <c r="D1204" s="283"/>
      <c r="E1204" s="1"/>
      <c r="F1204" s="397">
        <v>0</v>
      </c>
      <c r="G1204" s="283"/>
      <c r="H1204" s="1"/>
      <c r="I1204" s="2">
        <f>F1204</f>
        <v>0</v>
      </c>
      <c r="J1204" s="2"/>
      <c r="K1204" s="283"/>
      <c r="L1204" s="1"/>
      <c r="M1204" s="2">
        <f>I1204</f>
        <v>0</v>
      </c>
      <c r="N1204" s="2"/>
      <c r="O1204" s="283"/>
      <c r="P1204" s="1"/>
      <c r="Q1204" s="2">
        <f>M1204</f>
        <v>0</v>
      </c>
      <c r="R1204" s="2"/>
      <c r="S1204" s="283"/>
      <c r="T1204" s="1"/>
      <c r="U1204" s="2">
        <f>Q1204</f>
        <v>0</v>
      </c>
      <c r="V1204" s="20"/>
      <c r="W1204" s="74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 t="s">
        <v>485</v>
      </c>
      <c r="B1205" s="1"/>
      <c r="C1205" s="249">
        <v>0</v>
      </c>
      <c r="D1205" s="367">
        <v>7.0449999999999999</v>
      </c>
      <c r="E1205" s="1" t="s">
        <v>364</v>
      </c>
      <c r="F1205" s="399">
        <f>ROUND(D1205*C1205/100,0)</f>
        <v>0</v>
      </c>
      <c r="G1205" s="367">
        <f>G1192</f>
        <v>7.2149999999999999</v>
      </c>
      <c r="H1205" s="1" t="s">
        <v>364</v>
      </c>
      <c r="I1205" s="2">
        <f>ROUND(C1205*G1205/100,0)</f>
        <v>0</v>
      </c>
      <c r="J1205" s="2"/>
      <c r="K1205" s="367" t="e">
        <f>K1206</f>
        <v>#DIV/0!</v>
      </c>
      <c r="L1205" s="1" t="s">
        <v>364</v>
      </c>
      <c r="M1205" s="2" t="e">
        <f>ROUND(#REF!*K1205/100,0)</f>
        <v>#REF!</v>
      </c>
      <c r="N1205" s="2"/>
      <c r="O1205" s="367" t="e">
        <f>O1206</f>
        <v>#DIV/0!</v>
      </c>
      <c r="P1205" s="1" t="s">
        <v>364</v>
      </c>
      <c r="Q1205" s="2" t="e">
        <f>ROUND(G1205*O1205/100,0)</f>
        <v>#DIV/0!</v>
      </c>
      <c r="R1205" s="2"/>
      <c r="S1205" s="367" t="e">
        <f>S1206</f>
        <v>#DIV/0!</v>
      </c>
      <c r="T1205" s="1" t="s">
        <v>364</v>
      </c>
      <c r="U1205" s="2" t="e">
        <f>ROUND(K1205*S1205/100,0)</f>
        <v>#DIV/0!</v>
      </c>
      <c r="V1205" s="20"/>
      <c r="W1205" s="74"/>
      <c r="X1205" s="74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1" t="s">
        <v>486</v>
      </c>
      <c r="B1206" s="1"/>
      <c r="C1206" s="249">
        <v>1151208</v>
      </c>
      <c r="D1206" s="409">
        <v>7.0449999999999999</v>
      </c>
      <c r="E1206" s="1" t="s">
        <v>364</v>
      </c>
      <c r="F1206" s="399">
        <f>ROUND(D1206*C1206/100,0)</f>
        <v>81103</v>
      </c>
      <c r="G1206" s="409">
        <f>G1205</f>
        <v>7.2149999999999999</v>
      </c>
      <c r="H1206" s="1" t="s">
        <v>364</v>
      </c>
      <c r="I1206" s="2">
        <f>ROUND(G1206*$C1206/100,0)</f>
        <v>83060</v>
      </c>
      <c r="J1206" s="2"/>
      <c r="K1206" s="409" t="e">
        <f>M1206/C1206*100</f>
        <v>#DIV/0!</v>
      </c>
      <c r="L1206" s="1" t="s">
        <v>364</v>
      </c>
      <c r="M1206" s="2" t="e">
        <f>V1213-M1208-M1210</f>
        <v>#DIV/0!</v>
      </c>
      <c r="N1206" s="2"/>
      <c r="O1206" s="409" t="e">
        <f>Q1206/C1206*100</f>
        <v>#DIV/0!</v>
      </c>
      <c r="P1206" s="1" t="s">
        <v>364</v>
      </c>
      <c r="Q1206" s="2" t="e">
        <f>W1213-Q1208-Q1210</f>
        <v>#DIV/0!</v>
      </c>
      <c r="R1206" s="2"/>
      <c r="S1206" s="409" t="e">
        <f>U1206/C1206*100-0.001</f>
        <v>#DIV/0!</v>
      </c>
      <c r="T1206" s="1" t="s">
        <v>364</v>
      </c>
      <c r="U1206" s="2" t="e">
        <f>X1213-U1208-U1210</f>
        <v>#DIV/0!</v>
      </c>
      <c r="V1206" s="20"/>
      <c r="W1206" s="74"/>
      <c r="X1206" s="74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352</v>
      </c>
      <c r="B1207" s="1"/>
      <c r="C1207" s="249">
        <v>22.1666666666667</v>
      </c>
      <c r="D1207" s="400"/>
      <c r="E1207" s="1"/>
      <c r="F1207" s="2"/>
      <c r="G1207" s="400"/>
      <c r="H1207" s="1"/>
      <c r="I1207" s="2"/>
      <c r="J1207" s="2"/>
      <c r="K1207" s="400"/>
      <c r="L1207" s="1"/>
      <c r="M1207" s="2"/>
      <c r="N1207" s="2"/>
      <c r="O1207" s="400"/>
      <c r="P1207" s="1"/>
      <c r="Q1207" s="2"/>
      <c r="R1207" s="2"/>
      <c r="S1207" s="400"/>
      <c r="T1207" s="1"/>
      <c r="U1207" s="2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 s="1118" customFormat="1" hidden="1">
      <c r="A1208" s="968" t="s">
        <v>891</v>
      </c>
      <c r="C1208" s="1122">
        <f>C1209</f>
        <v>1151208</v>
      </c>
      <c r="D1208" s="1423">
        <v>0</v>
      </c>
      <c r="E1208" s="1119"/>
      <c r="F1208" s="1123"/>
      <c r="G1208" s="1128">
        <f>G1166</f>
        <v>0</v>
      </c>
      <c r="H1208" s="1126" t="s">
        <v>364</v>
      </c>
      <c r="I1208" s="1000">
        <f>ROUND(G1208*$C1208/100,0)</f>
        <v>0</v>
      </c>
      <c r="J1208" s="1000"/>
      <c r="K1208" s="1128" t="str">
        <f>K1166</f>
        <v xml:space="preserve"> </v>
      </c>
      <c r="L1208" s="1126" t="s">
        <v>31</v>
      </c>
      <c r="M1208" s="1000">
        <f>ROUND(K1208*$C1208/100,0)</f>
        <v>0</v>
      </c>
      <c r="N1208" s="1000"/>
      <c r="O1208" s="1128" t="str">
        <f>O1166</f>
        <v xml:space="preserve"> </v>
      </c>
      <c r="P1208" s="1126" t="s">
        <v>31</v>
      </c>
      <c r="Q1208" s="1000">
        <f>ROUND(O1208*$C1208/100,0)</f>
        <v>0</v>
      </c>
      <c r="R1208" s="1000"/>
      <c r="S1208" s="1128">
        <f>S1166</f>
        <v>0</v>
      </c>
      <c r="T1208" s="1126" t="s">
        <v>364</v>
      </c>
      <c r="U1208" s="1000">
        <f>ROUND(S1208*$C1208/100,0)</f>
        <v>0</v>
      </c>
      <c r="W1208" s="784"/>
      <c r="Z1208" s="1125"/>
      <c r="AA1208" s="1125"/>
      <c r="AF1208" s="1119"/>
      <c r="AG1208" s="1119"/>
      <c r="AH1208" s="1119"/>
      <c r="AI1208" s="1119"/>
      <c r="AJ1208" s="1119"/>
      <c r="AK1208" s="1119"/>
      <c r="AL1208" s="1119"/>
      <c r="AM1208" s="1119"/>
      <c r="AN1208" s="1119"/>
      <c r="AO1208" s="1119"/>
      <c r="AP1208" s="1119"/>
      <c r="AR1208" s="1124"/>
    </row>
    <row r="1209" spans="1:44">
      <c r="A1209" s="3" t="s">
        <v>481</v>
      </c>
      <c r="C1209" s="249">
        <f>C1205+C1206</f>
        <v>1151208</v>
      </c>
      <c r="D1209" s="254"/>
      <c r="E1209" s="20"/>
      <c r="F1209" s="257">
        <f>SUM(F1204:F1206)</f>
        <v>81103</v>
      </c>
      <c r="G1209" s="254"/>
      <c r="H1209" s="20"/>
      <c r="I1209" s="257">
        <f>SUM(I1204:I1208)</f>
        <v>83060</v>
      </c>
      <c r="J1209" s="257"/>
      <c r="K1209" s="254"/>
      <c r="L1209" s="20"/>
      <c r="M1209" s="257" t="e">
        <f>SUM(M1204:M1208)</f>
        <v>#REF!</v>
      </c>
      <c r="N1209" s="257"/>
      <c r="O1209" s="254"/>
      <c r="P1209" s="20"/>
      <c r="Q1209" s="257" t="e">
        <f>SUM(Q1204:Q1208)</f>
        <v>#DIV/0!</v>
      </c>
      <c r="R1209" s="257"/>
      <c r="S1209" s="254"/>
      <c r="T1209" s="20"/>
      <c r="U1209" s="257" t="e">
        <f>SUM(U1204:U1208)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3" t="s">
        <v>482</v>
      </c>
      <c r="C1210" s="249">
        <f ca="1">'Table 2'!H123</f>
        <v>14578.601058505523</v>
      </c>
      <c r="D1210" s="254"/>
      <c r="E1210" s="20"/>
      <c r="F1210" s="257">
        <f>'Table 3'!E123</f>
        <v>1258.1353616093459</v>
      </c>
      <c r="G1210" s="254"/>
      <c r="H1210" s="20"/>
      <c r="I1210" s="257">
        <f>F1210</f>
        <v>1258.1353616093459</v>
      </c>
      <c r="J1210" s="257"/>
      <c r="K1210" s="254"/>
      <c r="L1210" s="20"/>
      <c r="M1210" s="257" t="e">
        <f>$I$1210*V1172/($V$1172+$W$1172+$X$1172)</f>
        <v>#DIV/0!</v>
      </c>
      <c r="N1210" s="51"/>
      <c r="O1210" s="294"/>
      <c r="P1210" s="294"/>
      <c r="Q1210" s="257" t="e">
        <f>$I$1210*W1172/($V$1172+$W$1172+$X$1172)</f>
        <v>#DIV/0!</v>
      </c>
      <c r="R1210" s="51"/>
      <c r="S1210" s="294"/>
      <c r="T1210" s="294"/>
      <c r="U1210" s="257" t="e">
        <f>$I$1210*X1172/($V$1172+$W$1172+$X$1172)</f>
        <v>#DIV/0!</v>
      </c>
      <c r="V1210" s="429"/>
      <c r="W1210" s="272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 ht="16.5" thickBot="1">
      <c r="A1211" s="1" t="s">
        <v>9</v>
      </c>
      <c r="B1211" s="1"/>
      <c r="C1211" s="378">
        <f ca="1">C1209+C1210</f>
        <v>1165786.6010585055</v>
      </c>
      <c r="D1211" s="962"/>
      <c r="E1211" s="330"/>
      <c r="F1211" s="259">
        <f>F1209+F1210</f>
        <v>82361.13536160934</v>
      </c>
      <c r="G1211" s="962"/>
      <c r="H1211" s="330"/>
      <c r="I1211" s="259">
        <f>I1209+I1210</f>
        <v>84318.13536160934</v>
      </c>
      <c r="J1211" s="51"/>
      <c r="K1211" s="962"/>
      <c r="L1211" s="330"/>
      <c r="M1211" s="259" t="e">
        <f>M1209+M1210</f>
        <v>#REF!</v>
      </c>
      <c r="N1211" s="297"/>
      <c r="O1211" s="962"/>
      <c r="P1211" s="330"/>
      <c r="Q1211" s="259" t="e">
        <f>Q1209+Q1210</f>
        <v>#DIV/0!</v>
      </c>
      <c r="R1211" s="297"/>
      <c r="S1211" s="962"/>
      <c r="T1211" s="330"/>
      <c r="U1211" s="259" t="e">
        <f>U1209+U1210</f>
        <v>#DIV/0!</v>
      </c>
      <c r="V1211" s="396"/>
      <c r="W1211" s="455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 ht="16.5" thickTop="1">
      <c r="A1212" s="1"/>
      <c r="B1212" s="1"/>
      <c r="C1212" s="26"/>
      <c r="D1212" s="407"/>
      <c r="E1212" s="23"/>
      <c r="F1212" s="51"/>
      <c r="G1212" s="407"/>
      <c r="H1212" s="23"/>
      <c r="I1212" s="51"/>
      <c r="J1212" s="51"/>
      <c r="K1212" s="407"/>
      <c r="L1212" s="23"/>
      <c r="M1212" s="51"/>
      <c r="N1212" s="51"/>
      <c r="O1212" s="407"/>
      <c r="P1212" s="23"/>
      <c r="Q1212" s="51"/>
      <c r="R1212" s="51"/>
      <c r="S1212" s="407"/>
      <c r="T1212" s="23"/>
      <c r="U1212" s="51"/>
      <c r="V1212" s="719"/>
      <c r="W1212" s="719"/>
      <c r="X1212" s="719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>
      <c r="A1213" s="1"/>
      <c r="B1213" s="1"/>
      <c r="C1213" s="26"/>
      <c r="D1213" s="407"/>
      <c r="E1213" s="23"/>
      <c r="F1213" s="51"/>
      <c r="G1213" s="407"/>
      <c r="H1213" s="23"/>
      <c r="I1213" s="51"/>
      <c r="J1213" s="51"/>
      <c r="K1213" s="407"/>
      <c r="L1213" s="23"/>
      <c r="M1213" s="51"/>
      <c r="N1213" s="51"/>
      <c r="O1213" s="407"/>
      <c r="P1213" s="23"/>
      <c r="Q1213" s="51"/>
      <c r="R1213" s="51"/>
      <c r="S1213" s="407"/>
      <c r="T1213" s="23"/>
      <c r="U1213" s="51"/>
      <c r="V1213" s="401"/>
      <c r="W1213" s="401"/>
      <c r="X1213" s="401"/>
      <c r="Y1213" s="74"/>
      <c r="Z1213" s="20"/>
      <c r="AA1213" s="20"/>
      <c r="AB1213" s="20"/>
      <c r="AC1213" s="20"/>
      <c r="AD1213" s="20"/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</row>
    <row r="1214" spans="1:44">
      <c r="A1214" s="1"/>
      <c r="B1214" s="1"/>
      <c r="C1214" s="26"/>
      <c r="D1214" s="407" t="s">
        <v>31</v>
      </c>
      <c r="E1214" s="23"/>
      <c r="F1214" s="51"/>
      <c r="G1214" s="407" t="s">
        <v>31</v>
      </c>
      <c r="H1214" s="23"/>
      <c r="I1214" s="51" t="s">
        <v>31</v>
      </c>
      <c r="J1214" s="51"/>
      <c r="K1214" s="407" t="s">
        <v>31</v>
      </c>
      <c r="L1214" s="23"/>
      <c r="M1214" s="51" t="s">
        <v>31</v>
      </c>
      <c r="N1214" s="51"/>
      <c r="O1214" s="407" t="s">
        <v>31</v>
      </c>
      <c r="P1214" s="23"/>
      <c r="Q1214" s="51" t="s">
        <v>31</v>
      </c>
      <c r="R1214" s="51"/>
      <c r="S1214" s="407" t="s">
        <v>31</v>
      </c>
      <c r="T1214" s="23"/>
      <c r="U1214" s="51" t="s">
        <v>31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278" t="s">
        <v>491</v>
      </c>
      <c r="B1215" s="1"/>
      <c r="C1215" s="1"/>
      <c r="D1215" s="1"/>
      <c r="E1215" s="1"/>
      <c r="F1215" s="1"/>
      <c r="G1215" s="1"/>
      <c r="H1215" s="1"/>
      <c r="I1215" s="1" t="s">
        <v>31</v>
      </c>
      <c r="J1215" s="1"/>
      <c r="K1215" s="1"/>
      <c r="L1215" s="1"/>
      <c r="M1215" s="1" t="s">
        <v>31</v>
      </c>
      <c r="N1215" s="1"/>
      <c r="O1215" s="1"/>
      <c r="P1215" s="1"/>
      <c r="Q1215" s="1" t="s">
        <v>31</v>
      </c>
      <c r="R1215" s="1"/>
      <c r="S1215" s="1"/>
      <c r="T1215" s="1"/>
      <c r="U1215" s="1" t="s">
        <v>31</v>
      </c>
      <c r="V1215" s="20"/>
      <c r="W1215" s="74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>
      <c r="A1216" s="1" t="s">
        <v>186</v>
      </c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20"/>
      <c r="W1216" s="74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20"/>
      <c r="W1217" s="74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 t="s">
        <v>492</v>
      </c>
      <c r="B1218" s="1"/>
      <c r="C1218" s="21">
        <v>169.46666666666701</v>
      </c>
      <c r="D1218" s="283">
        <v>3.8</v>
      </c>
      <c r="E1218" s="1"/>
      <c r="F1218" s="2">
        <f>ROUND(C1218*D1218,0)</f>
        <v>644</v>
      </c>
      <c r="G1218" s="283">
        <v>3.9</v>
      </c>
      <c r="H1218" s="1"/>
      <c r="I1218" s="2">
        <f>ROUND(G1218*$C1218,0)</f>
        <v>661</v>
      </c>
      <c r="J1218" s="2"/>
      <c r="K1218" s="283">
        <v>3.75</v>
      </c>
      <c r="L1218" s="1"/>
      <c r="M1218" s="2">
        <f>ROUND(K1218*$C1218,0)</f>
        <v>636</v>
      </c>
      <c r="N1218" s="2"/>
      <c r="O1218" s="286" t="s">
        <v>31</v>
      </c>
      <c r="P1218" s="1"/>
      <c r="Q1218" s="2">
        <f>ROUND(O1218*$C1218,0)</f>
        <v>0</v>
      </c>
      <c r="R1218" s="2"/>
      <c r="S1218" s="286" t="s">
        <v>31</v>
      </c>
      <c r="T1218" s="1"/>
      <c r="U1218" s="2">
        <f>ROUND(S1218*$C1218,0)</f>
        <v>0</v>
      </c>
      <c r="V1218" s="20"/>
      <c r="W1218" s="410"/>
      <c r="X1218" s="226">
        <f>(G1218-D1218)/D1218</f>
        <v>2.6315789473684237E-2</v>
      </c>
      <c r="Y1218" s="410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>
      <c r="A1219" s="1" t="s">
        <v>493</v>
      </c>
      <c r="B1219" s="1"/>
      <c r="C1219" s="21">
        <v>180</v>
      </c>
      <c r="D1219" s="283">
        <v>6.85</v>
      </c>
      <c r="E1219" s="1"/>
      <c r="F1219" s="2">
        <f>ROUND(C1219*D1219,0)</f>
        <v>1233</v>
      </c>
      <c r="G1219" s="283">
        <v>7</v>
      </c>
      <c r="H1219" s="1"/>
      <c r="I1219" s="2">
        <f>ROUND(G1219*$C1219,0)</f>
        <v>1260</v>
      </c>
      <c r="J1219" s="2"/>
      <c r="K1219" s="283">
        <v>6.75</v>
      </c>
      <c r="L1219" s="1"/>
      <c r="M1219" s="2">
        <f>ROUND(K1219*$C1219,0)</f>
        <v>1215</v>
      </c>
      <c r="N1219" s="2"/>
      <c r="O1219" s="286" t="s">
        <v>31</v>
      </c>
      <c r="P1219" s="1"/>
      <c r="Q1219" s="2">
        <f>ROUND(O1219*$C1219,0)</f>
        <v>0</v>
      </c>
      <c r="R1219" s="2"/>
      <c r="S1219" s="286" t="s">
        <v>31</v>
      </c>
      <c r="T1219" s="1"/>
      <c r="U1219" s="2">
        <f>ROUND(S1219*$C1219,0)</f>
        <v>0</v>
      </c>
      <c r="V1219" s="20"/>
      <c r="W1219" s="410"/>
      <c r="X1219" s="226">
        <f>(G1219-D1219)/D1219</f>
        <v>2.1897810218978155E-2</v>
      </c>
      <c r="Y1219" s="410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>
      <c r="A1220" s="1" t="s">
        <v>494</v>
      </c>
      <c r="B1220" s="1"/>
      <c r="C1220" s="21">
        <f>SUM(C1218:C1219)</f>
        <v>349.46666666666704</v>
      </c>
      <c r="D1220" s="359"/>
      <c r="E1220" s="1"/>
      <c r="F1220" s="399"/>
      <c r="G1220" s="359"/>
      <c r="H1220" s="1"/>
      <c r="I1220" s="2"/>
      <c r="J1220" s="2"/>
      <c r="K1220" s="359"/>
      <c r="L1220" s="1"/>
      <c r="M1220" s="2"/>
      <c r="N1220" s="2"/>
      <c r="O1220" s="359"/>
      <c r="P1220" s="1"/>
      <c r="Q1220" s="2"/>
      <c r="R1220" s="2"/>
      <c r="S1220" s="359"/>
      <c r="T1220" s="1"/>
      <c r="U1220" s="2"/>
      <c r="V1220" s="20"/>
      <c r="W1220" s="410"/>
      <c r="X1220" s="410"/>
      <c r="Y1220" s="410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1" t="s">
        <v>454</v>
      </c>
      <c r="B1221" s="1"/>
      <c r="C1221" s="21">
        <v>267781</v>
      </c>
      <c r="D1221" s="312">
        <v>8.3840000000000003</v>
      </c>
      <c r="E1221" s="2" t="s">
        <v>364</v>
      </c>
      <c r="F1221" s="399">
        <f>ROUND(D1221*C1221/100,0)</f>
        <v>22451</v>
      </c>
      <c r="G1221" s="312">
        <v>8.5820000000000007</v>
      </c>
      <c r="H1221" s="2" t="s">
        <v>364</v>
      </c>
      <c r="I1221" s="2">
        <f>ROUND(G1221*$C1221/100,0)</f>
        <v>22981</v>
      </c>
      <c r="J1221" s="2"/>
      <c r="K1221" s="312" t="e">
        <f>M1221/C1221*100</f>
        <v>#DIV/0!</v>
      </c>
      <c r="L1221" s="2" t="s">
        <v>364</v>
      </c>
      <c r="M1221" s="2" t="e">
        <f>V1229-M1218-M1219-M1225</f>
        <v>#DIV/0!</v>
      </c>
      <c r="N1221" s="2"/>
      <c r="O1221" s="312" t="e">
        <f>Q1221/C1221*100</f>
        <v>#DIV/0!</v>
      </c>
      <c r="P1221" s="2" t="s">
        <v>364</v>
      </c>
      <c r="Q1221" s="2" t="e">
        <f>W1229-Q1218-Q1219-Q1222-Q1225</f>
        <v>#DIV/0!</v>
      </c>
      <c r="R1221" s="2"/>
      <c r="S1221" s="312" t="e">
        <f>U1221/C1221*100</f>
        <v>#DIV/0!</v>
      </c>
      <c r="T1221" s="2" t="s">
        <v>364</v>
      </c>
      <c r="U1221" s="2" t="e">
        <f>X1229-U1218-U1219-U1222-U1225</f>
        <v>#DIV/0!</v>
      </c>
      <c r="V1221" s="20"/>
      <c r="W1221" s="410"/>
      <c r="X1221" s="226">
        <f>(G1221-D1221)/D1221</f>
        <v>2.3616412213740504E-2</v>
      </c>
      <c r="Y1221" s="410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 s="1118" customFormat="1" hidden="1">
      <c r="A1222" s="968" t="s">
        <v>891</v>
      </c>
      <c r="C1222" s="1122">
        <f>C1224</f>
        <v>267781</v>
      </c>
      <c r="D1222" s="1423">
        <v>0</v>
      </c>
      <c r="E1222" s="1119"/>
      <c r="F1222" s="1123"/>
      <c r="G1222" s="1128">
        <v>0</v>
      </c>
      <c r="H1222" s="1000" t="s">
        <v>364</v>
      </c>
      <c r="I1222" s="1000">
        <f>ROUND(G1222*$C1222/100,0)</f>
        <v>0</v>
      </c>
      <c r="J1222" s="1000"/>
      <c r="K1222" s="1128" t="s">
        <v>31</v>
      </c>
      <c r="L1222" s="1126" t="s">
        <v>31</v>
      </c>
      <c r="M1222" s="1123">
        <f>K1222*C1222</f>
        <v>0</v>
      </c>
      <c r="N1222" s="1123"/>
      <c r="O1222" s="1128" t="s">
        <v>31</v>
      </c>
      <c r="P1222" s="1126" t="s">
        <v>31</v>
      </c>
      <c r="Q1222" s="1123">
        <f>O1222*C1222</f>
        <v>0</v>
      </c>
      <c r="R1222" s="1123"/>
      <c r="S1222" s="1128">
        <f>G1222</f>
        <v>0</v>
      </c>
      <c r="T1222" s="1126" t="s">
        <v>364</v>
      </c>
      <c r="U1222" s="1123">
        <f>I1222</f>
        <v>0</v>
      </c>
      <c r="V1222" s="1124"/>
      <c r="W1222" s="784"/>
      <c r="Z1222" s="1125"/>
      <c r="AA1222" s="1125"/>
      <c r="AF1222" s="1119"/>
      <c r="AG1222" s="1119"/>
      <c r="AH1222" s="1119"/>
      <c r="AI1222" s="1119"/>
      <c r="AJ1222" s="1119"/>
      <c r="AK1222" s="1119"/>
      <c r="AL1222" s="1119"/>
      <c r="AM1222" s="1119"/>
      <c r="AN1222" s="1119"/>
      <c r="AO1222" s="1119"/>
      <c r="AP1222" s="1119"/>
      <c r="AR1222" s="1124"/>
    </row>
    <row r="1223" spans="1:44" s="1118" customFormat="1" hidden="1">
      <c r="A1223" s="1255" t="s">
        <v>874</v>
      </c>
      <c r="B1223" s="1256"/>
      <c r="C1223" s="1269"/>
      <c r="D1223" s="1265">
        <v>8.3840000000000003</v>
      </c>
      <c r="E1223" s="1259" t="s">
        <v>364</v>
      </c>
      <c r="F1223" s="1259"/>
      <c r="G1223" s="1265">
        <f>G1221+G1222</f>
        <v>8.5820000000000007</v>
      </c>
      <c r="H1223" s="1259" t="s">
        <v>364</v>
      </c>
      <c r="I1223" s="1266"/>
      <c r="J1223" s="1266"/>
      <c r="K1223" s="1265" t="e">
        <f>K1221+K1222</f>
        <v>#DIV/0!</v>
      </c>
      <c r="L1223" s="1259" t="s">
        <v>364</v>
      </c>
      <c r="M1223" s="1266"/>
      <c r="N1223" s="1266"/>
      <c r="O1223" s="1265" t="e">
        <f>O1221+O1222</f>
        <v>#DIV/0!</v>
      </c>
      <c r="P1223" s="1259" t="s">
        <v>364</v>
      </c>
      <c r="Q1223" s="1266"/>
      <c r="R1223" s="1266"/>
      <c r="S1223" s="1265" t="e">
        <f>S1221+S1222</f>
        <v>#DIV/0!</v>
      </c>
      <c r="T1223" s="1259" t="s">
        <v>364</v>
      </c>
      <c r="U1223" s="1266"/>
      <c r="V1223" s="1124"/>
      <c r="W1223" s="784"/>
      <c r="X1223" s="1121"/>
      <c r="Z1223" s="1125"/>
      <c r="AA1223" s="1125"/>
      <c r="AF1223" s="1119"/>
      <c r="AG1223" s="1119"/>
      <c r="AH1223" s="1119"/>
      <c r="AI1223" s="1119"/>
      <c r="AJ1223" s="1119"/>
      <c r="AK1223" s="1119"/>
      <c r="AL1223" s="1119"/>
      <c r="AM1223" s="1119"/>
      <c r="AN1223" s="1119"/>
      <c r="AO1223" s="1119"/>
      <c r="AP1223" s="1119"/>
      <c r="AR1223" s="1124"/>
    </row>
    <row r="1224" spans="1:44">
      <c r="A1224" s="1" t="s">
        <v>371</v>
      </c>
      <c r="B1224" s="1"/>
      <c r="C1224" s="304">
        <f>SUM(C1221)</f>
        <v>267781</v>
      </c>
      <c r="D1224" s="21"/>
      <c r="E1224" s="2"/>
      <c r="F1224" s="399">
        <f>SUM(F1218:F1221)</f>
        <v>24328</v>
      </c>
      <c r="G1224" s="21"/>
      <c r="H1224" s="2"/>
      <c r="I1224" s="399">
        <f>SUM(I1218:I1223)</f>
        <v>24902</v>
      </c>
      <c r="J1224" s="399"/>
      <c r="K1224" s="21"/>
      <c r="L1224" s="2"/>
      <c r="M1224" s="399" t="e">
        <f>SUM(M1218:M1223)</f>
        <v>#DIV/0!</v>
      </c>
      <c r="N1224" s="399"/>
      <c r="O1224" s="21"/>
      <c r="P1224" s="2"/>
      <c r="Q1224" s="399" t="e">
        <f>SUM(Q1218:Q1223)</f>
        <v>#DIV/0!</v>
      </c>
      <c r="R1224" s="399"/>
      <c r="S1224" s="21"/>
      <c r="T1224" s="2"/>
      <c r="U1224" s="399" t="e">
        <f>SUM(U1218:U1223)</f>
        <v>#DIV/0!</v>
      </c>
      <c r="V1224" s="20"/>
      <c r="W1224" s="74"/>
      <c r="X1224" s="74"/>
      <c r="Y1224" s="74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353</v>
      </c>
      <c r="B1225" s="1"/>
      <c r="C1225" s="334">
        <f>'Table 2'!H53</f>
        <v>1846.9158017184013</v>
      </c>
      <c r="D1225" s="963"/>
      <c r="E1225" s="963"/>
      <c r="F1225" s="413">
        <f>'Table 3'!E53</f>
        <v>189.2729477693606</v>
      </c>
      <c r="G1225" s="963"/>
      <c r="H1225" s="963"/>
      <c r="I1225" s="413">
        <f>F1225</f>
        <v>189.2729477693606</v>
      </c>
      <c r="J1225" s="1273"/>
      <c r="K1225" s="963"/>
      <c r="L1225" s="963"/>
      <c r="M1225" s="413" t="e">
        <f>$I$1225*V1229/($V$1229+$W$1229+$X$1229)</f>
        <v>#DIV/0!</v>
      </c>
      <c r="N1225" s="51"/>
      <c r="O1225" s="294"/>
      <c r="P1225" s="294"/>
      <c r="Q1225" s="413" t="e">
        <f>$I$1225*W1229/($V$1229+$W$1229+$X$1229)</f>
        <v>#DIV/0!</v>
      </c>
      <c r="R1225" s="51"/>
      <c r="S1225" s="294"/>
      <c r="T1225" s="294"/>
      <c r="U1225" s="413" t="e">
        <f>$I$1225*X1229/($V$1229+$W$1229+$X$1229)</f>
        <v>#DIV/0!</v>
      </c>
      <c r="V1225" s="274"/>
      <c r="W1225" s="275"/>
      <c r="X1225" s="74"/>
      <c r="Y1225" s="74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 ht="16.5" thickBot="1">
      <c r="A1226" s="1" t="s">
        <v>372</v>
      </c>
      <c r="B1226" s="1"/>
      <c r="C1226" s="351">
        <f>C1224+C1225</f>
        <v>269627.91580171842</v>
      </c>
      <c r="D1226" s="330"/>
      <c r="E1226" s="330"/>
      <c r="F1226" s="297">
        <f>F1224+F1225</f>
        <v>24517.272947769361</v>
      </c>
      <c r="G1226" s="330"/>
      <c r="H1226" s="330"/>
      <c r="I1226" s="297">
        <f>I1224+I1225</f>
        <v>25091.272947769361</v>
      </c>
      <c r="J1226" s="297"/>
      <c r="K1226" s="330"/>
      <c r="L1226" s="330"/>
      <c r="M1226" s="297" t="e">
        <f>M1224+M1225</f>
        <v>#DIV/0!</v>
      </c>
      <c r="N1226" s="297"/>
      <c r="O1226" s="330"/>
      <c r="P1226" s="330"/>
      <c r="Q1226" s="297" t="e">
        <f>Q1224+Q1225</f>
        <v>#DIV/0!</v>
      </c>
      <c r="R1226" s="297"/>
      <c r="S1226" s="330"/>
      <c r="T1226" s="330"/>
      <c r="U1226" s="297" t="e">
        <f>U1224+U1225</f>
        <v>#DIV/0!</v>
      </c>
      <c r="V1226" s="761" t="s">
        <v>399</v>
      </c>
      <c r="W1226" s="778">
        <f ca="1">'Rate Spread targets'!X31*1000</f>
        <v>25092.188778846648</v>
      </c>
      <c r="X1226" s="1417">
        <f>(I1226-F1226)/F1226</f>
        <v>2.3412065494511854E-2</v>
      </c>
      <c r="Y1226" s="74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 ht="16.5" thickTop="1">
      <c r="A1227" s="1"/>
      <c r="B1227" s="298"/>
      <c r="C1227" s="1"/>
      <c r="D1227" s="1" t="s">
        <v>31</v>
      </c>
      <c r="E1227" s="1"/>
      <c r="F1227" s="1"/>
      <c r="G1227" s="1" t="s">
        <v>31</v>
      </c>
      <c r="H1227" s="1"/>
      <c r="I1227" s="2" t="s">
        <v>31</v>
      </c>
      <c r="J1227" s="2"/>
      <c r="K1227" s="1" t="s">
        <v>31</v>
      </c>
      <c r="L1227" s="1"/>
      <c r="M1227" s="2" t="s">
        <v>31</v>
      </c>
      <c r="N1227" s="2"/>
      <c r="O1227" s="1" t="s">
        <v>31</v>
      </c>
      <c r="P1227" s="1"/>
      <c r="Q1227" s="2" t="s">
        <v>31</v>
      </c>
      <c r="R1227" s="2"/>
      <c r="S1227" s="1" t="s">
        <v>31</v>
      </c>
      <c r="T1227" s="1"/>
      <c r="U1227" s="2" t="s">
        <v>31</v>
      </c>
      <c r="V1227" s="762" t="s">
        <v>257</v>
      </c>
      <c r="W1227" s="780">
        <f ca="1">W1226-I1226</f>
        <v>0.91583107728729374</v>
      </c>
      <c r="X1227" s="783" t="s">
        <v>31</v>
      </c>
      <c r="Y1227" s="261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>
      <c r="A1228" s="1"/>
      <c r="B1228" s="298"/>
      <c r="C1228" s="1"/>
      <c r="D1228" s="1"/>
      <c r="E1228" s="1"/>
      <c r="F1228" s="1"/>
      <c r="G1228" s="1"/>
      <c r="H1228" s="1"/>
      <c r="I1228" s="2"/>
      <c r="J1228" s="2"/>
      <c r="K1228" s="1"/>
      <c r="L1228" s="1"/>
      <c r="M1228" s="2"/>
      <c r="N1228" s="2"/>
      <c r="O1228" s="1"/>
      <c r="P1228" s="1"/>
      <c r="Q1228" s="2"/>
      <c r="R1228" s="2"/>
      <c r="S1228" s="1"/>
      <c r="T1228" s="1"/>
      <c r="U1228" s="2"/>
      <c r="V1228" s="719"/>
      <c r="W1228" s="719"/>
      <c r="X1228" s="719"/>
      <c r="Y1228" s="261"/>
      <c r="Z1228" s="20"/>
      <c r="AA1228" s="20"/>
      <c r="AB1228" s="20"/>
      <c r="AC1228" s="20"/>
      <c r="AD1228" s="20"/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</row>
    <row r="1229" spans="1:44">
      <c r="A1229" s="1"/>
      <c r="B1229" s="298"/>
      <c r="C1229" s="1"/>
      <c r="D1229" s="1"/>
      <c r="E1229" s="1"/>
      <c r="F1229" s="1"/>
      <c r="G1229" s="1"/>
      <c r="H1229" s="1"/>
      <c r="I1229" s="2"/>
      <c r="J1229" s="2"/>
      <c r="K1229" s="1"/>
      <c r="L1229" s="1"/>
      <c r="M1229" s="2"/>
      <c r="N1229" s="2"/>
      <c r="O1229" s="1"/>
      <c r="P1229" s="1"/>
      <c r="Q1229" s="2"/>
      <c r="R1229" s="2"/>
      <c r="S1229" s="1"/>
      <c r="T1229" s="1"/>
      <c r="U1229" s="2"/>
      <c r="V1229" s="401"/>
      <c r="W1229" s="401"/>
      <c r="X1229" s="401"/>
      <c r="Y1229" s="261"/>
      <c r="Z1229" s="20"/>
      <c r="AA1229" s="20"/>
      <c r="AB1229" s="20"/>
      <c r="AC1229" s="20"/>
      <c r="AD1229" s="20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</row>
    <row r="1230" spans="1:44">
      <c r="A1230" s="247" t="s">
        <v>495</v>
      </c>
      <c r="B1230" s="288"/>
      <c r="C1230" s="288"/>
      <c r="D1230" s="288"/>
      <c r="E1230" s="288"/>
      <c r="F1230" s="288"/>
      <c r="G1230" s="288"/>
      <c r="H1230" s="288"/>
      <c r="I1230" s="288"/>
      <c r="J1230" s="288"/>
      <c r="K1230" s="288"/>
      <c r="L1230" s="288"/>
      <c r="M1230" s="288"/>
      <c r="N1230" s="288"/>
      <c r="O1230" s="288"/>
      <c r="P1230" s="288"/>
      <c r="Q1230" s="288"/>
      <c r="R1230" s="288"/>
      <c r="S1230" s="288"/>
      <c r="T1230" s="288"/>
      <c r="U1230" s="288"/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288" t="s">
        <v>496</v>
      </c>
      <c r="B1231" s="288"/>
      <c r="C1231" s="288"/>
      <c r="D1231" s="288"/>
      <c r="E1231" s="288"/>
      <c r="F1231" s="288"/>
      <c r="G1231" s="288"/>
      <c r="H1231" s="288"/>
      <c r="I1231" s="288"/>
      <c r="J1231" s="288"/>
      <c r="K1231" s="288"/>
      <c r="L1231" s="288"/>
      <c r="M1231" s="288"/>
      <c r="N1231" s="288"/>
      <c r="O1231" s="288"/>
      <c r="P1231" s="288"/>
      <c r="Q1231" s="288"/>
      <c r="R1231" s="288"/>
      <c r="S1231" s="288"/>
      <c r="T1231" s="288"/>
      <c r="U1231" s="288"/>
      <c r="V1231" s="263"/>
      <c r="W1231" s="263"/>
      <c r="X1231" s="263"/>
      <c r="Y1231" s="263"/>
      <c r="Z1231" s="263"/>
      <c r="AA1231" s="263"/>
      <c r="AB1231" s="263"/>
      <c r="AC1231" s="263"/>
      <c r="AD1231" s="263"/>
      <c r="AE1231" s="263"/>
      <c r="AF1231" s="263"/>
      <c r="AG1231" s="263"/>
      <c r="AH1231" s="263"/>
      <c r="AI1231" s="263"/>
      <c r="AJ1231" s="263"/>
      <c r="AK1231" s="263"/>
      <c r="AL1231" s="20"/>
      <c r="AM1231" s="20"/>
      <c r="AN1231" s="20"/>
      <c r="AO1231" s="20"/>
      <c r="AP1231" s="20"/>
    </row>
    <row r="1232" spans="1:44">
      <c r="A1232" s="415" t="s">
        <v>497</v>
      </c>
      <c r="B1232" s="288"/>
      <c r="C1232" s="288"/>
      <c r="D1232" s="288"/>
      <c r="E1232" s="288"/>
      <c r="F1232" s="288"/>
      <c r="G1232" s="288"/>
      <c r="H1232" s="288"/>
      <c r="I1232" s="288"/>
      <c r="J1232" s="288"/>
      <c r="K1232" s="288"/>
      <c r="L1232" s="288"/>
      <c r="M1232" s="288"/>
      <c r="N1232" s="288"/>
      <c r="O1232" s="288"/>
      <c r="P1232" s="288"/>
      <c r="Q1232" s="288"/>
      <c r="R1232" s="288"/>
      <c r="S1232" s="288"/>
      <c r="T1232" s="288"/>
      <c r="U1232" s="288"/>
      <c r="V1232" s="263"/>
      <c r="W1232" s="263"/>
      <c r="X1232" s="263"/>
      <c r="Y1232" s="263"/>
      <c r="Z1232" s="263"/>
      <c r="AA1232" s="263"/>
      <c r="AB1232" s="263"/>
      <c r="AC1232" s="263"/>
      <c r="AD1232" s="263"/>
      <c r="AE1232" s="263"/>
      <c r="AF1232" s="263"/>
      <c r="AG1232" s="263"/>
      <c r="AH1232" s="263"/>
      <c r="AI1232" s="263"/>
      <c r="AJ1232" s="263"/>
      <c r="AK1232" s="263"/>
      <c r="AL1232" s="20"/>
      <c r="AM1232" s="20"/>
      <c r="AN1232" s="20"/>
      <c r="AO1232" s="20"/>
      <c r="AP1232" s="20"/>
    </row>
    <row r="1233" spans="1:42">
      <c r="A1233" s="3" t="s">
        <v>498</v>
      </c>
      <c r="F1233" s="248"/>
      <c r="V1233" s="263"/>
      <c r="W1233" s="263"/>
      <c r="X1233" s="74"/>
      <c r="Y1233" s="74"/>
      <c r="Z1233" s="264"/>
      <c r="AA1233" s="264"/>
      <c r="AB1233" s="265"/>
      <c r="AC1233" s="265"/>
      <c r="AD1233" s="265"/>
      <c r="AE1233" s="265"/>
      <c r="AF1233" s="416"/>
      <c r="AG1233" s="267"/>
      <c r="AH1233" s="263"/>
      <c r="AI1233" s="263"/>
      <c r="AJ1233" s="263"/>
      <c r="AK1233" s="263"/>
      <c r="AL1233" s="20"/>
      <c r="AM1233" s="20"/>
      <c r="AN1233" s="20"/>
      <c r="AO1233" s="20"/>
      <c r="AP1233" s="20"/>
    </row>
    <row r="1234" spans="1:42">
      <c r="A1234" s="3" t="s">
        <v>344</v>
      </c>
      <c r="C1234" s="249">
        <v>12717.7343365056</v>
      </c>
      <c r="D1234" s="250">
        <v>10.050000000000001</v>
      </c>
      <c r="F1234" s="2">
        <f>ROUND(C1234*D1234,0)</f>
        <v>127813</v>
      </c>
      <c r="G1234" s="250">
        <f>ROUND(D1234+(D1234*$X$1267),2)</f>
        <v>10.29</v>
      </c>
      <c r="I1234" s="2">
        <f>ROUND(G1234*$C1234,0)</f>
        <v>130865</v>
      </c>
      <c r="J1234" s="2"/>
      <c r="K1234" s="250" t="e">
        <f>ROUND(M1234/C1234,2)</f>
        <v>#DIV/0!</v>
      </c>
      <c r="M1234" s="2" t="e">
        <f>($V$1269-$M$1263-$M$1265)*(I1234/($I$1234+$I$1235+$I$1236+$I$1238+$I$1239+$I$1242+$I$1243+$I$1244+$I$1246+$I$1247+$I$1250+$I$1251+I$1252+$I$1254+$I$1255+$I$1257+$I$1258+$I$1259+$I$1261))</f>
        <v>#DIV/0!</v>
      </c>
      <c r="N1234" s="2"/>
      <c r="O1234" s="250" t="e">
        <f>ROUND(Q1234/C1234,2)</f>
        <v>#DIV/0!</v>
      </c>
      <c r="Q1234" s="2" t="e">
        <f>($W$1269-$Q$1263-$Q$1265)*(I1234/($I$1234+$I$1235+$I$1236+$I$1238+$I$1239+$I$1242+$I$1243+$I$1244+$I$1246+$I$1247+$I$1250+$I$1251+I$1252+$I$1254+$I$1255+$I$1257+$I$1258+$I$1259+$I$1261))</f>
        <v>#DIV/0!</v>
      </c>
      <c r="R1234" s="2"/>
      <c r="S1234" s="250" t="e">
        <f>ROUND(U1234/C1234,2)</f>
        <v>#DIV/0!</v>
      </c>
      <c r="U1234" s="2" t="e">
        <f>($X$1269-$U$1263-$U$1265)*(I1234/($I$1234+$I$1235+$I$1236+$I$1238+$I$1239+$I$1242+$I$1243+$I$1244+$I$1246+$I$1247+$I$1250+$I$1251+I$1252+$I$1254+$I$1255+$I$1257+$I$1258+$I$1259+$I$1261))</f>
        <v>#DIV/0!</v>
      </c>
      <c r="V1234" s="20"/>
      <c r="W1234" s="266"/>
      <c r="X1234" s="74"/>
      <c r="Y1234" s="74"/>
      <c r="Z1234" s="388"/>
      <c r="AA1234" s="388"/>
      <c r="AB1234" s="268"/>
      <c r="AC1234" s="268"/>
      <c r="AD1234" s="268"/>
      <c r="AE1234" s="268"/>
      <c r="AF1234" s="269"/>
      <c r="AG1234" s="263"/>
      <c r="AH1234" s="266"/>
      <c r="AI1234" s="266"/>
      <c r="AJ1234" s="417"/>
      <c r="AK1234" s="266"/>
      <c r="AL1234" s="20"/>
      <c r="AM1234" s="20"/>
      <c r="AN1234" s="20"/>
      <c r="AO1234" s="20"/>
      <c r="AP1234" s="20"/>
    </row>
    <row r="1235" spans="1:42">
      <c r="A1235" s="3" t="s">
        <v>345</v>
      </c>
      <c r="C1235" s="249">
        <v>1066.00041589388</v>
      </c>
      <c r="D1235" s="250">
        <v>18.399999999999999</v>
      </c>
      <c r="F1235" s="2">
        <f>ROUND(C1235*D1235,0)</f>
        <v>19614</v>
      </c>
      <c r="G1235" s="250">
        <f>ROUND(D1235+(D1235*$X$1267),2)</f>
        <v>18.829999999999998</v>
      </c>
      <c r="I1235" s="2">
        <f>ROUND(G1235*$C1235,0)</f>
        <v>20073</v>
      </c>
      <c r="J1235" s="2"/>
      <c r="K1235" s="250" t="e">
        <f>ROUND(M1235/C1235,2)</f>
        <v>#DIV/0!</v>
      </c>
      <c r="M1235" s="2" t="e">
        <f t="shared" ref="M1235:M1239" si="223">($V$1269-$M$1263-$M$1265)*(I1235/($I$1234+$I$1235+$I$1236+$I$1238+$I$1239+$I$1242+$I$1243+$I$1244+$I$1246+$I$1247+$I$1250+$I$1251+I$1252+$I$1254+$I$1255+$I$1257+$I$1258+$I$1259+$I$1261))</f>
        <v>#DIV/0!</v>
      </c>
      <c r="N1235" s="2"/>
      <c r="O1235" s="250" t="e">
        <f>ROUND(Q1235/C1235,2)</f>
        <v>#DIV/0!</v>
      </c>
      <c r="Q1235" s="2" t="e">
        <f t="shared" ref="Q1235:Q1239" si="224">($W$1269-$Q$1263-$Q$1265)*(I1235/($I$1234+$I$1235+$I$1236+$I$1238+$I$1239+$I$1242+$I$1243+$I$1244+$I$1246+$I$1247+$I$1250+$I$1251+I$1252+$I$1254+$I$1255+$I$1257+$I$1258+$I$1259+$I$1261))</f>
        <v>#DIV/0!</v>
      </c>
      <c r="R1235" s="2"/>
      <c r="S1235" s="250" t="e">
        <f>ROUND(U1235/C1235,2)</f>
        <v>#DIV/0!</v>
      </c>
      <c r="U1235" s="2" t="e">
        <f t="shared" ref="U1235:U1236" si="225">($X$1269-$U$1263-$U$1265)*(I1235/($I$1234+$I$1235+$I$1236+$I$1238+$I$1239+$I$1242+$I$1243+$I$1244+$I$1246+$I$1247+$I$1250+$I$1251+I$1252+$I$1254+$I$1255+$I$1257+$I$1258+$I$1259+$I$1261))</f>
        <v>#DIV/0!</v>
      </c>
      <c r="V1235" s="20"/>
      <c r="W1235" s="266"/>
      <c r="X1235" s="74"/>
      <c r="Y1235" s="74"/>
      <c r="Z1235" s="388"/>
      <c r="AA1235" s="388"/>
      <c r="AB1235" s="268"/>
      <c r="AC1235" s="268"/>
      <c r="AD1235" s="268"/>
      <c r="AE1235" s="268"/>
      <c r="AF1235" s="263"/>
      <c r="AG1235" s="263"/>
      <c r="AH1235" s="266"/>
      <c r="AI1235" s="266"/>
      <c r="AJ1235" s="417"/>
      <c r="AK1235" s="266"/>
      <c r="AL1235" s="20"/>
      <c r="AM1235" s="20"/>
      <c r="AN1235" s="20"/>
      <c r="AO1235" s="20"/>
      <c r="AP1235" s="20"/>
    </row>
    <row r="1236" spans="1:42">
      <c r="A1236" s="3" t="s">
        <v>346</v>
      </c>
      <c r="C1236" s="249">
        <v>0</v>
      </c>
      <c r="D1236" s="250">
        <v>37.21</v>
      </c>
      <c r="F1236" s="2">
        <f>ROUND(C1236*D1236,0)</f>
        <v>0</v>
      </c>
      <c r="G1236" s="250">
        <f t="shared" ref="G1236:G1239" si="226">ROUND(D1236+(D1236*$X$1267),2)</f>
        <v>38.08</v>
      </c>
      <c r="I1236" s="2">
        <f>ROUND(G1236*$C1236,0)</f>
        <v>0</v>
      </c>
      <c r="J1236" s="2"/>
      <c r="K1236" s="250" t="e">
        <f>ROUND(SUM($M$1234:$M$1261)/SUM($I$1234:$I$1261)*G1236,2)</f>
        <v>#DIV/0!</v>
      </c>
      <c r="M1236" s="2" t="e">
        <f t="shared" si="223"/>
        <v>#DIV/0!</v>
      </c>
      <c r="N1236" s="2"/>
      <c r="O1236" s="250" t="e">
        <f>ROUND(SUM($Q$1234:$Q$1261)/SUM($I$1234:$I$1261)*G1236,2)</f>
        <v>#DIV/0!</v>
      </c>
      <c r="Q1236" s="2" t="e">
        <f t="shared" si="224"/>
        <v>#DIV/0!</v>
      </c>
      <c r="R1236" s="2"/>
      <c r="S1236" s="250" t="e">
        <f>ROUND(SUM($U$1234:$U$1261)/SUM($I$1234:$I$1261)*G1236,2)</f>
        <v>#DIV/0!</v>
      </c>
      <c r="U1236" s="2" t="e">
        <f t="shared" si="225"/>
        <v>#DIV/0!</v>
      </c>
      <c r="V1236" s="20"/>
      <c r="W1236" s="266"/>
      <c r="X1236" s="74"/>
      <c r="Y1236" s="74"/>
      <c r="Z1236" s="388"/>
      <c r="AA1236" s="388"/>
      <c r="AB1236" s="268"/>
      <c r="AC1236" s="268"/>
      <c r="AD1236" s="268"/>
      <c r="AE1236" s="268"/>
      <c r="AF1236" s="263"/>
      <c r="AG1236" s="263"/>
      <c r="AH1236" s="266"/>
      <c r="AI1236" s="266"/>
      <c r="AJ1236" s="417"/>
      <c r="AK1236" s="266"/>
      <c r="AL1236" s="20"/>
      <c r="AM1236" s="20"/>
      <c r="AN1236" s="20"/>
      <c r="AO1236" s="20"/>
      <c r="AP1236" s="20"/>
    </row>
    <row r="1237" spans="1:42">
      <c r="A1237" s="3" t="s">
        <v>499</v>
      </c>
      <c r="C1237" s="249"/>
      <c r="D1237" s="418"/>
      <c r="F1237" s="248"/>
      <c r="G1237" s="418"/>
      <c r="K1237" s="418"/>
      <c r="O1237" s="418"/>
      <c r="S1237" s="418"/>
      <c r="V1237" s="20"/>
      <c r="W1237" s="266"/>
      <c r="X1237" s="74"/>
      <c r="Y1237" s="74"/>
      <c r="Z1237" s="20"/>
      <c r="AA1237" s="20"/>
      <c r="AB1237" s="272"/>
      <c r="AC1237" s="272"/>
      <c r="AD1237" s="272"/>
      <c r="AE1237" s="272"/>
      <c r="AF1237" s="263"/>
      <c r="AG1237" s="263"/>
      <c r="AH1237" s="266"/>
      <c r="AI1237" s="266"/>
      <c r="AJ1237" s="417"/>
      <c r="AK1237" s="266"/>
      <c r="AL1237" s="20"/>
      <c r="AM1237" s="20"/>
      <c r="AN1237" s="20"/>
      <c r="AO1237" s="20"/>
      <c r="AP1237" s="20"/>
    </row>
    <row r="1238" spans="1:42">
      <c r="A1238" s="3" t="s">
        <v>344</v>
      </c>
      <c r="C1238" s="249">
        <v>4248.0674676650497</v>
      </c>
      <c r="D1238" s="250">
        <v>9.43</v>
      </c>
      <c r="F1238" s="2">
        <f>ROUND(C1238*D1238,0)</f>
        <v>40059</v>
      </c>
      <c r="G1238" s="250">
        <f t="shared" si="226"/>
        <v>9.65</v>
      </c>
      <c r="I1238" s="2">
        <f>ROUND(G1238*$C1238,0)</f>
        <v>40994</v>
      </c>
      <c r="J1238" s="2"/>
      <c r="K1238" s="250" t="e">
        <f>ROUND(M1238/C1238,2)</f>
        <v>#DIV/0!</v>
      </c>
      <c r="M1238" s="2" t="e">
        <f t="shared" si="223"/>
        <v>#DIV/0!</v>
      </c>
      <c r="N1238" s="2"/>
      <c r="O1238" s="250" t="e">
        <f>ROUND(Q1238/C1238,2)</f>
        <v>#DIV/0!</v>
      </c>
      <c r="Q1238" s="2" t="e">
        <f t="shared" si="224"/>
        <v>#DIV/0!</v>
      </c>
      <c r="R1238" s="2"/>
      <c r="S1238" s="250" t="e">
        <f>ROUND(U1238/C1238,2)+0.01</f>
        <v>#DIV/0!</v>
      </c>
      <c r="U1238" s="2" t="e">
        <f t="shared" ref="U1238:U1239" si="227">($X$1269-$U$1263-$U$1265)*(I1238/($I$1234+$I$1235+$I$1236+$I$1238+$I$1239+$I$1242+$I$1243+$I$1244+$I$1246+$I$1247+$I$1250+$I$1251+I$1252+$I$1254+$I$1255+$I$1257+$I$1258+$I$1259+$I$1261))</f>
        <v>#DIV/0!</v>
      </c>
      <c r="V1238" s="20"/>
      <c r="W1238" s="266"/>
      <c r="X1238" s="74"/>
      <c r="Y1238" s="74"/>
      <c r="Z1238" s="388"/>
      <c r="AA1238" s="388"/>
      <c r="AB1238" s="268"/>
      <c r="AC1238" s="268"/>
      <c r="AD1238" s="268"/>
      <c r="AE1238" s="268"/>
      <c r="AF1238" s="20"/>
      <c r="AG1238" s="20"/>
      <c r="AH1238" s="266"/>
      <c r="AI1238" s="266"/>
      <c r="AJ1238" s="417"/>
      <c r="AK1238" s="266"/>
      <c r="AL1238" s="20"/>
      <c r="AM1238" s="20"/>
      <c r="AN1238" s="20"/>
      <c r="AO1238" s="20"/>
      <c r="AP1238" s="20"/>
    </row>
    <row r="1239" spans="1:42">
      <c r="A1239" s="3" t="s">
        <v>345</v>
      </c>
      <c r="C1239" s="249">
        <v>0</v>
      </c>
      <c r="D1239" s="250">
        <v>17.170000000000002</v>
      </c>
      <c r="F1239" s="2">
        <f>ROUND(C1239*D1239,0)</f>
        <v>0</v>
      </c>
      <c r="G1239" s="250">
        <f t="shared" si="226"/>
        <v>17.57</v>
      </c>
      <c r="I1239" s="2">
        <f>ROUND(G1239*$C1239,0)</f>
        <v>0</v>
      </c>
      <c r="J1239" s="2"/>
      <c r="K1239" s="250" t="e">
        <f>ROUND(SUM($M$1234:$M$1261)/SUM($I$1234:$I$1261)*G1239,2)</f>
        <v>#DIV/0!</v>
      </c>
      <c r="M1239" s="2" t="e">
        <f t="shared" si="223"/>
        <v>#DIV/0!</v>
      </c>
      <c r="N1239" s="2"/>
      <c r="O1239" s="250" t="e">
        <f>ROUND(SUM($Q$1234:$Q$1261)/SUM($I$1234:$I$1261)*G1239,2)</f>
        <v>#DIV/0!</v>
      </c>
      <c r="Q1239" s="2" t="e">
        <f t="shared" si="224"/>
        <v>#DIV/0!</v>
      </c>
      <c r="R1239" s="2"/>
      <c r="S1239" s="250" t="e">
        <f>ROUND(SUM($U$1234:$U$1261)/SUM($I$1234:$I$1261)*G1239,2)</f>
        <v>#DIV/0!</v>
      </c>
      <c r="U1239" s="2" t="e">
        <f t="shared" si="227"/>
        <v>#DIV/0!</v>
      </c>
      <c r="V1239" s="20"/>
      <c r="W1239" s="266"/>
      <c r="X1239" s="74"/>
      <c r="Y1239" s="74"/>
      <c r="Z1239" s="388"/>
      <c r="AA1239" s="388"/>
      <c r="AB1239" s="268"/>
      <c r="AC1239" s="268"/>
      <c r="AD1239" s="268"/>
      <c r="AE1239" s="268"/>
      <c r="AF1239" s="20"/>
      <c r="AG1239" s="20"/>
      <c r="AH1239" s="266"/>
      <c r="AI1239" s="266"/>
      <c r="AJ1239" s="417"/>
      <c r="AK1239" s="266"/>
      <c r="AL1239" s="20"/>
      <c r="AM1239" s="20"/>
      <c r="AN1239" s="20"/>
      <c r="AO1239" s="20"/>
      <c r="AP1239" s="20"/>
    </row>
    <row r="1240" spans="1:42">
      <c r="A1240" s="415" t="s">
        <v>500</v>
      </c>
      <c r="C1240" s="249"/>
      <c r="D1240" s="250"/>
      <c r="F1240" s="2"/>
      <c r="G1240" s="250"/>
      <c r="I1240" s="2"/>
      <c r="J1240" s="2"/>
      <c r="K1240" s="250"/>
      <c r="M1240" s="2"/>
      <c r="N1240" s="2"/>
      <c r="O1240" s="250"/>
      <c r="Q1240" s="2"/>
      <c r="R1240" s="2"/>
      <c r="S1240" s="250"/>
      <c r="U1240" s="2"/>
      <c r="V1240" s="20"/>
      <c r="W1240" s="266"/>
      <c r="X1240" s="74"/>
      <c r="Y1240" s="74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417"/>
      <c r="AK1240" s="20"/>
      <c r="AL1240" s="20"/>
      <c r="AM1240" s="20"/>
      <c r="AN1240" s="20"/>
      <c r="AO1240" s="20"/>
      <c r="AP1240" s="20"/>
    </row>
    <row r="1241" spans="1:42">
      <c r="A1241" s="3" t="s">
        <v>498</v>
      </c>
      <c r="C1241" s="249"/>
      <c r="D1241" s="418"/>
      <c r="F1241" s="248"/>
      <c r="G1241" s="418"/>
      <c r="K1241" s="418"/>
      <c r="O1241" s="418"/>
      <c r="S1241" s="418"/>
      <c r="V1241" s="20"/>
      <c r="W1241" s="74"/>
      <c r="X1241" s="74"/>
      <c r="Y1241" s="74"/>
      <c r="Z1241" s="20"/>
      <c r="AA1241" s="20"/>
      <c r="AB1241" s="20"/>
      <c r="AC1241" s="20"/>
      <c r="AD1241" s="20"/>
      <c r="AE1241" s="20"/>
      <c r="AF1241" s="20"/>
      <c r="AG1241" s="20"/>
      <c r="AH1241" s="20"/>
      <c r="AI1241" s="20"/>
      <c r="AJ1241" s="417"/>
      <c r="AK1241" s="20"/>
      <c r="AL1241" s="20"/>
      <c r="AM1241" s="20"/>
      <c r="AN1241" s="20"/>
      <c r="AO1241" s="20"/>
      <c r="AP1241" s="20"/>
    </row>
    <row r="1242" spans="1:42">
      <c r="A1242" s="3" t="s">
        <v>344</v>
      </c>
      <c r="C1242" s="249">
        <v>480.00024382612202</v>
      </c>
      <c r="D1242" s="250">
        <v>13.13</v>
      </c>
      <c r="F1242" s="2">
        <f>ROUND(C1242*D1242,0)</f>
        <v>6302</v>
      </c>
      <c r="G1242" s="250">
        <f t="shared" ref="G1242:G1244" si="228">ROUND(D1242+(D1242*$X$1267),2)</f>
        <v>13.44</v>
      </c>
      <c r="I1242" s="2">
        <f>ROUND(G1242*$C1242,0)</f>
        <v>6451</v>
      </c>
      <c r="J1242" s="2"/>
      <c r="K1242" s="250" t="e">
        <f>ROUND(M1242/C1242,2)</f>
        <v>#DIV/0!</v>
      </c>
      <c r="M1242" s="2" t="e">
        <f t="shared" ref="M1242:M1244" si="229">($V$1269-$M$1263-$M$1265)*(I1242/($I$1234+$I$1235+$I$1236+$I$1238+$I$1239+$I$1242+$I$1243+$I$1244+$I$1246+$I$1247+$I$1250+$I$1251+I$1252+$I$1254+$I$1255+$I$1257+$I$1258+$I$1259+$I$1261))</f>
        <v>#DIV/0!</v>
      </c>
      <c r="N1242" s="2"/>
      <c r="O1242" s="250" t="e">
        <f>ROUND(Q1242/C1242,2)</f>
        <v>#DIV/0!</v>
      </c>
      <c r="Q1242" s="2" t="e">
        <f t="shared" ref="Q1242:Q1244" si="230">($W$1269-$Q$1263-$Q$1265)*(I1242/($I$1234+$I$1235+$I$1236+$I$1238+$I$1239+$I$1242+$I$1243+$I$1244+$I$1246+$I$1247+$I$1250+$I$1251+I$1252+$I$1254+$I$1255+$I$1257+$I$1258+$I$1259+$I$1261))</f>
        <v>#DIV/0!</v>
      </c>
      <c r="R1242" s="2"/>
      <c r="S1242" s="250" t="e">
        <f>ROUND(U1242/C1242,2)</f>
        <v>#DIV/0!</v>
      </c>
      <c r="U1242" s="2" t="e">
        <f t="shared" ref="U1242:U1244" si="231">($X$1269-$U$1263-$U$1265)*(I1242/($I$1234+$I$1235+$I$1236+$I$1238+$I$1239+$I$1242+$I$1243+$I$1244+$I$1246+$I$1247+$I$1250+$I$1251+I$1252+$I$1254+$I$1255+$I$1257+$I$1258+$I$1259+$I$1261))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0"/>
      <c r="AG1242" s="20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345</v>
      </c>
      <c r="C1243" s="249">
        <v>395.99974732766401</v>
      </c>
      <c r="D1243" s="250">
        <v>22.05</v>
      </c>
      <c r="F1243" s="2">
        <f>ROUND(C1243*D1243,0)</f>
        <v>8732</v>
      </c>
      <c r="G1243" s="250">
        <f t="shared" si="228"/>
        <v>22.57</v>
      </c>
      <c r="I1243" s="2">
        <f>ROUND(G1243*$C1243,0)</f>
        <v>8938</v>
      </c>
      <c r="J1243" s="2"/>
      <c r="K1243" s="250" t="e">
        <f>ROUND(M1243/C1243,2)</f>
        <v>#DIV/0!</v>
      </c>
      <c r="M1243" s="2" t="e">
        <f t="shared" si="229"/>
        <v>#DIV/0!</v>
      </c>
      <c r="N1243" s="2"/>
      <c r="O1243" s="250" t="e">
        <f>ROUND(Q1243/C1243,2)</f>
        <v>#DIV/0!</v>
      </c>
      <c r="Q1243" s="2" t="e">
        <f t="shared" si="230"/>
        <v>#DIV/0!</v>
      </c>
      <c r="R1243" s="2"/>
      <c r="S1243" s="250" t="e">
        <f>ROUND(U1243/C1243,2)</f>
        <v>#DIV/0!</v>
      </c>
      <c r="U1243" s="2" t="e">
        <f t="shared" si="231"/>
        <v>#DIV/0!</v>
      </c>
      <c r="V1243" s="20"/>
      <c r="W1243" s="266"/>
      <c r="X1243" s="74"/>
      <c r="Y1243" s="74"/>
      <c r="Z1243" s="388"/>
      <c r="AA1243" s="388"/>
      <c r="AB1243" s="268"/>
      <c r="AC1243" s="268"/>
      <c r="AD1243" s="268"/>
      <c r="AE1243" s="268"/>
      <c r="AF1243" s="414"/>
      <c r="AG1243" s="414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346</v>
      </c>
      <c r="C1244" s="249">
        <v>0</v>
      </c>
      <c r="D1244" s="250">
        <v>40.89</v>
      </c>
      <c r="F1244" s="2">
        <f>ROUND(C1244*D1244,0)</f>
        <v>0</v>
      </c>
      <c r="G1244" s="250">
        <f t="shared" si="228"/>
        <v>41.85</v>
      </c>
      <c r="I1244" s="2">
        <f>ROUND(G1244*$C1244,0)</f>
        <v>0</v>
      </c>
      <c r="J1244" s="2"/>
      <c r="K1244" s="250" t="e">
        <f>ROUND(SUM($M$1234:$M$1261)/SUM($I$1234:$I$1261)*G1244,2)</f>
        <v>#DIV/0!</v>
      </c>
      <c r="M1244" s="2" t="e">
        <f t="shared" si="229"/>
        <v>#DIV/0!</v>
      </c>
      <c r="N1244" s="2"/>
      <c r="O1244" s="250" t="e">
        <f>ROUND(SUM($Q$1234:$Q$1261)/SUM($I$1234:$I$1261)*G1244,2)</f>
        <v>#DIV/0!</v>
      </c>
      <c r="Q1244" s="2" t="e">
        <f t="shared" si="230"/>
        <v>#DIV/0!</v>
      </c>
      <c r="R1244" s="2"/>
      <c r="S1244" s="250" t="e">
        <f>ROUND(SUM($U$1234:$U$1261)/SUM($I$1234:$I$1261)*G1244,2)</f>
        <v>#DIV/0!</v>
      </c>
      <c r="U1244" s="2" t="e">
        <f t="shared" si="231"/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414"/>
      <c r="AG1244" s="414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499</v>
      </c>
      <c r="C1245" s="249"/>
      <c r="D1245" s="418"/>
      <c r="F1245" s="248"/>
      <c r="G1245" s="418"/>
      <c r="K1245" s="418"/>
      <c r="O1245" s="418"/>
      <c r="S1245" s="418"/>
      <c r="V1245" s="20"/>
      <c r="W1245" s="20"/>
      <c r="X1245" s="420"/>
      <c r="Y1245" s="420"/>
      <c r="Z1245" s="420"/>
      <c r="AA1245" s="420"/>
      <c r="AB1245" s="704"/>
      <c r="AC1245" s="704"/>
      <c r="AD1245" s="704"/>
      <c r="AE1245" s="704"/>
      <c r="AF1245" s="414"/>
      <c r="AG1245" s="414"/>
      <c r="AH1245" s="422"/>
      <c r="AI1245" s="20"/>
      <c r="AJ1245" s="417"/>
      <c r="AK1245" s="20"/>
      <c r="AL1245" s="20"/>
      <c r="AM1245" s="20"/>
      <c r="AN1245" s="20"/>
      <c r="AO1245" s="20"/>
      <c r="AP1245" s="20"/>
    </row>
    <row r="1246" spans="1:42">
      <c r="A1246" s="3" t="s">
        <v>344</v>
      </c>
      <c r="C1246" s="249">
        <v>0</v>
      </c>
      <c r="D1246" s="250">
        <v>12.43</v>
      </c>
      <c r="F1246" s="2">
        <f>ROUND(C1246*D1246,0)</f>
        <v>0</v>
      </c>
      <c r="G1246" s="250">
        <f t="shared" ref="G1246:G1247" si="232">ROUND(D1246+(D1246*$X$1267),2)</f>
        <v>12.72</v>
      </c>
      <c r="I1246" s="2">
        <f>ROUND(G1246*$C1246,0)</f>
        <v>0</v>
      </c>
      <c r="J1246" s="2"/>
      <c r="K1246" s="250" t="e">
        <f t="shared" ref="K1246:K1247" si="233">ROUND(SUM($M$1234:$M$1261)/SUM($I$1234:$I$1261)*G1246,2)</f>
        <v>#DIV/0!</v>
      </c>
      <c r="M1246" s="2" t="e">
        <f t="shared" ref="M1246:M1247" si="234">($V$1269-$M$1263-$M$1265)*(I1246/($I$1234+$I$1235+$I$1236+$I$1238+$I$1239+$I$1242+$I$1243+$I$1244+$I$1246+$I$1247+$I$1250+$I$1251+I$1252+$I$1254+$I$1255+$I$1257+$I$1258+$I$1259+$I$1261))</f>
        <v>#DIV/0!</v>
      </c>
      <c r="N1246" s="2"/>
      <c r="O1246" s="250" t="e">
        <f t="shared" ref="O1246:O1247" si="235">ROUND(SUM($Q$1234:$Q$1261)/SUM($I$1234:$I$1261)*G1246,2)</f>
        <v>#DIV/0!</v>
      </c>
      <c r="Q1246" s="2" t="e">
        <f t="shared" ref="Q1246:Q1247" si="236">($W$1269-$Q$1263-$Q$1265)*(I1246/($I$1234+$I$1235+$I$1236+$I$1238+$I$1239+$I$1242+$I$1243+$I$1244+$I$1246+$I$1247+$I$1250+$I$1251+I$1252+$I$1254+$I$1255+$I$1257+$I$1258+$I$1259+$I$1261))</f>
        <v>#DIV/0!</v>
      </c>
      <c r="R1246" s="2"/>
      <c r="S1246" s="250" t="e">
        <f>ROUND(SUM($U$1234:$U$1261)/SUM($I$1234:$I$1261)*G1246,2)</f>
        <v>#DIV/0!</v>
      </c>
      <c r="U1246" s="2" t="e">
        <f t="shared" ref="U1246:U1247" si="237">($X$1269-$U$1263-$U$1265)*(I1246/($I$1234+$I$1235+$I$1236+$I$1238+$I$1239+$I$1242+$I$1243+$I$1244+$I$1246+$I$1247+$I$1250+$I$1251+I$1252+$I$1254+$I$1255+$I$1257+$I$1258+$I$1259+$I$1261))</f>
        <v>#DIV/0!</v>
      </c>
      <c r="V1246" s="20"/>
      <c r="W1246" s="266"/>
      <c r="X1246" s="74"/>
      <c r="Y1246" s="74"/>
      <c r="Z1246" s="388"/>
      <c r="AA1246" s="388"/>
      <c r="AB1246" s="268"/>
      <c r="AC1246" s="268"/>
      <c r="AD1246" s="268"/>
      <c r="AE1246" s="268"/>
      <c r="AF1246" s="414"/>
      <c r="AG1246" s="414"/>
      <c r="AH1246" s="266"/>
      <c r="AI1246" s="266"/>
      <c r="AJ1246" s="417"/>
      <c r="AK1246" s="266"/>
      <c r="AL1246" s="20"/>
      <c r="AM1246" s="20"/>
      <c r="AN1246" s="20"/>
      <c r="AO1246" s="20"/>
      <c r="AP1246" s="20"/>
    </row>
    <row r="1247" spans="1:42">
      <c r="A1247" s="3" t="s">
        <v>345</v>
      </c>
      <c r="C1247" s="249">
        <v>0</v>
      </c>
      <c r="D1247" s="250">
        <v>20.85</v>
      </c>
      <c r="F1247" s="2">
        <f>ROUND(C1247*D1247,0)</f>
        <v>0</v>
      </c>
      <c r="G1247" s="250">
        <f t="shared" si="232"/>
        <v>21.34</v>
      </c>
      <c r="I1247" s="2">
        <f>ROUND(G1247*$C1247,0)</f>
        <v>0</v>
      </c>
      <c r="J1247" s="2"/>
      <c r="K1247" s="250" t="e">
        <f t="shared" si="233"/>
        <v>#DIV/0!</v>
      </c>
      <c r="M1247" s="2" t="e">
        <f t="shared" si="234"/>
        <v>#DIV/0!</v>
      </c>
      <c r="N1247" s="2"/>
      <c r="O1247" s="250" t="e">
        <f t="shared" si="235"/>
        <v>#DIV/0!</v>
      </c>
      <c r="Q1247" s="2" t="e">
        <f t="shared" si="236"/>
        <v>#DIV/0!</v>
      </c>
      <c r="R1247" s="2"/>
      <c r="S1247" s="250" t="e">
        <f>ROUND(SUM($U$1234:$U$1261)/SUM($I$1234:$I$1261)*G1247,2)</f>
        <v>#DIV/0!</v>
      </c>
      <c r="U1247" s="2" t="e">
        <f t="shared" si="237"/>
        <v>#DIV/0!</v>
      </c>
      <c r="V1247" s="20"/>
      <c r="W1247" s="266"/>
      <c r="X1247" s="74"/>
      <c r="Y1247" s="74"/>
      <c r="Z1247" s="388"/>
      <c r="AA1247" s="388"/>
      <c r="AB1247" s="268"/>
      <c r="AC1247" s="268"/>
      <c r="AD1247" s="268"/>
      <c r="AE1247" s="268"/>
      <c r="AF1247" s="414"/>
      <c r="AG1247" s="414"/>
      <c r="AH1247" s="266"/>
      <c r="AI1247" s="266"/>
      <c r="AJ1247" s="417"/>
      <c r="AK1247" s="266"/>
      <c r="AL1247" s="20"/>
      <c r="AM1247" s="20"/>
      <c r="AN1247" s="20"/>
      <c r="AO1247" s="20"/>
      <c r="AP1247" s="20"/>
    </row>
    <row r="1248" spans="1:42">
      <c r="A1248" s="415" t="s">
        <v>501</v>
      </c>
      <c r="B1248" s="288"/>
      <c r="C1248" s="249"/>
      <c r="D1248" s="418"/>
      <c r="E1248" s="288"/>
      <c r="F1248" s="288"/>
      <c r="G1248" s="418"/>
      <c r="H1248" s="288"/>
      <c r="I1248" s="288"/>
      <c r="J1248" s="288"/>
      <c r="K1248" s="418"/>
      <c r="L1248" s="288"/>
      <c r="M1248" s="288"/>
      <c r="N1248" s="288"/>
      <c r="O1248" s="418"/>
      <c r="P1248" s="288"/>
      <c r="Q1248" s="288"/>
      <c r="R1248" s="288"/>
      <c r="S1248" s="418"/>
      <c r="T1248" s="288"/>
      <c r="U1248" s="288"/>
      <c r="V1248" s="20"/>
      <c r="W1248" s="20"/>
      <c r="X1248" s="420"/>
      <c r="Y1248" s="420"/>
      <c r="Z1248" s="420"/>
      <c r="AA1248" s="420"/>
      <c r="AB1248" s="704"/>
      <c r="AC1248" s="704"/>
      <c r="AD1248" s="704"/>
      <c r="AE1248" s="704"/>
      <c r="AF1248" s="414"/>
      <c r="AG1248" s="414"/>
      <c r="AH1248" s="422"/>
      <c r="AI1248" s="20"/>
      <c r="AJ1248" s="417"/>
      <c r="AK1248" s="20"/>
      <c r="AL1248" s="20"/>
      <c r="AM1248" s="20"/>
      <c r="AN1248" s="20"/>
      <c r="AO1248" s="20"/>
      <c r="AP1248" s="20"/>
    </row>
    <row r="1249" spans="1:44">
      <c r="A1249" s="3" t="s">
        <v>498</v>
      </c>
      <c r="C1249" s="249"/>
      <c r="D1249" s="418"/>
      <c r="F1249" s="248"/>
      <c r="G1249" s="418"/>
      <c r="K1249" s="418"/>
      <c r="O1249" s="418"/>
      <c r="S1249" s="418"/>
      <c r="V1249" s="20"/>
      <c r="W1249" s="20"/>
      <c r="X1249" s="420"/>
      <c r="Y1249" s="420"/>
      <c r="Z1249" s="420"/>
      <c r="AA1249" s="420"/>
      <c r="AB1249" s="704"/>
      <c r="AC1249" s="704"/>
      <c r="AD1249" s="704"/>
      <c r="AE1249" s="704"/>
      <c r="AF1249" s="414"/>
      <c r="AG1249" s="414"/>
      <c r="AH1249" s="422"/>
      <c r="AI1249" s="20"/>
      <c r="AJ1249" s="417"/>
      <c r="AK1249" s="20"/>
      <c r="AL1249" s="20"/>
      <c r="AM1249" s="20"/>
      <c r="AN1249" s="20"/>
      <c r="AO1249" s="20"/>
      <c r="AP1249" s="20"/>
    </row>
    <row r="1250" spans="1:44">
      <c r="A1250" s="3" t="s">
        <v>344</v>
      </c>
      <c r="C1250" s="249">
        <v>0</v>
      </c>
      <c r="D1250" s="250">
        <v>13.12</v>
      </c>
      <c r="F1250" s="2">
        <f>ROUND(C1250*D1250,0)</f>
        <v>0</v>
      </c>
      <c r="G1250" s="250">
        <f t="shared" ref="G1250:G1252" si="238">ROUND(D1250+(D1250*$X$1267),2)</f>
        <v>13.43</v>
      </c>
      <c r="I1250" s="2">
        <f>ROUND(G1250*$C1250,0)</f>
        <v>0</v>
      </c>
      <c r="J1250" s="2"/>
      <c r="K1250" s="250" t="e">
        <f t="shared" ref="K1250:K1252" si="239">ROUND(SUM($M$1234:$M$1261)/SUM($I$1234:$I$1261)*G1250,2)</f>
        <v>#DIV/0!</v>
      </c>
      <c r="M1250" s="2" t="e">
        <f t="shared" ref="M1250:M1252" si="240">($V$1269-$M$1263-$M$1265)*(I1250/($I$1234+$I$1235+$I$1236+$I$1238+$I$1239+$I$1242+$I$1243+$I$1244+$I$1246+$I$1247+$I$1250+$I$1251+I$1252+$I$1254+$I$1255+$I$1257+$I$1258+$I$1259+$I$1261))</f>
        <v>#DIV/0!</v>
      </c>
      <c r="N1250" s="2"/>
      <c r="O1250" s="250" t="e">
        <f t="shared" ref="O1250:O1252" si="241">ROUND(SUM($Q$1234:$Q$1261)/SUM($I$1234:$I$1261)*G1250,2)</f>
        <v>#DIV/0!</v>
      </c>
      <c r="Q1250" s="2" t="e">
        <f t="shared" ref="Q1250:Q1252" si="242">($W$1269-$Q$1263-$Q$1265)*(I1250/($I$1234+$I$1235+$I$1236+$I$1238+$I$1239+$I$1242+$I$1243+$I$1244+$I$1246+$I$1247+$I$1250+$I$1251+I$1252+$I$1254+$I$1255+$I$1257+$I$1258+$I$1259+$I$1261))</f>
        <v>#DIV/0!</v>
      </c>
      <c r="R1250" s="2"/>
      <c r="S1250" s="250" t="e">
        <f>ROUND(SUM($U$1234:$U$1261)/SUM($I$1234:$I$1261)*G1250,2)</f>
        <v>#DIV/0!</v>
      </c>
      <c r="U1250" s="2" t="e">
        <f t="shared" ref="U1250:U1252" si="243">($X$1269-$U$1263-$U$1265)*(I1250/($I$1234+$I$1235+$I$1236+$I$1238+$I$1239+$I$1242+$I$1243+$I$1244+$I$1246+$I$1247+$I$1250+$I$1251+I$1252+$I$1254+$I$1255+$I$1257+$I$1258+$I$1259+$I$1261))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4">
      <c r="A1251" s="3" t="s">
        <v>345</v>
      </c>
      <c r="C1251" s="249">
        <v>0</v>
      </c>
      <c r="D1251" s="250">
        <v>21.33</v>
      </c>
      <c r="F1251" s="2">
        <f>ROUND(C1251*D1251,0)</f>
        <v>0</v>
      </c>
      <c r="G1251" s="250">
        <f t="shared" si="238"/>
        <v>21.83</v>
      </c>
      <c r="I1251" s="2">
        <f>ROUND(G1251*$C1251,0)</f>
        <v>0</v>
      </c>
      <c r="J1251" s="2"/>
      <c r="K1251" s="250" t="e">
        <f t="shared" si="239"/>
        <v>#DIV/0!</v>
      </c>
      <c r="M1251" s="2" t="e">
        <f t="shared" si="240"/>
        <v>#DIV/0!</v>
      </c>
      <c r="N1251" s="2"/>
      <c r="O1251" s="250" t="e">
        <f t="shared" si="241"/>
        <v>#DIV/0!</v>
      </c>
      <c r="Q1251" s="2" t="e">
        <f t="shared" si="242"/>
        <v>#DIV/0!</v>
      </c>
      <c r="R1251" s="2"/>
      <c r="S1251" s="250" t="e">
        <f>ROUND(SUM($U$1234:$U$1261)/SUM($I$1234:$I$1261)*G1251,2)+0.01</f>
        <v>#DIV/0!</v>
      </c>
      <c r="U1251" s="2" t="e">
        <f t="shared" si="243"/>
        <v>#DIV/0!</v>
      </c>
      <c r="V1251" s="20"/>
      <c r="W1251" s="266"/>
      <c r="X1251" s="74"/>
      <c r="Y1251" s="74"/>
      <c r="Z1251" s="388"/>
      <c r="AA1251" s="388"/>
      <c r="AB1251" s="268"/>
      <c r="AC1251" s="268"/>
      <c r="AD1251" s="268"/>
      <c r="AE1251" s="268"/>
      <c r="AF1251" s="414"/>
      <c r="AG1251" s="414"/>
      <c r="AH1251" s="266"/>
      <c r="AI1251" s="266"/>
      <c r="AJ1251" s="417"/>
      <c r="AK1251" s="266"/>
      <c r="AL1251" s="20"/>
      <c r="AM1251" s="20"/>
      <c r="AN1251" s="20"/>
      <c r="AO1251" s="20"/>
      <c r="AP1251" s="20"/>
    </row>
    <row r="1252" spans="1:44">
      <c r="A1252" s="3" t="s">
        <v>346</v>
      </c>
      <c r="C1252" s="249">
        <v>0</v>
      </c>
      <c r="D1252" s="250">
        <v>40.19</v>
      </c>
      <c r="F1252" s="2">
        <f>ROUND(C1252*D1252,0)</f>
        <v>0</v>
      </c>
      <c r="G1252" s="250">
        <f t="shared" si="238"/>
        <v>41.13</v>
      </c>
      <c r="I1252" s="2">
        <f>ROUND(G1252*$C1252,0)</f>
        <v>0</v>
      </c>
      <c r="J1252" s="2"/>
      <c r="K1252" s="250" t="e">
        <f t="shared" si="239"/>
        <v>#DIV/0!</v>
      </c>
      <c r="M1252" s="2" t="e">
        <f t="shared" si="240"/>
        <v>#DIV/0!</v>
      </c>
      <c r="N1252" s="2"/>
      <c r="O1252" s="250" t="e">
        <f t="shared" si="241"/>
        <v>#DIV/0!</v>
      </c>
      <c r="Q1252" s="2" t="e">
        <f t="shared" si="242"/>
        <v>#DIV/0!</v>
      </c>
      <c r="R1252" s="2"/>
      <c r="S1252" s="250" t="e">
        <f>ROUND(SUM($U$1234:$U$1261)/SUM($I$1234:$I$1261)*G1252,2)</f>
        <v>#DIV/0!</v>
      </c>
      <c r="U1252" s="2" t="e">
        <f t="shared" si="243"/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4">
      <c r="A1253" s="3" t="s">
        <v>499</v>
      </c>
      <c r="C1253" s="249"/>
      <c r="D1253" s="418"/>
      <c r="F1253" s="248"/>
      <c r="G1253" s="418"/>
      <c r="K1253" s="418"/>
      <c r="O1253" s="418"/>
      <c r="S1253" s="418"/>
      <c r="V1253" s="20"/>
      <c r="W1253" s="20"/>
      <c r="X1253" s="420"/>
      <c r="Y1253" s="420"/>
      <c r="Z1253" s="420"/>
      <c r="AA1253" s="420"/>
      <c r="AB1253" s="704"/>
      <c r="AC1253" s="704"/>
      <c r="AD1253" s="704"/>
      <c r="AE1253" s="704"/>
      <c r="AF1253" s="414"/>
      <c r="AG1253" s="414"/>
      <c r="AH1253" s="422"/>
      <c r="AI1253" s="20"/>
      <c r="AJ1253" s="417"/>
      <c r="AK1253" s="20"/>
      <c r="AL1253" s="20"/>
      <c r="AM1253" s="20"/>
      <c r="AN1253" s="20"/>
      <c r="AO1253" s="20"/>
      <c r="AP1253" s="20"/>
    </row>
    <row r="1254" spans="1:44">
      <c r="A1254" s="3" t="s">
        <v>344</v>
      </c>
      <c r="C1254" s="249">
        <v>0</v>
      </c>
      <c r="D1254" s="250">
        <v>12.43</v>
      </c>
      <c r="F1254" s="2">
        <f>ROUND(C1254*D1254,0)</f>
        <v>0</v>
      </c>
      <c r="G1254" s="250">
        <f t="shared" ref="G1254:G1255" si="244">ROUND(D1254+(D1254*$X$1267),2)</f>
        <v>12.72</v>
      </c>
      <c r="I1254" s="2">
        <f>ROUND(G1254*$C1254,0)</f>
        <v>0</v>
      </c>
      <c r="J1254" s="2"/>
      <c r="K1254" s="250" t="e">
        <f t="shared" ref="K1254:K1255" si="245">ROUND(SUM($M$1234:$M$1261)/SUM($I$1234:$I$1261)*G1254,2)</f>
        <v>#DIV/0!</v>
      </c>
      <c r="M1254" s="2" t="e">
        <f t="shared" ref="M1254:M1255" si="246">($V$1269-$M$1263-$M$1265)*(I1254/($I$1234+$I$1235+$I$1236+$I$1238+$I$1239+$I$1242+$I$1243+$I$1244+$I$1246+$I$1247+$I$1250+$I$1251+I$1252+$I$1254+$I$1255+$I$1257+$I$1258+$I$1259+$I$1261))</f>
        <v>#DIV/0!</v>
      </c>
      <c r="N1254" s="2"/>
      <c r="O1254" s="250" t="e">
        <f t="shared" ref="O1254:O1255" si="247">ROUND(SUM($Q$1234:$Q$1261)/SUM($I$1234:$I$1261)*G1254,2)</f>
        <v>#DIV/0!</v>
      </c>
      <c r="Q1254" s="2" t="e">
        <f t="shared" ref="Q1254:Q1255" si="248">($W$1269-$Q$1263-$Q$1265)*(I1254/($I$1234+$I$1235+$I$1236+$I$1238+$I$1239+$I$1242+$I$1243+$I$1244+$I$1246+$I$1247+$I$1250+$I$1251+I$1252+$I$1254+$I$1255+$I$1257+$I$1258+$I$1259+$I$1261))</f>
        <v>#DIV/0!</v>
      </c>
      <c r="R1254" s="2"/>
      <c r="S1254" s="250" t="e">
        <f>ROUND(SUM($U$1234:$U$1261)/SUM($I$1234:$I$1261)*G1254,2)</f>
        <v>#DIV/0!</v>
      </c>
      <c r="U1254" s="2" t="e">
        <f t="shared" ref="U1254:U1255" si="249">($X$1269-$U$1263-$U$1265)*(I1254/($I$1234+$I$1235+$I$1236+$I$1238+$I$1239+$I$1242+$I$1243+$I$1244+$I$1246+$I$1247+$I$1250+$I$1251+I$1252+$I$1254+$I$1255+$I$1257+$I$1258+$I$1259+$I$1261))</f>
        <v>#DIV/0!</v>
      </c>
      <c r="V1254" s="20"/>
      <c r="W1254" s="266"/>
      <c r="X1254" s="74"/>
      <c r="Y1254" s="74"/>
      <c r="Z1254" s="388"/>
      <c r="AA1254" s="388"/>
      <c r="AB1254" s="268"/>
      <c r="AC1254" s="268"/>
      <c r="AD1254" s="268"/>
      <c r="AE1254" s="268"/>
      <c r="AF1254" s="414"/>
      <c r="AG1254" s="414"/>
      <c r="AH1254" s="266"/>
      <c r="AI1254" s="266"/>
      <c r="AJ1254" s="417"/>
      <c r="AK1254" s="266"/>
      <c r="AL1254" s="20"/>
      <c r="AM1254" s="20"/>
      <c r="AN1254" s="20"/>
      <c r="AO1254" s="20"/>
      <c r="AP1254" s="20"/>
    </row>
    <row r="1255" spans="1:44">
      <c r="A1255" s="3" t="s">
        <v>345</v>
      </c>
      <c r="C1255" s="249">
        <v>0</v>
      </c>
      <c r="D1255" s="250">
        <v>20.13</v>
      </c>
      <c r="F1255" s="2">
        <f>ROUND(C1255*D1255,0)</f>
        <v>0</v>
      </c>
      <c r="G1255" s="250">
        <f t="shared" si="244"/>
        <v>20.6</v>
      </c>
      <c r="I1255" s="2">
        <f>ROUND(G1255*$C1255,0)</f>
        <v>0</v>
      </c>
      <c r="J1255" s="2"/>
      <c r="K1255" s="250" t="e">
        <f t="shared" si="245"/>
        <v>#DIV/0!</v>
      </c>
      <c r="M1255" s="2" t="e">
        <f t="shared" si="246"/>
        <v>#DIV/0!</v>
      </c>
      <c r="N1255" s="2"/>
      <c r="O1255" s="250" t="e">
        <f t="shared" si="247"/>
        <v>#DIV/0!</v>
      </c>
      <c r="Q1255" s="2" t="e">
        <f t="shared" si="248"/>
        <v>#DIV/0!</v>
      </c>
      <c r="R1255" s="2"/>
      <c r="S1255" s="250" t="e">
        <f>ROUND(SUM($U$1234:$U$1261)/SUM($I$1234:$I$1261)*G1255,2)+0.01</f>
        <v>#DIV/0!</v>
      </c>
      <c r="U1255" s="2" t="e">
        <f t="shared" si="249"/>
        <v>#DIV/0!</v>
      </c>
      <c r="V1255" s="20"/>
      <c r="W1255" s="266"/>
      <c r="X1255" s="74"/>
      <c r="Y1255" s="74"/>
      <c r="Z1255" s="388"/>
      <c r="AA1255" s="388"/>
      <c r="AB1255" s="268"/>
      <c r="AC1255" s="268"/>
      <c r="AD1255" s="268"/>
      <c r="AE1255" s="268"/>
      <c r="AF1255" s="414"/>
      <c r="AG1255" s="414"/>
      <c r="AH1255" s="266"/>
      <c r="AI1255" s="266"/>
      <c r="AJ1255" s="417"/>
      <c r="AK1255" s="266"/>
      <c r="AL1255" s="20"/>
      <c r="AM1255" s="20"/>
      <c r="AN1255" s="20"/>
      <c r="AO1255" s="20"/>
      <c r="AP1255" s="20"/>
    </row>
    <row r="1256" spans="1:44">
      <c r="A1256" s="415" t="s">
        <v>502</v>
      </c>
      <c r="B1256" s="288"/>
      <c r="C1256" s="249"/>
      <c r="D1256" s="418"/>
      <c r="E1256" s="288"/>
      <c r="F1256" s="288"/>
      <c r="G1256" s="418"/>
      <c r="H1256" s="288"/>
      <c r="I1256" s="288"/>
      <c r="J1256" s="288"/>
      <c r="K1256" s="418"/>
      <c r="L1256" s="288"/>
      <c r="M1256" s="288"/>
      <c r="N1256" s="288"/>
      <c r="O1256" s="418"/>
      <c r="P1256" s="288"/>
      <c r="Q1256" s="288"/>
      <c r="R1256" s="288"/>
      <c r="S1256" s="418"/>
      <c r="T1256" s="288"/>
      <c r="U1256" s="288"/>
      <c r="V1256" s="20"/>
      <c r="W1256" s="20"/>
      <c r="X1256" s="420"/>
      <c r="Y1256" s="420"/>
      <c r="Z1256" s="420"/>
      <c r="AA1256" s="420"/>
      <c r="AB1256" s="704"/>
      <c r="AC1256" s="704"/>
      <c r="AD1256" s="704"/>
      <c r="AE1256" s="704"/>
      <c r="AF1256" s="414"/>
      <c r="AG1256" s="414"/>
      <c r="AH1256" s="422"/>
      <c r="AI1256" s="20"/>
      <c r="AJ1256" s="417"/>
      <c r="AK1256" s="20"/>
      <c r="AL1256" s="20"/>
      <c r="AM1256" s="20"/>
      <c r="AN1256" s="20"/>
      <c r="AO1256" s="20"/>
      <c r="AP1256" s="20"/>
    </row>
    <row r="1257" spans="1:44">
      <c r="A1257" s="3" t="s">
        <v>344</v>
      </c>
      <c r="C1257" s="249">
        <v>335.96501937771501</v>
      </c>
      <c r="D1257" s="250">
        <v>10.5</v>
      </c>
      <c r="F1257" s="2">
        <f>ROUND(C1257*D1257,0)</f>
        <v>3528</v>
      </c>
      <c r="G1257" s="250">
        <f t="shared" ref="G1257:G1259" si="250">ROUND(D1257+(D1257*$X$1267),2)</f>
        <v>10.75</v>
      </c>
      <c r="I1257" s="2">
        <f>ROUND(G1257*$C1257,0)</f>
        <v>3612</v>
      </c>
      <c r="J1257" s="2"/>
      <c r="K1257" s="250" t="e">
        <f>ROUND(M1257/C1257,2)</f>
        <v>#DIV/0!</v>
      </c>
      <c r="M1257" s="2" t="e">
        <f t="shared" ref="M1257:M1259" si="251">($V$1269-$M$1263-$M$1265)*(I1257/($I$1234+$I$1235+$I$1236+$I$1238+$I$1239+$I$1242+$I$1243+$I$1244+$I$1246+$I$1247+$I$1250+$I$1251+I$1252+$I$1254+$I$1255+$I$1257+$I$1258+$I$1259+$I$1261))</f>
        <v>#DIV/0!</v>
      </c>
      <c r="N1257" s="2"/>
      <c r="O1257" s="250" t="e">
        <f>ROUND(Q1257/C1257,2)</f>
        <v>#DIV/0!</v>
      </c>
      <c r="Q1257" s="2" t="e">
        <f t="shared" ref="Q1257:Q1259" si="252">($W$1269-$Q$1263-$Q$1265)*(I1257/($I$1234+$I$1235+$I$1236+$I$1238+$I$1239+$I$1242+$I$1243+$I$1244+$I$1246+$I$1247+$I$1250+$I$1251+I$1252+$I$1254+$I$1255+$I$1257+$I$1258+$I$1259+$I$1261))</f>
        <v>#DIV/0!</v>
      </c>
      <c r="R1257" s="2"/>
      <c r="S1257" s="250" t="e">
        <f>ROUND(U1257/C1257,2)+0.01</f>
        <v>#DIV/0!</v>
      </c>
      <c r="U1257" s="2" t="e">
        <f t="shared" ref="U1257:U1259" si="253">($X$1269-$U$1263-$U$1265)*(I1257/($I$1234+$I$1235+$I$1236+$I$1238+$I$1239+$I$1242+$I$1243+$I$1244+$I$1246+$I$1247+$I$1250+$I$1251+I$1252+$I$1254+$I$1255+$I$1257+$I$1258+$I$1259+$I$1261))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4">
      <c r="A1258" s="3" t="s">
        <v>345</v>
      </c>
      <c r="C1258" s="249">
        <v>758.71802767756799</v>
      </c>
      <c r="D1258" s="250">
        <v>18.39</v>
      </c>
      <c r="F1258" s="2">
        <f>ROUND(C1258*D1258,0)</f>
        <v>13953</v>
      </c>
      <c r="G1258" s="250">
        <f t="shared" si="250"/>
        <v>18.82</v>
      </c>
      <c r="I1258" s="2">
        <f>ROUND(G1258*$C1258,0)</f>
        <v>14279</v>
      </c>
      <c r="J1258" s="2"/>
      <c r="K1258" s="250" t="e">
        <f>ROUND(M1258/C1258,2)</f>
        <v>#DIV/0!</v>
      </c>
      <c r="M1258" s="2" t="e">
        <f t="shared" si="251"/>
        <v>#DIV/0!</v>
      </c>
      <c r="N1258" s="2"/>
      <c r="O1258" s="250" t="e">
        <f>ROUND(Q1258/C1258,2)</f>
        <v>#DIV/0!</v>
      </c>
      <c r="Q1258" s="2" t="e">
        <f t="shared" si="252"/>
        <v>#DIV/0!</v>
      </c>
      <c r="R1258" s="2"/>
      <c r="S1258" s="250" t="e">
        <f>ROUND(U1258/C1258,2)</f>
        <v>#DIV/0!</v>
      </c>
      <c r="U1258" s="2" t="e">
        <f t="shared" si="253"/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4">
      <c r="A1259" s="3" t="s">
        <v>346</v>
      </c>
      <c r="C1259" s="249">
        <v>0</v>
      </c>
      <c r="D1259" s="250">
        <v>39.28</v>
      </c>
      <c r="F1259" s="2">
        <f>ROUND(C1259*D1259,0)</f>
        <v>0</v>
      </c>
      <c r="G1259" s="250">
        <f t="shared" si="250"/>
        <v>40.200000000000003</v>
      </c>
      <c r="I1259" s="2">
        <f>ROUND(G1259*$C1259,0)</f>
        <v>0</v>
      </c>
      <c r="J1259" s="2"/>
      <c r="K1259" s="250" t="e">
        <f>ROUND(SUM($M$1234:$M$1261)/SUM($I$1234:$I$1261)*G1259,2)</f>
        <v>#DIV/0!</v>
      </c>
      <c r="M1259" s="2" t="e">
        <f t="shared" si="251"/>
        <v>#DIV/0!</v>
      </c>
      <c r="N1259" s="2"/>
      <c r="O1259" s="250" t="e">
        <f>ROUND(SUM($Q$1234:$Q$1261)/SUM($I$1234:$I$1261)*G1259,2)</f>
        <v>#DIV/0!</v>
      </c>
      <c r="Q1259" s="2" t="e">
        <f t="shared" si="252"/>
        <v>#DIV/0!</v>
      </c>
      <c r="R1259" s="2"/>
      <c r="S1259" s="250" t="e">
        <f>ROUND(SUM($U$1234:$U$1261)/SUM($I$1234:$I$1261)*G1259,2)-0.01</f>
        <v>#DIV/0!</v>
      </c>
      <c r="U1259" s="2" t="e">
        <f t="shared" si="253"/>
        <v>#DIV/0!</v>
      </c>
      <c r="V1259" s="20"/>
      <c r="W1259" s="266"/>
      <c r="X1259" s="74"/>
      <c r="Y1259" s="74"/>
      <c r="Z1259" s="388"/>
      <c r="AA1259" s="388"/>
      <c r="AB1259" s="268"/>
      <c r="AC1259" s="268"/>
      <c r="AD1259" s="268"/>
      <c r="AE1259" s="268"/>
      <c r="AF1259" s="414"/>
      <c r="AG1259" s="414"/>
      <c r="AH1259" s="266"/>
      <c r="AI1259" s="266"/>
      <c r="AJ1259" s="417"/>
      <c r="AK1259" s="266"/>
      <c r="AL1259" s="20"/>
      <c r="AM1259" s="20"/>
      <c r="AN1259" s="20"/>
      <c r="AO1259" s="20"/>
      <c r="AP1259" s="20"/>
    </row>
    <row r="1260" spans="1:44">
      <c r="A1260" s="5" t="s">
        <v>503</v>
      </c>
      <c r="C1260" s="249"/>
      <c r="D1260" s="250"/>
      <c r="F1260" s="2"/>
      <c r="G1260" s="250"/>
      <c r="I1260" s="2"/>
      <c r="J1260" s="2"/>
      <c r="K1260" s="250"/>
      <c r="M1260" s="2"/>
      <c r="N1260" s="2"/>
      <c r="O1260" s="250"/>
      <c r="Q1260" s="2"/>
      <c r="R1260" s="2"/>
      <c r="S1260" s="250"/>
      <c r="U1260" s="2"/>
      <c r="V1260" s="20"/>
      <c r="W1260" s="20"/>
      <c r="X1260" s="420"/>
      <c r="Y1260" s="420"/>
      <c r="Z1260" s="420"/>
      <c r="AA1260" s="420"/>
      <c r="AB1260" s="705"/>
      <c r="AC1260" s="705"/>
      <c r="AD1260" s="705"/>
      <c r="AE1260" s="705"/>
      <c r="AF1260" s="414"/>
      <c r="AG1260" s="414"/>
      <c r="AH1260" s="422"/>
      <c r="AI1260" s="20"/>
      <c r="AJ1260" s="417"/>
      <c r="AK1260" s="20"/>
      <c r="AL1260" s="20"/>
      <c r="AM1260" s="20"/>
      <c r="AN1260" s="20"/>
      <c r="AO1260" s="20"/>
      <c r="AP1260" s="20"/>
    </row>
    <row r="1261" spans="1:44">
      <c r="A1261" s="3" t="s">
        <v>504</v>
      </c>
      <c r="C1261" s="249">
        <v>0</v>
      </c>
      <c r="D1261" s="250">
        <v>37.700000000000003</v>
      </c>
      <c r="F1261" s="2">
        <f>ROUND(C1261*D1261,0)</f>
        <v>0</v>
      </c>
      <c r="G1261" s="250">
        <f t="shared" ref="G1261" si="254">ROUND(D1261+(D1261*$X$1267),2)</f>
        <v>38.58</v>
      </c>
      <c r="I1261" s="2">
        <f>ROUND(G1261*$C1261,0)</f>
        <v>0</v>
      </c>
      <c r="J1261" s="2"/>
      <c r="K1261" s="250" t="e">
        <f>ROUND(SUM($M$1234:$M$1261)/SUM($I$1234:$I$1261)*G1261,2)</f>
        <v>#DIV/0!</v>
      </c>
      <c r="M1261" s="2" t="e">
        <f t="shared" ref="M1261" si="255">($V$1269-$M$1263-$M$1265)*(I1261/($I$1234+$I$1235+$I$1236+$I$1238+$I$1239+$I$1242+$I$1243+$I$1244+$I$1246+$I$1247+$I$1250+$I$1251+I$1252+$I$1254+$I$1255+$I$1257+$I$1258+$I$1259+$I$1261))</f>
        <v>#DIV/0!</v>
      </c>
      <c r="N1261" s="2"/>
      <c r="O1261" s="250" t="e">
        <f>ROUND(SUM($Q$1234:$Q$1261)/SUM($I$1234:$I$1261)*G1261,2)</f>
        <v>#DIV/0!</v>
      </c>
      <c r="Q1261" s="2" t="e">
        <f t="shared" ref="Q1261" si="256">($W$1269-$Q$1263-$Q$1265)*(I1261/($I$1234+$I$1235+$I$1236+$I$1238+$I$1239+$I$1242+$I$1243+$I$1244+$I$1246+$I$1247+$I$1250+$I$1251+I$1252+$I$1254+$I$1255+$I$1257+$I$1258+$I$1259+$I$1261))</f>
        <v>#DIV/0!</v>
      </c>
      <c r="R1261" s="2"/>
      <c r="S1261" s="250" t="e">
        <f>ROUND(SUM($U$1234:$U$1261)/SUM($I$1234:$I$1261)*G1261,2)</f>
        <v>#DIV/0!</v>
      </c>
      <c r="U1261" s="2" t="e">
        <f>($X$1269-$U$1263-$U$1265)*(I1261/($I$1234+$I$1235+$I$1236+$I$1238+$I$1239+$I$1242+$I$1243+$I$1244+$I$1246+$I$1247+$I$1250+$I$1251+I$1252+$I$1254+$I$1255+$I$1257+$I$1258+$I$1259+$I$1261))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4">
      <c r="A1262" s="3" t="s">
        <v>352</v>
      </c>
      <c r="C1262" s="249">
        <v>418</v>
      </c>
      <c r="D1262" s="424"/>
      <c r="F1262" s="2"/>
      <c r="G1262" s="424"/>
      <c r="I1262" s="2"/>
      <c r="J1262" s="2"/>
      <c r="K1262" s="424"/>
      <c r="M1262" s="2"/>
      <c r="N1262" s="2"/>
      <c r="O1262" s="424"/>
      <c r="Q1262" s="2"/>
      <c r="R1262" s="2"/>
      <c r="S1262" s="424"/>
      <c r="U1262" s="2"/>
      <c r="V1262" s="20"/>
      <c r="W1262" s="266"/>
      <c r="X1262" s="425"/>
      <c r="Y1262" s="425"/>
      <c r="Z1262" s="20"/>
      <c r="AA1262" s="20"/>
      <c r="AB1262" s="272"/>
      <c r="AC1262" s="272"/>
      <c r="AD1262" s="272"/>
      <c r="AE1262" s="272"/>
      <c r="AF1262" s="263"/>
      <c r="AG1262" s="263"/>
      <c r="AH1262" s="266"/>
      <c r="AI1262" s="266"/>
      <c r="AJ1262" s="266"/>
      <c r="AK1262" s="266"/>
      <c r="AL1262" s="20"/>
      <c r="AM1262" s="20"/>
      <c r="AN1262" s="20"/>
      <c r="AO1262" s="20"/>
      <c r="AP1262" s="20"/>
    </row>
    <row r="1263" spans="1:44" s="1118" customFormat="1" hidden="1">
      <c r="A1263" s="968" t="s">
        <v>891</v>
      </c>
      <c r="C1263" s="1122">
        <f>C1264</f>
        <v>1731861.333333333</v>
      </c>
      <c r="D1263" s="1423">
        <v>0</v>
      </c>
      <c r="E1263" s="1119"/>
      <c r="F1263" s="1123"/>
      <c r="G1263" s="1128">
        <v>0</v>
      </c>
      <c r="H1263" s="1000" t="s">
        <v>364</v>
      </c>
      <c r="I1263" s="1000">
        <f>ROUND(G1263*$C1263/100,0)</f>
        <v>0</v>
      </c>
      <c r="J1263" s="1000"/>
      <c r="K1263" s="1128" t="s">
        <v>31</v>
      </c>
      <c r="L1263" s="1126" t="s">
        <v>31</v>
      </c>
      <c r="M1263" s="1123">
        <f>K1263*C1263</f>
        <v>0</v>
      </c>
      <c r="N1263" s="1123"/>
      <c r="O1263" s="1128" t="s">
        <v>31</v>
      </c>
      <c r="P1263" s="1126" t="s">
        <v>31</v>
      </c>
      <c r="Q1263" s="1123">
        <f>O1263*C1263</f>
        <v>0</v>
      </c>
      <c r="R1263" s="1123"/>
      <c r="S1263" s="1128">
        <f>G1263</f>
        <v>0</v>
      </c>
      <c r="T1263" s="1126" t="s">
        <v>364</v>
      </c>
      <c r="U1263" s="1123">
        <f>I1263</f>
        <v>0</v>
      </c>
      <c r="V1263" s="1124"/>
      <c r="W1263" s="784"/>
      <c r="Z1263" s="1125"/>
      <c r="AA1263" s="1125"/>
      <c r="AF1263" s="1119"/>
      <c r="AG1263" s="1119"/>
      <c r="AH1263" s="1119"/>
      <c r="AI1263" s="1119"/>
      <c r="AJ1263" s="1119"/>
      <c r="AK1263" s="1119"/>
      <c r="AL1263" s="1119"/>
      <c r="AM1263" s="1119"/>
      <c r="AN1263" s="1119"/>
      <c r="AO1263" s="1119"/>
      <c r="AP1263" s="1119"/>
      <c r="AR1263" s="1124"/>
    </row>
    <row r="1264" spans="1:44">
      <c r="A1264" s="3" t="s">
        <v>371</v>
      </c>
      <c r="C1264" s="249">
        <v>1731861.333333333</v>
      </c>
      <c r="D1264" s="254"/>
      <c r="E1264" s="20"/>
      <c r="F1264" s="257">
        <f>SUM(F1234:F1261)</f>
        <v>220001</v>
      </c>
      <c r="G1264" s="254"/>
      <c r="H1264" s="20"/>
      <c r="I1264" s="257">
        <f>SUM(I1234:I1263)</f>
        <v>225212</v>
      </c>
      <c r="J1264" s="257"/>
      <c r="K1264" s="254"/>
      <c r="L1264" s="20"/>
      <c r="M1264" s="257" t="e">
        <f>SUM(M1234:M1263)</f>
        <v>#DIV/0!</v>
      </c>
      <c r="N1264" s="257"/>
      <c r="O1264" s="254"/>
      <c r="P1264" s="20"/>
      <c r="Q1264" s="257" t="e">
        <f>SUM(Q1234:Q1263)</f>
        <v>#DIV/0!</v>
      </c>
      <c r="R1264" s="257"/>
      <c r="S1264" s="254"/>
      <c r="T1264" s="20"/>
      <c r="U1264" s="257" t="e">
        <f>SUM(U1234:U1263)</f>
        <v>#DIV/0!</v>
      </c>
      <c r="V1264" s="20"/>
      <c r="W1264" s="266"/>
      <c r="X1264" s="706"/>
      <c r="Y1264" s="706"/>
      <c r="Z1264" s="20"/>
      <c r="AA1264" s="20"/>
      <c r="AB1264" s="272"/>
      <c r="AC1264" s="272"/>
      <c r="AD1264" s="272"/>
      <c r="AE1264" s="272"/>
      <c r="AF1264" s="263"/>
      <c r="AG1264" s="263"/>
      <c r="AH1264" s="273"/>
      <c r="AI1264" s="263"/>
      <c r="AJ1264" s="263"/>
      <c r="AK1264" s="263"/>
      <c r="AL1264" s="20"/>
      <c r="AM1264" s="20"/>
      <c r="AN1264" s="20"/>
      <c r="AO1264" s="20"/>
      <c r="AP1264" s="20"/>
    </row>
    <row r="1265" spans="1:42">
      <c r="A1265" s="3" t="s">
        <v>353</v>
      </c>
      <c r="C1265" s="249">
        <f ca="1">'Table 2'!H125</f>
        <v>21931.845042180139</v>
      </c>
      <c r="D1265" s="254"/>
      <c r="E1265" s="20"/>
      <c r="F1265" s="257">
        <f>'Table 3'!E125</f>
        <v>3415.4619210236751</v>
      </c>
      <c r="G1265" s="254"/>
      <c r="H1265" s="20"/>
      <c r="I1265" s="257">
        <f>F1265</f>
        <v>3415.4619210236751</v>
      </c>
      <c r="J1265" s="257"/>
      <c r="K1265" s="254"/>
      <c r="L1265" s="20"/>
      <c r="M1265" s="257" t="e">
        <f>$I$1265*V1269/($V$1269+$W$1269+$X$1269)</f>
        <v>#DIV/0!</v>
      </c>
      <c r="N1265" s="51"/>
      <c r="O1265" s="294"/>
      <c r="P1265" s="294"/>
      <c r="Q1265" s="257" t="e">
        <f>$I$1265*W1269/($V$1269+$W$1269+$X$1269)</f>
        <v>#DIV/0!</v>
      </c>
      <c r="R1265" s="51"/>
      <c r="S1265" s="294"/>
      <c r="T1265" s="294"/>
      <c r="U1265" s="257" t="e">
        <f>$I$1265*X1269/($V$1269+$W$1269+$X$1269)</f>
        <v>#DIV/0!</v>
      </c>
      <c r="V1265" s="429"/>
      <c r="W1265" s="272"/>
      <c r="X1265" s="263"/>
      <c r="Y1265" s="263"/>
      <c r="Z1265" s="263"/>
      <c r="AA1265" s="263"/>
      <c r="AB1265" s="268"/>
      <c r="AC1265" s="268"/>
      <c r="AD1265" s="268"/>
      <c r="AE1265" s="268"/>
      <c r="AF1265" s="266"/>
      <c r="AG1265" s="263"/>
      <c r="AH1265" s="20"/>
      <c r="AI1265" s="20"/>
      <c r="AJ1265" s="20"/>
      <c r="AK1265" s="20"/>
      <c r="AL1265" s="20"/>
      <c r="AM1265" s="20"/>
      <c r="AN1265" s="20"/>
      <c r="AO1265" s="20"/>
      <c r="AP1265" s="20"/>
    </row>
    <row r="1266" spans="1:42" ht="16.5" thickBot="1">
      <c r="A1266" s="3" t="s">
        <v>9</v>
      </c>
      <c r="C1266" s="258">
        <f ca="1">C1264+C1265</f>
        <v>1753793.1783755131</v>
      </c>
      <c r="D1266" s="297"/>
      <c r="E1266" s="297"/>
      <c r="F1266" s="259">
        <f>F1264+F1265</f>
        <v>223416.46192102367</v>
      </c>
      <c r="G1266" s="297"/>
      <c r="H1266" s="297"/>
      <c r="I1266" s="259">
        <f>I1264+I1265</f>
        <v>228627.46192102367</v>
      </c>
      <c r="J1266" s="297"/>
      <c r="K1266" s="297"/>
      <c r="L1266" s="297"/>
      <c r="M1266" s="259" t="e">
        <f>M1264+M1265</f>
        <v>#DIV/0!</v>
      </c>
      <c r="N1266" s="297"/>
      <c r="O1266" s="297"/>
      <c r="P1266" s="297"/>
      <c r="Q1266" s="259" t="e">
        <f>Q1264+Q1265</f>
        <v>#DIV/0!</v>
      </c>
      <c r="R1266" s="297"/>
      <c r="S1266" s="297"/>
      <c r="T1266" s="297"/>
      <c r="U1266" s="259" t="e">
        <f>U1264+U1265</f>
        <v>#DIV/0!</v>
      </c>
      <c r="V1266" s="761" t="s">
        <v>399</v>
      </c>
      <c r="W1266" s="778">
        <f ca="1">'Rate Spread targets'!X41*1000</f>
        <v>228667.99996226982</v>
      </c>
      <c r="X1266" s="1417">
        <f>(I1266-F1266)/F1266</f>
        <v>2.3324154161218684E-2</v>
      </c>
      <c r="Y1266" s="703"/>
      <c r="Z1266" s="263"/>
      <c r="AA1266" s="263"/>
      <c r="AB1266" s="263"/>
      <c r="AC1266" s="263"/>
      <c r="AD1266" s="263"/>
      <c r="AE1266" s="263"/>
      <c r="AF1266" s="263"/>
      <c r="AG1266" s="263"/>
      <c r="AH1266" s="20"/>
      <c r="AI1266" s="20"/>
      <c r="AJ1266" s="20"/>
      <c r="AK1266" s="20"/>
      <c r="AL1266" s="20"/>
      <c r="AM1266" s="20"/>
      <c r="AN1266" s="20"/>
      <c r="AO1266" s="20"/>
      <c r="AP1266" s="20"/>
    </row>
    <row r="1267" spans="1:42" ht="16.5" thickTop="1">
      <c r="C1267" s="743" t="s">
        <v>31</v>
      </c>
      <c r="D1267" s="260" t="s">
        <v>31</v>
      </c>
      <c r="E1267" s="260"/>
      <c r="F1267" s="248"/>
      <c r="G1267" s="260" t="s">
        <v>31</v>
      </c>
      <c r="H1267" s="260"/>
      <c r="I1267" s="2" t="s">
        <v>31</v>
      </c>
      <c r="J1267" s="2"/>
      <c r="K1267" s="260" t="s">
        <v>31</v>
      </c>
      <c r="L1267" s="260"/>
      <c r="M1267" s="2" t="s">
        <v>31</v>
      </c>
      <c r="N1267" s="2"/>
      <c r="O1267" s="260" t="s">
        <v>31</v>
      </c>
      <c r="P1267" s="260"/>
      <c r="Q1267" s="2" t="s">
        <v>31</v>
      </c>
      <c r="R1267" s="2"/>
      <c r="S1267" s="260" t="s">
        <v>31</v>
      </c>
      <c r="T1267" s="260"/>
      <c r="U1267" s="2" t="s">
        <v>31</v>
      </c>
      <c r="V1267" s="762" t="s">
        <v>257</v>
      </c>
      <c r="W1267" s="780">
        <f ca="1">W1266-I1266</f>
        <v>40.538041246152716</v>
      </c>
      <c r="X1267" s="1087">
        <v>2.3400000000000001E-2</v>
      </c>
      <c r="Y1267" s="279"/>
      <c r="Z1267" s="263"/>
      <c r="AA1267" s="263"/>
      <c r="AB1267" s="263"/>
      <c r="AC1267" s="263"/>
      <c r="AD1267" s="263"/>
      <c r="AE1267" s="263"/>
      <c r="AF1267" s="263"/>
      <c r="AG1267" s="263"/>
      <c r="AH1267" s="20"/>
      <c r="AI1267" s="20"/>
      <c r="AJ1267" s="20"/>
      <c r="AK1267" s="20"/>
      <c r="AL1267" s="20"/>
      <c r="AM1267" s="20"/>
      <c r="AN1267" s="20"/>
      <c r="AO1267" s="20"/>
      <c r="AP1267" s="20"/>
    </row>
    <row r="1268" spans="1:42">
      <c r="C1268" s="26"/>
      <c r="D1268" s="260"/>
      <c r="E1268" s="260"/>
      <c r="F1268" s="248"/>
      <c r="G1268" s="260"/>
      <c r="H1268" s="260"/>
      <c r="I1268" s="2"/>
      <c r="J1268" s="2"/>
      <c r="K1268" s="260"/>
      <c r="L1268" s="260"/>
      <c r="M1268" s="2"/>
      <c r="N1268" s="2"/>
      <c r="O1268" s="260"/>
      <c r="P1268" s="260"/>
      <c r="Q1268" s="2"/>
      <c r="R1268" s="2"/>
      <c r="S1268" s="260"/>
      <c r="T1268" s="260"/>
      <c r="U1268" s="2"/>
      <c r="V1268" s="719"/>
      <c r="W1268" s="719"/>
      <c r="X1268" s="719"/>
      <c r="Y1268" s="279"/>
      <c r="Z1268" s="263"/>
      <c r="AA1268" s="263"/>
      <c r="AB1268" s="263"/>
      <c r="AC1268" s="263"/>
      <c r="AD1268" s="263"/>
      <c r="AE1268" s="263"/>
      <c r="AF1268" s="263"/>
      <c r="AG1268" s="263"/>
      <c r="AH1268" s="20"/>
      <c r="AI1268" s="20"/>
      <c r="AJ1268" s="20"/>
      <c r="AK1268" s="20"/>
      <c r="AL1268" s="20"/>
      <c r="AM1268" s="20"/>
      <c r="AN1268" s="20"/>
      <c r="AO1268" s="20"/>
      <c r="AP1268" s="20"/>
    </row>
    <row r="1269" spans="1:42">
      <c r="C1269" s="26"/>
      <c r="D1269" s="260"/>
      <c r="E1269" s="260"/>
      <c r="F1269" s="248"/>
      <c r="G1269" s="260"/>
      <c r="H1269" s="260"/>
      <c r="I1269" s="2"/>
      <c r="J1269" s="2"/>
      <c r="K1269" s="260"/>
      <c r="L1269" s="260"/>
      <c r="M1269" s="2"/>
      <c r="N1269" s="2"/>
      <c r="O1269" s="260"/>
      <c r="P1269" s="260"/>
      <c r="Q1269" s="2"/>
      <c r="R1269" s="2"/>
      <c r="S1269" s="260"/>
      <c r="T1269" s="260"/>
      <c r="U1269" s="2"/>
      <c r="V1269" s="401"/>
      <c r="W1269" s="401"/>
      <c r="X1269" s="401"/>
      <c r="Y1269" s="279"/>
      <c r="Z1269" s="263"/>
      <c r="AA1269" s="263"/>
      <c r="AB1269" s="263"/>
      <c r="AC1269" s="263"/>
      <c r="AD1269" s="263"/>
      <c r="AE1269" s="263"/>
      <c r="AF1269" s="263"/>
      <c r="AG1269" s="263"/>
      <c r="AH1269" s="20"/>
      <c r="AI1269" s="20"/>
      <c r="AJ1269" s="20"/>
      <c r="AK1269" s="20"/>
      <c r="AL1269" s="20"/>
      <c r="AM1269" s="20"/>
      <c r="AN1269" s="20"/>
      <c r="AO1269" s="20"/>
      <c r="AP1269" s="20"/>
    </row>
    <row r="1270" spans="1:42">
      <c r="A1270" s="288"/>
      <c r="B1270" s="298"/>
      <c r="C1270" s="430"/>
      <c r="D1270" s="431"/>
      <c r="E1270" s="288"/>
      <c r="F1270" s="2"/>
      <c r="G1270" s="431"/>
      <c r="H1270" s="288"/>
      <c r="I1270" s="2"/>
      <c r="J1270" s="2"/>
      <c r="K1270" s="431"/>
      <c r="L1270" s="288"/>
      <c r="M1270" s="2"/>
      <c r="N1270" s="2"/>
      <c r="O1270" s="431"/>
      <c r="P1270" s="288"/>
      <c r="Q1270" s="2"/>
      <c r="R1270" s="2"/>
      <c r="S1270" s="431"/>
      <c r="T1270" s="288"/>
      <c r="U1270" s="2"/>
      <c r="V1270" s="20"/>
      <c r="W1270" s="74"/>
      <c r="X1270" s="74"/>
      <c r="Y1270" s="74"/>
      <c r="Z1270" s="20"/>
      <c r="AA1270" s="20"/>
      <c r="AB1270" s="20"/>
      <c r="AC1270" s="20"/>
      <c r="AD1270" s="20"/>
      <c r="AE1270" s="20"/>
      <c r="AF1270" s="20"/>
      <c r="AG1270" s="20"/>
      <c r="AH1270" s="20"/>
      <c r="AI1270" s="20"/>
      <c r="AJ1270" s="20"/>
      <c r="AK1270" s="20"/>
    </row>
    <row r="1271" spans="1:42" s="4" customFormat="1" ht="19.899999999999999" customHeight="1" thickBot="1">
      <c r="A1271" s="432" t="s">
        <v>505</v>
      </c>
      <c r="B1271" s="433"/>
      <c r="C1271" s="434">
        <f ca="1">C27+C100+C204+C596+C636+C768+C898+C916+C1139+C1155+C1169+C1226+C1266</f>
        <v>4085100148.9150887</v>
      </c>
      <c r="D1271" s="435"/>
      <c r="E1271" s="436"/>
      <c r="F1271" s="436">
        <f ca="1">F27+F100+F204+F596+F636+F768+F898+F916+F1139+F1155+F1169+F1226+F1266</f>
        <v>340754728.06462985</v>
      </c>
      <c r="G1271" s="435"/>
      <c r="H1271" s="436"/>
      <c r="I1271" s="436">
        <f ca="1">I27+I100+I204+I596+I636+I768+I898+I954+I1010+I1104+I1139+I1155+I1169+I1226+I1266</f>
        <v>348753293.64503771</v>
      </c>
      <c r="J1271" s="436"/>
      <c r="K1271" s="435"/>
      <c r="L1271" s="436"/>
      <c r="M1271" s="436" t="e">
        <f ca="1">M27+M100+M204+M596+M636+M768+M898+M954+M1010+M1104+M1139+M1155+M1169+M1226+M1266</f>
        <v>#DIV/0!</v>
      </c>
      <c r="N1271" s="436"/>
      <c r="O1271" s="435"/>
      <c r="P1271" s="436"/>
      <c r="Q1271" s="436" t="e">
        <f ca="1">Q27+Q100+Q204+Q596+Q636+Q768+Q898+Q954+Q1010+Q1104+Q1139+Q1155+Q1169+Q1226+Q1266</f>
        <v>#DIV/0!</v>
      </c>
      <c r="R1271" s="436"/>
      <c r="S1271" s="435"/>
      <c r="T1271" s="436"/>
      <c r="U1271" s="436" t="e">
        <f ca="1">U27+U100+U204+U596+U636+U768+U898+U954+U1010+U1104+U1139+U1155+U1169+U1226+U1266</f>
        <v>#DIV/0!</v>
      </c>
      <c r="V1271" s="763" t="s">
        <v>399</v>
      </c>
      <c r="W1271" s="764">
        <f ca="1">W27+W100+W204+W636+W768+W935+W1104+W1139+W1155+W1169+W1226+W1266</f>
        <v>348753038.55906409</v>
      </c>
      <c r="X1271" s="74"/>
      <c r="Y1271" s="74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</row>
    <row r="1272" spans="1:42" ht="17.25" thickTop="1" thickBot="1">
      <c r="A1272" s="1"/>
      <c r="B1272" s="298"/>
      <c r="C1272" s="434"/>
      <c r="D1272" s="322" t="s">
        <v>31</v>
      </c>
      <c r="E1272" s="1"/>
      <c r="F1272" s="2"/>
      <c r="G1272" s="338" t="s">
        <v>31</v>
      </c>
      <c r="H1272" s="1"/>
      <c r="I1272" s="2" t="s">
        <v>31</v>
      </c>
      <c r="J1272" s="2"/>
      <c r="K1272" s="338" t="s">
        <v>31</v>
      </c>
      <c r="L1272" s="1"/>
      <c r="M1272" s="2" t="s">
        <v>31</v>
      </c>
      <c r="N1272" s="2"/>
      <c r="O1272" s="338" t="s">
        <v>31</v>
      </c>
      <c r="P1272" s="1"/>
      <c r="Q1272" s="2" t="s">
        <v>31</v>
      </c>
      <c r="R1272" s="2"/>
      <c r="S1272" s="338" t="s">
        <v>31</v>
      </c>
      <c r="T1272" s="1"/>
      <c r="U1272" s="2" t="s">
        <v>31</v>
      </c>
      <c r="V1272" s="112" t="s">
        <v>257</v>
      </c>
      <c r="W1272" s="759">
        <f ca="1">W1271-I1271</f>
        <v>-255.08597362041473</v>
      </c>
      <c r="X1272" s="299" t="s">
        <v>31</v>
      </c>
      <c r="Y1272" s="299"/>
      <c r="Z1272" s="20"/>
      <c r="AA1272" s="20"/>
      <c r="AB1272" s="20"/>
      <c r="AC1272" s="20"/>
      <c r="AD1272" s="20"/>
      <c r="AE1272" s="20"/>
      <c r="AF1272" s="20"/>
      <c r="AG1272" s="20"/>
      <c r="AH1272" s="20"/>
      <c r="AI1272" s="20"/>
      <c r="AJ1272" s="20"/>
      <c r="AK1272" s="20"/>
    </row>
    <row r="1273" spans="1:42" ht="16.5" thickTop="1">
      <c r="A1273" s="1" t="s">
        <v>34</v>
      </c>
      <c r="B1273" s="298"/>
      <c r="C1273" s="438"/>
      <c r="D1273" s="439"/>
      <c r="E1273" s="442"/>
      <c r="F1273" s="440">
        <f ca="1">'Table 3'!D24+'Table 3'!D56+'Table 3'!D87+'Table 3'!D105+'Table 3'!D129</f>
        <v>594939.23</v>
      </c>
      <c r="G1273" s="441"/>
      <c r="H1273" s="442"/>
      <c r="I1273" s="747">
        <f ca="1">F1273</f>
        <v>594939.23</v>
      </c>
      <c r="J1273" s="440"/>
      <c r="K1273" s="441"/>
      <c r="L1273" s="442"/>
      <c r="M1273" s="747">
        <f ca="1">I1273</f>
        <v>594939.23</v>
      </c>
      <c r="N1273" s="440"/>
      <c r="O1273" s="441"/>
      <c r="P1273" s="442"/>
      <c r="Q1273" s="747" t="s">
        <v>31</v>
      </c>
      <c r="R1273" s="440"/>
      <c r="S1273" s="441"/>
      <c r="T1273" s="442"/>
      <c r="U1273" s="747" t="str">
        <f>Q1273</f>
        <v xml:space="preserve"> </v>
      </c>
      <c r="Z1273" s="20"/>
      <c r="AA1273" s="20"/>
      <c r="AB1273" s="20"/>
      <c r="AC1273" s="20"/>
      <c r="AD1273" s="20"/>
      <c r="AE1273" s="20"/>
      <c r="AF1273" s="20"/>
      <c r="AG1273" s="20"/>
      <c r="AH1273" s="20"/>
      <c r="AI1273" s="20"/>
      <c r="AJ1273" s="20"/>
      <c r="AK1273" s="20"/>
    </row>
    <row r="1274" spans="1:42" s="4" customFormat="1" ht="19.899999999999999" customHeight="1" thickBot="1">
      <c r="A1274" s="444" t="s">
        <v>506</v>
      </c>
      <c r="B1274" s="445"/>
      <c r="C1274" s="446">
        <f ca="1">C1271+C1273</f>
        <v>4085100148.9150887</v>
      </c>
      <c r="D1274" s="1115"/>
      <c r="E1274" s="448"/>
      <c r="F1274" s="449">
        <f ca="1">F1271+F1273</f>
        <v>341349667.29462987</v>
      </c>
      <c r="G1274" s="450"/>
      <c r="H1274" s="448"/>
      <c r="I1274" s="449">
        <f ca="1">I1271+I1273</f>
        <v>349348232.87503773</v>
      </c>
      <c r="J1274" s="1428"/>
      <c r="K1274" s="450"/>
      <c r="L1274" s="448"/>
      <c r="M1274" s="449" t="e">
        <f ca="1">M1271+M1273</f>
        <v>#DIV/0!</v>
      </c>
      <c r="N1274" s="449"/>
      <c r="O1274" s="450"/>
      <c r="P1274" s="448"/>
      <c r="Q1274" s="449" t="e">
        <f ca="1">Q1271+Q1273</f>
        <v>#DIV/0!</v>
      </c>
      <c r="R1274" s="449"/>
      <c r="S1274" s="450"/>
      <c r="T1274" s="448"/>
      <c r="U1274" s="449" t="e">
        <f ca="1">U1271+U1273</f>
        <v>#DIV/0!</v>
      </c>
      <c r="Z1274" s="7"/>
      <c r="AA1274" s="7"/>
      <c r="AB1274" s="7"/>
      <c r="AC1274" s="7"/>
      <c r="AD1274" s="7"/>
      <c r="AE1274" s="7"/>
      <c r="AF1274" s="7"/>
      <c r="AG1274" s="7"/>
      <c r="AH1274" s="7"/>
      <c r="AI1274" s="7"/>
      <c r="AJ1274" s="7"/>
      <c r="AK1274" s="7"/>
    </row>
    <row r="1275" spans="1:42" ht="16.5" thickTop="1">
      <c r="A1275" s="1"/>
      <c r="B1275" s="298"/>
      <c r="C1275" s="21"/>
      <c r="D1275" s="322"/>
      <c r="E1275" s="451"/>
      <c r="F1275" s="2" t="s">
        <v>31</v>
      </c>
      <c r="G1275" s="322"/>
      <c r="H1275" s="1"/>
      <c r="I1275" s="2"/>
      <c r="J1275" s="2"/>
      <c r="K1275" s="322"/>
      <c r="L1275" s="1"/>
      <c r="M1275" s="2"/>
      <c r="N1275" s="2"/>
      <c r="O1275" s="322"/>
      <c r="P1275" s="1"/>
      <c r="Q1275" s="2"/>
      <c r="R1275" s="2"/>
      <c r="S1275" s="322"/>
      <c r="T1275" s="1"/>
      <c r="U1275" s="2"/>
      <c r="V1275" s="20"/>
      <c r="W1275" s="74"/>
      <c r="X1275" s="74"/>
      <c r="Y1275" s="74"/>
      <c r="Z1275" s="20"/>
      <c r="AA1275" s="20"/>
      <c r="AB1275" s="20"/>
      <c r="AC1275" s="20"/>
      <c r="AD1275" s="20"/>
      <c r="AE1275" s="20"/>
      <c r="AF1275" s="20"/>
      <c r="AG1275" s="20"/>
      <c r="AH1275" s="20"/>
      <c r="AI1275" s="20"/>
      <c r="AJ1275" s="20"/>
      <c r="AK1275" s="20"/>
    </row>
    <row r="1276" spans="1:42">
      <c r="C1276" s="452"/>
      <c r="D1276" s="255"/>
      <c r="E1276" s="255"/>
      <c r="F1276" s="453"/>
      <c r="I1276" s="249"/>
      <c r="J1276" s="249"/>
      <c r="M1276" s="249"/>
      <c r="N1276" s="249"/>
      <c r="Q1276" s="249"/>
      <c r="R1276" s="249"/>
      <c r="U1276" s="249"/>
      <c r="V1276" s="401" t="s">
        <v>31</v>
      </c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2">
      <c r="A1277" s="454"/>
      <c r="V1277" s="1322" t="s">
        <v>31</v>
      </c>
      <c r="W1277" s="74"/>
      <c r="X1277" s="74"/>
      <c r="Y1277" s="74"/>
      <c r="Z1277" s="20"/>
      <c r="AA1277" s="20"/>
      <c r="AB1277" s="20"/>
      <c r="AC1277" s="20"/>
      <c r="AD1277" s="20"/>
      <c r="AE1277" s="20"/>
      <c r="AF1277" s="20"/>
      <c r="AG1277" s="20"/>
      <c r="AH1277" s="20"/>
      <c r="AI1277" s="20"/>
      <c r="AJ1277" s="20"/>
      <c r="AK1277" s="20"/>
    </row>
    <row r="1278" spans="1:42">
      <c r="A1278" s="1" t="s">
        <v>162</v>
      </c>
      <c r="B1278" s="3" t="s">
        <v>507</v>
      </c>
      <c r="C1278" s="249">
        <f ca="1">'Table 2'!L140</f>
        <v>4085100148.9150891</v>
      </c>
      <c r="F1278" s="84">
        <f ca="1">'Table 3'!N140</f>
        <v>335672660.78906405</v>
      </c>
      <c r="I1278" s="856" t="s">
        <v>31</v>
      </c>
      <c r="J1278" s="84"/>
      <c r="M1278" s="84">
        <f>M23+M94+M95+M182+M183+M184+M615+M616+M742+M895+M950+M1006+M1100+M1136+M1166+M1222+M1263</f>
        <v>0</v>
      </c>
      <c r="N1278" s="84"/>
      <c r="Q1278" s="84">
        <f>Q23+Q94+Q95+Q182+Q183+Q184+Q615+Q616+Q742+Q895+Q950+Q1006+Q1100+Q1136+Q1166+Q1222+Q1263</f>
        <v>0</v>
      </c>
      <c r="R1278" s="84"/>
      <c r="U1278" s="84">
        <f ca="1">U23+U94+U95+U182+U183+U184+U615+U616+U742+U895+U950+U1006+U1100+U1136+U1151+U1166+U1222+U1263</f>
        <v>8774</v>
      </c>
      <c r="V1278" s="84" t="s">
        <v>31</v>
      </c>
      <c r="W1278" s="74"/>
      <c r="X1278" s="74"/>
      <c r="Y1278" s="74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2">
      <c r="B1279" s="3" t="s">
        <v>508</v>
      </c>
      <c r="C1279" s="249">
        <f ca="1">'Table 1 - kWh'!F21</f>
        <v>4085100148.9150887</v>
      </c>
      <c r="F1279" s="84">
        <f ca="1">'Table 1-Revenues'!J21</f>
        <v>335672660.78906411</v>
      </c>
      <c r="V1279" s="20"/>
      <c r="W1279" s="74"/>
      <c r="X1279" s="74"/>
      <c r="Y1279" s="74"/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2">
      <c r="V1280" s="20"/>
      <c r="W1280" s="74"/>
      <c r="X1280" s="74"/>
      <c r="Y1280" s="74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</row>
    <row r="1281" spans="2:37">
      <c r="B1281" s="3" t="s">
        <v>245</v>
      </c>
      <c r="C1281" s="249">
        <f ca="1">C1274-C1279</f>
        <v>0</v>
      </c>
      <c r="F1281" s="249">
        <f ca="1">F1274-F1279</f>
        <v>5677006.5055657625</v>
      </c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2:37"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4" spans="2:37">
      <c r="B1284" s="3" t="s">
        <v>509</v>
      </c>
      <c r="C1284" s="249">
        <f>C24+C88+C176+C605+C725+C884+C906+C1135+C1150+C1165+C1220+C1262</f>
        <v>1543235.2252762527</v>
      </c>
    </row>
    <row r="1285" spans="2:37">
      <c r="B1285" s="3" t="s">
        <v>40</v>
      </c>
      <c r="C1285" s="249">
        <f>((C24+C88+C216+C354+C605+C884+C906+C1135+C1150+C1165+C1220+C1262)/12)+C459+C725</f>
        <v>133394.92356550292</v>
      </c>
    </row>
    <row r="1286" spans="2:37">
      <c r="B1286" s="742" t="s">
        <v>98</v>
      </c>
      <c r="C1286" s="249">
        <f>'Table 2'!F140</f>
        <v>133392.45264854634</v>
      </c>
      <c r="W1286" s="3"/>
      <c r="X1286" s="3"/>
      <c r="Y1286" s="3"/>
    </row>
    <row r="1287" spans="2:37">
      <c r="B1287" s="3" t="s">
        <v>245</v>
      </c>
      <c r="C1287" s="249">
        <f>C1285-C1286</f>
        <v>2.4709169565758202</v>
      </c>
      <c r="W1287" s="3"/>
      <c r="X1287" s="3"/>
      <c r="Y1287" s="3"/>
    </row>
  </sheetData>
  <mergeCells count="4">
    <mergeCell ref="A4:U4"/>
    <mergeCell ref="A1:I1"/>
    <mergeCell ref="A2:I2"/>
    <mergeCell ref="A3:I3"/>
  </mergeCells>
  <printOptions horizontalCentered="1"/>
  <pageMargins left="0" right="0" top="0.25" bottom="0.05" header="0.5" footer="0.25"/>
  <pageSetup scale="51" fitToHeight="10" orientation="landscape" r:id="rId1"/>
  <headerFooter alignWithMargins="0"/>
  <rowBreaks count="10" manualBreakCount="10">
    <brk id="103" max="11" man="1"/>
    <brk id="163" max="11" man="1"/>
    <brk id="556" max="11" man="1"/>
    <brk id="597" max="11" man="1"/>
    <brk id="715" max="11" man="1"/>
    <brk id="876" max="11" man="1"/>
    <brk id="936" max="11" man="1"/>
    <brk id="1107" max="11" man="1"/>
    <brk id="1172" max="11" man="1"/>
    <brk id="1229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topLeftCell="A10" zoomScaleNormal="100" workbookViewId="0">
      <selection activeCell="K33" sqref="K33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  <col min="26" max="26" width="9.375" bestFit="1" customWidth="1"/>
  </cols>
  <sheetData>
    <row r="1" spans="1:27">
      <c r="A1" s="1490" t="s">
        <v>72</v>
      </c>
      <c r="B1" s="1490"/>
      <c r="C1" s="1490"/>
      <c r="D1" s="1490"/>
      <c r="E1" s="1490"/>
      <c r="F1" s="1490"/>
      <c r="G1" s="1490"/>
      <c r="H1" s="1490"/>
      <c r="I1" s="1490"/>
      <c r="J1" s="1490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</row>
    <row r="2" spans="1:27">
      <c r="A2" s="1490" t="s">
        <v>608</v>
      </c>
      <c r="B2" s="1490"/>
      <c r="C2" s="1490"/>
      <c r="D2" s="1490"/>
      <c r="E2" s="1490"/>
      <c r="F2" s="1490"/>
      <c r="G2" s="1490"/>
      <c r="H2" s="1490"/>
      <c r="I2" s="1490"/>
      <c r="J2" s="1490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</row>
    <row r="3" spans="1:27">
      <c r="A3" s="1490" t="s">
        <v>609</v>
      </c>
      <c r="B3" s="1490"/>
      <c r="C3" s="1490"/>
      <c r="D3" s="1490"/>
      <c r="E3" s="1490"/>
      <c r="F3" s="1490"/>
      <c r="G3" s="1490"/>
      <c r="H3" s="1490"/>
      <c r="I3" s="1490"/>
      <c r="J3" s="1490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</row>
    <row r="4" spans="1:27">
      <c r="A4" s="1025"/>
      <c r="B4" s="1025"/>
      <c r="C4" s="1025"/>
      <c r="D4" s="1025"/>
      <c r="E4" s="1025"/>
      <c r="F4" s="1025"/>
      <c r="G4" s="1025"/>
      <c r="H4" s="1025"/>
      <c r="I4" s="1025"/>
      <c r="J4" s="1025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</row>
    <row r="5" spans="1:27">
      <c r="A5" s="801" t="s">
        <v>706</v>
      </c>
      <c r="B5" s="802">
        <v>5664</v>
      </c>
      <c r="C5" s="1025"/>
      <c r="D5" s="644"/>
      <c r="E5" s="644"/>
      <c r="F5" s="1025"/>
      <c r="G5" s="1025"/>
      <c r="H5" s="1025"/>
      <c r="I5" s="1025"/>
      <c r="J5" s="1025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</row>
    <row r="6" spans="1:27">
      <c r="A6" s="659" t="s">
        <v>707</v>
      </c>
      <c r="B6" s="810">
        <f ca="1">2*'Rate Spread targets'!V18</f>
        <v>3.3882897219112001E-2</v>
      </c>
      <c r="C6" s="643"/>
      <c r="D6" s="645" t="s">
        <v>361</v>
      </c>
      <c r="E6" s="720" t="s">
        <v>296</v>
      </c>
      <c r="F6" s="651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3"/>
    </row>
    <row r="7" spans="1:27">
      <c r="A7" s="659" t="s">
        <v>31</v>
      </c>
      <c r="B7" s="800">
        <v>75</v>
      </c>
      <c r="C7" s="800"/>
      <c r="D7" s="646" t="s">
        <v>1027</v>
      </c>
      <c r="E7" s="1026" t="s">
        <v>610</v>
      </c>
      <c r="F7" s="657"/>
      <c r="G7" s="643"/>
      <c r="H7" s="648"/>
      <c r="I7" s="648"/>
      <c r="J7" s="648"/>
      <c r="K7" s="648"/>
      <c r="L7" s="1026" t="s">
        <v>611</v>
      </c>
      <c r="M7" s="648"/>
      <c r="N7" s="649"/>
      <c r="O7" s="650"/>
      <c r="P7" s="650"/>
      <c r="Q7" s="651"/>
      <c r="R7" s="643"/>
      <c r="S7" s="649"/>
      <c r="T7" s="651"/>
      <c r="U7" s="643"/>
      <c r="V7" s="1026" t="s">
        <v>611</v>
      </c>
      <c r="W7" s="643"/>
      <c r="X7" s="643"/>
    </row>
    <row r="8" spans="1:27">
      <c r="A8" s="652" t="s">
        <v>31</v>
      </c>
      <c r="B8" s="643"/>
      <c r="C8" s="643"/>
      <c r="D8" s="653"/>
      <c r="E8" s="1432">
        <v>0.16980000000000001</v>
      </c>
      <c r="F8" s="657"/>
      <c r="G8" s="654" t="s">
        <v>31</v>
      </c>
      <c r="H8" s="654"/>
      <c r="I8" s="654"/>
      <c r="J8" s="654"/>
      <c r="K8" s="648"/>
      <c r="L8" s="655" t="s">
        <v>612</v>
      </c>
      <c r="M8" s="648"/>
      <c r="N8" s="656"/>
      <c r="O8" s="648"/>
      <c r="P8" s="648"/>
      <c r="Q8" s="657"/>
      <c r="R8" s="643"/>
      <c r="S8" s="656"/>
      <c r="T8" s="657"/>
      <c r="U8" s="643"/>
      <c r="V8" s="655" t="s">
        <v>613</v>
      </c>
      <c r="W8" s="643"/>
      <c r="X8" s="643"/>
    </row>
    <row r="9" spans="1:27">
      <c r="A9" s="643"/>
      <c r="B9" s="1491" t="s">
        <v>720</v>
      </c>
      <c r="C9" s="1492"/>
      <c r="D9" s="646" t="s">
        <v>31</v>
      </c>
      <c r="E9" s="1026" t="s">
        <v>246</v>
      </c>
      <c r="F9" s="721" t="s">
        <v>165</v>
      </c>
      <c r="G9" s="1026" t="s">
        <v>614</v>
      </c>
      <c r="H9" s="648"/>
      <c r="I9" s="648"/>
      <c r="J9" s="647" t="s">
        <v>614</v>
      </c>
      <c r="K9" s="648"/>
      <c r="L9" s="655" t="s">
        <v>297</v>
      </c>
      <c r="M9" s="648"/>
      <c r="N9" s="656"/>
      <c r="O9" s="648"/>
      <c r="P9" s="648"/>
      <c r="Q9" s="657"/>
      <c r="R9" s="643"/>
      <c r="S9" s="653" t="s">
        <v>615</v>
      </c>
      <c r="T9" s="658">
        <f>E8</f>
        <v>0.16980000000000001</v>
      </c>
      <c r="U9" s="643"/>
      <c r="V9" s="655" t="s">
        <v>37</v>
      </c>
      <c r="W9" s="643"/>
      <c r="X9" s="643"/>
    </row>
    <row r="10" spans="1:27">
      <c r="A10" s="659" t="s">
        <v>616</v>
      </c>
      <c r="B10" s="643" t="s">
        <v>708</v>
      </c>
      <c r="C10" s="643" t="s">
        <v>709</v>
      </c>
      <c r="D10" s="660">
        <f>X27</f>
        <v>2197901.4662864143</v>
      </c>
      <c r="E10" s="803">
        <f>J27</f>
        <v>2368486.1954751844</v>
      </c>
      <c r="F10" s="804">
        <f>E10-D10</f>
        <v>170584.72918877006</v>
      </c>
      <c r="G10" s="1026" t="s">
        <v>617</v>
      </c>
      <c r="H10" s="1026"/>
      <c r="I10" s="648"/>
      <c r="J10" s="647" t="s">
        <v>544</v>
      </c>
      <c r="K10" s="648"/>
      <c r="L10" s="662"/>
      <c r="M10" s="648"/>
      <c r="N10" s="656"/>
      <c r="O10" s="648"/>
      <c r="P10" s="648"/>
      <c r="Q10" s="657"/>
      <c r="R10" s="643"/>
      <c r="S10" s="663">
        <f>D10</f>
        <v>2197901.4662864143</v>
      </c>
      <c r="T10" s="664">
        <f>E10</f>
        <v>2368486.1954751844</v>
      </c>
      <c r="U10" s="643"/>
      <c r="V10" s="643"/>
      <c r="W10" s="643"/>
      <c r="X10" s="643" t="s">
        <v>710</v>
      </c>
      <c r="Z10" s="803" t="s">
        <v>31</v>
      </c>
      <c r="AA10" t="s">
        <v>31</v>
      </c>
    </row>
    <row r="11" spans="1:27">
      <c r="A11" s="665" t="s">
        <v>705</v>
      </c>
      <c r="B11" s="800">
        <v>72.5</v>
      </c>
      <c r="C11" s="800">
        <f>+B7</f>
        <v>75</v>
      </c>
      <c r="D11" s="660">
        <f>4720*B11</f>
        <v>342200</v>
      </c>
      <c r="E11" s="722">
        <f>4720*C11</f>
        <v>354000</v>
      </c>
      <c r="F11" s="805">
        <f>+E11-D11</f>
        <v>11800</v>
      </c>
      <c r="G11" s="1026" t="s">
        <v>297</v>
      </c>
      <c r="H11" s="666"/>
      <c r="I11" s="648"/>
      <c r="J11" s="667" t="s">
        <v>296</v>
      </c>
      <c r="K11" s="1026"/>
      <c r="L11" s="668"/>
      <c r="M11" s="643"/>
      <c r="N11" s="656" t="s">
        <v>40</v>
      </c>
      <c r="O11" s="648"/>
      <c r="P11" s="648" t="s">
        <v>509</v>
      </c>
      <c r="Q11" s="657" t="s">
        <v>618</v>
      </c>
      <c r="R11" s="643"/>
      <c r="S11" s="663">
        <f>D11</f>
        <v>342200</v>
      </c>
      <c r="T11" s="664">
        <f>E11</f>
        <v>354000</v>
      </c>
      <c r="U11" s="643"/>
      <c r="V11" s="643"/>
      <c r="W11" s="643"/>
      <c r="X11" s="1026" t="s">
        <v>614</v>
      </c>
    </row>
    <row r="12" spans="1:27">
      <c r="A12" s="659" t="s">
        <v>711</v>
      </c>
      <c r="B12" s="643"/>
      <c r="C12" s="643"/>
      <c r="D12" s="669">
        <f>D10-D11</f>
        <v>1855701.4662864143</v>
      </c>
      <c r="E12" s="670">
        <f>E10-E11</f>
        <v>2014486.1954751844</v>
      </c>
      <c r="F12" s="723">
        <f>E12-D12</f>
        <v>158784.72918877006</v>
      </c>
      <c r="G12" s="671" t="s">
        <v>620</v>
      </c>
      <c r="H12" s="672" t="s">
        <v>40</v>
      </c>
      <c r="I12" s="648"/>
      <c r="J12" s="673" t="s">
        <v>37</v>
      </c>
      <c r="K12" s="666"/>
      <c r="L12" s="662"/>
      <c r="M12" s="643" t="s">
        <v>31</v>
      </c>
      <c r="N12" s="656" t="s">
        <v>621</v>
      </c>
      <c r="O12" s="648"/>
      <c r="P12" s="648" t="s">
        <v>621</v>
      </c>
      <c r="Q12" s="657" t="s">
        <v>621</v>
      </c>
      <c r="R12" s="643"/>
      <c r="S12" s="663">
        <f>S10-S11</f>
        <v>1855701.4662864143</v>
      </c>
      <c r="T12" s="664">
        <f>T10-T11</f>
        <v>2014486.1954751844</v>
      </c>
      <c r="U12" s="643"/>
      <c r="V12" s="643"/>
      <c r="W12" s="643"/>
      <c r="X12" s="1026" t="s">
        <v>544</v>
      </c>
    </row>
    <row r="13" spans="1:27">
      <c r="A13" s="659"/>
      <c r="B13" s="643"/>
      <c r="C13" s="643"/>
      <c r="D13" s="653"/>
      <c r="E13" s="806"/>
      <c r="F13" s="648"/>
      <c r="G13" s="643"/>
      <c r="H13" s="643"/>
      <c r="I13" s="643"/>
      <c r="J13" s="657"/>
      <c r="K13" s="648"/>
      <c r="L13" s="643"/>
      <c r="M13" s="643"/>
      <c r="N13" s="656"/>
      <c r="O13" s="648"/>
      <c r="P13" s="648"/>
      <c r="Q13" s="657"/>
      <c r="R13" s="643"/>
      <c r="S13" s="663"/>
      <c r="T13" s="664"/>
      <c r="U13" s="643"/>
      <c r="V13" s="643"/>
      <c r="W13" s="643"/>
      <c r="X13" s="1026" t="s">
        <v>37</v>
      </c>
    </row>
    <row r="14" spans="1:27">
      <c r="A14" s="659" t="s">
        <v>622</v>
      </c>
      <c r="B14" s="643" t="s">
        <v>301</v>
      </c>
      <c r="C14" s="675">
        <v>15</v>
      </c>
      <c r="D14" s="676">
        <v>0.13</v>
      </c>
      <c r="E14" s="677">
        <f t="shared" ref="E14" si="0">ROUND(D14*(1+$E$8),2)</f>
        <v>0.15</v>
      </c>
      <c r="F14" s="648"/>
      <c r="G14" s="678">
        <f t="shared" ref="G14:G26" si="1">E14-D14</f>
        <v>1.999999999999999E-2</v>
      </c>
      <c r="H14" s="679">
        <f>'Est Effect of Base Rate Inc'!H36</f>
        <v>2460.6166666666663</v>
      </c>
      <c r="I14" s="679"/>
      <c r="J14" s="664">
        <f>H14*E14*12</f>
        <v>4429.1099999999988</v>
      </c>
      <c r="K14" s="678"/>
      <c r="L14" s="790">
        <f t="shared" ref="L14:L26" si="2">(E14-D14)/D14</f>
        <v>0.15384615384615377</v>
      </c>
      <c r="M14" s="643"/>
      <c r="N14" s="681">
        <v>3226</v>
      </c>
      <c r="O14" s="679"/>
      <c r="P14" s="679">
        <f t="shared" ref="P14:P18" si="3">Q14/D14/12</f>
        <v>887.5</v>
      </c>
      <c r="Q14" s="664">
        <v>1384.5</v>
      </c>
      <c r="R14" s="643"/>
      <c r="S14" s="663">
        <f t="shared" ref="S14:S18" si="4">P14*D14*12</f>
        <v>1384.5</v>
      </c>
      <c r="T14" s="664">
        <f>H14*E14*12</f>
        <v>4429.1099999999988</v>
      </c>
      <c r="U14" s="643"/>
      <c r="V14" s="680">
        <f>(J14-X14)/X14</f>
        <v>4.1256623769870826E-2</v>
      </c>
      <c r="W14" s="643"/>
      <c r="X14" s="662">
        <v>4253.6200000000008</v>
      </c>
    </row>
    <row r="15" spans="1:27">
      <c r="A15" s="659"/>
      <c r="B15" s="643" t="s">
        <v>301</v>
      </c>
      <c r="C15" s="717" t="s">
        <v>712</v>
      </c>
      <c r="D15" s="676">
        <v>0.74</v>
      </c>
      <c r="E15" s="677">
        <f>ROUND(D15*(1+$E$8),2)</f>
        <v>0.87</v>
      </c>
      <c r="F15" s="648"/>
      <c r="G15" s="678">
        <f t="shared" si="1"/>
        <v>0.13</v>
      </c>
      <c r="H15" s="679">
        <f>99299-E29+D29</f>
        <v>99063</v>
      </c>
      <c r="I15" s="679"/>
      <c r="J15" s="664">
        <f>(H15)*E15*12</f>
        <v>1034217.72</v>
      </c>
      <c r="K15" s="678"/>
      <c r="L15" s="790">
        <f t="shared" si="2"/>
        <v>0.17567567567567569</v>
      </c>
      <c r="M15" s="643"/>
      <c r="N15" s="681">
        <v>130394</v>
      </c>
      <c r="O15" s="679"/>
      <c r="P15" s="679">
        <f t="shared" si="3"/>
        <v>30134.185810810814</v>
      </c>
      <c r="Q15" s="664">
        <v>267591.57</v>
      </c>
      <c r="R15" s="643"/>
      <c r="S15" s="663">
        <f t="shared" si="4"/>
        <v>267591.57</v>
      </c>
      <c r="T15" s="664">
        <f>(H15-E29)*E15*12</f>
        <v>975085.56</v>
      </c>
      <c r="U15" s="643"/>
      <c r="V15" s="680">
        <f t="shared" ref="V15:V27" si="5">(J15-X15)/X15</f>
        <v>7.5213458755426885E-2</v>
      </c>
      <c r="W15" s="643"/>
      <c r="X15" s="662">
        <v>961872</v>
      </c>
    </row>
    <row r="16" spans="1:27">
      <c r="A16" s="659"/>
      <c r="B16" s="643" t="s">
        <v>301</v>
      </c>
      <c r="C16" s="675">
        <v>24</v>
      </c>
      <c r="D16" s="676">
        <v>1.56</v>
      </c>
      <c r="E16" s="677">
        <f>ROUND(D16*(1+$E$8),2)-0.02</f>
        <v>1.8</v>
      </c>
      <c r="F16" s="648"/>
      <c r="G16" s="678">
        <f t="shared" si="1"/>
        <v>0.24</v>
      </c>
      <c r="H16" s="679">
        <f>'Est Effect of Base Rate Inc'!H23</f>
        <v>19046.041792326934</v>
      </c>
      <c r="I16" s="679"/>
      <c r="J16" s="664">
        <f>H16*E16*12</f>
        <v>411394.50271426176</v>
      </c>
      <c r="K16" s="678"/>
      <c r="L16" s="790">
        <f t="shared" si="2"/>
        <v>0.15384615384615383</v>
      </c>
      <c r="M16" s="643"/>
      <c r="N16" s="681">
        <v>19694</v>
      </c>
      <c r="O16" s="679"/>
      <c r="P16" s="679">
        <f t="shared" si="3"/>
        <v>4988.3178418803418</v>
      </c>
      <c r="Q16" s="664">
        <v>93381.31</v>
      </c>
      <c r="R16" s="643"/>
      <c r="S16" s="663">
        <f t="shared" si="4"/>
        <v>93381.31</v>
      </c>
      <c r="T16" s="664">
        <f>H16*E16*12</f>
        <v>411394.50271426176</v>
      </c>
      <c r="U16" s="643"/>
      <c r="V16" s="680">
        <f t="shared" si="5"/>
        <v>6.0856951413276815E-2</v>
      </c>
      <c r="W16" s="643"/>
      <c r="X16" s="662">
        <v>387794.51099999936</v>
      </c>
    </row>
    <row r="17" spans="1:25">
      <c r="A17" s="659"/>
      <c r="B17" s="643" t="s">
        <v>301</v>
      </c>
      <c r="C17" s="675">
        <v>33</v>
      </c>
      <c r="D17" s="676">
        <v>37.89</v>
      </c>
      <c r="E17" s="677">
        <f>ROUND(D17*(1+$E$8),2)+0.02</f>
        <v>44.34</v>
      </c>
      <c r="F17" s="648"/>
      <c r="G17" s="678">
        <f t="shared" si="1"/>
        <v>6.4500000000000028</v>
      </c>
      <c r="H17" s="679">
        <v>0</v>
      </c>
      <c r="I17" s="679"/>
      <c r="J17" s="664">
        <f>H17*E17*12</f>
        <v>0</v>
      </c>
      <c r="K17" s="678"/>
      <c r="L17" s="790">
        <f t="shared" si="2"/>
        <v>0.17022961203483777</v>
      </c>
      <c r="M17" s="643"/>
      <c r="N17" s="681">
        <v>1</v>
      </c>
      <c r="O17" s="679"/>
      <c r="P17" s="679">
        <f t="shared" si="3"/>
        <v>8.9579484472596102E-2</v>
      </c>
      <c r="Q17" s="664">
        <v>40.729999999999997</v>
      </c>
      <c r="R17" s="643"/>
      <c r="S17" s="663">
        <f t="shared" si="4"/>
        <v>40.729999999999997</v>
      </c>
      <c r="T17" s="664">
        <f>H17*E17*12</f>
        <v>0</v>
      </c>
      <c r="U17" s="643"/>
      <c r="V17" s="680">
        <f>V18</f>
        <v>9.632169182770145E-2</v>
      </c>
      <c r="W17" s="643"/>
      <c r="X17" s="662">
        <v>0</v>
      </c>
    </row>
    <row r="18" spans="1:25">
      <c r="A18" s="659"/>
      <c r="B18" s="643" t="s">
        <v>301</v>
      </c>
      <c r="C18" s="675">
        <v>36</v>
      </c>
      <c r="D18" s="676">
        <v>37.89</v>
      </c>
      <c r="E18" s="677">
        <f>ROUND(D18*(1+$E$8),2)+0.02</f>
        <v>44.34</v>
      </c>
      <c r="F18" s="648"/>
      <c r="G18" s="678">
        <f t="shared" si="1"/>
        <v>6.4500000000000028</v>
      </c>
      <c r="H18" s="679">
        <f>'Est Effect of Base Rate Inc'!H25</f>
        <v>1085.852777777774</v>
      </c>
      <c r="I18" s="679"/>
      <c r="J18" s="664">
        <f>H18*E18*12</f>
        <v>577760.54599999799</v>
      </c>
      <c r="K18" s="678"/>
      <c r="L18" s="790">
        <f t="shared" si="2"/>
        <v>0.17022961203483777</v>
      </c>
      <c r="M18" s="643"/>
      <c r="N18" s="681">
        <v>1318</v>
      </c>
      <c r="O18" s="679"/>
      <c r="P18" s="679">
        <f t="shared" si="3"/>
        <v>292.62980557754906</v>
      </c>
      <c r="Q18" s="664">
        <v>133052.92000000001</v>
      </c>
      <c r="R18" s="643"/>
      <c r="S18" s="663">
        <f t="shared" si="4"/>
        <v>133052.92000000001</v>
      </c>
      <c r="T18" s="664">
        <f>H18*E18*12</f>
        <v>577760.54599999799</v>
      </c>
      <c r="U18" s="643"/>
      <c r="V18" s="680">
        <f t="shared" si="5"/>
        <v>9.632169182770145E-2</v>
      </c>
      <c r="W18" s="643"/>
      <c r="X18" s="662">
        <v>526999.10100000026</v>
      </c>
    </row>
    <row r="19" spans="1:25">
      <c r="A19" s="659"/>
      <c r="B19" s="643" t="s">
        <v>301</v>
      </c>
      <c r="C19" s="675">
        <v>40</v>
      </c>
      <c r="D19" s="676">
        <v>15.65</v>
      </c>
      <c r="E19" s="677">
        <f>ROUND(D19*(1+$E$8),2)-0.04</f>
        <v>18.27</v>
      </c>
      <c r="F19" s="682" t="s">
        <v>713</v>
      </c>
      <c r="G19" s="678">
        <f t="shared" si="1"/>
        <v>2.6199999999999992</v>
      </c>
      <c r="H19" s="679">
        <f>'Est Effect of Base Rate Inc'!H26</f>
        <v>5224.9278642093977</v>
      </c>
      <c r="I19" s="679"/>
      <c r="J19" s="664">
        <f>H19*E19</f>
        <v>95459.432079105696</v>
      </c>
      <c r="K19" s="678"/>
      <c r="L19" s="790">
        <f t="shared" si="2"/>
        <v>0.16741214057507983</v>
      </c>
      <c r="M19" s="678"/>
      <c r="N19" s="681">
        <v>3590</v>
      </c>
      <c r="O19" s="679"/>
      <c r="P19" s="679">
        <f>Q19/D19</f>
        <v>994.33546325878592</v>
      </c>
      <c r="Q19" s="664">
        <v>15561.35</v>
      </c>
      <c r="R19" s="643"/>
      <c r="S19" s="663">
        <f>P19*D19</f>
        <v>15561.35</v>
      </c>
      <c r="T19" s="664">
        <f>H19*E19</f>
        <v>95459.432079105696</v>
      </c>
      <c r="U19" s="643"/>
      <c r="V19" s="680">
        <f t="shared" si="5"/>
        <v>5.5893272963162315E-2</v>
      </c>
      <c r="W19" s="643"/>
      <c r="X19" s="662">
        <v>90406.326589445045</v>
      </c>
    </row>
    <row r="20" spans="1:25">
      <c r="A20" s="659"/>
      <c r="B20" s="643" t="s">
        <v>301</v>
      </c>
      <c r="C20" s="675" t="s">
        <v>623</v>
      </c>
      <c r="D20" s="676">
        <v>257.5</v>
      </c>
      <c r="E20" s="677">
        <f>ROUND(D20*(1+$E$8),2)-1.04</f>
        <v>300.18</v>
      </c>
      <c r="F20" s="648"/>
      <c r="G20" s="678">
        <f t="shared" si="1"/>
        <v>42.680000000000007</v>
      </c>
      <c r="H20" s="679">
        <f>'Est Effect of Base Rate Inc'!H27</f>
        <v>1</v>
      </c>
      <c r="I20" s="679"/>
      <c r="J20" s="664">
        <f t="shared" ref="J20:J26" si="6">H20*E20*12</f>
        <v>3602.16</v>
      </c>
      <c r="K20" s="678"/>
      <c r="L20" s="790">
        <f t="shared" si="2"/>
        <v>0.16574757281553401</v>
      </c>
      <c r="M20" s="678"/>
      <c r="N20" s="681">
        <v>1</v>
      </c>
      <c r="O20" s="679"/>
      <c r="P20" s="679">
        <f t="shared" ref="P20:P26" si="7">Q20/D20/12</f>
        <v>0.29126213592233008</v>
      </c>
      <c r="Q20" s="664">
        <v>900</v>
      </c>
      <c r="R20" s="643"/>
      <c r="S20" s="663">
        <f t="shared" ref="S20:S26" si="8">P20*D20*12</f>
        <v>900</v>
      </c>
      <c r="T20" s="664">
        <f t="shared" ref="T20:T26" si="9">H20*E20*12</f>
        <v>3602.16</v>
      </c>
      <c r="U20" s="643"/>
      <c r="V20" s="680">
        <f t="shared" si="5"/>
        <v>6.0519342872284179E-2</v>
      </c>
      <c r="W20" s="643"/>
      <c r="X20" s="662">
        <v>3396.5999999999995</v>
      </c>
    </row>
    <row r="21" spans="1:25">
      <c r="A21" s="659"/>
      <c r="B21" s="643" t="s">
        <v>301</v>
      </c>
      <c r="C21" s="675" t="s">
        <v>71</v>
      </c>
      <c r="D21" s="676">
        <v>257.5</v>
      </c>
      <c r="E21" s="677">
        <f>ROUND(D21*(1+$E$8),2)-1.04</f>
        <v>300.18</v>
      </c>
      <c r="F21" s="648"/>
      <c r="G21" s="678">
        <f t="shared" si="1"/>
        <v>42.680000000000007</v>
      </c>
      <c r="H21" s="679">
        <f>'Est Effect of Base Rate Inc'!H28</f>
        <v>65.154040404040458</v>
      </c>
      <c r="I21" s="679"/>
      <c r="J21" s="664">
        <f t="shared" si="6"/>
        <v>234695.27818181837</v>
      </c>
      <c r="K21" s="678"/>
      <c r="L21" s="790">
        <f t="shared" si="2"/>
        <v>0.16574757281553401</v>
      </c>
      <c r="M21" s="678"/>
      <c r="N21" s="681">
        <v>77</v>
      </c>
      <c r="O21" s="679"/>
      <c r="P21" s="679">
        <f t="shared" si="7"/>
        <v>18.803330097087379</v>
      </c>
      <c r="Q21" s="664">
        <v>58102.29</v>
      </c>
      <c r="R21" s="643"/>
      <c r="S21" s="663">
        <f t="shared" si="8"/>
        <v>58102.29</v>
      </c>
      <c r="T21" s="664">
        <f t="shared" si="9"/>
        <v>234695.27818181837</v>
      </c>
      <c r="U21" s="643"/>
      <c r="V21" s="680">
        <f t="shared" si="5"/>
        <v>0.1142427644031371</v>
      </c>
      <c r="W21" s="643"/>
      <c r="X21" s="662">
        <v>210632.08636363625</v>
      </c>
    </row>
    <row r="22" spans="1:25">
      <c r="A22" s="659"/>
      <c r="B22" s="643" t="s">
        <v>301</v>
      </c>
      <c r="C22" s="675">
        <v>51</v>
      </c>
      <c r="D22" s="676">
        <v>2.15</v>
      </c>
      <c r="E22" s="677">
        <f>ROUND(D22*(1+$E$8),2)-0.01</f>
        <v>2.5100000000000002</v>
      </c>
      <c r="F22" s="683"/>
      <c r="G22" s="678">
        <f t="shared" si="1"/>
        <v>0.36000000000000032</v>
      </c>
      <c r="H22" s="679">
        <f>'Est Effect of Base Rate Inc'!H37</f>
        <v>177</v>
      </c>
      <c r="I22" s="679"/>
      <c r="J22" s="664">
        <f t="shared" si="6"/>
        <v>5331.2400000000007</v>
      </c>
      <c r="K22" s="678"/>
      <c r="L22" s="790">
        <f t="shared" si="2"/>
        <v>0.16744186046511644</v>
      </c>
      <c r="M22" s="648"/>
      <c r="N22" s="681">
        <v>149</v>
      </c>
      <c r="O22" s="679"/>
      <c r="P22" s="679">
        <f t="shared" si="7"/>
        <v>40.639922480620157</v>
      </c>
      <c r="Q22" s="664">
        <v>1048.51</v>
      </c>
      <c r="R22" s="643"/>
      <c r="S22" s="663">
        <f t="shared" si="8"/>
        <v>1048.51</v>
      </c>
      <c r="T22" s="664">
        <f t="shared" si="9"/>
        <v>5331.2400000000007</v>
      </c>
      <c r="U22" s="643"/>
      <c r="V22" s="680">
        <f t="shared" si="5"/>
        <v>0.14520286642264288</v>
      </c>
      <c r="W22" s="643"/>
      <c r="X22" s="662">
        <v>4655.28</v>
      </c>
    </row>
    <row r="23" spans="1:25">
      <c r="A23" s="659"/>
      <c r="B23" s="643" t="s">
        <v>301</v>
      </c>
      <c r="C23" s="675">
        <v>52</v>
      </c>
      <c r="D23" s="676">
        <v>2.15</v>
      </c>
      <c r="E23" s="677">
        <f>ROUND(D23*(1+$E$8),2)-0.01</f>
        <v>2.5100000000000002</v>
      </c>
      <c r="F23" s="648"/>
      <c r="G23" s="678">
        <f t="shared" si="1"/>
        <v>0.36000000000000032</v>
      </c>
      <c r="H23" s="679">
        <f>'Est Effect of Base Rate Inc'!H38</f>
        <v>1.1666666666666667</v>
      </c>
      <c r="I23" s="679"/>
      <c r="J23" s="664">
        <f t="shared" si="6"/>
        <v>35.14</v>
      </c>
      <c r="K23" s="678"/>
      <c r="L23" s="790">
        <f t="shared" si="2"/>
        <v>0.16744186046511644</v>
      </c>
      <c r="M23" s="648"/>
      <c r="N23" s="681">
        <v>28</v>
      </c>
      <c r="O23" s="679"/>
      <c r="P23" s="679">
        <f t="shared" si="7"/>
        <v>6.3860465116279066</v>
      </c>
      <c r="Q23" s="664">
        <v>164.76</v>
      </c>
      <c r="R23" s="643"/>
      <c r="S23" s="663">
        <f t="shared" si="8"/>
        <v>164.76</v>
      </c>
      <c r="T23" s="664">
        <f t="shared" si="9"/>
        <v>35.14</v>
      </c>
      <c r="U23" s="643"/>
      <c r="V23" s="680">
        <f t="shared" si="5"/>
        <v>-0.9179738562091504</v>
      </c>
      <c r="W23" s="643"/>
      <c r="X23" s="662">
        <v>428.4</v>
      </c>
    </row>
    <row r="24" spans="1:25">
      <c r="A24" s="659"/>
      <c r="B24" s="643" t="s">
        <v>301</v>
      </c>
      <c r="C24" s="675">
        <v>53</v>
      </c>
      <c r="D24" s="676">
        <v>2.15</v>
      </c>
      <c r="E24" s="677">
        <f>ROUND(D24*(1+$E$8),2)-0.01</f>
        <v>2.5100000000000002</v>
      </c>
      <c r="F24" s="648"/>
      <c r="G24" s="678">
        <f t="shared" si="1"/>
        <v>0.36000000000000032</v>
      </c>
      <c r="H24" s="679">
        <f>'Est Effect of Base Rate Inc'!H39</f>
        <v>6.7847222222222223</v>
      </c>
      <c r="I24" s="679"/>
      <c r="J24" s="664">
        <f t="shared" si="6"/>
        <v>204.35583333333335</v>
      </c>
      <c r="K24" s="678"/>
      <c r="L24" s="790">
        <f t="shared" si="2"/>
        <v>0.16744186046511644</v>
      </c>
      <c r="M24" s="648"/>
      <c r="N24" s="681">
        <v>264</v>
      </c>
      <c r="O24" s="679"/>
      <c r="P24" s="679">
        <f t="shared" si="7"/>
        <v>74.072868217054264</v>
      </c>
      <c r="Q24" s="664">
        <v>1911.08</v>
      </c>
      <c r="R24" s="643"/>
      <c r="S24" s="663">
        <f t="shared" si="8"/>
        <v>1911.08</v>
      </c>
      <c r="T24" s="664">
        <f t="shared" si="9"/>
        <v>204.35583333333335</v>
      </c>
      <c r="U24" s="643"/>
      <c r="V24" s="680">
        <f t="shared" si="5"/>
        <v>-0.96703885008897994</v>
      </c>
      <c r="W24" s="643"/>
      <c r="X24" s="662">
        <v>6199.9</v>
      </c>
    </row>
    <row r="25" spans="1:25">
      <c r="A25" s="659"/>
      <c r="B25" s="643" t="s">
        <v>301</v>
      </c>
      <c r="C25" s="675">
        <v>54</v>
      </c>
      <c r="D25" s="676">
        <v>0.75</v>
      </c>
      <c r="E25" s="677">
        <f>ROUND(D25*(1+$E$8),2)</f>
        <v>0.88</v>
      </c>
      <c r="F25" s="648"/>
      <c r="G25" s="678">
        <f t="shared" si="1"/>
        <v>0.13</v>
      </c>
      <c r="H25" s="679">
        <f>'Est Effect of Base Rate Inc'!H30</f>
        <v>29.122222222222252</v>
      </c>
      <c r="I25" s="679"/>
      <c r="J25" s="664">
        <f t="shared" si="6"/>
        <v>307.530666666667</v>
      </c>
      <c r="K25" s="678"/>
      <c r="L25" s="790">
        <f t="shared" si="2"/>
        <v>0.17333333333333334</v>
      </c>
      <c r="M25" s="648"/>
      <c r="N25" s="681">
        <v>34</v>
      </c>
      <c r="O25" s="679"/>
      <c r="P25" s="679">
        <f t="shared" si="7"/>
        <v>8.6244444444444444</v>
      </c>
      <c r="Q25" s="664">
        <v>77.62</v>
      </c>
      <c r="R25" s="643"/>
      <c r="S25" s="663">
        <f t="shared" si="8"/>
        <v>77.62</v>
      </c>
      <c r="T25" s="664">
        <f t="shared" si="9"/>
        <v>307.530666666667</v>
      </c>
      <c r="U25" s="643"/>
      <c r="V25" s="680">
        <f t="shared" si="5"/>
        <v>4.2542804968452107E-2</v>
      </c>
      <c r="W25" s="643"/>
      <c r="X25" s="662">
        <v>294.98133333333305</v>
      </c>
    </row>
    <row r="26" spans="1:25">
      <c r="A26" s="659"/>
      <c r="B26" s="643" t="s">
        <v>301</v>
      </c>
      <c r="C26" s="675">
        <v>57</v>
      </c>
      <c r="D26" s="676">
        <v>2.15</v>
      </c>
      <c r="E26" s="677">
        <f>ROUND(D26*(1+$E$8),2)-0.01</f>
        <v>2.5100000000000002</v>
      </c>
      <c r="F26" s="648"/>
      <c r="G26" s="678">
        <f t="shared" si="1"/>
        <v>0.36000000000000032</v>
      </c>
      <c r="H26" s="684">
        <f>'Est Effect of Base Rate Inc'!H40</f>
        <v>34.833333333333336</v>
      </c>
      <c r="I26" s="679"/>
      <c r="J26" s="685">
        <f t="shared" si="6"/>
        <v>1049.1800000000003</v>
      </c>
      <c r="K26" s="686"/>
      <c r="L26" s="790">
        <f t="shared" si="2"/>
        <v>0.16744186046511644</v>
      </c>
      <c r="M26" s="648"/>
      <c r="N26" s="681">
        <v>66</v>
      </c>
      <c r="O26" s="679"/>
      <c r="P26" s="679">
        <f t="shared" si="7"/>
        <v>18.634883720930233</v>
      </c>
      <c r="Q26" s="664">
        <v>480.78</v>
      </c>
      <c r="R26" s="643"/>
      <c r="S26" s="663">
        <f t="shared" si="8"/>
        <v>480.78</v>
      </c>
      <c r="T26" s="664">
        <f t="shared" si="9"/>
        <v>1049.1800000000003</v>
      </c>
      <c r="U26" s="643"/>
      <c r="V26" s="680">
        <f t="shared" si="5"/>
        <v>8.3125141948671696E-2</v>
      </c>
      <c r="W26" s="643"/>
      <c r="X26" s="662">
        <v>968.66</v>
      </c>
    </row>
    <row r="27" spans="1:25">
      <c r="A27" s="659"/>
      <c r="B27" s="643"/>
      <c r="C27" s="643"/>
      <c r="D27" s="653"/>
      <c r="E27" s="674"/>
      <c r="F27" s="648"/>
      <c r="G27" s="648"/>
      <c r="H27" s="679">
        <f>SUM(H14:H26)</f>
        <v>127195.50008582926</v>
      </c>
      <c r="I27" s="679"/>
      <c r="J27" s="664">
        <f>SUM(J14:J26)</f>
        <v>2368486.1954751844</v>
      </c>
      <c r="K27" s="678"/>
      <c r="L27" s="678"/>
      <c r="M27" s="648"/>
      <c r="N27" s="681">
        <v>158986</v>
      </c>
      <c r="O27" s="679"/>
      <c r="P27" s="679">
        <f>SUM(P14:P26)</f>
        <v>37464.511258619648</v>
      </c>
      <c r="Q27" s="664">
        <v>574056.87</v>
      </c>
      <c r="R27" s="643"/>
      <c r="S27" s="663">
        <f>SUM(S14:S26)</f>
        <v>573697.42000000004</v>
      </c>
      <c r="T27" s="664">
        <f>SUM(T14:T26)</f>
        <v>2309354.0354751842</v>
      </c>
      <c r="U27" s="643"/>
      <c r="V27" s="680">
        <f t="shared" si="5"/>
        <v>7.7612546242571509E-2</v>
      </c>
      <c r="W27" s="643"/>
      <c r="X27" s="662">
        <v>2197901.4662864143</v>
      </c>
    </row>
    <row r="28" spans="1:25">
      <c r="A28" s="675" t="s">
        <v>31</v>
      </c>
      <c r="B28" s="659" t="s">
        <v>31</v>
      </c>
      <c r="C28" s="643"/>
      <c r="D28" s="807"/>
      <c r="E28" s="674"/>
      <c r="F28" s="648"/>
      <c r="G28" s="648"/>
      <c r="H28" s="648"/>
      <c r="I28" s="648"/>
      <c r="J28" s="657"/>
      <c r="K28" s="648"/>
    </row>
    <row r="29" spans="1:25">
      <c r="A29" s="659" t="s">
        <v>624</v>
      </c>
      <c r="B29" s="643" t="s">
        <v>31</v>
      </c>
      <c r="C29" s="659" t="s">
        <v>31</v>
      </c>
      <c r="D29" s="687">
        <v>5428</v>
      </c>
      <c r="E29" s="688">
        <v>5664</v>
      </c>
      <c r="F29" s="808">
        <f>E29-D29</f>
        <v>236</v>
      </c>
      <c r="G29" s="654"/>
      <c r="H29" s="654"/>
      <c r="I29" s="654"/>
      <c r="J29" s="805">
        <f ca="1">+J27-E48</f>
        <v>-123.46097478456795</v>
      </c>
      <c r="K29" s="648"/>
    </row>
    <row r="30" spans="1:25">
      <c r="A30" s="675"/>
      <c r="B30" s="643"/>
      <c r="C30" s="659"/>
      <c r="D30" s="809"/>
      <c r="E30" s="690"/>
      <c r="F30" s="661"/>
      <c r="G30" s="648"/>
      <c r="H30" s="648"/>
      <c r="I30" s="648"/>
      <c r="J30" s="592" t="s">
        <v>714</v>
      </c>
      <c r="K30" s="648"/>
    </row>
    <row r="31" spans="1:25">
      <c r="A31" s="691" t="s">
        <v>715</v>
      </c>
      <c r="B31" s="643"/>
      <c r="C31" s="659"/>
      <c r="D31" s="689"/>
      <c r="E31" s="690"/>
      <c r="F31" s="661"/>
      <c r="G31" s="648"/>
      <c r="H31" s="648"/>
      <c r="I31" s="648"/>
      <c r="J31" s="648"/>
      <c r="K31" s="648"/>
      <c r="Y31" t="s">
        <v>31</v>
      </c>
    </row>
    <row r="32" spans="1:25">
      <c r="A32" s="675" t="s">
        <v>804</v>
      </c>
      <c r="B32" s="643"/>
      <c r="C32" s="659"/>
      <c r="D32" s="689"/>
      <c r="E32" s="690"/>
      <c r="F32" s="661"/>
      <c r="G32" s="648"/>
      <c r="H32" s="648"/>
      <c r="I32" s="648"/>
      <c r="J32" s="648"/>
      <c r="K32" s="648"/>
    </row>
    <row r="33" spans="1:23">
      <c r="A33" s="675"/>
      <c r="B33" s="643"/>
      <c r="C33" s="659"/>
      <c r="D33" s="689"/>
      <c r="E33" s="690"/>
      <c r="F33" s="661"/>
      <c r="G33" s="1026" t="s">
        <v>246</v>
      </c>
      <c r="H33" s="1026" t="s">
        <v>625</v>
      </c>
      <c r="I33" s="648"/>
      <c r="J33" s="648"/>
      <c r="K33" s="648"/>
      <c r="W33" t="s">
        <v>31</v>
      </c>
    </row>
    <row r="34" spans="1:23">
      <c r="A34" s="692" t="s">
        <v>626</v>
      </c>
      <c r="B34" s="643"/>
      <c r="C34" s="659"/>
      <c r="D34" s="689" t="s">
        <v>708</v>
      </c>
      <c r="E34" s="690" t="s">
        <v>709</v>
      </c>
      <c r="F34" s="661"/>
      <c r="G34" s="1026" t="s">
        <v>627</v>
      </c>
      <c r="H34" s="1026" t="s">
        <v>627</v>
      </c>
      <c r="I34" s="648"/>
      <c r="J34" s="648"/>
      <c r="K34" s="648"/>
    </row>
    <row r="35" spans="1:23">
      <c r="A35" s="643" t="s">
        <v>628</v>
      </c>
      <c r="B35" s="643"/>
      <c r="C35" s="643"/>
      <c r="D35" s="693">
        <v>344.03</v>
      </c>
      <c r="E35" s="693">
        <f ca="1">E44</f>
        <v>355.68673313029109</v>
      </c>
      <c r="F35" s="643"/>
      <c r="G35" s="694">
        <f ca="1">E35-D35</f>
        <v>11.656733130291116</v>
      </c>
      <c r="H35" s="810">
        <f ca="1">G35/D35</f>
        <v>3.3882897219112043E-2</v>
      </c>
      <c r="I35" s="643"/>
      <c r="J35" s="643" t="s">
        <v>31</v>
      </c>
      <c r="K35" s="643"/>
      <c r="L35" s="634"/>
    </row>
    <row r="36" spans="1:23">
      <c r="A36" s="675" t="s">
        <v>629</v>
      </c>
      <c r="B36" s="643"/>
      <c r="C36" s="643"/>
      <c r="D36" s="695">
        <f>+B11</f>
        <v>72.5</v>
      </c>
      <c r="E36" s="695">
        <f>+C11</f>
        <v>75</v>
      </c>
      <c r="F36" s="643"/>
      <c r="G36" s="643"/>
      <c r="H36" s="643"/>
      <c r="I36" s="643"/>
      <c r="J36" s="643"/>
      <c r="K36" s="643"/>
    </row>
    <row r="37" spans="1:23">
      <c r="A37" s="675" t="s">
        <v>630</v>
      </c>
      <c r="B37" s="643"/>
      <c r="C37" s="643"/>
      <c r="D37" s="693">
        <f>SUM(D35:D36)</f>
        <v>416.53</v>
      </c>
      <c r="E37" s="693">
        <f ca="1">SUM(E35:E36)</f>
        <v>430.68673313029109</v>
      </c>
      <c r="F37" s="643"/>
      <c r="G37" s="643"/>
      <c r="H37" s="643"/>
      <c r="I37" s="643"/>
      <c r="J37" s="643"/>
      <c r="K37" s="643"/>
    </row>
    <row r="38" spans="1:23">
      <c r="A38" s="675"/>
      <c r="B38" s="643"/>
      <c r="C38" s="643"/>
      <c r="D38" s="693"/>
      <c r="E38" s="693"/>
      <c r="F38" s="643"/>
      <c r="G38" s="643"/>
      <c r="H38" s="643"/>
      <c r="I38" s="643"/>
      <c r="J38" s="643"/>
      <c r="K38" s="643"/>
    </row>
    <row r="39" spans="1:23">
      <c r="A39" s="675" t="s">
        <v>631</v>
      </c>
      <c r="B39" s="643"/>
      <c r="C39" s="643"/>
      <c r="D39" s="696">
        <f>D10</f>
        <v>2197901.4662864143</v>
      </c>
      <c r="E39" s="1298">
        <f>E10</f>
        <v>2368486.1954751844</v>
      </c>
      <c r="F39" s="810"/>
      <c r="G39" s="643"/>
      <c r="H39" s="643"/>
      <c r="I39" s="643"/>
      <c r="J39" s="643"/>
      <c r="K39" s="643"/>
    </row>
    <row r="40" spans="1:23">
      <c r="A40" s="707" t="s">
        <v>645</v>
      </c>
      <c r="B40" s="643"/>
      <c r="C40" s="643"/>
      <c r="D40" s="696">
        <f>D35*D29</f>
        <v>1867394.8399999999</v>
      </c>
      <c r="E40" s="696">
        <f ca="1">E35*E29</f>
        <v>2014609.6564499687</v>
      </c>
      <c r="F40" s="810"/>
      <c r="G40" s="718"/>
      <c r="H40" s="643"/>
      <c r="I40" s="643"/>
      <c r="J40" s="643"/>
      <c r="K40" s="643"/>
    </row>
    <row r="41" spans="1:23">
      <c r="A41" s="707"/>
      <c r="B41" s="643"/>
      <c r="C41" s="643"/>
      <c r="D41" s="696"/>
      <c r="E41" s="696"/>
      <c r="F41" s="643"/>
      <c r="G41" s="643"/>
      <c r="H41" s="643"/>
      <c r="I41" s="643"/>
      <c r="J41" s="643"/>
      <c r="K41" s="643"/>
    </row>
    <row r="42" spans="1:23">
      <c r="A42" s="675"/>
      <c r="B42" s="643"/>
      <c r="C42" s="643"/>
      <c r="D42" s="693"/>
      <c r="E42" s="693"/>
      <c r="F42" s="643"/>
      <c r="G42" s="643"/>
      <c r="H42" s="643"/>
      <c r="I42" s="708" t="s">
        <v>31</v>
      </c>
      <c r="J42" s="643"/>
      <c r="K42" s="643"/>
    </row>
    <row r="43" spans="1:23">
      <c r="A43" s="692" t="s">
        <v>632</v>
      </c>
      <c r="B43" s="643"/>
      <c r="C43" s="643"/>
      <c r="D43" s="693"/>
      <c r="E43" s="693"/>
      <c r="F43" s="643"/>
      <c r="G43" s="643"/>
      <c r="H43" s="643"/>
      <c r="I43" s="643"/>
      <c r="J43" s="643"/>
      <c r="K43" s="643"/>
    </row>
    <row r="44" spans="1:23">
      <c r="A44" s="675" t="s">
        <v>1036</v>
      </c>
      <c r="B44" s="1446">
        <f ca="1">1+B6</f>
        <v>1.0338828972191121</v>
      </c>
      <c r="C44" s="643"/>
      <c r="E44" s="693">
        <f ca="1">D35*B44</f>
        <v>355.68673313029109</v>
      </c>
      <c r="F44" s="643"/>
      <c r="G44" s="643"/>
      <c r="H44" s="643"/>
      <c r="I44" s="643"/>
      <c r="J44" s="643"/>
      <c r="K44" s="643"/>
    </row>
    <row r="45" spans="1:23">
      <c r="A45" s="675" t="s">
        <v>716</v>
      </c>
      <c r="B45" s="121">
        <f>+E29</f>
        <v>5664</v>
      </c>
      <c r="C45" s="643"/>
      <c r="E45" s="693"/>
      <c r="F45" s="643"/>
      <c r="G45" s="643"/>
      <c r="H45" s="643"/>
      <c r="I45" s="643"/>
      <c r="J45" s="643"/>
      <c r="K45" s="643"/>
    </row>
    <row r="46" spans="1:23">
      <c r="A46" s="811" t="s">
        <v>717</v>
      </c>
      <c r="B46" s="643"/>
      <c r="C46" s="643"/>
      <c r="E46" s="696">
        <f ca="1">+E44*B45</f>
        <v>2014609.6564499687</v>
      </c>
      <c r="F46" s="643"/>
      <c r="G46" s="718"/>
      <c r="H46" s="643"/>
      <c r="I46" s="643"/>
      <c r="J46" s="643"/>
      <c r="K46" s="643"/>
    </row>
    <row r="47" spans="1:23">
      <c r="A47" s="811" t="s">
        <v>718</v>
      </c>
      <c r="E47" s="812">
        <f>+E11</f>
        <v>354000</v>
      </c>
    </row>
    <row r="48" spans="1:23">
      <c r="A48" s="813" t="s">
        <v>719</v>
      </c>
      <c r="B48" s="814"/>
      <c r="C48" s="814"/>
      <c r="D48" s="615"/>
      <c r="E48" s="815">
        <f ca="1">SUM(E46:E47)</f>
        <v>2368609.6564499689</v>
      </c>
    </row>
    <row r="50" spans="1:1">
      <c r="A50" s="1096" t="s">
        <v>31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zoomScaleNormal="100" workbookViewId="0">
      <selection activeCell="H41" sqref="H41"/>
    </sheetView>
  </sheetViews>
  <sheetFormatPr defaultRowHeight="15.75"/>
  <cols>
    <col min="1" max="1" width="41.125" bestFit="1" customWidth="1"/>
    <col min="2" max="2" width="10.125" bestFit="1" customWidth="1"/>
    <col min="3" max="3" width="7.625" customWidth="1"/>
    <col min="4" max="4" width="11.625" bestFit="1" customWidth="1"/>
    <col min="5" max="5" width="15.75" bestFit="1" customWidth="1"/>
    <col min="6" max="6" width="10.5" customWidth="1"/>
    <col min="7" max="7" width="10.375" bestFit="1" customWidth="1"/>
    <col min="10" max="10" width="11.5" customWidth="1"/>
    <col min="11" max="11" width="2" customWidth="1"/>
    <col min="12" max="12" width="11.5" bestFit="1" customWidth="1"/>
    <col min="13" max="20" width="0" hidden="1" customWidth="1"/>
    <col min="24" max="24" width="10.25" customWidth="1"/>
    <col min="26" max="26" width="9.375" bestFit="1" customWidth="1"/>
  </cols>
  <sheetData>
    <row r="1" spans="1:27">
      <c r="A1" s="1490" t="s">
        <v>72</v>
      </c>
      <c r="B1" s="1490"/>
      <c r="C1" s="1490"/>
      <c r="D1" s="1490"/>
      <c r="E1" s="1490"/>
      <c r="F1" s="1490"/>
      <c r="G1" s="1490"/>
      <c r="H1" s="1490"/>
      <c r="I1" s="1490"/>
      <c r="J1" s="1490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</row>
    <row r="2" spans="1:27">
      <c r="A2" s="1490" t="s">
        <v>608</v>
      </c>
      <c r="B2" s="1490"/>
      <c r="C2" s="1490"/>
      <c r="D2" s="1490"/>
      <c r="E2" s="1490"/>
      <c r="F2" s="1490"/>
      <c r="G2" s="1490"/>
      <c r="H2" s="1490"/>
      <c r="I2" s="1490"/>
      <c r="J2" s="1490"/>
      <c r="K2" s="643"/>
      <c r="L2" s="643"/>
      <c r="M2" s="643"/>
      <c r="N2" s="643"/>
      <c r="O2" s="643"/>
      <c r="P2" s="643"/>
      <c r="Q2" s="643"/>
      <c r="R2" s="643"/>
      <c r="S2" s="643"/>
      <c r="T2" s="643"/>
      <c r="U2" s="643"/>
      <c r="V2" s="643"/>
      <c r="W2" s="643"/>
      <c r="X2" s="643"/>
    </row>
    <row r="3" spans="1:27">
      <c r="A3" s="1490" t="s">
        <v>609</v>
      </c>
      <c r="B3" s="1490"/>
      <c r="C3" s="1490"/>
      <c r="D3" s="1490"/>
      <c r="E3" s="1490"/>
      <c r="F3" s="1490"/>
      <c r="G3" s="1490"/>
      <c r="H3" s="1490"/>
      <c r="I3" s="1490"/>
      <c r="J3" s="1490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</row>
    <row r="4" spans="1:27">
      <c r="A4" s="1442"/>
      <c r="B4" s="1442"/>
      <c r="C4" s="1442"/>
      <c r="D4" s="1442"/>
      <c r="E4" s="1442"/>
      <c r="F4" s="1442"/>
      <c r="G4" s="1442"/>
      <c r="H4" s="1442"/>
      <c r="I4" s="1442"/>
      <c r="J4" s="1442"/>
      <c r="K4" s="643"/>
      <c r="L4" s="643"/>
      <c r="M4" s="643"/>
      <c r="N4" s="643"/>
      <c r="O4" s="643"/>
      <c r="P4" s="643"/>
      <c r="Q4" s="643"/>
      <c r="R4" s="643"/>
      <c r="S4" s="643"/>
      <c r="T4" s="643"/>
      <c r="U4" s="643"/>
      <c r="V4" s="643"/>
      <c r="W4" s="643"/>
      <c r="X4" s="643"/>
    </row>
    <row r="5" spans="1:27">
      <c r="A5" s="801" t="s">
        <v>706</v>
      </c>
      <c r="B5" s="802">
        <v>5664</v>
      </c>
      <c r="C5" s="1442"/>
      <c r="D5" s="644"/>
      <c r="E5" s="644"/>
      <c r="F5" s="1442"/>
      <c r="G5" s="1442"/>
      <c r="H5" s="1442"/>
      <c r="I5" s="1442"/>
      <c r="J5" s="1442"/>
      <c r="K5" s="643"/>
      <c r="L5" s="643"/>
      <c r="M5" s="643"/>
      <c r="N5" s="643"/>
      <c r="O5" s="643"/>
      <c r="P5" s="643"/>
      <c r="Q5" s="643"/>
      <c r="R5" s="643"/>
      <c r="S5" s="643"/>
      <c r="T5" s="643"/>
      <c r="U5" s="643"/>
      <c r="V5" s="643"/>
      <c r="W5" s="643"/>
      <c r="X5" s="643"/>
    </row>
    <row r="6" spans="1:27">
      <c r="A6" s="659" t="s">
        <v>707</v>
      </c>
      <c r="B6" s="810">
        <f ca="1">2*'Rate Spread targets'!AA18</f>
        <v>4.6946507202795397E-2</v>
      </c>
      <c r="C6" s="643"/>
      <c r="D6" s="645" t="s">
        <v>361</v>
      </c>
      <c r="E6" s="720" t="s">
        <v>296</v>
      </c>
      <c r="F6" s="651"/>
      <c r="G6" s="643"/>
      <c r="H6" s="643"/>
      <c r="I6" s="643"/>
      <c r="J6" s="643"/>
      <c r="K6" s="643"/>
      <c r="L6" s="643"/>
      <c r="M6" s="643"/>
      <c r="N6" s="643"/>
      <c r="O6" s="643"/>
      <c r="P6" s="643"/>
      <c r="Q6" s="643"/>
      <c r="R6" s="643"/>
      <c r="S6" s="643"/>
      <c r="T6" s="643"/>
      <c r="U6" s="643"/>
      <c r="V6" s="643"/>
      <c r="W6" s="643"/>
      <c r="X6" s="643"/>
    </row>
    <row r="7" spans="1:27">
      <c r="A7" s="659" t="s">
        <v>31</v>
      </c>
      <c r="B7" s="800">
        <v>75</v>
      </c>
      <c r="C7" s="800"/>
      <c r="D7" s="646" t="s">
        <v>1027</v>
      </c>
      <c r="E7" s="1443" t="s">
        <v>610</v>
      </c>
      <c r="F7" s="657"/>
      <c r="G7" s="643"/>
      <c r="H7" s="648"/>
      <c r="I7" s="648"/>
      <c r="J7" s="648"/>
      <c r="K7" s="648"/>
      <c r="L7" s="1443" t="s">
        <v>611</v>
      </c>
      <c r="M7" s="648"/>
      <c r="N7" s="649"/>
      <c r="O7" s="650"/>
      <c r="P7" s="650"/>
      <c r="Q7" s="651"/>
      <c r="R7" s="643"/>
      <c r="S7" s="649"/>
      <c r="T7" s="651"/>
      <c r="U7" s="643"/>
      <c r="V7" s="1443" t="s">
        <v>611</v>
      </c>
      <c r="W7" s="643"/>
      <c r="X7" s="643"/>
    </row>
    <row r="8" spans="1:27">
      <c r="A8" s="652" t="s">
        <v>31</v>
      </c>
      <c r="B8" s="643"/>
      <c r="C8" s="643"/>
      <c r="D8" s="653"/>
      <c r="E8" s="1432">
        <v>0.22295000000000001</v>
      </c>
      <c r="F8" s="657"/>
      <c r="G8" s="654" t="s">
        <v>31</v>
      </c>
      <c r="H8" s="654"/>
      <c r="I8" s="654"/>
      <c r="J8" s="654"/>
      <c r="K8" s="648"/>
      <c r="L8" s="655" t="s">
        <v>612</v>
      </c>
      <c r="M8" s="648"/>
      <c r="N8" s="656"/>
      <c r="O8" s="648"/>
      <c r="P8" s="648"/>
      <c r="Q8" s="657"/>
      <c r="R8" s="643"/>
      <c r="S8" s="656"/>
      <c r="T8" s="657"/>
      <c r="U8" s="643"/>
      <c r="V8" s="655" t="s">
        <v>613</v>
      </c>
      <c r="W8" s="643"/>
      <c r="X8" s="643"/>
    </row>
    <row r="9" spans="1:27">
      <c r="A9" s="643"/>
      <c r="B9" s="1491" t="s">
        <v>720</v>
      </c>
      <c r="C9" s="1492"/>
      <c r="D9" s="646" t="s">
        <v>31</v>
      </c>
      <c r="E9" s="1443" t="s">
        <v>246</v>
      </c>
      <c r="F9" s="721" t="s">
        <v>165</v>
      </c>
      <c r="G9" s="1443" t="s">
        <v>614</v>
      </c>
      <c r="H9" s="648"/>
      <c r="I9" s="648"/>
      <c r="J9" s="647" t="s">
        <v>614</v>
      </c>
      <c r="K9" s="648"/>
      <c r="L9" s="655" t="s">
        <v>297</v>
      </c>
      <c r="M9" s="648"/>
      <c r="N9" s="656"/>
      <c r="O9" s="648"/>
      <c r="P9" s="648"/>
      <c r="Q9" s="657"/>
      <c r="R9" s="643"/>
      <c r="S9" s="653" t="s">
        <v>615</v>
      </c>
      <c r="T9" s="658">
        <f>E8</f>
        <v>0.22295000000000001</v>
      </c>
      <c r="U9" s="643"/>
      <c r="V9" s="655" t="s">
        <v>37</v>
      </c>
      <c r="W9" s="643"/>
      <c r="X9" s="643"/>
    </row>
    <row r="10" spans="1:27">
      <c r="A10" s="659" t="s">
        <v>616</v>
      </c>
      <c r="B10" s="643" t="s">
        <v>708</v>
      </c>
      <c r="C10" s="643" t="s">
        <v>709</v>
      </c>
      <c r="D10" s="660">
        <f>X27</f>
        <v>2399454.2089299187</v>
      </c>
      <c r="E10" s="803">
        <f>J27</f>
        <v>2463285.0467122002</v>
      </c>
      <c r="F10" s="804">
        <f>E10-D10</f>
        <v>63830.837782281451</v>
      </c>
      <c r="G10" s="1443" t="s">
        <v>617</v>
      </c>
      <c r="H10" s="1443"/>
      <c r="I10" s="648"/>
      <c r="J10" s="647" t="s">
        <v>544</v>
      </c>
      <c r="K10" s="648"/>
      <c r="L10" s="662"/>
      <c r="M10" s="648"/>
      <c r="N10" s="656"/>
      <c r="O10" s="648"/>
      <c r="P10" s="648"/>
      <c r="Q10" s="657"/>
      <c r="R10" s="643"/>
      <c r="S10" s="663">
        <f>D10</f>
        <v>2399454.2089299187</v>
      </c>
      <c r="T10" s="664">
        <f>E10</f>
        <v>2463285.0467122002</v>
      </c>
      <c r="U10" s="643"/>
      <c r="V10" s="643"/>
      <c r="W10" s="643"/>
      <c r="X10" s="643" t="s">
        <v>710</v>
      </c>
      <c r="Z10" s="803" t="s">
        <v>31</v>
      </c>
      <c r="AA10" t="s">
        <v>31</v>
      </c>
    </row>
    <row r="11" spans="1:27">
      <c r="A11" s="665" t="s">
        <v>705</v>
      </c>
      <c r="B11" s="800">
        <v>75</v>
      </c>
      <c r="C11" s="800">
        <f>+B7</f>
        <v>75</v>
      </c>
      <c r="D11" s="660">
        <f>4720*B11</f>
        <v>354000</v>
      </c>
      <c r="E11" s="722">
        <f>4720*C11</f>
        <v>354000</v>
      </c>
      <c r="F11" s="805">
        <f>+E11-D11</f>
        <v>0</v>
      </c>
      <c r="G11" s="1443" t="s">
        <v>297</v>
      </c>
      <c r="H11" s="666"/>
      <c r="I11" s="648"/>
      <c r="J11" s="667" t="s">
        <v>296</v>
      </c>
      <c r="K11" s="1443"/>
      <c r="L11" s="668"/>
      <c r="M11" s="643"/>
      <c r="N11" s="656" t="s">
        <v>40</v>
      </c>
      <c r="O11" s="648"/>
      <c r="P11" s="648" t="s">
        <v>509</v>
      </c>
      <c r="Q11" s="657" t="s">
        <v>618</v>
      </c>
      <c r="R11" s="643"/>
      <c r="S11" s="663">
        <f>D11</f>
        <v>354000</v>
      </c>
      <c r="T11" s="664">
        <f>E11</f>
        <v>354000</v>
      </c>
      <c r="U11" s="643"/>
      <c r="V11" s="643"/>
      <c r="W11" s="643"/>
      <c r="X11" s="1443" t="s">
        <v>614</v>
      </c>
    </row>
    <row r="12" spans="1:27">
      <c r="A12" s="659" t="s">
        <v>711</v>
      </c>
      <c r="B12" s="643"/>
      <c r="C12" s="643"/>
      <c r="D12" s="669">
        <f>D10-D11</f>
        <v>2045454.2089299187</v>
      </c>
      <c r="E12" s="670">
        <f>E10-E11</f>
        <v>2109285.0467122002</v>
      </c>
      <c r="F12" s="723">
        <f>E12-D12</f>
        <v>63830.837782281451</v>
      </c>
      <c r="G12" s="671" t="s">
        <v>620</v>
      </c>
      <c r="H12" s="672" t="s">
        <v>40</v>
      </c>
      <c r="I12" s="648"/>
      <c r="J12" s="673" t="s">
        <v>37</v>
      </c>
      <c r="K12" s="666"/>
      <c r="L12" s="662"/>
      <c r="M12" s="643" t="s">
        <v>31</v>
      </c>
      <c r="N12" s="656" t="s">
        <v>621</v>
      </c>
      <c r="O12" s="648"/>
      <c r="P12" s="648" t="s">
        <v>621</v>
      </c>
      <c r="Q12" s="657" t="s">
        <v>621</v>
      </c>
      <c r="R12" s="643"/>
      <c r="S12" s="663">
        <f>S10-S11</f>
        <v>2045454.2089299187</v>
      </c>
      <c r="T12" s="664">
        <f>T10-T11</f>
        <v>2109285.0467122002</v>
      </c>
      <c r="U12" s="643"/>
      <c r="V12" s="643"/>
      <c r="W12" s="643"/>
      <c r="X12" s="1443" t="s">
        <v>544</v>
      </c>
    </row>
    <row r="13" spans="1:27">
      <c r="A13" s="659"/>
      <c r="B13" s="643"/>
      <c r="C13" s="643"/>
      <c r="D13" s="653"/>
      <c r="E13" s="806"/>
      <c r="F13" s="648"/>
      <c r="G13" s="643"/>
      <c r="H13" s="643"/>
      <c r="I13" s="643"/>
      <c r="J13" s="657"/>
      <c r="K13" s="648"/>
      <c r="L13" s="643"/>
      <c r="M13" s="643"/>
      <c r="N13" s="656"/>
      <c r="O13" s="648"/>
      <c r="P13" s="648"/>
      <c r="Q13" s="657"/>
      <c r="R13" s="643"/>
      <c r="S13" s="663"/>
      <c r="T13" s="664"/>
      <c r="U13" s="643"/>
      <c r="V13" s="643"/>
      <c r="W13" s="643"/>
      <c r="X13" s="1443" t="s">
        <v>37</v>
      </c>
    </row>
    <row r="14" spans="1:27">
      <c r="A14" s="659" t="s">
        <v>622</v>
      </c>
      <c r="B14" s="643" t="s">
        <v>301</v>
      </c>
      <c r="C14" s="675">
        <v>15</v>
      </c>
      <c r="D14" s="676">
        <v>0.13</v>
      </c>
      <c r="E14" s="677">
        <f t="shared" ref="E14" si="0">ROUND(D14*(1+$E$8),2)</f>
        <v>0.16</v>
      </c>
      <c r="F14" s="648"/>
      <c r="G14" s="678">
        <f t="shared" ref="G14:G26" si="1">E14-D14</f>
        <v>0.03</v>
      </c>
      <c r="H14" s="679">
        <f>'Est Effect of Base Rate Inc'!H36</f>
        <v>2460.6166666666663</v>
      </c>
      <c r="I14" s="679"/>
      <c r="J14" s="664">
        <f>H14*E14*12</f>
        <v>4724.3839999999991</v>
      </c>
      <c r="K14" s="678"/>
      <c r="L14" s="790">
        <f t="shared" ref="L14:L26" si="2">(E14-D14)/D14</f>
        <v>0.23076923076923075</v>
      </c>
      <c r="M14" s="643"/>
      <c r="N14" s="681">
        <v>3226</v>
      </c>
      <c r="O14" s="679"/>
      <c r="P14" s="679">
        <f t="shared" ref="P14:P18" si="3">Q14/D14/12</f>
        <v>887.5</v>
      </c>
      <c r="Q14" s="664">
        <v>1384.5</v>
      </c>
      <c r="R14" s="643"/>
      <c r="S14" s="663">
        <f t="shared" ref="S14:S18" si="4">P14*D14*12</f>
        <v>1384.5</v>
      </c>
      <c r="T14" s="664">
        <f>H14*E14*12</f>
        <v>4724.3839999999991</v>
      </c>
      <c r="U14" s="643"/>
      <c r="V14" s="680">
        <f>(J14-X14)/X14</f>
        <v>6.6666666666666763E-2</v>
      </c>
      <c r="W14" s="643"/>
      <c r="X14" s="662">
        <v>4429.1099999999988</v>
      </c>
    </row>
    <row r="15" spans="1:27">
      <c r="A15" s="659"/>
      <c r="B15" s="643" t="s">
        <v>301</v>
      </c>
      <c r="C15" s="717" t="s">
        <v>712</v>
      </c>
      <c r="D15" s="676">
        <v>0.74</v>
      </c>
      <c r="E15" s="677">
        <f>ROUND(D15*(1+$E$8),2)-0.01</f>
        <v>0.89</v>
      </c>
      <c r="F15" s="648"/>
      <c r="G15" s="678">
        <f t="shared" si="1"/>
        <v>0.15000000000000002</v>
      </c>
      <c r="H15" s="679">
        <f>99299-E29+D29</f>
        <v>99299</v>
      </c>
      <c r="I15" s="679"/>
      <c r="J15" s="664">
        <f>(H15)*E15*12</f>
        <v>1060513.32</v>
      </c>
      <c r="K15" s="678"/>
      <c r="L15" s="790">
        <f t="shared" si="2"/>
        <v>0.20270270270270274</v>
      </c>
      <c r="M15" s="643"/>
      <c r="N15" s="681">
        <v>130394</v>
      </c>
      <c r="O15" s="679"/>
      <c r="P15" s="679">
        <f t="shared" si="3"/>
        <v>30134.185810810814</v>
      </c>
      <c r="Q15" s="664">
        <v>267591.57</v>
      </c>
      <c r="R15" s="643"/>
      <c r="S15" s="663">
        <f t="shared" si="4"/>
        <v>267591.57</v>
      </c>
      <c r="T15" s="664">
        <f>(H15-E29)*E15*12</f>
        <v>1000021.7999999999</v>
      </c>
      <c r="U15" s="643"/>
      <c r="V15" s="680">
        <f t="shared" ref="V15:V27" si="5">(J15-X15)/X15</f>
        <v>1.3773030569160341E-2</v>
      </c>
      <c r="W15" s="643"/>
      <c r="X15" s="662">
        <v>1046105.28</v>
      </c>
    </row>
    <row r="16" spans="1:27">
      <c r="A16" s="659"/>
      <c r="B16" s="643" t="s">
        <v>301</v>
      </c>
      <c r="C16" s="675">
        <v>24</v>
      </c>
      <c r="D16" s="676">
        <v>1.56</v>
      </c>
      <c r="E16" s="677">
        <f>ROUND(D16*(1+$E$8),2)</f>
        <v>1.91</v>
      </c>
      <c r="F16" s="648"/>
      <c r="G16" s="678">
        <f t="shared" si="1"/>
        <v>0.34999999999999987</v>
      </c>
      <c r="H16" s="679">
        <f>'Est Effect of Base Rate Inc'!H23</f>
        <v>19046.041792326934</v>
      </c>
      <c r="I16" s="679"/>
      <c r="J16" s="664">
        <f>H16*E16*12</f>
        <v>436535.27788013336</v>
      </c>
      <c r="K16" s="678"/>
      <c r="L16" s="790">
        <f t="shared" si="2"/>
        <v>0.22435897435897426</v>
      </c>
      <c r="M16" s="643"/>
      <c r="N16" s="681">
        <v>19694</v>
      </c>
      <c r="O16" s="679"/>
      <c r="P16" s="679">
        <f t="shared" si="3"/>
        <v>4988.3178418803418</v>
      </c>
      <c r="Q16" s="664">
        <v>93381.31</v>
      </c>
      <c r="R16" s="643"/>
      <c r="S16" s="663">
        <f t="shared" si="4"/>
        <v>93381.31</v>
      </c>
      <c r="T16" s="664">
        <f>H16*E16*12</f>
        <v>436535.27788013336</v>
      </c>
      <c r="U16" s="643"/>
      <c r="V16" s="680">
        <f t="shared" si="5"/>
        <v>4.3715846994535561E-2</v>
      </c>
      <c r="W16" s="643"/>
      <c r="X16" s="662">
        <v>418251.07775949949</v>
      </c>
    </row>
    <row r="17" spans="1:25">
      <c r="A17" s="659"/>
      <c r="B17" s="643" t="s">
        <v>301</v>
      </c>
      <c r="C17" s="675">
        <v>33</v>
      </c>
      <c r="D17" s="676">
        <v>37.89</v>
      </c>
      <c r="E17" s="677">
        <f>ROUND(D17*(1+$E$8),2)</f>
        <v>46.34</v>
      </c>
      <c r="F17" s="648"/>
      <c r="G17" s="678">
        <f t="shared" si="1"/>
        <v>8.4500000000000028</v>
      </c>
      <c r="H17" s="679">
        <v>0</v>
      </c>
      <c r="I17" s="679"/>
      <c r="J17" s="664">
        <f>H17*E17*12</f>
        <v>0</v>
      </c>
      <c r="K17" s="678"/>
      <c r="L17" s="790">
        <f t="shared" si="2"/>
        <v>0.22301398785959364</v>
      </c>
      <c r="M17" s="643"/>
      <c r="N17" s="681">
        <v>1</v>
      </c>
      <c r="O17" s="679"/>
      <c r="P17" s="679">
        <f t="shared" si="3"/>
        <v>8.9579484472596102E-2</v>
      </c>
      <c r="Q17" s="664">
        <v>40.729999999999997</v>
      </c>
      <c r="R17" s="643"/>
      <c r="S17" s="663">
        <f t="shared" si="4"/>
        <v>40.729999999999997</v>
      </c>
      <c r="T17" s="664">
        <f>H17*E17*12</f>
        <v>0</v>
      </c>
      <c r="U17" s="643"/>
      <c r="V17" s="680">
        <f>V18</f>
        <v>3.5530726256983565E-2</v>
      </c>
      <c r="W17" s="643"/>
      <c r="X17" s="662">
        <v>0</v>
      </c>
    </row>
    <row r="18" spans="1:25">
      <c r="A18" s="659"/>
      <c r="B18" s="643" t="s">
        <v>301</v>
      </c>
      <c r="C18" s="675">
        <v>36</v>
      </c>
      <c r="D18" s="676">
        <v>37.89</v>
      </c>
      <c r="E18" s="677">
        <f>ROUND(D18*(1+$E$8),2)</f>
        <v>46.34</v>
      </c>
      <c r="F18" s="648"/>
      <c r="G18" s="678">
        <f t="shared" si="1"/>
        <v>8.4500000000000028</v>
      </c>
      <c r="H18" s="679">
        <f>'Est Effect of Base Rate Inc'!H25</f>
        <v>1085.852777777774</v>
      </c>
      <c r="I18" s="679"/>
      <c r="J18" s="664">
        <f>H18*E18*12</f>
        <v>603821.01266666467</v>
      </c>
      <c r="K18" s="678"/>
      <c r="L18" s="790">
        <f t="shared" si="2"/>
        <v>0.22301398785959364</v>
      </c>
      <c r="M18" s="643"/>
      <c r="N18" s="681">
        <v>1318</v>
      </c>
      <c r="O18" s="679"/>
      <c r="P18" s="679">
        <f t="shared" si="3"/>
        <v>292.62980557754906</v>
      </c>
      <c r="Q18" s="664">
        <v>133052.92000000001</v>
      </c>
      <c r="R18" s="643"/>
      <c r="S18" s="663">
        <f t="shared" si="4"/>
        <v>133052.92000000001</v>
      </c>
      <c r="T18" s="664">
        <f>H18*E18*12</f>
        <v>603821.01266666467</v>
      </c>
      <c r="U18" s="643"/>
      <c r="V18" s="680">
        <f t="shared" si="5"/>
        <v>3.5530726256983565E-2</v>
      </c>
      <c r="W18" s="643"/>
      <c r="X18" s="662">
        <v>583102.94166666456</v>
      </c>
    </row>
    <row r="19" spans="1:25">
      <c r="A19" s="659"/>
      <c r="B19" s="643" t="s">
        <v>301</v>
      </c>
      <c r="C19" s="675">
        <v>40</v>
      </c>
      <c r="D19" s="676">
        <v>15.65</v>
      </c>
      <c r="E19" s="677">
        <f>ROUND(D19*(1+$E$8),2)+0.07</f>
        <v>19.21</v>
      </c>
      <c r="F19" s="682" t="s">
        <v>713</v>
      </c>
      <c r="G19" s="678">
        <f t="shared" si="1"/>
        <v>3.5600000000000005</v>
      </c>
      <c r="H19" s="679">
        <f>'Est Effect of Base Rate Inc'!H26</f>
        <v>5224.9278642093977</v>
      </c>
      <c r="I19" s="679"/>
      <c r="J19" s="664">
        <f>H19*E19</f>
        <v>100370.86427146253</v>
      </c>
      <c r="K19" s="678"/>
      <c r="L19" s="790">
        <f t="shared" si="2"/>
        <v>0.22747603833865818</v>
      </c>
      <c r="M19" s="678"/>
      <c r="N19" s="681">
        <v>3590</v>
      </c>
      <c r="O19" s="679"/>
      <c r="P19" s="679">
        <f>Q19/D19</f>
        <v>994.33546325878592</v>
      </c>
      <c r="Q19" s="664">
        <v>15561.35</v>
      </c>
      <c r="R19" s="643"/>
      <c r="S19" s="663">
        <f>P19*D19</f>
        <v>15561.35</v>
      </c>
      <c r="T19" s="664">
        <f>H19*E19</f>
        <v>100370.86427146253</v>
      </c>
      <c r="U19" s="643"/>
      <c r="V19" s="680">
        <f t="shared" si="5"/>
        <v>4.1192411924119071E-2</v>
      </c>
      <c r="W19" s="643"/>
      <c r="X19" s="662">
        <v>96399.919094663404</v>
      </c>
    </row>
    <row r="20" spans="1:25">
      <c r="A20" s="659"/>
      <c r="B20" s="643" t="s">
        <v>301</v>
      </c>
      <c r="C20" s="675" t="s">
        <v>623</v>
      </c>
      <c r="D20" s="676">
        <v>257.5</v>
      </c>
      <c r="E20" s="677">
        <f>ROUND(D20*(1+$E$8),2)+0.09</f>
        <v>315</v>
      </c>
      <c r="F20" s="648"/>
      <c r="G20" s="678">
        <f t="shared" si="1"/>
        <v>57.5</v>
      </c>
      <c r="H20" s="679">
        <f>'Est Effect of Base Rate Inc'!H27</f>
        <v>1</v>
      </c>
      <c r="I20" s="679"/>
      <c r="J20" s="664">
        <f t="shared" ref="J20:J26" si="6">H20*E20*12</f>
        <v>3780</v>
      </c>
      <c r="K20" s="678"/>
      <c r="L20" s="790">
        <f t="shared" si="2"/>
        <v>0.22330097087378642</v>
      </c>
      <c r="M20" s="678"/>
      <c r="N20" s="681">
        <v>1</v>
      </c>
      <c r="O20" s="679"/>
      <c r="P20" s="679">
        <f t="shared" ref="P20:P26" si="7">Q20/D20/12</f>
        <v>0.29126213592233008</v>
      </c>
      <c r="Q20" s="664">
        <v>900</v>
      </c>
      <c r="R20" s="643"/>
      <c r="S20" s="663">
        <f t="shared" ref="S20:S26" si="8">P20*D20*12</f>
        <v>900</v>
      </c>
      <c r="T20" s="664">
        <f t="shared" ref="T20:T26" si="9">H20*E20*12</f>
        <v>3780</v>
      </c>
      <c r="U20" s="643"/>
      <c r="V20" s="680">
        <f t="shared" si="5"/>
        <v>3.9603960396039604E-2</v>
      </c>
      <c r="W20" s="643"/>
      <c r="X20" s="662">
        <v>3636</v>
      </c>
    </row>
    <row r="21" spans="1:25">
      <c r="A21" s="659"/>
      <c r="B21" s="643" t="s">
        <v>301</v>
      </c>
      <c r="C21" s="675" t="s">
        <v>71</v>
      </c>
      <c r="D21" s="676">
        <v>257.5</v>
      </c>
      <c r="E21" s="677">
        <f>ROUND(D21*(1+$E$8),2)+0.09</f>
        <v>315</v>
      </c>
      <c r="F21" s="648"/>
      <c r="G21" s="678">
        <f t="shared" si="1"/>
        <v>57.5</v>
      </c>
      <c r="H21" s="679">
        <f>'Est Effect of Base Rate Inc'!H28</f>
        <v>65.154040404040458</v>
      </c>
      <c r="I21" s="679"/>
      <c r="J21" s="664">
        <f t="shared" si="6"/>
        <v>246282.27272727294</v>
      </c>
      <c r="K21" s="678"/>
      <c r="L21" s="790">
        <f t="shared" si="2"/>
        <v>0.22330097087378642</v>
      </c>
      <c r="M21" s="678"/>
      <c r="N21" s="681">
        <v>77</v>
      </c>
      <c r="O21" s="679"/>
      <c r="P21" s="679">
        <f t="shared" si="7"/>
        <v>18.803330097087379</v>
      </c>
      <c r="Q21" s="664">
        <v>58102.29</v>
      </c>
      <c r="R21" s="643"/>
      <c r="S21" s="663">
        <f t="shared" si="8"/>
        <v>58102.29</v>
      </c>
      <c r="T21" s="664">
        <f t="shared" si="9"/>
        <v>246282.27272727294</v>
      </c>
      <c r="U21" s="643"/>
      <c r="V21" s="680">
        <f t="shared" si="5"/>
        <v>2.3846072126536798E-2</v>
      </c>
      <c r="W21" s="643"/>
      <c r="X21" s="662">
        <v>240546.19090909106</v>
      </c>
    </row>
    <row r="22" spans="1:25">
      <c r="A22" s="659"/>
      <c r="B22" s="643" t="s">
        <v>301</v>
      </c>
      <c r="C22" s="675">
        <v>51</v>
      </c>
      <c r="D22" s="676">
        <v>2.15</v>
      </c>
      <c r="E22" s="677">
        <f>ROUND(D22*(1+$E$8),2)</f>
        <v>2.63</v>
      </c>
      <c r="F22" s="683"/>
      <c r="G22" s="678">
        <f t="shared" si="1"/>
        <v>0.48</v>
      </c>
      <c r="H22" s="679">
        <f>'Est Effect of Base Rate Inc'!H37</f>
        <v>177</v>
      </c>
      <c r="I22" s="679"/>
      <c r="J22" s="664">
        <f t="shared" si="6"/>
        <v>5586.12</v>
      </c>
      <c r="K22" s="678"/>
      <c r="L22" s="790">
        <f t="shared" si="2"/>
        <v>0.22325581395348837</v>
      </c>
      <c r="M22" s="648"/>
      <c r="N22" s="681">
        <v>149</v>
      </c>
      <c r="O22" s="679"/>
      <c r="P22" s="679">
        <f t="shared" si="7"/>
        <v>40.639922480620157</v>
      </c>
      <c r="Q22" s="664">
        <v>1048.51</v>
      </c>
      <c r="R22" s="643"/>
      <c r="S22" s="663">
        <f t="shared" si="8"/>
        <v>1048.51</v>
      </c>
      <c r="T22" s="664">
        <f t="shared" si="9"/>
        <v>5586.12</v>
      </c>
      <c r="U22" s="643"/>
      <c r="V22" s="680">
        <f t="shared" si="5"/>
        <v>3.9525691699604501E-2</v>
      </c>
      <c r="W22" s="643"/>
      <c r="X22" s="662">
        <v>5373.7200000000012</v>
      </c>
    </row>
    <row r="23" spans="1:25">
      <c r="A23" s="659"/>
      <c r="B23" s="643" t="s">
        <v>301</v>
      </c>
      <c r="C23" s="675">
        <v>52</v>
      </c>
      <c r="D23" s="676">
        <v>2.15</v>
      </c>
      <c r="E23" s="677">
        <f>ROUND(D23*(1+$E$8),2)</f>
        <v>2.63</v>
      </c>
      <c r="F23" s="648"/>
      <c r="G23" s="678">
        <f t="shared" si="1"/>
        <v>0.48</v>
      </c>
      <c r="H23" s="679">
        <f>'Est Effect of Base Rate Inc'!H38</f>
        <v>1.1666666666666667</v>
      </c>
      <c r="I23" s="679"/>
      <c r="J23" s="664">
        <f t="shared" si="6"/>
        <v>36.82</v>
      </c>
      <c r="K23" s="678"/>
      <c r="L23" s="790">
        <f t="shared" si="2"/>
        <v>0.22325581395348837</v>
      </c>
      <c r="M23" s="648"/>
      <c r="N23" s="681">
        <v>28</v>
      </c>
      <c r="O23" s="679"/>
      <c r="P23" s="679">
        <f t="shared" si="7"/>
        <v>6.3860465116279066</v>
      </c>
      <c r="Q23" s="664">
        <v>164.76</v>
      </c>
      <c r="R23" s="643"/>
      <c r="S23" s="663">
        <f t="shared" si="8"/>
        <v>164.76</v>
      </c>
      <c r="T23" s="664">
        <f t="shared" si="9"/>
        <v>36.82</v>
      </c>
      <c r="U23" s="643"/>
      <c r="V23" s="680">
        <f t="shared" si="5"/>
        <v>3.9525691699604702E-2</v>
      </c>
      <c r="W23" s="643"/>
      <c r="X23" s="662">
        <v>35.42</v>
      </c>
    </row>
    <row r="24" spans="1:25">
      <c r="A24" s="659"/>
      <c r="B24" s="643" t="s">
        <v>301</v>
      </c>
      <c r="C24" s="675">
        <v>53</v>
      </c>
      <c r="D24" s="676">
        <v>2.15</v>
      </c>
      <c r="E24" s="677">
        <f>ROUND(D24*(1+$E$8),2)</f>
        <v>2.63</v>
      </c>
      <c r="F24" s="648"/>
      <c r="G24" s="678">
        <f t="shared" si="1"/>
        <v>0.48</v>
      </c>
      <c r="H24" s="679">
        <f>'Est Effect of Base Rate Inc'!H39</f>
        <v>6.7847222222222223</v>
      </c>
      <c r="I24" s="679"/>
      <c r="J24" s="664">
        <f t="shared" si="6"/>
        <v>214.12583333333333</v>
      </c>
      <c r="K24" s="678"/>
      <c r="L24" s="790">
        <f t="shared" si="2"/>
        <v>0.22325581395348837</v>
      </c>
      <c r="M24" s="648"/>
      <c r="N24" s="681">
        <v>264</v>
      </c>
      <c r="O24" s="679"/>
      <c r="P24" s="679">
        <f t="shared" si="7"/>
        <v>74.072868217054264</v>
      </c>
      <c r="Q24" s="664">
        <v>1911.08</v>
      </c>
      <c r="R24" s="643"/>
      <c r="S24" s="663">
        <f t="shared" si="8"/>
        <v>1911.08</v>
      </c>
      <c r="T24" s="664">
        <f t="shared" si="9"/>
        <v>214.12583333333333</v>
      </c>
      <c r="U24" s="643"/>
      <c r="V24" s="680">
        <f t="shared" si="5"/>
        <v>3.9525691699604668E-2</v>
      </c>
      <c r="W24" s="643"/>
      <c r="X24" s="662">
        <v>205.98416666666668</v>
      </c>
    </row>
    <row r="25" spans="1:25">
      <c r="A25" s="659"/>
      <c r="B25" s="643" t="s">
        <v>301</v>
      </c>
      <c r="C25" s="675">
        <v>54</v>
      </c>
      <c r="D25" s="676">
        <v>0.75</v>
      </c>
      <c r="E25" s="677">
        <f>ROUND(D25*(1+$E$8),2)</f>
        <v>0.92</v>
      </c>
      <c r="F25" s="648"/>
      <c r="G25" s="678">
        <f t="shared" si="1"/>
        <v>0.17000000000000004</v>
      </c>
      <c r="H25" s="679">
        <f>'Est Effect of Base Rate Inc'!H30</f>
        <v>29.122222222222252</v>
      </c>
      <c r="I25" s="679"/>
      <c r="J25" s="664">
        <f t="shared" si="6"/>
        <v>321.5093333333337</v>
      </c>
      <c r="K25" s="678"/>
      <c r="L25" s="790">
        <f t="shared" si="2"/>
        <v>0.22666666666666671</v>
      </c>
      <c r="M25" s="648"/>
      <c r="N25" s="681">
        <v>34</v>
      </c>
      <c r="O25" s="679"/>
      <c r="P25" s="679">
        <f t="shared" si="7"/>
        <v>8.6244444444444444</v>
      </c>
      <c r="Q25" s="664">
        <v>77.62</v>
      </c>
      <c r="R25" s="643"/>
      <c r="S25" s="663">
        <f t="shared" si="8"/>
        <v>77.62</v>
      </c>
      <c r="T25" s="664">
        <f t="shared" si="9"/>
        <v>321.5093333333337</v>
      </c>
      <c r="U25" s="643"/>
      <c r="V25" s="680">
        <f t="shared" si="5"/>
        <v>3.3707865168539408E-2</v>
      </c>
      <c r="W25" s="643"/>
      <c r="X25" s="662">
        <v>311.02533333333366</v>
      </c>
    </row>
    <row r="26" spans="1:25">
      <c r="A26" s="659"/>
      <c r="B26" s="643" t="s">
        <v>301</v>
      </c>
      <c r="C26" s="675">
        <v>57</v>
      </c>
      <c r="D26" s="676">
        <v>2.15</v>
      </c>
      <c r="E26" s="677">
        <f>ROUND(D26*(1+$E$8),2)</f>
        <v>2.63</v>
      </c>
      <c r="F26" s="648"/>
      <c r="G26" s="678">
        <f t="shared" si="1"/>
        <v>0.48</v>
      </c>
      <c r="H26" s="684">
        <f>'Est Effect of Base Rate Inc'!H40</f>
        <v>34.833333333333336</v>
      </c>
      <c r="I26" s="679"/>
      <c r="J26" s="685">
        <f t="shared" si="6"/>
        <v>1099.3399999999999</v>
      </c>
      <c r="K26" s="686"/>
      <c r="L26" s="790">
        <f t="shared" si="2"/>
        <v>0.22325581395348837</v>
      </c>
      <c r="M26" s="648"/>
      <c r="N26" s="681">
        <v>66</v>
      </c>
      <c r="O26" s="679"/>
      <c r="P26" s="679">
        <f t="shared" si="7"/>
        <v>18.634883720930233</v>
      </c>
      <c r="Q26" s="664">
        <v>480.78</v>
      </c>
      <c r="R26" s="643"/>
      <c r="S26" s="663">
        <f t="shared" si="8"/>
        <v>480.78</v>
      </c>
      <c r="T26" s="664">
        <f t="shared" si="9"/>
        <v>1099.3399999999999</v>
      </c>
      <c r="U26" s="643"/>
      <c r="V26" s="680">
        <f t="shared" si="5"/>
        <v>3.952569169960448E-2</v>
      </c>
      <c r="W26" s="643"/>
      <c r="X26" s="662">
        <v>1057.5400000000002</v>
      </c>
    </row>
    <row r="27" spans="1:25">
      <c r="A27" s="659"/>
      <c r="B27" s="643"/>
      <c r="C27" s="643"/>
      <c r="D27" s="653"/>
      <c r="E27" s="674"/>
      <c r="F27" s="648"/>
      <c r="G27" s="648"/>
      <c r="H27" s="679">
        <f>SUM(H14:H26)</f>
        <v>127431.50008582926</v>
      </c>
      <c r="I27" s="679"/>
      <c r="J27" s="664">
        <f>SUM(J14:J26)</f>
        <v>2463285.0467122002</v>
      </c>
      <c r="K27" s="678"/>
      <c r="L27" s="678"/>
      <c r="M27" s="648"/>
      <c r="N27" s="681">
        <v>158986</v>
      </c>
      <c r="O27" s="679"/>
      <c r="P27" s="679">
        <f>SUM(P14:P26)</f>
        <v>37464.511258619648</v>
      </c>
      <c r="Q27" s="664">
        <v>574056.87</v>
      </c>
      <c r="R27" s="643"/>
      <c r="S27" s="663">
        <f>SUM(S14:S26)</f>
        <v>573697.42000000004</v>
      </c>
      <c r="T27" s="664">
        <f>SUM(T14:T26)</f>
        <v>2402793.5267122001</v>
      </c>
      <c r="U27" s="643"/>
      <c r="V27" s="680">
        <f t="shared" si="5"/>
        <v>2.6602232101252728E-2</v>
      </c>
      <c r="W27" s="643"/>
      <c r="X27" s="662">
        <v>2399454.2089299187</v>
      </c>
    </row>
    <row r="28" spans="1:25">
      <c r="A28" s="675" t="s">
        <v>31</v>
      </c>
      <c r="B28" s="659" t="s">
        <v>31</v>
      </c>
      <c r="C28" s="643"/>
      <c r="D28" s="807"/>
      <c r="E28" s="674"/>
      <c r="F28" s="648"/>
      <c r="G28" s="648"/>
      <c r="H28" s="648"/>
      <c r="I28" s="648"/>
      <c r="J28" s="657"/>
      <c r="K28" s="648"/>
    </row>
    <row r="29" spans="1:25">
      <c r="A29" s="659" t="s">
        <v>624</v>
      </c>
      <c r="B29" s="643" t="s">
        <v>31</v>
      </c>
      <c r="C29" s="659" t="s">
        <v>31</v>
      </c>
      <c r="D29" s="687">
        <v>5664</v>
      </c>
      <c r="E29" s="688">
        <v>5664</v>
      </c>
      <c r="F29" s="808">
        <f>E29-D29</f>
        <v>0</v>
      </c>
      <c r="G29" s="654"/>
      <c r="H29" s="654"/>
      <c r="I29" s="654"/>
      <c r="J29" s="805">
        <f ca="1">+J27-E48</f>
        <v>96.503514881711453</v>
      </c>
      <c r="K29" s="648"/>
    </row>
    <row r="30" spans="1:25">
      <c r="A30" s="675"/>
      <c r="B30" s="643"/>
      <c r="C30" s="659"/>
      <c r="D30" s="809"/>
      <c r="E30" s="690"/>
      <c r="F30" s="661"/>
      <c r="G30" s="648"/>
      <c r="H30" s="648"/>
      <c r="I30" s="648"/>
      <c r="J30" s="592" t="s">
        <v>714</v>
      </c>
      <c r="K30" s="648"/>
    </row>
    <row r="31" spans="1:25">
      <c r="A31" s="691" t="s">
        <v>715</v>
      </c>
      <c r="B31" s="643"/>
      <c r="C31" s="659"/>
      <c r="D31" s="689"/>
      <c r="E31" s="690"/>
      <c r="F31" s="661"/>
      <c r="G31" s="648"/>
      <c r="H31" s="648"/>
      <c r="I31" s="648"/>
      <c r="J31" s="648"/>
      <c r="K31" s="648"/>
      <c r="Y31" t="s">
        <v>31</v>
      </c>
    </row>
    <row r="32" spans="1:25">
      <c r="A32" s="675" t="s">
        <v>804</v>
      </c>
      <c r="B32" s="643"/>
      <c r="C32" s="659"/>
      <c r="D32" s="689"/>
      <c r="E32" s="690"/>
      <c r="F32" s="661"/>
      <c r="G32" s="648"/>
      <c r="H32" s="648"/>
      <c r="I32" s="648"/>
      <c r="J32" s="648"/>
      <c r="K32" s="648"/>
    </row>
    <row r="33" spans="1:23">
      <c r="A33" s="675"/>
      <c r="B33" s="643"/>
      <c r="C33" s="659"/>
      <c r="D33" s="689"/>
      <c r="E33" s="690"/>
      <c r="F33" s="661"/>
      <c r="G33" s="1443" t="s">
        <v>246</v>
      </c>
      <c r="H33" s="1443" t="s">
        <v>625</v>
      </c>
      <c r="I33" s="648"/>
      <c r="J33" s="648"/>
      <c r="K33" s="648"/>
      <c r="W33" t="s">
        <v>31</v>
      </c>
    </row>
    <row r="34" spans="1:23">
      <c r="A34" s="692" t="s">
        <v>626</v>
      </c>
      <c r="B34" s="643"/>
      <c r="C34" s="659"/>
      <c r="D34" s="689" t="s">
        <v>708</v>
      </c>
      <c r="E34" s="690" t="s">
        <v>709</v>
      </c>
      <c r="F34" s="661"/>
      <c r="G34" s="1443" t="s">
        <v>627</v>
      </c>
      <c r="H34" s="1443" t="s">
        <v>627</v>
      </c>
      <c r="I34" s="648"/>
      <c r="J34" s="648"/>
      <c r="K34" s="648"/>
    </row>
    <row r="35" spans="1:23">
      <c r="A35" s="643" t="s">
        <v>628</v>
      </c>
      <c r="B35" s="643"/>
      <c r="C35" s="643"/>
      <c r="D35" s="693">
        <f ca="1">'Low Income Prog YR 1'!E35</f>
        <v>355.68673313029109</v>
      </c>
      <c r="E35" s="693">
        <f ca="1">E44</f>
        <v>372.38498290913111</v>
      </c>
      <c r="F35" s="643"/>
      <c r="G35" s="694">
        <f ca="1">E35-D35</f>
        <v>16.698249778840022</v>
      </c>
      <c r="H35" s="810">
        <f ca="1">G35/D35</f>
        <v>4.6946507202795529E-2</v>
      </c>
      <c r="I35" s="643"/>
      <c r="J35" s="643" t="s">
        <v>31</v>
      </c>
      <c r="K35" s="643"/>
      <c r="L35" s="634"/>
    </row>
    <row r="36" spans="1:23">
      <c r="A36" s="675" t="s">
        <v>629</v>
      </c>
      <c r="B36" s="643"/>
      <c r="C36" s="643"/>
      <c r="D36" s="695">
        <f>+B11</f>
        <v>75</v>
      </c>
      <c r="E36" s="695">
        <f>+C11</f>
        <v>75</v>
      </c>
      <c r="F36" s="643"/>
      <c r="G36" s="643"/>
      <c r="H36" s="643"/>
      <c r="I36" s="643"/>
      <c r="J36" s="643"/>
      <c r="K36" s="643"/>
    </row>
    <row r="37" spans="1:23">
      <c r="A37" s="675" t="s">
        <v>630</v>
      </c>
      <c r="B37" s="643"/>
      <c r="C37" s="643"/>
      <c r="D37" s="693">
        <f ca="1">SUM(D35:D36)</f>
        <v>430.68673313029109</v>
      </c>
      <c r="E37" s="693">
        <f ca="1">SUM(E35:E36)</f>
        <v>447.38498290913111</v>
      </c>
      <c r="F37" s="643"/>
      <c r="G37" s="643"/>
      <c r="H37" s="643"/>
      <c r="I37" s="643"/>
      <c r="J37" s="643"/>
      <c r="K37" s="643"/>
    </row>
    <row r="38" spans="1:23">
      <c r="A38" s="675"/>
      <c r="B38" s="643"/>
      <c r="C38" s="643"/>
      <c r="D38" s="693"/>
      <c r="E38" s="693"/>
      <c r="F38" s="643"/>
      <c r="G38" s="643"/>
      <c r="H38" s="643"/>
      <c r="I38" s="643"/>
      <c r="J38" s="643"/>
      <c r="K38" s="643"/>
    </row>
    <row r="39" spans="1:23">
      <c r="A39" s="675" t="s">
        <v>631</v>
      </c>
      <c r="B39" s="643"/>
      <c r="C39" s="643"/>
      <c r="D39" s="696">
        <f>D10</f>
        <v>2399454.2089299187</v>
      </c>
      <c r="E39" s="1298">
        <f>E10</f>
        <v>2463285.0467122002</v>
      </c>
      <c r="F39" s="810"/>
      <c r="G39" s="643"/>
      <c r="H39" s="643"/>
      <c r="I39" s="643"/>
      <c r="J39" s="643"/>
      <c r="K39" s="643"/>
    </row>
    <row r="40" spans="1:23">
      <c r="A40" s="707" t="s">
        <v>645</v>
      </c>
      <c r="B40" s="643"/>
      <c r="C40" s="643"/>
      <c r="D40" s="696">
        <f ca="1">D35*D29</f>
        <v>2014609.6564499687</v>
      </c>
      <c r="E40" s="696">
        <f ca="1">E35*E29</f>
        <v>2109188.5431973184</v>
      </c>
      <c r="F40" s="810"/>
      <c r="G40" s="718"/>
      <c r="H40" s="643"/>
      <c r="I40" s="643"/>
      <c r="J40" s="643"/>
      <c r="K40" s="643"/>
    </row>
    <row r="41" spans="1:23">
      <c r="A41" s="707"/>
      <c r="B41" s="643"/>
      <c r="C41" s="643"/>
      <c r="D41" s="696"/>
      <c r="E41" s="696"/>
      <c r="F41" s="643"/>
      <c r="G41" s="643"/>
      <c r="H41" s="643"/>
      <c r="I41" s="643"/>
      <c r="J41" s="643"/>
      <c r="K41" s="643"/>
    </row>
    <row r="42" spans="1:23">
      <c r="A42" s="675"/>
      <c r="B42" s="643"/>
      <c r="C42" s="643"/>
      <c r="D42" s="693"/>
      <c r="E42" s="693"/>
      <c r="F42" s="643"/>
      <c r="G42" s="643"/>
      <c r="H42" s="643"/>
      <c r="I42" s="708" t="s">
        <v>31</v>
      </c>
      <c r="J42" s="643"/>
      <c r="K42" s="643"/>
    </row>
    <row r="43" spans="1:23">
      <c r="A43" s="692" t="s">
        <v>632</v>
      </c>
      <c r="B43" s="643"/>
      <c r="C43" s="643"/>
      <c r="D43" s="693"/>
      <c r="E43" s="693"/>
      <c r="F43" s="643"/>
      <c r="G43" s="643"/>
      <c r="H43" s="643"/>
      <c r="I43" s="643"/>
      <c r="J43" s="643"/>
      <c r="K43" s="643"/>
    </row>
    <row r="44" spans="1:23">
      <c r="A44" s="675" t="s">
        <v>1037</v>
      </c>
      <c r="B44" s="1446">
        <f ca="1">1+B6</f>
        <v>1.0469465072027955</v>
      </c>
      <c r="C44" s="643"/>
      <c r="E44" s="693">
        <f ca="1">D35*B44</f>
        <v>372.38498290913111</v>
      </c>
      <c r="F44" s="643"/>
      <c r="G44" s="643"/>
      <c r="H44" s="643"/>
      <c r="I44" s="643"/>
      <c r="J44" s="643"/>
      <c r="K44" s="643"/>
    </row>
    <row r="45" spans="1:23">
      <c r="A45" s="675" t="s">
        <v>716</v>
      </c>
      <c r="B45" s="121">
        <v>5664</v>
      </c>
      <c r="C45" s="643"/>
      <c r="E45" s="693"/>
      <c r="F45" s="643"/>
      <c r="G45" s="643"/>
      <c r="H45" s="643"/>
      <c r="I45" s="643"/>
      <c r="J45" s="643"/>
      <c r="K45" s="643"/>
    </row>
    <row r="46" spans="1:23">
      <c r="A46" s="811" t="s">
        <v>717</v>
      </c>
      <c r="B46" s="643"/>
      <c r="C46" s="643"/>
      <c r="E46" s="696">
        <f ca="1">+E44*B45</f>
        <v>2109188.5431973184</v>
      </c>
      <c r="F46" s="643"/>
      <c r="G46" s="718"/>
      <c r="H46" s="643"/>
      <c r="I46" s="643"/>
      <c r="J46" s="643"/>
      <c r="K46" s="643"/>
    </row>
    <row r="47" spans="1:23">
      <c r="A47" s="811" t="s">
        <v>718</v>
      </c>
      <c r="E47" s="812">
        <f>+E11</f>
        <v>354000</v>
      </c>
    </row>
    <row r="48" spans="1:23">
      <c r="A48" s="813" t="s">
        <v>719</v>
      </c>
      <c r="B48" s="814"/>
      <c r="C48" s="814"/>
      <c r="D48" s="615"/>
      <c r="E48" s="815">
        <f ca="1">SUM(E46:E47)</f>
        <v>2463188.5431973184</v>
      </c>
    </row>
    <row r="50" spans="1:1">
      <c r="A50" s="1096" t="s">
        <v>31</v>
      </c>
    </row>
  </sheetData>
  <mergeCells count="4">
    <mergeCell ref="A1:J1"/>
    <mergeCell ref="A2:J2"/>
    <mergeCell ref="A3:J3"/>
    <mergeCell ref="B9:C9"/>
  </mergeCells>
  <pageMargins left="0.7" right="0.7" top="0.75" bottom="0.75" header="0.3" footer="0.3"/>
  <pageSetup scale="6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K45"/>
  <sheetViews>
    <sheetView zoomScale="85" zoomScaleNormal="85" workbookViewId="0"/>
  </sheetViews>
  <sheetFormatPr defaultColWidth="9.625" defaultRowHeight="15.75"/>
  <cols>
    <col min="1" max="1" width="14.5" style="4" customWidth="1"/>
    <col min="2" max="2" width="16.25" style="4" customWidth="1"/>
    <col min="3" max="3" width="14.625" style="4" customWidth="1"/>
    <col min="4" max="4" width="13.75" style="4" bestFit="1" customWidth="1"/>
    <col min="5" max="5" width="13.5" style="4" bestFit="1" customWidth="1"/>
    <col min="6" max="6" width="13.5" style="4" customWidth="1"/>
    <col min="7" max="7" width="14.125" style="4" bestFit="1" customWidth="1"/>
    <col min="8" max="9" width="13.625" style="4" customWidth="1"/>
    <col min="10" max="10" width="15.625" style="4" customWidth="1"/>
    <col min="11" max="11" width="13.5" style="4" bestFit="1" customWidth="1"/>
    <col min="12" max="14" width="9.625" style="4"/>
    <col min="15" max="15" width="9.75" style="4" bestFit="1" customWidth="1"/>
    <col min="16" max="16384" width="9.625" style="4"/>
  </cols>
  <sheetData>
    <row r="1" spans="1:11">
      <c r="A1" s="406"/>
      <c r="B1" s="406"/>
      <c r="C1" s="406"/>
      <c r="D1" s="406"/>
      <c r="E1" s="406"/>
      <c r="F1" s="406"/>
      <c r="G1" s="406"/>
      <c r="J1" s="816" t="s">
        <v>0</v>
      </c>
      <c r="K1" s="406"/>
    </row>
    <row r="2" spans="1:11">
      <c r="A2" s="406"/>
      <c r="B2" s="406"/>
      <c r="C2" s="406"/>
      <c r="D2" s="406"/>
      <c r="E2" s="406"/>
      <c r="F2" s="406"/>
      <c r="G2" s="406"/>
      <c r="J2" s="816" t="s">
        <v>1</v>
      </c>
      <c r="K2" s="406"/>
    </row>
    <row r="3" spans="1:11" ht="18.75">
      <c r="A3" s="817" t="s">
        <v>811</v>
      </c>
      <c r="B3" s="818"/>
      <c r="C3" s="818"/>
      <c r="D3" s="818"/>
      <c r="E3" s="818"/>
      <c r="F3" s="818"/>
      <c r="G3" s="818"/>
      <c r="H3" s="818"/>
      <c r="I3" s="818"/>
      <c r="J3" s="818"/>
      <c r="K3" s="406"/>
    </row>
    <row r="4" spans="1:11" ht="18.75">
      <c r="A4" s="817" t="s">
        <v>47</v>
      </c>
      <c r="B4" s="818"/>
      <c r="C4" s="818"/>
      <c r="D4" s="818"/>
      <c r="E4" s="818"/>
      <c r="F4" s="818"/>
      <c r="G4" s="818"/>
      <c r="H4" s="818"/>
      <c r="I4" s="818"/>
      <c r="J4" s="818"/>
      <c r="K4" s="406"/>
    </row>
    <row r="5" spans="1:11" ht="18.75">
      <c r="A5" s="817" t="s">
        <v>2</v>
      </c>
      <c r="B5" s="818"/>
      <c r="C5" s="818"/>
      <c r="D5" s="818"/>
      <c r="E5" s="818"/>
      <c r="F5" s="818"/>
      <c r="G5" s="818"/>
      <c r="H5" s="818"/>
      <c r="I5" s="818"/>
      <c r="J5" s="818"/>
      <c r="K5" s="406"/>
    </row>
    <row r="6" spans="1:11" ht="18.75">
      <c r="A6" s="817" t="str">
        <f>'305 Inputs'!B4</f>
        <v>12 Months Ended June 2015</v>
      </c>
      <c r="B6" s="818"/>
      <c r="C6" s="818"/>
      <c r="D6" s="818"/>
      <c r="E6" s="818"/>
      <c r="F6" s="818"/>
      <c r="G6" s="818"/>
      <c r="H6" s="819"/>
      <c r="I6" s="819"/>
      <c r="J6" s="818"/>
      <c r="K6" s="406"/>
    </row>
    <row r="8" spans="1:11" ht="20.25">
      <c r="F8" s="43"/>
    </row>
    <row r="10" spans="1:11">
      <c r="A10" s="406"/>
      <c r="B10" s="406"/>
      <c r="C10" s="820" t="s">
        <v>3</v>
      </c>
      <c r="D10" s="820" t="s">
        <v>4</v>
      </c>
      <c r="E10" s="820" t="s">
        <v>5</v>
      </c>
      <c r="F10" s="820" t="s">
        <v>6</v>
      </c>
      <c r="G10" s="820" t="s">
        <v>7</v>
      </c>
      <c r="H10" s="820" t="s">
        <v>8</v>
      </c>
      <c r="I10" s="820" t="s">
        <v>722</v>
      </c>
      <c r="J10" s="820" t="s">
        <v>723</v>
      </c>
    </row>
    <row r="11" spans="1:11">
      <c r="A11" s="406"/>
      <c r="B11" s="406"/>
      <c r="C11" s="818"/>
      <c r="D11" s="818"/>
      <c r="E11" s="818"/>
      <c r="F11" s="818"/>
      <c r="G11" s="818"/>
      <c r="H11" s="818"/>
      <c r="I11" s="818"/>
      <c r="J11" s="818"/>
    </row>
    <row r="12" spans="1:11">
      <c r="A12" s="406"/>
      <c r="B12" s="406"/>
      <c r="C12" s="821"/>
      <c r="D12" s="822"/>
      <c r="E12" s="822"/>
      <c r="F12" s="822" t="s">
        <v>9</v>
      </c>
      <c r="G12" s="823" t="s">
        <v>697</v>
      </c>
      <c r="H12" s="824"/>
      <c r="I12" s="825" t="s">
        <v>9</v>
      </c>
      <c r="J12" s="822" t="s">
        <v>9</v>
      </c>
      <c r="K12" s="406"/>
    </row>
    <row r="13" spans="1:11">
      <c r="A13" s="406"/>
      <c r="B13" s="406"/>
      <c r="C13" s="826" t="s">
        <v>9</v>
      </c>
      <c r="D13" s="827" t="s">
        <v>11</v>
      </c>
      <c r="E13" s="75" t="s">
        <v>12</v>
      </c>
      <c r="F13" s="75" t="s">
        <v>697</v>
      </c>
      <c r="G13" s="827" t="s">
        <v>14</v>
      </c>
      <c r="H13" s="827" t="s">
        <v>13</v>
      </c>
      <c r="I13" s="75" t="s">
        <v>45</v>
      </c>
      <c r="J13" s="827" t="s">
        <v>76</v>
      </c>
      <c r="K13" s="828"/>
    </row>
    <row r="14" spans="1:11" ht="18.75">
      <c r="A14" s="406"/>
      <c r="B14" s="406"/>
      <c r="C14" s="826" t="s">
        <v>1</v>
      </c>
      <c r="D14" s="827" t="s">
        <v>170</v>
      </c>
      <c r="E14" s="75" t="s">
        <v>16</v>
      </c>
      <c r="F14" s="829" t="s">
        <v>15</v>
      </c>
      <c r="G14" s="830" t="s">
        <v>1</v>
      </c>
      <c r="H14" s="831" t="s">
        <v>165</v>
      </c>
      <c r="I14" s="75" t="s">
        <v>15</v>
      </c>
      <c r="J14" s="827" t="s">
        <v>1</v>
      </c>
      <c r="K14" s="820"/>
    </row>
    <row r="15" spans="1:11">
      <c r="A15" s="406"/>
      <c r="B15" s="406"/>
      <c r="C15" s="831"/>
      <c r="D15" s="832"/>
      <c r="E15" s="831"/>
      <c r="F15" s="831"/>
      <c r="H15" s="831"/>
      <c r="I15" s="75"/>
      <c r="J15" s="831"/>
      <c r="K15" s="820"/>
    </row>
    <row r="16" spans="1:11" ht="34.9" customHeight="1">
      <c r="A16" s="833" t="s">
        <v>17</v>
      </c>
      <c r="B16" s="834"/>
      <c r="C16" s="835">
        <f>'Table 2'!M38</f>
        <v>135828000.61000001</v>
      </c>
      <c r="D16" s="835">
        <f ca="1">'Table 2'!N38-E16</f>
        <v>2614343.6247265581</v>
      </c>
      <c r="E16" s="835">
        <f>'Table 3'!H38</f>
        <v>3097176.2299999995</v>
      </c>
      <c r="F16" s="835">
        <f ca="1">SUM(D16:E16)</f>
        <v>5711519.8547265576</v>
      </c>
      <c r="G16" s="835">
        <f ca="1">C16+F16</f>
        <v>141539520.46472657</v>
      </c>
      <c r="H16" s="835">
        <f>'Table 3'!L38</f>
        <v>3992594.4936383292</v>
      </c>
      <c r="I16" s="835">
        <f t="shared" ref="I16:I20" si="0">SUM(H16:H16)</f>
        <v>3992594.4936383292</v>
      </c>
      <c r="J16" s="835">
        <f ca="1">G16+I16</f>
        <v>145532114.9583649</v>
      </c>
      <c r="K16" s="459"/>
    </row>
    <row r="17" spans="1:11" ht="34.9" customHeight="1">
      <c r="A17" s="836" t="s">
        <v>18</v>
      </c>
      <c r="B17" s="837"/>
      <c r="C17" s="835">
        <f>'Table 2'!M68</f>
        <v>125293830.95999998</v>
      </c>
      <c r="D17" s="835">
        <f>'Table 2'!N68-E17</f>
        <v>-2960156.9874570318</v>
      </c>
      <c r="E17" s="835">
        <f>'Table 3'!H68</f>
        <v>-2157168.9700000002</v>
      </c>
      <c r="F17" s="835">
        <f t="shared" ref="F17:F20" si="1">SUM(D17:E17)</f>
        <v>-5117325.9574570321</v>
      </c>
      <c r="G17" s="835">
        <f t="shared" ref="G17:G20" si="2">C17+F17</f>
        <v>120176505.00254294</v>
      </c>
      <c r="H17" s="835">
        <f>'Table 3'!L68</f>
        <v>2587426.733394349</v>
      </c>
      <c r="I17" s="835">
        <f t="shared" si="0"/>
        <v>2587426.733394349</v>
      </c>
      <c r="J17" s="835">
        <f t="shared" ref="J17:J21" si="3">G17+I17</f>
        <v>122763931.7359373</v>
      </c>
      <c r="K17" s="459"/>
    </row>
    <row r="18" spans="1:11" ht="34.9" customHeight="1">
      <c r="A18" s="836" t="s">
        <v>30</v>
      </c>
      <c r="B18" s="837"/>
      <c r="C18" s="835">
        <f ca="1">'Table 2'!M97</f>
        <v>51944241.849999994</v>
      </c>
      <c r="D18" s="835">
        <f ca="1">'Table 2'!N97-E18</f>
        <v>-1248982.3148742691</v>
      </c>
      <c r="E18" s="835">
        <f>'Table 3'!H97</f>
        <v>0</v>
      </c>
      <c r="F18" s="835">
        <f ca="1">SUM(D18:E18)</f>
        <v>-1248982.3148742691</v>
      </c>
      <c r="G18" s="835">
        <f ca="1">C18+F18</f>
        <v>50695259.535125725</v>
      </c>
      <c r="H18" s="835">
        <f ca="1">'Table 3'!L97</f>
        <v>1359000.9434229657</v>
      </c>
      <c r="I18" s="835">
        <f t="shared" ca="1" si="0"/>
        <v>1359000.9434229657</v>
      </c>
      <c r="J18" s="835">
        <f t="shared" ca="1" si="3"/>
        <v>52054260.478548691</v>
      </c>
      <c r="K18" s="459"/>
    </row>
    <row r="19" spans="1:11" ht="34.9" customHeight="1">
      <c r="A19" s="836" t="s">
        <v>198</v>
      </c>
      <c r="B19" s="837"/>
      <c r="C19" s="835">
        <f ca="1">'Table 2'!M117</f>
        <v>15339082.689999998</v>
      </c>
      <c r="D19" s="835">
        <f ca="1">'Table 2'!N117-E19</f>
        <v>291998.42128929822</v>
      </c>
      <c r="E19" s="835">
        <f>'Table 3'!H117</f>
        <v>-1819272.47</v>
      </c>
      <c r="F19" s="835">
        <f ca="1">SUM(D19:E19)</f>
        <v>-1527274.0487107018</v>
      </c>
      <c r="G19" s="835">
        <f t="shared" ca="1" si="2"/>
        <v>13811808.641289296</v>
      </c>
      <c r="H19" s="835">
        <f ca="1">'Table 3'!L117</f>
        <v>159486.13871070324</v>
      </c>
      <c r="I19" s="835">
        <f t="shared" ca="1" si="0"/>
        <v>159486.13871070324</v>
      </c>
      <c r="J19" s="835">
        <f t="shared" ca="1" si="3"/>
        <v>13971294.779999999</v>
      </c>
      <c r="K19" s="459"/>
    </row>
    <row r="20" spans="1:11" ht="34.9" customHeight="1" thickBot="1">
      <c r="A20" s="838" t="s">
        <v>19</v>
      </c>
      <c r="B20" s="839"/>
      <c r="C20" s="840">
        <f>'Table 2'!M137</f>
        <v>1340251.1800000002</v>
      </c>
      <c r="D20" s="840">
        <f ca="1">'Table 2'!N137-E20</f>
        <v>-3180.5101412070153</v>
      </c>
      <c r="E20" s="840">
        <f>'Table 3'!H137</f>
        <v>0</v>
      </c>
      <c r="F20" s="840">
        <f t="shared" ca="1" si="1"/>
        <v>-3180.5101412070153</v>
      </c>
      <c r="G20" s="840">
        <f t="shared" ca="1" si="2"/>
        <v>1337070.6698587933</v>
      </c>
      <c r="H20" s="835">
        <f ca="1">'Table 3'!L137</f>
        <v>13988.166354447392</v>
      </c>
      <c r="I20" s="835">
        <f t="shared" ca="1" si="0"/>
        <v>13988.166354447392</v>
      </c>
      <c r="J20" s="1227">
        <f t="shared" ca="1" si="3"/>
        <v>1351058.8362132406</v>
      </c>
      <c r="K20" s="459"/>
    </row>
    <row r="21" spans="1:11" ht="34.9" customHeight="1" thickTop="1" thickBot="1">
      <c r="A21" s="841" t="s">
        <v>77</v>
      </c>
      <c r="B21" s="842"/>
      <c r="C21" s="843">
        <f t="shared" ref="C21:I21" ca="1" si="4">SUM(C16:C20)</f>
        <v>329745407.28999996</v>
      </c>
      <c r="D21" s="843">
        <f t="shared" ca="1" si="4"/>
        <v>-1305977.7664566515</v>
      </c>
      <c r="E21" s="843">
        <f t="shared" si="4"/>
        <v>-879265.21000000066</v>
      </c>
      <c r="F21" s="843">
        <f t="shared" ca="1" si="4"/>
        <v>-2185242.9764566524</v>
      </c>
      <c r="G21" s="843">
        <f t="shared" ca="1" si="4"/>
        <v>327560164.31354332</v>
      </c>
      <c r="H21" s="843">
        <f t="shared" ca="1" si="4"/>
        <v>8112496.4755207952</v>
      </c>
      <c r="I21" s="843">
        <f t="shared" ca="1" si="4"/>
        <v>8112496.4755207952</v>
      </c>
      <c r="J21" s="1228">
        <f t="shared" ca="1" si="3"/>
        <v>335672660.78906411</v>
      </c>
      <c r="K21" s="459"/>
    </row>
    <row r="22" spans="1:11" ht="20.25" hidden="1" customHeight="1" thickTop="1">
      <c r="A22" s="844" t="s">
        <v>92</v>
      </c>
      <c r="B22" s="845"/>
      <c r="C22" s="846"/>
      <c r="D22" s="846"/>
      <c r="E22" s="846"/>
      <c r="F22" s="846"/>
      <c r="G22" s="846"/>
      <c r="H22" s="846"/>
      <c r="I22" s="846"/>
      <c r="J22" s="846"/>
      <c r="K22" s="406"/>
    </row>
    <row r="23" spans="1:11" ht="34.9" hidden="1" customHeight="1">
      <c r="A23" s="838" t="s">
        <v>89</v>
      </c>
      <c r="B23" s="839"/>
      <c r="C23" s="835">
        <v>0</v>
      </c>
      <c r="D23" s="835">
        <v>0</v>
      </c>
      <c r="E23" s="835">
        <v>0</v>
      </c>
      <c r="F23" s="835">
        <v>0</v>
      </c>
      <c r="G23" s="835">
        <v>0</v>
      </c>
      <c r="H23" s="835"/>
      <c r="I23" s="835"/>
      <c r="J23" s="835">
        <v>0</v>
      </c>
      <c r="K23" s="406"/>
    </row>
    <row r="24" spans="1:11" ht="34.9" hidden="1" customHeight="1">
      <c r="A24" s="838" t="s">
        <v>90</v>
      </c>
      <c r="B24" s="839"/>
      <c r="C24" s="835">
        <v>0</v>
      </c>
      <c r="D24" s="835">
        <v>0</v>
      </c>
      <c r="E24" s="835">
        <v>0</v>
      </c>
      <c r="F24" s="835">
        <v>0</v>
      </c>
      <c r="G24" s="835">
        <v>0</v>
      </c>
      <c r="H24" s="835"/>
      <c r="I24" s="835"/>
      <c r="J24" s="835">
        <v>0</v>
      </c>
      <c r="K24" s="406"/>
    </row>
    <row r="25" spans="1:11" ht="34.9" hidden="1" customHeight="1" thickBot="1">
      <c r="A25" s="847" t="s">
        <v>91</v>
      </c>
      <c r="B25" s="848"/>
      <c r="C25" s="849">
        <f ca="1">+C21+C23+C24</f>
        <v>329745407.28999996</v>
      </c>
      <c r="D25" s="849">
        <f ca="1">+D21+D23+D24</f>
        <v>-1305977.7664566515</v>
      </c>
      <c r="E25" s="849">
        <f>+E21+E23+E24</f>
        <v>-879265.21000000066</v>
      </c>
      <c r="F25" s="849">
        <f ca="1">+F21+F23+F24</f>
        <v>-2185242.9764566524</v>
      </c>
      <c r="G25" s="849">
        <f ca="1">+G21+G23+G24</f>
        <v>327560164.31354332</v>
      </c>
      <c r="H25" s="849"/>
      <c r="I25" s="849"/>
      <c r="J25" s="849">
        <f ca="1">+J21+J23+J24</f>
        <v>335672660.78906411</v>
      </c>
      <c r="K25" s="406"/>
    </row>
    <row r="26" spans="1:11" ht="16.5" thickTop="1">
      <c r="A26" s="838"/>
      <c r="B26" s="839"/>
      <c r="C26" s="76"/>
      <c r="D26" s="75"/>
      <c r="E26" s="75"/>
      <c r="F26" s="75"/>
      <c r="G26" s="75"/>
      <c r="H26" s="75"/>
      <c r="I26" s="75"/>
      <c r="J26" s="75"/>
      <c r="K26" s="406"/>
    </row>
    <row r="27" spans="1:11">
      <c r="A27" s="838"/>
      <c r="B27" s="839"/>
      <c r="C27" s="76"/>
      <c r="D27" s="76"/>
      <c r="E27" s="75" t="s">
        <v>20</v>
      </c>
      <c r="F27" s="75"/>
      <c r="G27" s="75"/>
      <c r="H27" s="75"/>
      <c r="I27" s="75"/>
      <c r="J27" s="75"/>
      <c r="K27" s="850"/>
    </row>
    <row r="28" spans="1:11">
      <c r="A28" s="838" t="s">
        <v>21</v>
      </c>
      <c r="B28" s="839"/>
      <c r="C28" s="76" t="s">
        <v>164</v>
      </c>
      <c r="D28" s="75" t="s">
        <v>98</v>
      </c>
      <c r="E28" s="75" t="s">
        <v>22</v>
      </c>
      <c r="F28" s="75" t="s">
        <v>43</v>
      </c>
      <c r="G28" s="75" t="s">
        <v>42</v>
      </c>
      <c r="H28" s="75" t="s">
        <v>29</v>
      </c>
      <c r="I28" s="851" t="s">
        <v>851</v>
      </c>
      <c r="J28" s="851" t="s">
        <v>724</v>
      </c>
      <c r="K28" s="852"/>
    </row>
    <row r="29" spans="1:11" ht="15" customHeight="1">
      <c r="A29" s="838"/>
      <c r="B29" s="839"/>
      <c r="C29" s="76"/>
      <c r="D29" s="75"/>
      <c r="E29" s="75" t="s">
        <v>29</v>
      </c>
      <c r="F29" s="75"/>
      <c r="G29" s="75"/>
      <c r="H29" s="75"/>
      <c r="I29" s="75"/>
      <c r="J29" s="75"/>
      <c r="K29" s="406"/>
    </row>
    <row r="30" spans="1:11" ht="16.5" customHeight="1">
      <c r="A30" s="836"/>
      <c r="B30" s="837"/>
      <c r="C30" s="77"/>
      <c r="D30" s="77"/>
      <c r="E30" s="77"/>
      <c r="F30" s="77"/>
      <c r="G30" s="77"/>
      <c r="H30" s="77"/>
      <c r="I30" s="77"/>
      <c r="J30" s="77"/>
      <c r="K30" s="406"/>
    </row>
    <row r="31" spans="1:11">
      <c r="A31" s="641"/>
    </row>
    <row r="32" spans="1:11">
      <c r="A32" s="641"/>
    </row>
    <row r="33" spans="1:10" ht="54" customHeight="1">
      <c r="A33" s="1493" t="s">
        <v>983</v>
      </c>
      <c r="B33" s="1493"/>
      <c r="C33" s="1493"/>
      <c r="D33" s="1493"/>
      <c r="E33" s="1493"/>
      <c r="F33" s="1493"/>
      <c r="G33" s="1493"/>
      <c r="H33" s="1493"/>
      <c r="I33" s="1493"/>
      <c r="J33" s="1493"/>
    </row>
    <row r="34" spans="1:10" ht="15.75" customHeight="1">
      <c r="A34" s="44"/>
    </row>
    <row r="35" spans="1:10" ht="18" customHeight="1">
      <c r="B35" s="406"/>
      <c r="C35" s="406"/>
      <c r="D35" s="406"/>
      <c r="E35" s="406"/>
      <c r="F35" s="406"/>
      <c r="G35" s="406"/>
    </row>
    <row r="36" spans="1:10" ht="18" customHeight="1">
      <c r="A36" s="818"/>
      <c r="C36" s="850"/>
      <c r="D36" s="406"/>
      <c r="E36" s="406"/>
      <c r="F36" s="406"/>
      <c r="G36" s="406"/>
    </row>
    <row r="37" spans="1:10" ht="24">
      <c r="A37" s="853"/>
      <c r="B37" s="406"/>
      <c r="C37" s="854"/>
      <c r="D37" s="406"/>
      <c r="E37" s="406"/>
      <c r="F37" s="406"/>
      <c r="G37" s="406"/>
    </row>
    <row r="38" spans="1:10">
      <c r="B38" s="855"/>
    </row>
    <row r="39" spans="1:10">
      <c r="B39" s="855"/>
    </row>
    <row r="40" spans="1:10">
      <c r="B40" s="855"/>
      <c r="D40" s="406"/>
    </row>
    <row r="41" spans="1:10">
      <c r="B41" s="855"/>
      <c r="D41" s="406"/>
    </row>
    <row r="42" spans="1:10">
      <c r="B42" s="855"/>
    </row>
    <row r="43" spans="1:10">
      <c r="B43" s="855"/>
    </row>
    <row r="44" spans="1:10">
      <c r="B44" s="855"/>
      <c r="G44" s="856"/>
    </row>
    <row r="45" spans="1:10">
      <c r="B45" s="855"/>
    </row>
  </sheetData>
  <mergeCells count="1">
    <mergeCell ref="A33:J33"/>
  </mergeCells>
  <printOptions horizontalCentered="1"/>
  <pageMargins left="0.22" right="0.5" top="0.5" bottom="0.55000000000000004" header="0.5" footer="0.38"/>
  <pageSetup scale="86" orientation="landscape" r:id="rId1"/>
  <headerFooter alignWithMargins="0">
    <oddFooter>&amp;C&amp;8Prepared by Pricing &amp;D&amp;R&amp;8&amp;F&amp;A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B1:AD38"/>
  <sheetViews>
    <sheetView zoomScale="85" zoomScaleNormal="85" workbookViewId="0"/>
  </sheetViews>
  <sheetFormatPr defaultColWidth="9.625" defaultRowHeight="15.75"/>
  <cols>
    <col min="1" max="1" width="9.625" style="4" customWidth="1"/>
    <col min="2" max="2" width="14.5" style="4" customWidth="1"/>
    <col min="3" max="3" width="14.75" style="4" customWidth="1"/>
    <col min="4" max="4" width="17" style="4" customWidth="1"/>
    <col min="5" max="5" width="13.5" style="4" customWidth="1"/>
    <col min="6" max="6" width="15.875" style="4" customWidth="1"/>
    <col min="7" max="7" width="12.625" style="4" customWidth="1"/>
    <col min="8" max="8" width="9.625" style="4"/>
    <col min="9" max="11" width="15.625" style="4" customWidth="1"/>
    <col min="12" max="16384" width="9.625" style="4"/>
  </cols>
  <sheetData>
    <row r="1" spans="2:30">
      <c r="B1" s="406"/>
      <c r="C1" s="406"/>
      <c r="D1" s="406"/>
      <c r="E1" s="406"/>
      <c r="F1" s="406"/>
      <c r="G1" s="406" t="s">
        <v>88</v>
      </c>
      <c r="H1" s="406"/>
      <c r="I1" s="406"/>
      <c r="J1" s="406"/>
    </row>
    <row r="2" spans="2:30">
      <c r="B2" s="406"/>
      <c r="C2" s="406"/>
      <c r="D2" s="406"/>
      <c r="E2" s="406"/>
      <c r="F2" s="406"/>
      <c r="G2" s="406" t="s">
        <v>81</v>
      </c>
      <c r="H2" s="406"/>
      <c r="I2" s="406"/>
      <c r="J2" s="406"/>
    </row>
    <row r="3" spans="2:30" ht="23.25">
      <c r="B3" s="857" t="s">
        <v>811</v>
      </c>
      <c r="C3" s="858"/>
      <c r="D3" s="858"/>
      <c r="E3" s="858"/>
      <c r="F3" s="818"/>
      <c r="G3" s="406"/>
      <c r="H3" s="406"/>
      <c r="I3" s="406"/>
      <c r="J3" s="406"/>
    </row>
    <row r="4" spans="2:30" ht="23.25">
      <c r="B4" s="857" t="s">
        <v>47</v>
      </c>
      <c r="C4" s="858"/>
      <c r="D4" s="858"/>
      <c r="E4" s="858"/>
      <c r="F4" s="818"/>
      <c r="G4" s="406"/>
      <c r="H4" s="406"/>
      <c r="I4" s="406"/>
      <c r="J4" s="406"/>
    </row>
    <row r="5" spans="2:30" ht="23.25">
      <c r="B5" s="857" t="s">
        <v>2</v>
      </c>
      <c r="C5" s="858"/>
      <c r="D5" s="858"/>
      <c r="E5" s="858"/>
      <c r="F5" s="818"/>
      <c r="G5" s="406"/>
      <c r="H5" s="406"/>
      <c r="I5" s="406"/>
      <c r="J5" s="406"/>
    </row>
    <row r="6" spans="2:30" ht="23.25">
      <c r="B6" s="857" t="str">
        <f>'305 Inputs'!B4</f>
        <v>12 Months Ended June 2015</v>
      </c>
      <c r="C6" s="858"/>
      <c r="D6" s="858"/>
      <c r="E6" s="858"/>
      <c r="F6" s="818"/>
      <c r="G6" s="406"/>
      <c r="H6" s="406"/>
      <c r="I6" s="406"/>
      <c r="J6" s="406"/>
    </row>
    <row r="8" spans="2:30" ht="22.5">
      <c r="B8" s="50" t="s">
        <v>163</v>
      </c>
      <c r="C8" s="859"/>
      <c r="D8" s="859"/>
      <c r="E8" s="859"/>
      <c r="F8" s="859"/>
    </row>
    <row r="10" spans="2:30">
      <c r="B10" s="406"/>
      <c r="C10" s="406"/>
      <c r="D10" s="820" t="s">
        <v>3</v>
      </c>
      <c r="E10" s="820" t="s">
        <v>4</v>
      </c>
      <c r="F10" s="820" t="s">
        <v>5</v>
      </c>
      <c r="G10" s="406"/>
      <c r="H10" s="406"/>
      <c r="I10" s="406"/>
      <c r="J10" s="406"/>
    </row>
    <row r="11" spans="2:30">
      <c r="B11" s="406"/>
      <c r="C11" s="406"/>
      <c r="D11" s="818"/>
      <c r="E11" s="818"/>
      <c r="F11" s="818"/>
      <c r="G11" s="818"/>
      <c r="H11" s="818"/>
      <c r="I11" s="406"/>
      <c r="J11" s="406"/>
    </row>
    <row r="12" spans="2:30">
      <c r="B12" s="406"/>
      <c r="C12" s="406"/>
      <c r="D12" s="821"/>
      <c r="E12" s="860" t="s">
        <v>31</v>
      </c>
      <c r="F12" s="821" t="s">
        <v>31</v>
      </c>
      <c r="G12" s="406"/>
      <c r="H12" s="406"/>
      <c r="I12" s="406"/>
      <c r="J12" s="406"/>
    </row>
    <row r="13" spans="2:30">
      <c r="B13" s="406"/>
      <c r="C13" s="406"/>
      <c r="D13" s="826" t="s">
        <v>9</v>
      </c>
      <c r="E13" s="75" t="s">
        <v>9</v>
      </c>
      <c r="F13" s="827" t="s">
        <v>9</v>
      </c>
      <c r="G13" s="406"/>
      <c r="H13" s="406"/>
      <c r="I13" s="406"/>
      <c r="J13" s="820"/>
    </row>
    <row r="14" spans="2:30" ht="18.75">
      <c r="B14" s="406"/>
      <c r="C14" s="406"/>
      <c r="D14" s="826" t="s">
        <v>81</v>
      </c>
      <c r="E14" s="75" t="s">
        <v>170</v>
      </c>
      <c r="F14" s="827" t="s">
        <v>14</v>
      </c>
      <c r="G14" s="406"/>
      <c r="H14" s="406"/>
      <c r="I14" s="406"/>
      <c r="J14" s="406"/>
    </row>
    <row r="15" spans="2:30">
      <c r="B15" s="406"/>
      <c r="C15" s="406"/>
      <c r="D15" s="831"/>
      <c r="E15" s="831" t="s">
        <v>81</v>
      </c>
      <c r="F15" s="861" t="s">
        <v>163</v>
      </c>
      <c r="G15" s="406"/>
      <c r="H15" s="406"/>
      <c r="I15" s="406"/>
      <c r="J15" s="406"/>
      <c r="K15" s="406"/>
      <c r="L15" s="406"/>
      <c r="M15" s="406"/>
      <c r="N15" s="406"/>
      <c r="O15" s="406"/>
      <c r="P15" s="406"/>
      <c r="Q15" s="406"/>
      <c r="R15" s="406"/>
      <c r="S15" s="406"/>
      <c r="T15" s="406"/>
      <c r="U15" s="406"/>
      <c r="V15" s="406"/>
      <c r="W15" s="406"/>
      <c r="X15" s="406"/>
      <c r="Y15" s="406"/>
      <c r="Z15" s="406"/>
      <c r="AA15" s="406"/>
      <c r="AB15" s="406"/>
      <c r="AC15" s="406"/>
      <c r="AD15" s="406"/>
    </row>
    <row r="16" spans="2:30" ht="34.9" customHeight="1">
      <c r="B16" s="833" t="s">
        <v>17</v>
      </c>
      <c r="C16" s="834"/>
      <c r="D16" s="862">
        <f>'Table 2'!G38</f>
        <v>1553136402</v>
      </c>
      <c r="E16" s="863">
        <f>'Table 2'!K38</f>
        <v>38941462.661788762</v>
      </c>
      <c r="F16" s="864">
        <f t="shared" ref="F16:F20" si="0">D16+E16</f>
        <v>1592077864.6617887</v>
      </c>
      <c r="G16" s="64"/>
      <c r="H16" s="406"/>
      <c r="I16" s="850"/>
      <c r="J16" s="64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</row>
    <row r="17" spans="2:30" ht="34.9" customHeight="1">
      <c r="B17" s="836" t="s">
        <v>18</v>
      </c>
      <c r="C17" s="837"/>
      <c r="D17" s="864">
        <f>'Table 2'!G68</f>
        <v>1552112225</v>
      </c>
      <c r="E17" s="863">
        <f>'Table 2'!K68</f>
        <v>-32890336.025040127</v>
      </c>
      <c r="F17" s="864">
        <f t="shared" si="0"/>
        <v>1519221888.9749599</v>
      </c>
      <c r="G17" s="64"/>
      <c r="H17" s="406"/>
      <c r="I17" s="850"/>
      <c r="J17" s="64"/>
      <c r="K17" s="406"/>
      <c r="L17" s="406"/>
      <c r="M17" s="406"/>
      <c r="N17" s="406"/>
      <c r="O17" s="406"/>
      <c r="P17" s="406"/>
      <c r="Q17" s="406"/>
      <c r="R17" s="406"/>
      <c r="S17" s="406"/>
      <c r="T17" s="406"/>
      <c r="U17" s="406"/>
      <c r="V17" s="406"/>
      <c r="W17" s="406"/>
      <c r="X17" s="406"/>
      <c r="Y17" s="406"/>
      <c r="Z17" s="406"/>
      <c r="AA17" s="406"/>
      <c r="AB17" s="406"/>
      <c r="AC17" s="406"/>
      <c r="AD17" s="406">
        <v>4.8740385218734944E-2</v>
      </c>
    </row>
    <row r="18" spans="2:30" ht="34.9" customHeight="1">
      <c r="B18" s="836" t="s">
        <v>30</v>
      </c>
      <c r="C18" s="837"/>
      <c r="D18" s="864">
        <f ca="1">'Table 2'!G97</f>
        <v>799441495</v>
      </c>
      <c r="E18" s="863">
        <f ca="1">'Table 2'!K97</f>
        <v>2928569</v>
      </c>
      <c r="F18" s="864">
        <f t="shared" ca="1" si="0"/>
        <v>802370064</v>
      </c>
      <c r="G18" s="64"/>
      <c r="H18" s="406"/>
      <c r="I18" s="850"/>
      <c r="J18" s="64"/>
      <c r="K18" s="406"/>
      <c r="L18" s="406"/>
      <c r="M18" s="406"/>
      <c r="N18" s="406"/>
      <c r="O18" s="406"/>
      <c r="P18" s="406"/>
      <c r="Q18" s="406"/>
      <c r="R18" s="406"/>
      <c r="S18" s="406"/>
      <c r="T18" s="406"/>
      <c r="U18" s="406"/>
      <c r="V18" s="406"/>
      <c r="W18" s="406"/>
      <c r="X18" s="406"/>
      <c r="Y18" s="406"/>
      <c r="Z18" s="406"/>
      <c r="AA18" s="406"/>
      <c r="AB18" s="406"/>
      <c r="AC18" s="406"/>
      <c r="AD18" s="406"/>
    </row>
    <row r="19" spans="2:30" ht="34.9" customHeight="1">
      <c r="B19" s="836" t="s">
        <v>198</v>
      </c>
      <c r="C19" s="837"/>
      <c r="D19" s="864">
        <f ca="1">'Table 2'!G117</f>
        <v>182772432</v>
      </c>
      <c r="E19" s="863">
        <f ca="1">'Table 2'!K117</f>
        <v>-21897560.105051007</v>
      </c>
      <c r="F19" s="864">
        <f t="shared" ca="1" si="0"/>
        <v>160874871.89494899</v>
      </c>
      <c r="G19" s="406"/>
      <c r="H19" s="406"/>
      <c r="I19" s="850"/>
      <c r="J19" s="64"/>
      <c r="K19" s="406"/>
      <c r="L19" s="406"/>
      <c r="M19" s="406"/>
      <c r="N19" s="406"/>
      <c r="O19" s="406"/>
      <c r="P19" s="406"/>
      <c r="Q19" s="406"/>
      <c r="R19" s="406"/>
      <c r="S19" s="406"/>
      <c r="T19" s="406"/>
      <c r="U19" s="406"/>
      <c r="V19" s="406"/>
      <c r="W19" s="406"/>
      <c r="X19" s="406"/>
      <c r="Y19" s="406"/>
      <c r="Z19" s="406"/>
      <c r="AA19" s="406"/>
      <c r="AB19" s="406"/>
      <c r="AC19" s="406"/>
      <c r="AD19" s="406"/>
    </row>
    <row r="20" spans="2:30" ht="34.9" customHeight="1">
      <c r="B20" s="865" t="s">
        <v>19</v>
      </c>
      <c r="C20" s="866"/>
      <c r="D20" s="867">
        <f ca="1">'Table 2'!G137</f>
        <v>10559079</v>
      </c>
      <c r="E20" s="868">
        <f ca="1">'Table 2'!K137</f>
        <v>-3619.6166085466248</v>
      </c>
      <c r="F20" s="867">
        <f t="shared" ca="1" si="0"/>
        <v>10555459.383391453</v>
      </c>
      <c r="G20" s="406"/>
      <c r="H20" s="406"/>
      <c r="I20" s="850"/>
      <c r="J20" s="64"/>
      <c r="K20" s="406"/>
      <c r="L20" s="406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</row>
    <row r="21" spans="2:30" ht="34.9" customHeight="1" thickBot="1">
      <c r="B21" s="847" t="s">
        <v>77</v>
      </c>
      <c r="C21" s="848"/>
      <c r="D21" s="869">
        <f ca="1">SUM(D16:D20)</f>
        <v>4098021633</v>
      </c>
      <c r="E21" s="869">
        <f ca="1">SUM(E16:E20)</f>
        <v>-12921484.08491092</v>
      </c>
      <c r="F21" s="869">
        <f ca="1">SUM(F16:F20)</f>
        <v>4085100148.9150887</v>
      </c>
      <c r="G21" s="406"/>
      <c r="H21" s="406"/>
      <c r="I21" s="850"/>
      <c r="J21" s="64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</row>
    <row r="22" spans="2:30" ht="16.5" hidden="1" thickTop="1">
      <c r="B22" s="836" t="s">
        <v>92</v>
      </c>
      <c r="C22" s="837"/>
      <c r="D22" s="864"/>
      <c r="E22" s="870"/>
      <c r="F22" s="864"/>
      <c r="G22" s="406"/>
      <c r="H22" s="406"/>
      <c r="I22" s="850"/>
      <c r="J22" s="64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</row>
    <row r="23" spans="2:30" ht="34.9" hidden="1" customHeight="1">
      <c r="B23" s="836" t="s">
        <v>89</v>
      </c>
      <c r="C23" s="837"/>
      <c r="D23" s="864">
        <v>0</v>
      </c>
      <c r="E23" s="863">
        <v>0</v>
      </c>
      <c r="F23" s="864">
        <f>D23+E23</f>
        <v>0</v>
      </c>
      <c r="G23" s="406"/>
      <c r="H23" s="406"/>
      <c r="I23" s="850"/>
      <c r="J23" s="64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</row>
    <row r="24" spans="2:30" ht="34.9" hidden="1" customHeight="1" thickBot="1">
      <c r="B24" s="871" t="s">
        <v>90</v>
      </c>
      <c r="C24" s="872"/>
      <c r="D24" s="873">
        <v>0</v>
      </c>
      <c r="E24" s="874">
        <v>0</v>
      </c>
      <c r="F24" s="873">
        <f>D24+E24</f>
        <v>0</v>
      </c>
      <c r="G24" s="406"/>
      <c r="H24" s="406"/>
      <c r="I24" s="850"/>
      <c r="J24" s="64"/>
      <c r="K24" s="406"/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</row>
    <row r="25" spans="2:30" ht="34.9" hidden="1" customHeight="1" thickTop="1">
      <c r="B25" s="836" t="s">
        <v>91</v>
      </c>
      <c r="C25" s="837"/>
      <c r="D25" s="864">
        <f ca="1">SUM(D21:D24)</f>
        <v>4098021633</v>
      </c>
      <c r="E25" s="870">
        <f ca="1">SUM(E21:E24)</f>
        <v>-12921484.08491092</v>
      </c>
      <c r="F25" s="864">
        <f ca="1">SUM(F21:F24)</f>
        <v>4085100148.9150887</v>
      </c>
      <c r="G25" s="406"/>
      <c r="H25" s="406"/>
      <c r="I25" s="850"/>
      <c r="J25" s="64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</row>
    <row r="26" spans="2:30" ht="16.5" thickTop="1">
      <c r="B26" s="838"/>
      <c r="C26" s="839"/>
      <c r="D26" s="76"/>
      <c r="E26" s="75"/>
      <c r="F26" s="75"/>
      <c r="G26" s="406"/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</row>
    <row r="27" spans="2:30">
      <c r="B27" s="838" t="s">
        <v>21</v>
      </c>
      <c r="C27" s="839"/>
      <c r="D27" s="76" t="s">
        <v>164</v>
      </c>
      <c r="E27" s="75" t="s">
        <v>98</v>
      </c>
      <c r="F27" s="75" t="s">
        <v>725</v>
      </c>
      <c r="G27" s="406"/>
      <c r="H27" s="406"/>
      <c r="I27" s="406"/>
      <c r="J27" s="406"/>
      <c r="K27" s="406"/>
      <c r="L27" s="406"/>
      <c r="M27" s="406"/>
      <c r="N27" s="406"/>
      <c r="O27" s="406"/>
      <c r="P27" s="406"/>
      <c r="Q27" s="406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</row>
    <row r="28" spans="2:30" ht="15" customHeight="1">
      <c r="B28" s="838"/>
      <c r="C28" s="839"/>
      <c r="D28" s="76"/>
      <c r="E28" s="75" t="s">
        <v>31</v>
      </c>
      <c r="F28" s="75"/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</row>
    <row r="29" spans="2:30" ht="16.5" customHeight="1">
      <c r="B29" s="836"/>
      <c r="C29" s="837"/>
      <c r="D29" s="77"/>
      <c r="E29" s="77" t="s">
        <v>31</v>
      </c>
      <c r="F29" s="77"/>
      <c r="G29" s="406"/>
      <c r="H29" s="406"/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</row>
    <row r="30" spans="2:30">
      <c r="B30" s="641"/>
    </row>
    <row r="31" spans="2:30">
      <c r="B31" s="641"/>
    </row>
    <row r="32" spans="2:30" ht="18" customHeight="1">
      <c r="B32" s="44" t="s">
        <v>1010</v>
      </c>
      <c r="C32" s="406"/>
      <c r="D32" s="406"/>
      <c r="E32" s="406"/>
      <c r="F32" s="406"/>
    </row>
    <row r="33" spans="2:9">
      <c r="B33" s="875" t="s">
        <v>1011</v>
      </c>
      <c r="F33" s="635"/>
    </row>
    <row r="34" spans="2:9">
      <c r="B34" s="816"/>
    </row>
    <row r="35" spans="2:9" ht="18" customHeight="1">
      <c r="B35" s="876" t="s">
        <v>31</v>
      </c>
      <c r="C35" s="406"/>
      <c r="D35" s="406"/>
      <c r="E35" s="406"/>
      <c r="F35" s="406"/>
    </row>
    <row r="36" spans="2:9" ht="18" customHeight="1">
      <c r="B36" s="876" t="s">
        <v>31</v>
      </c>
      <c r="C36" s="406"/>
      <c r="D36" s="406"/>
      <c r="E36" s="406"/>
      <c r="F36" s="406"/>
      <c r="I36" s="4" t="s">
        <v>31</v>
      </c>
    </row>
    <row r="37" spans="2:9" ht="18" customHeight="1">
      <c r="B37" s="818"/>
      <c r="C37" s="406"/>
      <c r="D37" s="406"/>
      <c r="E37" s="406"/>
      <c r="F37" s="406"/>
    </row>
    <row r="38" spans="2:9">
      <c r="B38" s="406"/>
      <c r="C38" s="406"/>
      <c r="D38" s="854"/>
      <c r="E38" s="406"/>
      <c r="F38" s="406"/>
    </row>
  </sheetData>
  <printOptions horizontalCentered="1"/>
  <pageMargins left="1" right="0.5" top="0.5" bottom="0.55000000000000004" header="0.5" footer="0.38"/>
  <pageSetup scale="72" orientation="landscape" r:id="rId1"/>
  <headerFooter alignWithMargins="0">
    <oddFooter>&amp;C&amp;8Prepared by Pricing &amp;D&amp;R&amp;8&amp;F&amp;A</oddFooter>
  </headerFooter>
  <colBreaks count="1" manualBreakCount="1">
    <brk id="8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3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5" style="3" bestFit="1" customWidth="1"/>
    <col min="5" max="5" width="2.625" style="3" customWidth="1"/>
    <col min="6" max="6" width="14.375" style="3" customWidth="1"/>
    <col min="7" max="7" width="9.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69" bestFit="1" customWidth="1"/>
    <col min="24" max="24" width="17" style="69" bestFit="1" customWidth="1"/>
    <col min="25" max="25" width="8.125" style="69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29"/>
      <c r="K1" s="1429"/>
      <c r="L1" s="1429"/>
      <c r="M1" s="1429"/>
      <c r="N1" s="1429"/>
      <c r="O1" s="1429"/>
      <c r="P1" s="1429"/>
      <c r="Q1" s="1429"/>
      <c r="R1" s="1429"/>
      <c r="S1" s="1429"/>
      <c r="T1" s="1429"/>
      <c r="U1" s="1429"/>
      <c r="V1" s="20"/>
      <c r="W1" s="74"/>
      <c r="X1" s="74"/>
      <c r="Y1" s="74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</row>
    <row r="2" spans="1:44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29"/>
      <c r="K2" s="1429"/>
      <c r="L2" s="1429"/>
      <c r="M2" s="1429"/>
      <c r="N2" s="1429"/>
      <c r="O2" s="1429"/>
      <c r="P2" s="1429"/>
      <c r="Q2" s="1429"/>
      <c r="R2" s="1429"/>
      <c r="S2" s="1429"/>
      <c r="T2" s="1429"/>
      <c r="U2" s="1429"/>
      <c r="V2" s="20"/>
      <c r="W2" s="74"/>
      <c r="X2" s="74"/>
      <c r="Y2" s="74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4">
      <c r="A3" s="1467" t="s">
        <v>979</v>
      </c>
      <c r="B3" s="1467"/>
      <c r="C3" s="1467"/>
      <c r="D3" s="1467"/>
      <c r="E3" s="1467"/>
      <c r="F3" s="1467"/>
      <c r="G3" s="1467"/>
      <c r="H3" s="1467"/>
      <c r="I3" s="1467"/>
      <c r="J3" s="1430"/>
      <c r="K3" s="1430"/>
      <c r="L3" s="1430"/>
      <c r="M3" s="1430"/>
      <c r="N3" s="1430"/>
      <c r="O3" s="1430"/>
      <c r="P3" s="1430"/>
      <c r="Q3" s="1430"/>
      <c r="R3" s="1430"/>
      <c r="S3" s="1430"/>
      <c r="T3" s="1430"/>
      <c r="U3" s="1430"/>
      <c r="V3" s="20"/>
      <c r="W3" s="74"/>
      <c r="X3" s="74"/>
      <c r="Y3" s="74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</row>
    <row r="4" spans="1:44">
      <c r="A4" s="1468" t="s">
        <v>337</v>
      </c>
      <c r="B4" s="1468"/>
      <c r="C4" s="1468"/>
      <c r="D4" s="1468"/>
      <c r="E4" s="1468"/>
      <c r="F4" s="1468"/>
      <c r="G4" s="1468"/>
      <c r="H4" s="1468"/>
      <c r="I4" s="1468"/>
      <c r="J4" s="1431"/>
      <c r="K4" s="1431"/>
      <c r="L4" s="1431"/>
      <c r="M4" s="1431"/>
      <c r="N4" s="1431"/>
      <c r="O4" s="1431"/>
      <c r="P4" s="1431"/>
      <c r="Q4" s="1431"/>
      <c r="R4" s="1431"/>
      <c r="S4" s="1431"/>
      <c r="T4" s="1431"/>
      <c r="U4" s="1431"/>
      <c r="V4" s="20"/>
      <c r="W4" s="74"/>
      <c r="X4" s="74"/>
      <c r="Y4" s="74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4">
      <c r="A5" s="237"/>
      <c r="B5" s="235"/>
      <c r="C5" s="235"/>
      <c r="D5" s="236"/>
      <c r="E5" s="236"/>
      <c r="F5" s="235"/>
      <c r="G5" s="236"/>
      <c r="H5" s="235"/>
      <c r="I5" s="235"/>
      <c r="J5" s="235"/>
      <c r="K5" s="236"/>
      <c r="L5" s="235"/>
      <c r="M5" s="235"/>
      <c r="N5" s="235"/>
      <c r="O5" s="236"/>
      <c r="P5" s="235"/>
      <c r="Q5" s="235"/>
      <c r="R5" s="235"/>
      <c r="S5" s="236"/>
      <c r="T5" s="235"/>
      <c r="U5" s="235"/>
      <c r="V5" s="20"/>
      <c r="W5" s="74"/>
      <c r="X5" s="74"/>
      <c r="Y5" s="74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</row>
    <row r="6" spans="1:44" hidden="1">
      <c r="A6" s="237"/>
      <c r="B6" s="235"/>
      <c r="C6" s="235"/>
      <c r="D6" s="236"/>
      <c r="E6" s="236"/>
      <c r="F6" s="235"/>
      <c r="G6" s="236"/>
      <c r="H6" s="235"/>
      <c r="I6" s="235"/>
      <c r="J6" s="235"/>
      <c r="K6" s="236"/>
      <c r="L6" s="235"/>
      <c r="M6" s="235"/>
      <c r="N6" s="235"/>
      <c r="O6" s="236"/>
      <c r="P6" s="235"/>
      <c r="Q6" s="235"/>
      <c r="R6" s="235"/>
      <c r="S6" s="236"/>
      <c r="T6" s="235"/>
      <c r="U6" s="235"/>
      <c r="V6" s="20"/>
      <c r="W6" s="74"/>
      <c r="X6" s="74"/>
      <c r="Y6" s="74"/>
      <c r="Z6" s="74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4" hidden="1">
      <c r="A7" s="235"/>
      <c r="B7" s="235"/>
      <c r="C7" s="235"/>
      <c r="D7" s="236"/>
      <c r="E7" s="236"/>
      <c r="F7" s="235"/>
      <c r="G7" s="236"/>
      <c r="H7" s="235"/>
      <c r="I7" s="235"/>
      <c r="J7" s="235"/>
      <c r="K7" s="236"/>
      <c r="L7" s="235"/>
      <c r="M7" s="235"/>
      <c r="N7" s="235"/>
      <c r="O7" s="236"/>
      <c r="P7" s="235"/>
      <c r="Q7" s="235"/>
      <c r="R7" s="235"/>
      <c r="S7" s="236"/>
      <c r="T7" s="235"/>
      <c r="U7" s="235"/>
      <c r="V7" s="20"/>
      <c r="W7" s="74"/>
      <c r="X7" s="74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</row>
    <row r="8" spans="1:44">
      <c r="A8" s="238"/>
      <c r="B8" s="238"/>
      <c r="C8" s="239"/>
      <c r="D8" s="240"/>
      <c r="E8" s="240"/>
      <c r="F8" s="736"/>
      <c r="G8" s="240" t="s">
        <v>31</v>
      </c>
      <c r="H8" s="241"/>
      <c r="I8" s="241"/>
      <c r="J8" s="241"/>
      <c r="K8" s="240"/>
      <c r="L8" s="241"/>
      <c r="M8" s="241"/>
      <c r="N8" s="241"/>
      <c r="O8" s="240"/>
      <c r="P8" s="241"/>
      <c r="Q8" s="241"/>
      <c r="R8" s="241"/>
      <c r="S8" s="240"/>
      <c r="T8" s="241"/>
      <c r="U8" s="241"/>
      <c r="V8" s="20"/>
      <c r="W8" s="74"/>
      <c r="X8" s="74"/>
      <c r="Y8" s="74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</row>
    <row r="9" spans="1:44">
      <c r="A9" s="238"/>
      <c r="B9" s="238"/>
      <c r="C9" s="239" t="s">
        <v>338</v>
      </c>
      <c r="D9" s="1472" t="s">
        <v>361</v>
      </c>
      <c r="E9" s="1473"/>
      <c r="F9" s="1474"/>
      <c r="G9" s="1469" t="s">
        <v>1034</v>
      </c>
      <c r="H9" s="1470"/>
      <c r="I9" s="1471"/>
      <c r="J9" s="241"/>
      <c r="K9" s="241" t="s">
        <v>876</v>
      </c>
      <c r="L9" s="239"/>
      <c r="M9" s="241" t="s">
        <v>877</v>
      </c>
      <c r="N9" s="241"/>
      <c r="O9" s="241" t="s">
        <v>790</v>
      </c>
      <c r="P9" s="239"/>
      <c r="Q9" s="241" t="s">
        <v>790</v>
      </c>
      <c r="R9" s="241"/>
      <c r="S9" s="241" t="s">
        <v>878</v>
      </c>
      <c r="T9" s="239"/>
      <c r="U9" s="241" t="s">
        <v>878</v>
      </c>
      <c r="V9" s="20"/>
      <c r="W9" s="74"/>
      <c r="X9" s="74"/>
      <c r="Y9" s="74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</row>
    <row r="10" spans="1:44">
      <c r="A10" s="238"/>
      <c r="B10" s="238"/>
      <c r="C10" s="244" t="s">
        <v>295</v>
      </c>
      <c r="D10" s="245" t="s">
        <v>13</v>
      </c>
      <c r="E10" s="243"/>
      <c r="F10" s="241" t="s">
        <v>339</v>
      </c>
      <c r="G10" s="245" t="s">
        <v>13</v>
      </c>
      <c r="H10" s="245"/>
      <c r="I10" s="245" t="s">
        <v>339</v>
      </c>
      <c r="J10" s="245"/>
      <c r="K10" s="245" t="s">
        <v>13</v>
      </c>
      <c r="L10" s="245"/>
      <c r="M10" s="245" t="s">
        <v>339</v>
      </c>
      <c r="N10" s="245"/>
      <c r="O10" s="245" t="s">
        <v>13</v>
      </c>
      <c r="P10" s="245"/>
      <c r="Q10" s="245" t="s">
        <v>339</v>
      </c>
      <c r="R10" s="245"/>
      <c r="S10" s="245" t="s">
        <v>13</v>
      </c>
      <c r="T10" s="245"/>
      <c r="U10" s="245" t="s">
        <v>339</v>
      </c>
      <c r="V10" s="20"/>
      <c r="W10" s="74"/>
      <c r="X10" s="74"/>
      <c r="Y10" s="74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</row>
    <row r="11" spans="1:44">
      <c r="A11" s="247" t="s">
        <v>341</v>
      </c>
      <c r="F11" s="248"/>
      <c r="V11" s="20"/>
      <c r="W11" s="74"/>
      <c r="X11" s="74"/>
      <c r="Y11" s="74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</row>
    <row r="12" spans="1:44">
      <c r="A12" s="3" t="s">
        <v>342</v>
      </c>
      <c r="F12" s="248"/>
      <c r="V12" s="20"/>
      <c r="W12" s="74"/>
      <c r="X12" s="74"/>
      <c r="Y12" s="74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</row>
    <row r="13" spans="1:44">
      <c r="F13" s="248"/>
      <c r="V13" s="20"/>
      <c r="W13" s="74"/>
      <c r="X13" s="74"/>
      <c r="Y13" s="74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</row>
    <row r="14" spans="1:44">
      <c r="A14" s="3" t="s">
        <v>343</v>
      </c>
      <c r="F14" s="248"/>
      <c r="V14" s="20"/>
      <c r="W14" s="74"/>
      <c r="X14" s="74"/>
      <c r="Y14" s="74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</row>
    <row r="15" spans="1:44">
      <c r="A15" s="3" t="s">
        <v>344</v>
      </c>
      <c r="C15" s="249">
        <f>C36+C54+C72</f>
        <v>26489.869513898491</v>
      </c>
      <c r="D15" s="250">
        <f>'Rate Design Work eff 9-15-17'!D15</f>
        <v>10.98</v>
      </c>
      <c r="F15" s="2">
        <f>F36+F54+F72</f>
        <v>290858.76726260543</v>
      </c>
      <c r="G15" s="250">
        <f ca="1">'Rate Design Work eff 9-15-17'!G15</f>
        <v>11.24</v>
      </c>
      <c r="I15" s="2">
        <f ca="1">I36+I54+I72</f>
        <v>297746.13333621901</v>
      </c>
      <c r="J15" s="2"/>
      <c r="K15" s="250" t="e">
        <f ca="1">'Rate Design Work eff 10-14-16'!K15</f>
        <v>#DIV/0!</v>
      </c>
      <c r="M15" s="2" t="e">
        <f ca="1">'Rate Design Work eff 10-14-16'!M15</f>
        <v>#DIV/0!</v>
      </c>
      <c r="N15" s="2"/>
      <c r="O15" s="250" t="e">
        <f ca="1">'Rate Design Work eff 10-14-16'!O15</f>
        <v>#DIV/0!</v>
      </c>
      <c r="Q15" s="2" t="e">
        <f ca="1">'Rate Design Work eff 10-14-16'!Q15</f>
        <v>#DIV/0!</v>
      </c>
      <c r="R15" s="2"/>
      <c r="S15" s="250" t="e">
        <f ca="1">'Rate Design Work eff 10-14-16'!S15</f>
        <v>#DIV/0!</v>
      </c>
      <c r="U15" s="2" t="e">
        <f ca="1">'Rate Design Work eff 10-14-16'!U15</f>
        <v>#DIV/0!</v>
      </c>
      <c r="W15" s="784" t="s">
        <v>31</v>
      </c>
      <c r="X15" s="251"/>
      <c r="Y15" s="251"/>
      <c r="Z15" s="251"/>
      <c r="AA15" s="251"/>
      <c r="AB15" s="252"/>
      <c r="AC15" s="252"/>
      <c r="AD15" s="252"/>
      <c r="AE15" s="25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R15" s="84"/>
    </row>
    <row r="16" spans="1:44">
      <c r="A16" s="3" t="s">
        <v>345</v>
      </c>
      <c r="C16" s="249">
        <f>C37+C55+C73</f>
        <v>4203.5649449873126</v>
      </c>
      <c r="D16" s="250">
        <f>'Rate Design Work eff 9-15-17'!D16</f>
        <v>20.88</v>
      </c>
      <c r="F16" s="2">
        <f>F37+F55+F73</f>
        <v>87770.436051335098</v>
      </c>
      <c r="G16" s="250">
        <f ca="1">'Rate Design Work eff 9-15-17'!G16</f>
        <v>21.369999999999997</v>
      </c>
      <c r="I16" s="2">
        <f ca="1">I37+I55+I73</f>
        <v>89830.182874378865</v>
      </c>
      <c r="J16" s="2"/>
      <c r="K16" s="250" t="e">
        <f ca="1">'Rate Design Work eff 10-14-16'!K16</f>
        <v>#DIV/0!</v>
      </c>
      <c r="M16" s="2" t="e">
        <f ca="1">'Rate Design Work eff 10-14-16'!M16</f>
        <v>#DIV/0!</v>
      </c>
      <c r="N16" s="2"/>
      <c r="O16" s="250" t="e">
        <f ca="1">'Rate Design Work eff 10-14-16'!O16</f>
        <v>#DIV/0!</v>
      </c>
      <c r="Q16" s="2" t="e">
        <f ca="1">'Rate Design Work eff 10-14-16'!Q16</f>
        <v>#DIV/0!</v>
      </c>
      <c r="R16" s="2"/>
      <c r="S16" s="250" t="e">
        <f ca="1">'Rate Design Work eff 10-14-16'!S16</f>
        <v>#DIV/0!</v>
      </c>
      <c r="U16" s="2" t="e">
        <f ca="1">'Rate Design Work eff 10-14-16'!U16</f>
        <v>#DIV/0!</v>
      </c>
      <c r="W16" s="105"/>
      <c r="X16" s="251"/>
      <c r="Y16" s="251"/>
      <c r="Z16" s="251"/>
      <c r="AA16" s="251"/>
      <c r="AB16" s="252"/>
      <c r="AC16" s="252"/>
      <c r="AD16" s="252"/>
      <c r="AE16" s="25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R16" s="84"/>
    </row>
    <row r="17" spans="1:44">
      <c r="A17" s="3" t="s">
        <v>346</v>
      </c>
      <c r="C17" s="249">
        <f>C38+C56+C74</f>
        <v>526.20017951728096</v>
      </c>
      <c r="D17" s="250">
        <f>'Rate Design Work eff 9-15-17'!D17</f>
        <v>43.21</v>
      </c>
      <c r="F17" s="2">
        <f>F38+F56+F74</f>
        <v>22737.109756941711</v>
      </c>
      <c r="G17" s="250">
        <f ca="1">'Rate Design Work eff 9-15-17'!G17</f>
        <v>44.25</v>
      </c>
      <c r="I17" s="2">
        <f ca="1">I38+I56+I74</f>
        <v>23284.357943639683</v>
      </c>
      <c r="J17" s="2"/>
      <c r="K17" s="250" t="e">
        <f ca="1">'Rate Design Work eff 10-14-16'!K17</f>
        <v>#DIV/0!</v>
      </c>
      <c r="M17" s="2" t="e">
        <f ca="1">'Rate Design Work eff 10-14-16'!M17</f>
        <v>#DIV/0!</v>
      </c>
      <c r="N17" s="2"/>
      <c r="O17" s="250" t="e">
        <f ca="1">'Rate Design Work eff 10-14-16'!O17</f>
        <v>#DIV/0!</v>
      </c>
      <c r="Q17" s="2" t="e">
        <f ca="1">'Rate Design Work eff 10-14-16'!Q17</f>
        <v>#DIV/0!</v>
      </c>
      <c r="R17" s="2"/>
      <c r="S17" s="250" t="e">
        <f ca="1">'Rate Design Work eff 10-14-16'!S17</f>
        <v>#DIV/0!</v>
      </c>
      <c r="U17" s="2" t="e">
        <f ca="1">'Rate Design Work eff 10-14-16'!U17</f>
        <v>#DIV/0!</v>
      </c>
      <c r="W17" s="105"/>
      <c r="X17" s="251"/>
      <c r="Y17" s="251"/>
      <c r="Z17" s="251"/>
      <c r="AA17" s="251"/>
      <c r="AB17" s="252"/>
      <c r="AC17" s="252"/>
      <c r="AD17" s="252"/>
      <c r="AE17" s="25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R17" s="84"/>
    </row>
    <row r="18" spans="1:44">
      <c r="A18" s="3" t="s">
        <v>347</v>
      </c>
      <c r="C18" s="249"/>
      <c r="D18" s="702"/>
      <c r="F18" s="2"/>
      <c r="G18" s="702"/>
      <c r="I18" s="2"/>
      <c r="J18" s="2"/>
      <c r="K18" s="702"/>
      <c r="M18" s="2"/>
      <c r="N18" s="2"/>
      <c r="O18" s="702"/>
      <c r="Q18" s="2"/>
      <c r="R18" s="2"/>
      <c r="S18" s="702"/>
      <c r="U18" s="2"/>
      <c r="W18" s="3"/>
      <c r="X18" s="251"/>
      <c r="Y18" s="251"/>
      <c r="Z18" s="251"/>
      <c r="AA18" s="251"/>
      <c r="AB18" s="253"/>
      <c r="AC18" s="253"/>
      <c r="AD18" s="253"/>
      <c r="AE18" s="253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R18" s="84"/>
    </row>
    <row r="19" spans="1:44">
      <c r="A19" s="3" t="s">
        <v>348</v>
      </c>
      <c r="C19" s="249">
        <f>C40+C58+C76</f>
        <v>2018.638768592042</v>
      </c>
      <c r="D19" s="250">
        <f>'Rate Design Work eff 9-15-17'!D19</f>
        <v>12.48</v>
      </c>
      <c r="F19" s="2">
        <f>F40+F58+F76</f>
        <v>25192.611832028684</v>
      </c>
      <c r="G19" s="250">
        <f ca="1">'Rate Design Work eff 9-15-17'!G19</f>
        <v>12.77</v>
      </c>
      <c r="I19" s="2">
        <f ca="1">I40+I58+I76</f>
        <v>25778.017074920379</v>
      </c>
      <c r="J19" s="2"/>
      <c r="K19" s="250" t="e">
        <f ca="1">'Rate Design Work eff 10-14-16'!K19</f>
        <v>#DIV/0!</v>
      </c>
      <c r="M19" s="2" t="e">
        <f ca="1">'Rate Design Work eff 10-14-16'!M19</f>
        <v>#DIV/0!</v>
      </c>
      <c r="N19" s="2"/>
      <c r="O19" s="250" t="e">
        <f ca="1">'Rate Design Work eff 10-14-16'!O19</f>
        <v>#DIV/0!</v>
      </c>
      <c r="Q19" s="2" t="e">
        <f ca="1">'Rate Design Work eff 10-14-16'!Q19</f>
        <v>#DIV/0!</v>
      </c>
      <c r="R19" s="2"/>
      <c r="S19" s="250" t="e">
        <f ca="1">'Rate Design Work eff 10-14-16'!S19</f>
        <v>#DIV/0!</v>
      </c>
      <c r="U19" s="2" t="e">
        <f ca="1">'Rate Design Work eff 10-14-16'!U19</f>
        <v>#DIV/0!</v>
      </c>
      <c r="W19" s="105"/>
      <c r="X19" s="251"/>
      <c r="Y19" s="251"/>
      <c r="Z19" s="251"/>
      <c r="AA19" s="251"/>
      <c r="AB19" s="252"/>
      <c r="AC19" s="252"/>
      <c r="AD19" s="252"/>
      <c r="AE19" s="25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R19" s="84"/>
    </row>
    <row r="20" spans="1:44">
      <c r="A20" s="3" t="s">
        <v>349</v>
      </c>
      <c r="C20" s="249">
        <f>C41+C59+C77</f>
        <v>1655.2402129628979</v>
      </c>
      <c r="D20" s="250">
        <f>'Rate Design Work eff 9-15-17'!D20</f>
        <v>18.329999999999998</v>
      </c>
      <c r="F20" s="2">
        <f>F41+F59+F77</f>
        <v>30340.553103609916</v>
      </c>
      <c r="G20" s="250">
        <f ca="1">'Rate Design Work eff 9-15-17'!G20</f>
        <v>18.759999999999998</v>
      </c>
      <c r="I20" s="2">
        <f ca="1">I41+I59+I77</f>
        <v>31052.306395183961</v>
      </c>
      <c r="J20" s="2"/>
      <c r="K20" s="250" t="e">
        <f ca="1">'Rate Design Work eff 10-14-16'!K20</f>
        <v>#DIV/0!</v>
      </c>
      <c r="M20" s="2" t="e">
        <f ca="1">'Rate Design Work eff 10-14-16'!M20</f>
        <v>#DIV/0!</v>
      </c>
      <c r="N20" s="2"/>
      <c r="O20" s="250" t="e">
        <f ca="1">'Rate Design Work eff 10-14-16'!O20</f>
        <v>#DIV/0!</v>
      </c>
      <c r="Q20" s="2" t="e">
        <f ca="1">'Rate Design Work eff 10-14-16'!Q20</f>
        <v>#DIV/0!</v>
      </c>
      <c r="R20" s="2"/>
      <c r="S20" s="250" t="e">
        <f ca="1">'Rate Design Work eff 10-14-16'!S20</f>
        <v>#DIV/0!</v>
      </c>
      <c r="U20" s="2" t="e">
        <f ca="1">'Rate Design Work eff 10-14-16'!U20</f>
        <v>#DIV/0!</v>
      </c>
      <c r="W20" s="105"/>
      <c r="X20" s="251"/>
      <c r="Y20" s="251"/>
      <c r="Z20" s="251"/>
      <c r="AA20" s="251"/>
      <c r="AB20" s="252"/>
      <c r="AC20" s="252"/>
      <c r="AD20" s="252"/>
      <c r="AE20" s="25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R20" s="84"/>
    </row>
    <row r="21" spans="1:44">
      <c r="A21" s="3" t="s">
        <v>350</v>
      </c>
      <c r="C21" s="249">
        <f>C42+C60+C78</f>
        <v>517.99922764535575</v>
      </c>
      <c r="D21" s="250">
        <f>'Rate Design Work eff 9-15-17'!D21</f>
        <v>29.57</v>
      </c>
      <c r="F21" s="2">
        <f>F42+F60+F78</f>
        <v>15317.237161473167</v>
      </c>
      <c r="G21" s="250">
        <f ca="1">'Rate Design Work eff 9-15-17'!G21</f>
        <v>30.28</v>
      </c>
      <c r="I21" s="2">
        <f ca="1">I42+I60+I78</f>
        <v>15685.016613101374</v>
      </c>
      <c r="J21" s="2"/>
      <c r="K21" s="250" t="e">
        <f ca="1">'Rate Design Work eff 10-14-16'!K21</f>
        <v>#DIV/0!</v>
      </c>
      <c r="M21" s="2" t="e">
        <f ca="1">'Rate Design Work eff 10-14-16'!M21</f>
        <v>#DIV/0!</v>
      </c>
      <c r="N21" s="2"/>
      <c r="O21" s="250" t="e">
        <f ca="1">'Rate Design Work eff 10-14-16'!O21</f>
        <v>#DIV/0!</v>
      </c>
      <c r="Q21" s="2" t="e">
        <f ca="1">'Rate Design Work eff 10-14-16'!Q21</f>
        <v>#DIV/0!</v>
      </c>
      <c r="R21" s="2"/>
      <c r="S21" s="250" t="e">
        <f ca="1">'Rate Design Work eff 10-14-16'!S21</f>
        <v>#DIV/0!</v>
      </c>
      <c r="U21" s="2" t="e">
        <f ca="1">'Rate Design Work eff 10-14-16'!U21</f>
        <v>#DIV/0!</v>
      </c>
      <c r="W21" s="105"/>
      <c r="X21" s="251"/>
      <c r="Y21" s="251"/>
      <c r="Z21" s="251"/>
      <c r="AA21" s="251"/>
      <c r="AB21" s="252"/>
      <c r="AC21" s="252"/>
      <c r="AD21" s="252"/>
      <c r="AE21" s="25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R21" s="84"/>
    </row>
    <row r="22" spans="1:44">
      <c r="A22" s="3" t="s">
        <v>351</v>
      </c>
      <c r="C22" s="249">
        <f>C43+C61+C79</f>
        <v>561.33497359685657</v>
      </c>
      <c r="D22" s="250">
        <f>'Rate Design Work eff 9-15-17'!D22</f>
        <v>1</v>
      </c>
      <c r="E22" s="20"/>
      <c r="F22" s="2">
        <f>F43+F61+F79</f>
        <v>561.33497359685657</v>
      </c>
      <c r="G22" s="250">
        <f>'Rate Design Work eff 9-15-17'!G22</f>
        <v>1</v>
      </c>
      <c r="H22" s="20"/>
      <c r="I22" s="2">
        <f>I43+I61+I79</f>
        <v>561.33497359685657</v>
      </c>
      <c r="J22" s="2"/>
      <c r="K22" s="250">
        <f>'Rate Design Work eff 10-14-16'!K22</f>
        <v>1</v>
      </c>
      <c r="L22" s="20"/>
      <c r="M22" s="2">
        <f>'Rate Design Work eff 10-14-16'!M22</f>
        <v>561.33497359685657</v>
      </c>
      <c r="N22" s="2"/>
      <c r="O22" s="250" t="str">
        <f>'Rate Design Work eff 10-14-16'!O22</f>
        <v xml:space="preserve"> </v>
      </c>
      <c r="P22" s="20"/>
      <c r="Q22" s="2">
        <f>'Rate Design Work eff 10-14-16'!Q22</f>
        <v>0</v>
      </c>
      <c r="R22" s="2"/>
      <c r="S22" s="250" t="str">
        <f>'Rate Design Work eff 10-14-16'!S22</f>
        <v xml:space="preserve"> </v>
      </c>
      <c r="T22" s="20"/>
      <c r="U22" s="2">
        <f>'Rate Design Work eff 10-14-16'!U22</f>
        <v>0</v>
      </c>
      <c r="W22" s="105"/>
      <c r="X22" s="4" t="s">
        <v>31</v>
      </c>
      <c r="Y22" s="3"/>
      <c r="Z22" s="251"/>
      <c r="AA22" s="251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R22" s="84"/>
    </row>
    <row r="23" spans="1:44" s="1118" customFormat="1" hidden="1">
      <c r="A23" s="968" t="s">
        <v>901</v>
      </c>
      <c r="C23" s="1122">
        <f t="shared" ref="C23:C26" si="0">C44+C62+C80</f>
        <v>3257550</v>
      </c>
      <c r="D23" s="250">
        <f>'Rate Design Work eff 9-15-17'!D23</f>
        <v>0</v>
      </c>
      <c r="E23" s="1119"/>
      <c r="F23" s="1123"/>
      <c r="G23" s="1128">
        <f>'Rate Design Work eff 9-15-17'!G23</f>
        <v>0</v>
      </c>
      <c r="H23" s="1126" t="s">
        <v>364</v>
      </c>
      <c r="I23" s="1123">
        <f>I44+I62+I80</f>
        <v>0</v>
      </c>
      <c r="J23" s="1123"/>
      <c r="K23" s="1128" t="s">
        <v>31</v>
      </c>
      <c r="L23" s="1126" t="s">
        <v>31</v>
      </c>
      <c r="M23" s="2">
        <f>'Rate Design Work eff 10-14-16'!M23</f>
        <v>0</v>
      </c>
      <c r="N23" s="1123"/>
      <c r="O23" s="1128" t="s">
        <v>31</v>
      </c>
      <c r="P23" s="1126" t="s">
        <v>31</v>
      </c>
      <c r="Q23" s="2">
        <f>'Rate Design Work eff 10-14-16'!Q23</f>
        <v>0</v>
      </c>
      <c r="R23" s="1123"/>
      <c r="S23" s="1128">
        <f>G23</f>
        <v>0</v>
      </c>
      <c r="T23" s="1126" t="s">
        <v>364</v>
      </c>
      <c r="U23" s="2">
        <f>'Rate Design Work eff 10-14-16'!U23</f>
        <v>0</v>
      </c>
      <c r="V23" s="1124"/>
      <c r="W23" s="784"/>
      <c r="Z23" s="1125"/>
      <c r="AA23" s="1125"/>
      <c r="AF23" s="1119"/>
      <c r="AG23" s="1119"/>
      <c r="AH23" s="1119"/>
      <c r="AI23" s="1119"/>
      <c r="AJ23" s="1119"/>
      <c r="AK23" s="1119"/>
      <c r="AL23" s="1119"/>
      <c r="AM23" s="1119"/>
      <c r="AN23" s="1119"/>
      <c r="AO23" s="1119"/>
      <c r="AP23" s="1119"/>
      <c r="AR23" s="1124"/>
    </row>
    <row r="24" spans="1:44">
      <c r="A24" s="3" t="s">
        <v>352</v>
      </c>
      <c r="C24" s="249">
        <f t="shared" si="0"/>
        <v>29531</v>
      </c>
      <c r="D24" s="250"/>
      <c r="F24" s="2"/>
      <c r="G24" s="250"/>
      <c r="I24" s="2"/>
      <c r="J24" s="2"/>
      <c r="K24" s="250"/>
      <c r="M24" s="2"/>
      <c r="N24" s="2"/>
      <c r="O24" s="250"/>
      <c r="Q24" s="2"/>
      <c r="R24" s="2"/>
      <c r="S24" s="250"/>
      <c r="U24" s="2"/>
      <c r="W24" s="84"/>
      <c r="X24" s="3"/>
      <c r="Y24" s="3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R24" s="84"/>
    </row>
    <row r="25" spans="1:44">
      <c r="A25" s="3" t="s">
        <v>35</v>
      </c>
      <c r="C25" s="249">
        <f t="shared" si="0"/>
        <v>3257550</v>
      </c>
      <c r="D25" s="254"/>
      <c r="E25" s="20"/>
      <c r="F25" s="2">
        <f>F46+F64+F82</f>
        <v>472778.05014159094</v>
      </c>
      <c r="G25" s="254"/>
      <c r="H25" s="20"/>
      <c r="I25" s="2">
        <f ca="1">I46+I64+I82</f>
        <v>483937.34921104013</v>
      </c>
      <c r="J25" s="255"/>
      <c r="K25" s="254"/>
      <c r="L25" s="20"/>
      <c r="M25" s="255" t="e">
        <f ca="1">SUM(M15:M23)</f>
        <v>#DIV/0!</v>
      </c>
      <c r="N25" s="255"/>
      <c r="O25" s="254"/>
      <c r="P25" s="20"/>
      <c r="Q25" s="255" t="e">
        <f ca="1">SUM(Q15:Q23)</f>
        <v>#DIV/0!</v>
      </c>
      <c r="R25" s="255"/>
      <c r="S25" s="254"/>
      <c r="T25" s="20"/>
      <c r="U25" s="255" t="e">
        <f ca="1">SUM(U15:U23)</f>
        <v>#DIV/0!</v>
      </c>
      <c r="W25" s="256"/>
      <c r="X25" s="3"/>
      <c r="Y25" s="3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R25" s="84"/>
    </row>
    <row r="26" spans="1:44">
      <c r="A26" s="3" t="s">
        <v>353</v>
      </c>
      <c r="C26" s="249">
        <f t="shared" ca="1" si="0"/>
        <v>28196.413423238097</v>
      </c>
      <c r="D26" s="254"/>
      <c r="E26" s="20"/>
      <c r="F26" s="257">
        <f ca="1">F47+F65+F83</f>
        <v>4619.063368053824</v>
      </c>
      <c r="G26" s="254"/>
      <c r="H26" s="20"/>
      <c r="I26" s="257">
        <f ca="1">F26</f>
        <v>4619.063368053824</v>
      </c>
      <c r="J26" s="257"/>
      <c r="K26" s="254"/>
      <c r="L26" s="20"/>
      <c r="M26" s="295" t="e">
        <f ca="1">$I$26*V31/($V$31+$W$31+$X$31)</f>
        <v>#DIV/0!</v>
      </c>
      <c r="N26" s="51"/>
      <c r="O26" s="294"/>
      <c r="P26" s="294"/>
      <c r="Q26" s="295" t="e">
        <f ca="1">$I$26*W31/($V$31+$W$31+$X$31)</f>
        <v>#DIV/0!</v>
      </c>
      <c r="R26" s="51"/>
      <c r="S26" s="294"/>
      <c r="T26" s="294"/>
      <c r="U26" s="295" t="e">
        <f ca="1">$I$26*X31/($V$31+$W$31+$X$31)</f>
        <v>#DIV/0!</v>
      </c>
      <c r="X26" s="765" t="s">
        <v>31</v>
      </c>
      <c r="Y26" s="765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R26" s="84"/>
    </row>
    <row r="27" spans="1:44" ht="16.5" thickBot="1">
      <c r="A27" s="3" t="s">
        <v>9</v>
      </c>
      <c r="C27" s="258">
        <f ca="1">C25+C26</f>
        <v>3285746.4134232383</v>
      </c>
      <c r="D27" s="297"/>
      <c r="E27" s="259"/>
      <c r="F27" s="259">
        <f ca="1">F25+F26</f>
        <v>477397.11350964475</v>
      </c>
      <c r="G27" s="297"/>
      <c r="H27" s="259"/>
      <c r="I27" s="259">
        <f ca="1">I25+I26</f>
        <v>488556.41257909394</v>
      </c>
      <c r="J27" s="297"/>
      <c r="K27" s="297"/>
      <c r="L27" s="259"/>
      <c r="M27" s="259" t="e">
        <f ca="1">M25+M26</f>
        <v>#DIV/0!</v>
      </c>
      <c r="N27" s="297"/>
      <c r="O27" s="297"/>
      <c r="P27" s="259"/>
      <c r="Q27" s="259" t="e">
        <f ca="1">Q25+Q26</f>
        <v>#DIV/0!</v>
      </c>
      <c r="R27" s="297"/>
      <c r="S27" s="297"/>
      <c r="T27" s="259"/>
      <c r="U27" s="259" t="e">
        <f ca="1">U25+U26</f>
        <v>#DIV/0!</v>
      </c>
      <c r="V27" s="757" t="s">
        <v>354</v>
      </c>
      <c r="W27" s="1082">
        <f ca="1">'Rate Spread targets'!X37*1000</f>
        <v>488466.38823508786</v>
      </c>
      <c r="X27" s="787">
        <f ca="1">'Rate Spread targets'!V37-0.116</f>
        <v>-9.9058551390444005E-2</v>
      </c>
      <c r="Y27" s="751"/>
      <c r="Z27" s="14"/>
      <c r="AA27" s="14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R27" s="84"/>
    </row>
    <row r="28" spans="1:44" ht="16.5" thickTop="1">
      <c r="A28" s="1304" t="s">
        <v>902</v>
      </c>
      <c r="C28" s="335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42"/>
      <c r="W28" s="401"/>
      <c r="X28" s="1303"/>
      <c r="Y28" s="751"/>
      <c r="Z28" s="14"/>
      <c r="AA28" s="14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R28" s="84"/>
    </row>
    <row r="29" spans="1:44" ht="18" customHeight="1">
      <c r="C29" s="260"/>
      <c r="D29" s="294" t="s">
        <v>31</v>
      </c>
      <c r="E29" s="260"/>
      <c r="F29" s="248"/>
      <c r="G29" s="1" t="s">
        <v>31</v>
      </c>
      <c r="H29" s="260"/>
      <c r="I29" s="2" t="s">
        <v>31</v>
      </c>
      <c r="J29" s="2"/>
      <c r="K29" s="1" t="s">
        <v>31</v>
      </c>
      <c r="L29" s="260"/>
      <c r="M29" s="2" t="s">
        <v>31</v>
      </c>
      <c r="N29" s="2"/>
      <c r="O29" s="1" t="s">
        <v>31</v>
      </c>
      <c r="P29" s="260"/>
      <c r="Q29" s="2" t="s">
        <v>31</v>
      </c>
      <c r="R29" s="2"/>
      <c r="S29" s="1" t="s">
        <v>31</v>
      </c>
      <c r="T29" s="260"/>
      <c r="U29" s="2" t="s">
        <v>31</v>
      </c>
      <c r="V29" s="112" t="s">
        <v>257</v>
      </c>
      <c r="W29" s="780">
        <f ca="1">W27-I27</f>
        <v>-90.024344006087631</v>
      </c>
      <c r="X29" s="394">
        <v>0</v>
      </c>
      <c r="Y29" s="226"/>
      <c r="Z29" s="14"/>
      <c r="AA29" s="14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R29" s="84"/>
    </row>
    <row r="30" spans="1:44" hidden="1">
      <c r="C30" s="260"/>
      <c r="D30" s="294"/>
      <c r="E30" s="260"/>
      <c r="F30" s="248"/>
      <c r="G30" s="1"/>
      <c r="H30" s="260"/>
      <c r="I30" s="2"/>
      <c r="J30" s="2"/>
      <c r="K30" s="1"/>
      <c r="L30" s="260"/>
      <c r="M30" s="2"/>
      <c r="N30" s="2"/>
      <c r="O30" s="1"/>
      <c r="P30" s="260"/>
      <c r="Q30" s="2"/>
      <c r="R30" s="2"/>
      <c r="S30" s="1"/>
      <c r="T30" s="260"/>
      <c r="U30" s="2">
        <f ca="1">U29-I27</f>
        <v>-488556.41257909394</v>
      </c>
      <c r="V30" s="719"/>
      <c r="W30" s="719"/>
      <c r="X30" s="719"/>
      <c r="Y30" s="226"/>
      <c r="Z30" s="14"/>
      <c r="AA30" s="14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R30" s="84"/>
    </row>
    <row r="31" spans="1:44" hidden="1">
      <c r="C31" s="260"/>
      <c r="D31" s="294"/>
      <c r="E31" s="260"/>
      <c r="F31" s="248"/>
      <c r="G31" s="1"/>
      <c r="H31" s="260"/>
      <c r="I31" s="2"/>
      <c r="J31" s="2"/>
      <c r="K31" s="1"/>
      <c r="L31" s="260"/>
      <c r="M31" s="2"/>
      <c r="N31" s="2"/>
      <c r="O31" s="1"/>
      <c r="P31" s="260"/>
      <c r="Q31" s="2"/>
      <c r="R31" s="2"/>
      <c r="S31" s="1"/>
      <c r="T31" s="260"/>
      <c r="U31" s="2"/>
      <c r="V31" s="401"/>
      <c r="W31" s="401"/>
      <c r="X31" s="401"/>
      <c r="Y31" s="226"/>
      <c r="Z31" s="14"/>
      <c r="AA31" s="14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R31" s="84"/>
    </row>
    <row r="32" spans="1:44" hidden="1">
      <c r="A32" s="247" t="s">
        <v>341</v>
      </c>
      <c r="F32" s="248"/>
      <c r="W32" s="261" t="s">
        <v>31</v>
      </c>
      <c r="X32" s="3"/>
      <c r="Y32" s="3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R32" s="84"/>
    </row>
    <row r="33" spans="1:44" hidden="1">
      <c r="A33" s="3" t="s">
        <v>355</v>
      </c>
      <c r="F33" s="248"/>
      <c r="V33" s="263"/>
      <c r="W33" s="263"/>
      <c r="X33" s="263"/>
      <c r="Y33" s="263"/>
      <c r="Z33" s="263"/>
      <c r="AA33" s="263"/>
      <c r="AB33" s="263"/>
      <c r="AC33" s="263"/>
      <c r="AD33" s="263"/>
      <c r="AE33" s="263"/>
      <c r="AF33" s="263"/>
      <c r="AG33" s="263"/>
      <c r="AH33" s="263"/>
      <c r="AI33" s="263"/>
      <c r="AJ33" s="263"/>
      <c r="AK33" s="263"/>
      <c r="AL33" s="20"/>
      <c r="AM33" s="20"/>
      <c r="AN33" s="20"/>
      <c r="AO33" s="20"/>
      <c r="AP33" s="20"/>
      <c r="AR33" s="84"/>
    </row>
    <row r="34" spans="1:44" hidden="1">
      <c r="F34" s="248"/>
      <c r="V34" s="263"/>
      <c r="W34" s="263"/>
      <c r="X34" s="263"/>
      <c r="Y34" s="263"/>
      <c r="Z34" s="263"/>
      <c r="AA34" s="263"/>
      <c r="AB34" s="263"/>
      <c r="AC34" s="263"/>
      <c r="AD34" s="263"/>
      <c r="AE34" s="263"/>
      <c r="AF34" s="263"/>
      <c r="AG34" s="263"/>
      <c r="AH34" s="263"/>
      <c r="AI34" s="263"/>
      <c r="AJ34" s="263"/>
      <c r="AK34" s="263"/>
      <c r="AL34" s="20"/>
      <c r="AM34" s="20"/>
      <c r="AN34" s="20"/>
      <c r="AO34" s="20"/>
      <c r="AP34" s="20"/>
      <c r="AR34" s="84"/>
    </row>
    <row r="35" spans="1:44" hidden="1">
      <c r="A35" s="3" t="s">
        <v>343</v>
      </c>
      <c r="F35" s="248"/>
      <c r="V35" s="263"/>
      <c r="W35" s="263"/>
      <c r="X35" s="74"/>
      <c r="Y35" s="74"/>
      <c r="Z35" s="264"/>
      <c r="AA35" s="264"/>
      <c r="AB35" s="265"/>
      <c r="AC35" s="265"/>
      <c r="AD35" s="265"/>
      <c r="AE35" s="265"/>
      <c r="AF35" s="266"/>
      <c r="AG35" s="267"/>
      <c r="AH35" s="263"/>
      <c r="AI35" s="263"/>
      <c r="AJ35" s="263"/>
      <c r="AK35" s="263"/>
      <c r="AL35" s="20"/>
      <c r="AM35" s="20"/>
      <c r="AN35" s="20"/>
      <c r="AO35" s="20"/>
      <c r="AP35" s="20"/>
      <c r="AR35" s="84"/>
    </row>
    <row r="36" spans="1:44" hidden="1">
      <c r="A36" s="3" t="s">
        <v>344</v>
      </c>
      <c r="C36" s="249">
        <f>'Rate Design Work eff 10-14-16'!C35</f>
        <v>12319.411199591441</v>
      </c>
      <c r="D36" s="250">
        <f>'Rate Design Work eff 9-15-17'!D35</f>
        <v>10.98</v>
      </c>
      <c r="F36" s="2">
        <f>D36*C36</f>
        <v>135267.13497151402</v>
      </c>
      <c r="G36" s="250">
        <f ca="1">$G$15</f>
        <v>11.24</v>
      </c>
      <c r="I36" s="2">
        <f ca="1">(G36*$C36)</f>
        <v>138470.18188340779</v>
      </c>
      <c r="J36" s="2"/>
      <c r="K36" s="250" t="e">
        <f ca="1">K15</f>
        <v>#DIV/0!</v>
      </c>
      <c r="M36" s="2" t="e">
        <f ca="1">K36*C36</f>
        <v>#DIV/0!</v>
      </c>
      <c r="N36" s="2"/>
      <c r="O36" s="250" t="e">
        <f ca="1">O15</f>
        <v>#DIV/0!</v>
      </c>
      <c r="Q36" s="2" t="e">
        <f ca="1">O36*C36</f>
        <v>#DIV/0!</v>
      </c>
      <c r="R36" s="2"/>
      <c r="S36" s="250" t="e">
        <f ca="1">S15</f>
        <v>#DIV/0!</v>
      </c>
      <c r="U36" s="2" t="e">
        <f ca="1">S36*C36</f>
        <v>#DIV/0!</v>
      </c>
      <c r="V36" s="20"/>
      <c r="W36" s="266"/>
      <c r="X36" s="74"/>
      <c r="Y36" s="74"/>
      <c r="Z36" s="263"/>
      <c r="AA36" s="263"/>
      <c r="AB36" s="268"/>
      <c r="AC36" s="268"/>
      <c r="AD36" s="268"/>
      <c r="AE36" s="268"/>
      <c r="AF36" s="269"/>
      <c r="AG36" s="263"/>
      <c r="AH36" s="266"/>
      <c r="AI36" s="266"/>
      <c r="AJ36" s="270"/>
      <c r="AK36" s="266"/>
      <c r="AL36" s="20"/>
      <c r="AM36" s="20"/>
      <c r="AN36" s="20"/>
      <c r="AO36" s="20"/>
      <c r="AP36" s="20"/>
      <c r="AR36" s="84"/>
    </row>
    <row r="37" spans="1:44" hidden="1">
      <c r="A37" s="3" t="s">
        <v>345</v>
      </c>
      <c r="C37" s="249">
        <f>'Rate Design Work eff 10-14-16'!C36</f>
        <v>269.40125116474059</v>
      </c>
      <c r="D37" s="250">
        <f>'Rate Design Work eff 9-15-17'!D36</f>
        <v>20.88</v>
      </c>
      <c r="F37" s="2">
        <f>D37*C37</f>
        <v>5625.098124319783</v>
      </c>
      <c r="G37" s="250">
        <f ca="1">$G$16</f>
        <v>21.369999999999997</v>
      </c>
      <c r="I37" s="2">
        <f ca="1">(G37*$C37)</f>
        <v>5757.1047373905058</v>
      </c>
      <c r="J37" s="2"/>
      <c r="K37" s="250" t="e">
        <f ca="1">K16</f>
        <v>#DIV/0!</v>
      </c>
      <c r="M37" s="2" t="e">
        <f ca="1">K37*C37</f>
        <v>#DIV/0!</v>
      </c>
      <c r="N37" s="2"/>
      <c r="O37" s="250" t="e">
        <f ca="1">O16</f>
        <v>#DIV/0!</v>
      </c>
      <c r="Q37" s="2" t="e">
        <f ca="1">O37*C37</f>
        <v>#DIV/0!</v>
      </c>
      <c r="R37" s="2"/>
      <c r="S37" s="250" t="e">
        <f ca="1">S16</f>
        <v>#DIV/0!</v>
      </c>
      <c r="U37" s="2" t="e">
        <f ca="1">S37*C37</f>
        <v>#DIV/0!</v>
      </c>
      <c r="V37" s="20"/>
      <c r="W37" s="266"/>
      <c r="X37" s="74"/>
      <c r="Y37" s="74"/>
      <c r="Z37" s="20"/>
      <c r="AA37" s="20"/>
      <c r="AB37" s="272"/>
      <c r="AC37" s="272"/>
      <c r="AD37" s="272"/>
      <c r="AE37" s="272"/>
      <c r="AF37" s="263"/>
      <c r="AG37" s="263"/>
      <c r="AH37" s="266"/>
      <c r="AI37" s="266"/>
      <c r="AJ37" s="270"/>
      <c r="AK37" s="266"/>
      <c r="AL37" s="20"/>
      <c r="AM37" s="20"/>
      <c r="AN37" s="20"/>
      <c r="AO37" s="20"/>
      <c r="AP37" s="20"/>
      <c r="AR37" s="84"/>
    </row>
    <row r="38" spans="1:44" hidden="1">
      <c r="A38" s="3" t="s">
        <v>346</v>
      </c>
      <c r="C38" s="249">
        <f>'Rate Design Work eff 10-14-16'!C37</f>
        <v>0</v>
      </c>
      <c r="D38" s="250">
        <f>'Rate Design Work eff 9-15-17'!D37</f>
        <v>43.21</v>
      </c>
      <c r="F38" s="2">
        <f>D38*C38</f>
        <v>0</v>
      </c>
      <c r="G38" s="250">
        <f ca="1">$G$17</f>
        <v>44.25</v>
      </c>
      <c r="I38" s="2">
        <f ca="1">(G38*$C38)</f>
        <v>0</v>
      </c>
      <c r="J38" s="2"/>
      <c r="K38" s="250" t="e">
        <f ca="1">K17</f>
        <v>#DIV/0!</v>
      </c>
      <c r="M38" s="2" t="e">
        <f ca="1">K38*C38</f>
        <v>#DIV/0!</v>
      </c>
      <c r="N38" s="2"/>
      <c r="O38" s="250" t="e">
        <f ca="1">O17</f>
        <v>#DIV/0!</v>
      </c>
      <c r="Q38" s="2" t="e">
        <f ca="1">O38*C38</f>
        <v>#DIV/0!</v>
      </c>
      <c r="R38" s="2"/>
      <c r="S38" s="250" t="e">
        <f ca="1">S17</f>
        <v>#DIV/0!</v>
      </c>
      <c r="U38" s="2" t="e">
        <f ca="1">S38*C38</f>
        <v>#DIV/0!</v>
      </c>
      <c r="V38" s="20"/>
      <c r="W38" s="266"/>
      <c r="X38" s="74"/>
      <c r="Y38" s="74"/>
      <c r="Z38" s="20"/>
      <c r="AA38" s="20"/>
      <c r="AB38" s="272"/>
      <c r="AC38" s="272"/>
      <c r="AD38" s="272"/>
      <c r="AE38" s="272"/>
      <c r="AF38" s="263"/>
      <c r="AG38" s="263"/>
      <c r="AH38" s="266"/>
      <c r="AI38" s="266"/>
      <c r="AJ38" s="270"/>
      <c r="AK38" s="266"/>
      <c r="AL38" s="20"/>
      <c r="AM38" s="20"/>
      <c r="AN38" s="20"/>
      <c r="AO38" s="20"/>
      <c r="AP38" s="20"/>
      <c r="AR38" s="84"/>
    </row>
    <row r="39" spans="1:44" hidden="1">
      <c r="A39" s="3" t="s">
        <v>347</v>
      </c>
      <c r="C39" s="249"/>
      <c r="D39" s="250"/>
      <c r="F39" s="2"/>
      <c r="G39" s="250"/>
      <c r="I39" s="2"/>
      <c r="J39" s="2"/>
      <c r="K39" s="250"/>
      <c r="M39" s="2"/>
      <c r="N39" s="2"/>
      <c r="O39" s="250"/>
      <c r="Q39" s="2"/>
      <c r="R39" s="2"/>
      <c r="S39" s="250"/>
      <c r="U39" s="2"/>
      <c r="V39" s="20"/>
      <c r="W39" s="266"/>
      <c r="X39" s="74"/>
      <c r="Y39" s="74"/>
      <c r="Z39" s="20"/>
      <c r="AA39" s="20"/>
      <c r="AB39" s="272"/>
      <c r="AC39" s="272"/>
      <c r="AD39" s="272"/>
      <c r="AE39" s="272"/>
      <c r="AF39" s="263"/>
      <c r="AG39" s="263"/>
      <c r="AH39" s="266"/>
      <c r="AI39" s="266"/>
      <c r="AJ39" s="270"/>
      <c r="AK39" s="266"/>
      <c r="AL39" s="20"/>
      <c r="AM39" s="20"/>
      <c r="AN39" s="20"/>
      <c r="AO39" s="20"/>
      <c r="AP39" s="20"/>
      <c r="AR39" s="84"/>
    </row>
    <row r="40" spans="1:44" hidden="1">
      <c r="A40" s="3" t="s">
        <v>348</v>
      </c>
      <c r="C40" s="249">
        <f>'Rate Design Work eff 10-14-16'!C39</f>
        <v>815.26657972914199</v>
      </c>
      <c r="D40" s="250">
        <f>'Rate Design Work eff 9-15-17'!D39</f>
        <v>12.48</v>
      </c>
      <c r="F40" s="2">
        <f>D40*C40</f>
        <v>10174.526915019693</v>
      </c>
      <c r="G40" s="250">
        <f ca="1">$G$19</f>
        <v>12.77</v>
      </c>
      <c r="I40" s="2">
        <f ca="1">(G40*$C40)</f>
        <v>10410.954223141143</v>
      </c>
      <c r="J40" s="2"/>
      <c r="K40" s="250" t="e">
        <f ca="1">K19</f>
        <v>#DIV/0!</v>
      </c>
      <c r="M40" s="2" t="e">
        <f ca="1">K40*C40</f>
        <v>#DIV/0!</v>
      </c>
      <c r="N40" s="2"/>
      <c r="O40" s="250" t="e">
        <f ca="1">O19</f>
        <v>#DIV/0!</v>
      </c>
      <c r="Q40" s="2" t="e">
        <f ca="1">O40*C40</f>
        <v>#DIV/0!</v>
      </c>
      <c r="R40" s="2"/>
      <c r="S40" s="250" t="e">
        <f ca="1">S19</f>
        <v>#DIV/0!</v>
      </c>
      <c r="U40" s="2" t="e">
        <f ca="1">S40*C40</f>
        <v>#DIV/0!</v>
      </c>
      <c r="V40" s="20"/>
      <c r="W40" s="266"/>
      <c r="X40" s="74"/>
      <c r="Y40" s="74"/>
      <c r="Z40" s="20"/>
      <c r="AA40" s="20"/>
      <c r="AB40" s="272"/>
      <c r="AC40" s="272"/>
      <c r="AD40" s="272"/>
      <c r="AE40" s="272"/>
      <c r="AF40" s="263"/>
      <c r="AG40" s="263"/>
      <c r="AH40" s="266"/>
      <c r="AI40" s="266"/>
      <c r="AJ40" s="270"/>
      <c r="AK40" s="266"/>
      <c r="AL40" s="20"/>
      <c r="AM40" s="20"/>
      <c r="AN40" s="20"/>
      <c r="AO40" s="20"/>
      <c r="AP40" s="20"/>
      <c r="AR40" s="84"/>
    </row>
    <row r="41" spans="1:44" hidden="1">
      <c r="A41" s="3" t="s">
        <v>349</v>
      </c>
      <c r="C41" s="249">
        <f>'Rate Design Work eff 10-14-16'!C40</f>
        <v>197.43500610479001</v>
      </c>
      <c r="D41" s="250">
        <f>'Rate Design Work eff 9-15-17'!D40</f>
        <v>18.329999999999998</v>
      </c>
      <c r="F41" s="2">
        <f>D41*C41</f>
        <v>3618.9836619008006</v>
      </c>
      <c r="G41" s="250">
        <f ca="1">$G$20</f>
        <v>18.759999999999998</v>
      </c>
      <c r="I41" s="2">
        <f ca="1">(G41*$C41)</f>
        <v>3703.8807145258602</v>
      </c>
      <c r="J41" s="2"/>
      <c r="K41" s="250" t="e">
        <f ca="1">K20</f>
        <v>#DIV/0!</v>
      </c>
      <c r="M41" s="2" t="e">
        <f ca="1">K41*C41</f>
        <v>#DIV/0!</v>
      </c>
      <c r="N41" s="2"/>
      <c r="O41" s="250" t="e">
        <f ca="1">O20</f>
        <v>#DIV/0!</v>
      </c>
      <c r="Q41" s="2" t="e">
        <f ca="1">O41*C41</f>
        <v>#DIV/0!</v>
      </c>
      <c r="R41" s="2"/>
      <c r="S41" s="250" t="e">
        <f ca="1">S20</f>
        <v>#DIV/0!</v>
      </c>
      <c r="U41" s="2" t="e">
        <f ca="1">S41*C41</f>
        <v>#DIV/0!</v>
      </c>
      <c r="V41" s="20"/>
      <c r="W41" s="266"/>
      <c r="X41" s="74"/>
      <c r="Y41" s="74"/>
      <c r="Z41" s="20"/>
      <c r="AA41" s="20"/>
      <c r="AB41" s="272"/>
      <c r="AC41" s="272"/>
      <c r="AD41" s="272"/>
      <c r="AE41" s="272"/>
      <c r="AF41" s="263"/>
      <c r="AG41" s="263"/>
      <c r="AH41" s="266"/>
      <c r="AI41" s="266"/>
      <c r="AJ41" s="270"/>
      <c r="AK41" s="266"/>
      <c r="AL41" s="20"/>
      <c r="AM41" s="20"/>
      <c r="AN41" s="20"/>
      <c r="AO41" s="20"/>
      <c r="AP41" s="20"/>
      <c r="AR41" s="84"/>
    </row>
    <row r="42" spans="1:44" hidden="1">
      <c r="A42" s="3" t="s">
        <v>350</v>
      </c>
      <c r="C42" s="249">
        <f>'Rate Design Work eff 10-14-16'!C41</f>
        <v>12.0001539348952</v>
      </c>
      <c r="D42" s="250">
        <f>'Rate Design Work eff 9-15-17'!D41</f>
        <v>29.57</v>
      </c>
      <c r="F42" s="2">
        <f>D42*C42</f>
        <v>354.84455185485109</v>
      </c>
      <c r="G42" s="250">
        <f ca="1">$G$21</f>
        <v>30.28</v>
      </c>
      <c r="I42" s="2">
        <f ca="1">(G42*$C42)</f>
        <v>363.36466114862668</v>
      </c>
      <c r="J42" s="2"/>
      <c r="K42" s="250" t="e">
        <f ca="1">K21</f>
        <v>#DIV/0!</v>
      </c>
      <c r="M42" s="2" t="e">
        <f ca="1">K42*C42</f>
        <v>#DIV/0!</v>
      </c>
      <c r="N42" s="2"/>
      <c r="O42" s="250" t="e">
        <f ca="1">O21</f>
        <v>#DIV/0!</v>
      </c>
      <c r="Q42" s="2" t="e">
        <f ca="1">O42*C42</f>
        <v>#DIV/0!</v>
      </c>
      <c r="R42" s="2"/>
      <c r="S42" s="250" t="e">
        <f ca="1">S21</f>
        <v>#DIV/0!</v>
      </c>
      <c r="U42" s="2" t="e">
        <f ca="1">S42*C42</f>
        <v>#DIV/0!</v>
      </c>
      <c r="V42" s="20"/>
      <c r="W42" s="266"/>
      <c r="X42" s="74"/>
      <c r="Y42" s="74"/>
      <c r="Z42" s="20"/>
      <c r="AA42" s="20"/>
      <c r="AB42" s="272"/>
      <c r="AC42" s="272"/>
      <c r="AD42" s="272"/>
      <c r="AE42" s="272"/>
      <c r="AF42" s="263"/>
      <c r="AG42" s="263"/>
      <c r="AH42" s="266"/>
      <c r="AI42" s="266"/>
      <c r="AJ42" s="270"/>
      <c r="AK42" s="266"/>
      <c r="AL42" s="20"/>
      <c r="AM42" s="20"/>
      <c r="AN42" s="20"/>
      <c r="AO42" s="20"/>
      <c r="AP42" s="20"/>
      <c r="AR42" s="84"/>
    </row>
    <row r="43" spans="1:44" hidden="1">
      <c r="A43" s="3" t="s">
        <v>351</v>
      </c>
      <c r="C43" s="249">
        <f>'Rate Design Work eff 10-14-16'!C42</f>
        <v>105.16961673026219</v>
      </c>
      <c r="D43" s="250">
        <f>'Rate Design Work eff 9-15-17'!D42</f>
        <v>1</v>
      </c>
      <c r="E43" s="20"/>
      <c r="F43" s="2">
        <f>D43*C43</f>
        <v>105.16961673026219</v>
      </c>
      <c r="G43" s="254">
        <f>$G$22</f>
        <v>1</v>
      </c>
      <c r="H43" s="20"/>
      <c r="I43" s="2">
        <f>(G43*$C43)</f>
        <v>105.16961673026219</v>
      </c>
      <c r="J43" s="2"/>
      <c r="K43" s="250">
        <f>K22</f>
        <v>1</v>
      </c>
      <c r="L43" s="20"/>
      <c r="M43" s="2">
        <f>K43*C43</f>
        <v>105.16961673026219</v>
      </c>
      <c r="N43" s="2"/>
      <c r="O43" s="250" t="str">
        <f>O22</f>
        <v xml:space="preserve"> </v>
      </c>
      <c r="P43" s="20"/>
      <c r="Q43" s="2">
        <f>O43*C43</f>
        <v>0</v>
      </c>
      <c r="R43" s="2"/>
      <c r="S43" s="250" t="str">
        <f>S22</f>
        <v xml:space="preserve"> </v>
      </c>
      <c r="T43" s="20"/>
      <c r="U43" s="2">
        <f>S43*C43</f>
        <v>0</v>
      </c>
      <c r="V43" s="263"/>
      <c r="W43" s="266"/>
      <c r="X43" s="74"/>
      <c r="Y43" s="74"/>
      <c r="Z43" s="20"/>
      <c r="AA43" s="20"/>
      <c r="AB43" s="263"/>
      <c r="AC43" s="263"/>
      <c r="AD43" s="263"/>
      <c r="AE43" s="263"/>
      <c r="AF43" s="263"/>
      <c r="AG43" s="263"/>
      <c r="AH43" s="266"/>
      <c r="AI43" s="266"/>
      <c r="AJ43" s="266"/>
      <c r="AK43" s="266"/>
      <c r="AL43" s="20"/>
      <c r="AM43" s="20"/>
      <c r="AN43" s="20"/>
      <c r="AO43" s="20"/>
      <c r="AP43" s="20"/>
      <c r="AR43" s="84"/>
    </row>
    <row r="44" spans="1:44" s="1118" customFormat="1" hidden="1">
      <c r="A44" s="968" t="s">
        <v>884</v>
      </c>
      <c r="C44" s="1122">
        <f>C46</f>
        <v>1033526</v>
      </c>
      <c r="D44" s="250">
        <f>'Rate Design Work eff 9-15-17'!D43</f>
        <v>0</v>
      </c>
      <c r="E44" s="1119"/>
      <c r="F44" s="1123"/>
      <c r="G44" s="1128">
        <f>G23</f>
        <v>0</v>
      </c>
      <c r="H44" s="1126" t="s">
        <v>364</v>
      </c>
      <c r="I44" s="1123">
        <f>G44*C44/100</f>
        <v>0</v>
      </c>
      <c r="J44" s="1123"/>
      <c r="K44" s="1128" t="str">
        <f>K23</f>
        <v xml:space="preserve"> </v>
      </c>
      <c r="L44" s="1126" t="s">
        <v>364</v>
      </c>
      <c r="M44" s="1123">
        <f>K44*C44</f>
        <v>0</v>
      </c>
      <c r="N44" s="1123"/>
      <c r="O44" s="1128" t="str">
        <f>O23</f>
        <v xml:space="preserve"> </v>
      </c>
      <c r="P44" s="1126" t="s">
        <v>364</v>
      </c>
      <c r="Q44" s="2">
        <f>O44*C44</f>
        <v>0</v>
      </c>
      <c r="R44" s="1123"/>
      <c r="S44" s="1128">
        <f>S23</f>
        <v>0</v>
      </c>
      <c r="T44" s="1126" t="s">
        <v>364</v>
      </c>
      <c r="U44" s="1123">
        <f>S44*C44/100</f>
        <v>0</v>
      </c>
      <c r="W44" s="784"/>
      <c r="Z44" s="1125"/>
      <c r="AA44" s="1125"/>
      <c r="AF44" s="1119"/>
      <c r="AG44" s="1119"/>
      <c r="AH44" s="1119"/>
      <c r="AI44" s="1119"/>
      <c r="AJ44" s="1119"/>
      <c r="AK44" s="1119"/>
      <c r="AL44" s="1119"/>
      <c r="AM44" s="1119"/>
      <c r="AN44" s="1119"/>
      <c r="AO44" s="1119"/>
      <c r="AP44" s="1119"/>
      <c r="AR44" s="1124"/>
    </row>
    <row r="45" spans="1:44" hidden="1">
      <c r="A45" s="3" t="s">
        <v>352</v>
      </c>
      <c r="C45" s="249">
        <f>'Rate Design Work eff 10-14-16'!C44</f>
        <v>13372</v>
      </c>
      <c r="D45" s="250"/>
      <c r="F45" s="2"/>
      <c r="G45" s="250"/>
      <c r="I45" s="2"/>
      <c r="J45" s="2"/>
      <c r="K45" s="250"/>
      <c r="M45" s="2"/>
      <c r="N45" s="2"/>
      <c r="O45" s="250"/>
      <c r="Q45" s="2"/>
      <c r="R45" s="2"/>
      <c r="S45" s="250"/>
      <c r="U45" s="2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73"/>
      <c r="AI45" s="263"/>
      <c r="AJ45" s="263"/>
      <c r="AK45" s="263"/>
      <c r="AL45" s="20"/>
      <c r="AM45" s="20"/>
      <c r="AN45" s="20"/>
      <c r="AO45" s="20"/>
      <c r="AP45" s="20"/>
      <c r="AR45" s="84"/>
    </row>
    <row r="46" spans="1:44" hidden="1">
      <c r="A46" s="3" t="s">
        <v>35</v>
      </c>
      <c r="C46" s="249">
        <f>'Rate Design Work eff 10-14-16'!C45</f>
        <v>1033526</v>
      </c>
      <c r="D46" s="254"/>
      <c r="E46" s="20"/>
      <c r="F46" s="257">
        <f>SUM(F36:F43)</f>
        <v>155145.75784133942</v>
      </c>
      <c r="G46" s="254"/>
      <c r="H46" s="20"/>
      <c r="I46" s="257">
        <f ca="1">SUM(I36:I44)</f>
        <v>158810.65583634417</v>
      </c>
      <c r="J46" s="257"/>
      <c r="K46" s="254"/>
      <c r="L46" s="20"/>
      <c r="M46" s="257" t="e">
        <f ca="1">SUM(M36:M44)</f>
        <v>#DIV/0!</v>
      </c>
      <c r="N46" s="257"/>
      <c r="O46" s="254"/>
      <c r="P46" s="20"/>
      <c r="Q46" s="257" t="e">
        <f ca="1">SUM(Q36:Q44)</f>
        <v>#DIV/0!</v>
      </c>
      <c r="R46" s="257"/>
      <c r="S46" s="254"/>
      <c r="T46" s="20"/>
      <c r="U46" s="257" t="e">
        <f ca="1">SUM(U36:U44)</f>
        <v>#DIV/0!</v>
      </c>
      <c r="V46" s="263"/>
      <c r="W46" s="272"/>
      <c r="X46" s="263"/>
      <c r="Y46" s="263"/>
      <c r="Z46" s="20"/>
      <c r="AA46" s="20"/>
      <c r="AB46" s="20"/>
      <c r="AC46" s="20"/>
      <c r="AD46" s="20"/>
      <c r="AE46" s="20"/>
      <c r="AF46" s="20"/>
      <c r="AG46" s="263"/>
      <c r="AH46" s="263"/>
      <c r="AI46" s="263"/>
      <c r="AJ46" s="263"/>
      <c r="AK46" s="263"/>
      <c r="AL46" s="20"/>
      <c r="AM46" s="20"/>
      <c r="AN46" s="20"/>
      <c r="AO46" s="20"/>
      <c r="AP46" s="20"/>
      <c r="AR46" s="84"/>
    </row>
    <row r="47" spans="1:44" hidden="1">
      <c r="A47" s="3" t="s">
        <v>353</v>
      </c>
      <c r="C47" s="249">
        <f>'Table 2'!H21</f>
        <v>13388.012256127642</v>
      </c>
      <c r="D47" s="254"/>
      <c r="E47" s="20"/>
      <c r="F47" s="257">
        <f>'Table 3'!E21</f>
        <v>2236.7857072807878</v>
      </c>
      <c r="G47" s="254"/>
      <c r="H47" s="20"/>
      <c r="I47" s="257">
        <f>F47</f>
        <v>2236.7857072807878</v>
      </c>
      <c r="J47" s="257"/>
      <c r="K47" s="254"/>
      <c r="L47" s="20"/>
      <c r="M47" s="257" t="e">
        <f ca="1">M26/I26*I47</f>
        <v>#DIV/0!</v>
      </c>
      <c r="N47" s="257"/>
      <c r="O47" s="254"/>
      <c r="P47" s="20"/>
      <c r="Q47" s="257" t="e">
        <f ca="1">Q26/I26*I47</f>
        <v>#DIV/0!</v>
      </c>
      <c r="R47" s="257"/>
      <c r="S47" s="254"/>
      <c r="T47" s="20"/>
      <c r="U47" s="257" t="e">
        <f ca="1">U26/I26*I47</f>
        <v>#DIV/0!</v>
      </c>
      <c r="V47" s="429"/>
      <c r="W47" s="272"/>
      <c r="X47" s="263"/>
      <c r="Y47" s="263"/>
      <c r="Z47" s="263"/>
      <c r="AA47" s="263"/>
      <c r="AB47" s="268"/>
      <c r="AC47" s="268"/>
      <c r="AD47" s="268"/>
      <c r="AE47" s="268"/>
      <c r="AF47" s="266"/>
      <c r="AG47" s="263"/>
      <c r="AH47" s="263"/>
      <c r="AI47" s="263"/>
      <c r="AJ47" s="263"/>
      <c r="AK47" s="263"/>
      <c r="AL47" s="20"/>
      <c r="AM47" s="20"/>
      <c r="AN47" s="20"/>
      <c r="AO47" s="20"/>
      <c r="AP47" s="20"/>
      <c r="AR47" s="84"/>
    </row>
    <row r="48" spans="1:44" ht="16.5" hidden="1" thickBot="1">
      <c r="A48" s="3" t="s">
        <v>9</v>
      </c>
      <c r="C48" s="258">
        <f>C46+C47</f>
        <v>1046914.0122561277</v>
      </c>
      <c r="D48" s="297"/>
      <c r="E48" s="259"/>
      <c r="F48" s="259">
        <f>F46+F47</f>
        <v>157382.54354862022</v>
      </c>
      <c r="G48" s="297"/>
      <c r="H48" s="259"/>
      <c r="I48" s="259">
        <f ca="1">I46+I47</f>
        <v>161047.44154362497</v>
      </c>
      <c r="J48" s="51"/>
      <c r="K48" s="297"/>
      <c r="L48" s="259"/>
      <c r="M48" s="259" t="e">
        <f ca="1">M46+M47</f>
        <v>#DIV/0!</v>
      </c>
      <c r="N48" s="297"/>
      <c r="O48" s="297"/>
      <c r="P48" s="259"/>
      <c r="Q48" s="259" t="e">
        <f ca="1">Q46+Q47</f>
        <v>#DIV/0!</v>
      </c>
      <c r="R48" s="297"/>
      <c r="S48" s="297"/>
      <c r="T48" s="259"/>
      <c r="U48" s="259" t="e">
        <f ca="1">U46+U47</f>
        <v>#DIV/0!</v>
      </c>
      <c r="V48" s="396"/>
      <c r="W48" s="455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0"/>
      <c r="AM48" s="20"/>
      <c r="AN48" s="20"/>
      <c r="AO48" s="20"/>
      <c r="AP48" s="20"/>
      <c r="AR48" s="84"/>
    </row>
    <row r="49" spans="1:44" ht="16.5" hidden="1" thickTop="1">
      <c r="C49" s="260"/>
      <c r="D49" s="294" t="s">
        <v>31</v>
      </c>
      <c r="E49" s="260"/>
      <c r="F49" s="248"/>
      <c r="G49" s="1" t="s">
        <v>31</v>
      </c>
      <c r="H49" s="260"/>
      <c r="I49" s="2" t="s">
        <v>31</v>
      </c>
      <c r="J49" s="2"/>
      <c r="K49" s="1" t="s">
        <v>31</v>
      </c>
      <c r="L49" s="260"/>
      <c r="M49" s="2" t="s">
        <v>31</v>
      </c>
      <c r="N49" s="2"/>
      <c r="O49" s="1" t="s">
        <v>31</v>
      </c>
      <c r="P49" s="260"/>
      <c r="Q49" s="2" t="s">
        <v>31</v>
      </c>
      <c r="R49" s="2"/>
      <c r="S49" s="1" t="s">
        <v>31</v>
      </c>
      <c r="T49" s="260"/>
      <c r="U49" s="2" t="s">
        <v>31</v>
      </c>
      <c r="V49" s="20"/>
      <c r="W49" s="74"/>
      <c r="X49" s="74"/>
      <c r="Y49" s="74"/>
      <c r="Z49" s="20"/>
      <c r="AA49" s="20"/>
      <c r="AB49" s="20"/>
      <c r="AC49" s="20"/>
      <c r="AD49" s="20"/>
      <c r="AE49" s="20"/>
      <c r="AF49" s="20"/>
      <c r="AG49" s="263"/>
      <c r="AH49" s="263"/>
      <c r="AI49" s="263"/>
      <c r="AJ49" s="263"/>
      <c r="AK49" s="263"/>
      <c r="AL49" s="20"/>
      <c r="AM49" s="20"/>
      <c r="AN49" s="20"/>
      <c r="AO49" s="20"/>
      <c r="AP49" s="20"/>
      <c r="AR49" s="84"/>
    </row>
    <row r="50" spans="1:44" hidden="1">
      <c r="A50" s="247" t="s">
        <v>341</v>
      </c>
      <c r="F50" s="248"/>
      <c r="V50" s="20"/>
      <c r="W50" s="74"/>
      <c r="X50" s="74"/>
      <c r="Y50" s="74"/>
      <c r="Z50" s="20"/>
      <c r="AA50" s="20"/>
      <c r="AB50" s="20"/>
      <c r="AC50" s="20"/>
      <c r="AD50" s="20"/>
      <c r="AE50" s="20"/>
      <c r="AF50" s="20"/>
      <c r="AG50" s="263"/>
      <c r="AH50" s="263"/>
      <c r="AI50" s="263"/>
      <c r="AJ50" s="263"/>
      <c r="AK50" s="263"/>
      <c r="AL50" s="20"/>
      <c r="AM50" s="20"/>
      <c r="AN50" s="20"/>
      <c r="AO50" s="20"/>
      <c r="AP50" s="20"/>
      <c r="AR50" s="84"/>
    </row>
    <row r="51" spans="1:44" hidden="1">
      <c r="A51" s="3" t="s">
        <v>356</v>
      </c>
      <c r="F51" s="248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0"/>
      <c r="AM51" s="20"/>
      <c r="AN51" s="20"/>
      <c r="AO51" s="20"/>
      <c r="AP51" s="20"/>
      <c r="AR51" s="84"/>
    </row>
    <row r="52" spans="1:44" hidden="1">
      <c r="F52" s="248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0"/>
      <c r="AM52" s="20"/>
      <c r="AN52" s="20"/>
      <c r="AO52" s="20"/>
      <c r="AP52" s="20"/>
      <c r="AR52" s="84"/>
    </row>
    <row r="53" spans="1:44" hidden="1">
      <c r="A53" s="3" t="s">
        <v>343</v>
      </c>
      <c r="F53" s="248"/>
      <c r="V53" s="263"/>
      <c r="W53" s="263"/>
      <c r="X53" s="74"/>
      <c r="Y53" s="74"/>
      <c r="Z53" s="264"/>
      <c r="AA53" s="264"/>
      <c r="AB53" s="265"/>
      <c r="AC53" s="265"/>
      <c r="AD53" s="265"/>
      <c r="AE53" s="265"/>
      <c r="AF53" s="266"/>
      <c r="AG53" s="267"/>
      <c r="AH53" s="263"/>
      <c r="AI53" s="263"/>
      <c r="AJ53" s="263"/>
      <c r="AK53" s="263"/>
      <c r="AL53" s="20"/>
      <c r="AM53" s="20"/>
      <c r="AN53" s="20"/>
      <c r="AO53" s="20"/>
      <c r="AP53" s="20"/>
      <c r="AR53" s="84"/>
    </row>
    <row r="54" spans="1:44" hidden="1">
      <c r="A54" s="3" t="s">
        <v>344</v>
      </c>
      <c r="C54" s="249">
        <f>'Rate Design Work eff 10-14-16'!C53</f>
        <v>13565.461216694168</v>
      </c>
      <c r="D54" s="250">
        <f>'Rate Design Work eff 9-15-17'!D53</f>
        <v>10.98</v>
      </c>
      <c r="F54" s="2">
        <f>D54*C54</f>
        <v>148948.76415930197</v>
      </c>
      <c r="G54" s="250">
        <f ca="1">$G$15</f>
        <v>11.24</v>
      </c>
      <c r="I54" s="2">
        <f t="shared" ref="I54:I56" ca="1" si="1">(G54*$C54)</f>
        <v>152475.78407564244</v>
      </c>
      <c r="J54" s="2"/>
      <c r="K54" s="250" t="e">
        <f ca="1">K15</f>
        <v>#DIV/0!</v>
      </c>
      <c r="M54" s="2" t="e">
        <f t="shared" ref="M54:M56" ca="1" si="2">(K54*$C54)</f>
        <v>#DIV/0!</v>
      </c>
      <c r="N54" s="2"/>
      <c r="O54" s="250" t="e">
        <f ca="1">O15</f>
        <v>#DIV/0!</v>
      </c>
      <c r="Q54" s="2" t="e">
        <f t="shared" ref="Q54:Q56" ca="1" si="3">(O54*$C54)</f>
        <v>#DIV/0!</v>
      </c>
      <c r="R54" s="2"/>
      <c r="S54" s="250" t="e">
        <f ca="1">S15</f>
        <v>#DIV/0!</v>
      </c>
      <c r="U54" s="2" t="e">
        <f t="shared" ref="U54:U56" ca="1" si="4">(S54*$C54)</f>
        <v>#DIV/0!</v>
      </c>
      <c r="V54" s="20"/>
      <c r="W54" s="266"/>
      <c r="X54" s="74"/>
      <c r="Y54" s="74"/>
      <c r="Z54" s="263"/>
      <c r="AA54" s="263"/>
      <c r="AB54" s="268"/>
      <c r="AC54" s="268"/>
      <c r="AD54" s="268"/>
      <c r="AE54" s="268"/>
      <c r="AF54" s="269"/>
      <c r="AG54" s="263"/>
      <c r="AH54" s="266"/>
      <c r="AI54" s="266"/>
      <c r="AJ54" s="270"/>
      <c r="AK54" s="266"/>
      <c r="AL54" s="20"/>
      <c r="AM54" s="20"/>
      <c r="AN54" s="20"/>
      <c r="AO54" s="20"/>
      <c r="AP54" s="20"/>
      <c r="AR54" s="84"/>
    </row>
    <row r="55" spans="1:44" hidden="1">
      <c r="A55" s="3" t="s">
        <v>345</v>
      </c>
      <c r="C55" s="249">
        <f>'Rate Design Work eff 10-14-16'!C54</f>
        <v>3532.598813033077</v>
      </c>
      <c r="D55" s="250">
        <f>'Rate Design Work eff 9-15-17'!D54</f>
        <v>20.88</v>
      </c>
      <c r="F55" s="2">
        <f>D55*C55</f>
        <v>73760.663216130648</v>
      </c>
      <c r="G55" s="250">
        <f ca="1">$G$16</f>
        <v>21.369999999999997</v>
      </c>
      <c r="I55" s="2">
        <f t="shared" ca="1" si="1"/>
        <v>75491.63663451685</v>
      </c>
      <c r="J55" s="2"/>
      <c r="K55" s="250" t="e">
        <f ca="1">K16</f>
        <v>#DIV/0!</v>
      </c>
      <c r="M55" s="2" t="e">
        <f t="shared" ca="1" si="2"/>
        <v>#DIV/0!</v>
      </c>
      <c r="N55" s="2"/>
      <c r="O55" s="250" t="e">
        <f ca="1">O16</f>
        <v>#DIV/0!</v>
      </c>
      <c r="Q55" s="2" t="e">
        <f t="shared" ca="1" si="3"/>
        <v>#DIV/0!</v>
      </c>
      <c r="R55" s="2"/>
      <c r="S55" s="250" t="e">
        <f ca="1">S16</f>
        <v>#DIV/0!</v>
      </c>
      <c r="U55" s="2" t="e">
        <f t="shared" ca="1" si="4"/>
        <v>#DIV/0!</v>
      </c>
      <c r="V55" s="20"/>
      <c r="W55" s="266"/>
      <c r="X55" s="74"/>
      <c r="Y55" s="74"/>
      <c r="Z55" s="20"/>
      <c r="AA55" s="20"/>
      <c r="AB55" s="272"/>
      <c r="AC55" s="272"/>
      <c r="AD55" s="272"/>
      <c r="AE55" s="272"/>
      <c r="AF55" s="263"/>
      <c r="AG55" s="263"/>
      <c r="AH55" s="266"/>
      <c r="AI55" s="266"/>
      <c r="AJ55" s="270"/>
      <c r="AK55" s="266"/>
      <c r="AL55" s="20"/>
      <c r="AM55" s="20"/>
      <c r="AN55" s="20"/>
      <c r="AO55" s="20"/>
      <c r="AP55" s="20"/>
      <c r="AR55" s="84"/>
    </row>
    <row r="56" spans="1:44" hidden="1">
      <c r="A56" s="3" t="s">
        <v>346</v>
      </c>
      <c r="C56" s="249">
        <f>'Rate Design Work eff 10-14-16'!C55</f>
        <v>489.16675699261128</v>
      </c>
      <c r="D56" s="250">
        <f>'Rate Design Work eff 9-15-17'!D55</f>
        <v>43.21</v>
      </c>
      <c r="F56" s="2">
        <f>D56*C56</f>
        <v>21136.895569650733</v>
      </c>
      <c r="G56" s="250">
        <f ca="1">$G$17</f>
        <v>44.25</v>
      </c>
      <c r="I56" s="2">
        <f t="shared" ca="1" si="1"/>
        <v>21645.628996923049</v>
      </c>
      <c r="J56" s="2"/>
      <c r="K56" s="250" t="e">
        <f ca="1">K17</f>
        <v>#DIV/0!</v>
      </c>
      <c r="M56" s="2" t="e">
        <f t="shared" ca="1" si="2"/>
        <v>#DIV/0!</v>
      </c>
      <c r="N56" s="2"/>
      <c r="O56" s="250" t="e">
        <f ca="1">O17</f>
        <v>#DIV/0!</v>
      </c>
      <c r="Q56" s="2" t="e">
        <f t="shared" ca="1" si="3"/>
        <v>#DIV/0!</v>
      </c>
      <c r="R56" s="2"/>
      <c r="S56" s="250" t="e">
        <f ca="1">S17</f>
        <v>#DIV/0!</v>
      </c>
      <c r="U56" s="2" t="e">
        <f t="shared" ca="1" si="4"/>
        <v>#DIV/0!</v>
      </c>
      <c r="V56" s="20"/>
      <c r="W56" s="266"/>
      <c r="X56" s="74"/>
      <c r="Y56" s="74"/>
      <c r="Z56" s="20"/>
      <c r="AA56" s="20"/>
      <c r="AB56" s="272"/>
      <c r="AC56" s="272"/>
      <c r="AD56" s="272"/>
      <c r="AE56" s="272"/>
      <c r="AF56" s="263"/>
      <c r="AG56" s="263"/>
      <c r="AH56" s="266"/>
      <c r="AI56" s="266"/>
      <c r="AJ56" s="270"/>
      <c r="AK56" s="266"/>
      <c r="AL56" s="20"/>
      <c r="AM56" s="20"/>
      <c r="AN56" s="20"/>
      <c r="AO56" s="20"/>
      <c r="AP56" s="20"/>
      <c r="AR56" s="84"/>
    </row>
    <row r="57" spans="1:44" hidden="1">
      <c r="A57" s="3" t="s">
        <v>347</v>
      </c>
      <c r="C57" s="249"/>
      <c r="D57" s="250"/>
      <c r="F57" s="2"/>
      <c r="G57" s="250"/>
      <c r="I57" s="2"/>
      <c r="J57" s="2"/>
      <c r="K57" s="250"/>
      <c r="M57" s="2"/>
      <c r="N57" s="2"/>
      <c r="O57" s="250"/>
      <c r="Q57" s="2"/>
      <c r="R57" s="2"/>
      <c r="S57" s="250"/>
      <c r="U57" s="2"/>
      <c r="V57" s="20"/>
      <c r="W57" s="266"/>
      <c r="X57" s="74"/>
      <c r="Y57" s="74"/>
      <c r="Z57" s="20"/>
      <c r="AA57" s="20"/>
      <c r="AB57" s="272"/>
      <c r="AC57" s="272"/>
      <c r="AD57" s="272"/>
      <c r="AE57" s="272"/>
      <c r="AF57" s="263"/>
      <c r="AG57" s="263"/>
      <c r="AH57" s="266"/>
      <c r="AI57" s="266"/>
      <c r="AJ57" s="270"/>
      <c r="AK57" s="266"/>
      <c r="AL57" s="20"/>
      <c r="AM57" s="20"/>
      <c r="AN57" s="20"/>
      <c r="AO57" s="20"/>
      <c r="AP57" s="20"/>
      <c r="AR57" s="84"/>
    </row>
    <row r="58" spans="1:44" hidden="1">
      <c r="A58" s="3" t="s">
        <v>348</v>
      </c>
      <c r="C58" s="249">
        <f>'Rate Design Work eff 10-14-16'!C57</f>
        <v>1191.3721888629</v>
      </c>
      <c r="D58" s="250">
        <f>'Rate Design Work eff 9-15-17'!D57</f>
        <v>12.48</v>
      </c>
      <c r="F58" s="2">
        <f>D58*C58</f>
        <v>14868.324917008993</v>
      </c>
      <c r="G58" s="250">
        <f ca="1">$G$19</f>
        <v>12.77</v>
      </c>
      <c r="I58" s="2">
        <f t="shared" ref="I58:I61" ca="1" si="5">(G58*$C58)</f>
        <v>15213.822851779232</v>
      </c>
      <c r="J58" s="2"/>
      <c r="K58" s="250" t="e">
        <f ca="1">K19</f>
        <v>#DIV/0!</v>
      </c>
      <c r="M58" s="2" t="e">
        <f t="shared" ref="M58:M61" ca="1" si="6">(K58*$C58)</f>
        <v>#DIV/0!</v>
      </c>
      <c r="N58" s="2"/>
      <c r="O58" s="250" t="e">
        <f ca="1">O19</f>
        <v>#DIV/0!</v>
      </c>
      <c r="Q58" s="2" t="e">
        <f t="shared" ref="Q58:Q61" ca="1" si="7">(O58*$C58)</f>
        <v>#DIV/0!</v>
      </c>
      <c r="R58" s="2"/>
      <c r="S58" s="250" t="e">
        <f ca="1">S19</f>
        <v>#DIV/0!</v>
      </c>
      <c r="U58" s="2" t="e">
        <f t="shared" ref="U58:U61" ca="1" si="8">(S58*$C58)</f>
        <v>#DIV/0!</v>
      </c>
      <c r="V58" s="20"/>
      <c r="W58" s="266"/>
      <c r="X58" s="74"/>
      <c r="Y58" s="74"/>
      <c r="Z58" s="20"/>
      <c r="AA58" s="20"/>
      <c r="AB58" s="272"/>
      <c r="AC58" s="272"/>
      <c r="AD58" s="272"/>
      <c r="AE58" s="272"/>
      <c r="AF58" s="263"/>
      <c r="AG58" s="263"/>
      <c r="AH58" s="266"/>
      <c r="AI58" s="266"/>
      <c r="AJ58" s="270"/>
      <c r="AK58" s="266"/>
      <c r="AL58" s="20"/>
      <c r="AM58" s="20"/>
      <c r="AN58" s="20"/>
      <c r="AO58" s="20"/>
      <c r="AP58" s="20"/>
      <c r="AR58" s="84"/>
    </row>
    <row r="59" spans="1:44" hidden="1">
      <c r="A59" s="3" t="s">
        <v>349</v>
      </c>
      <c r="C59" s="249">
        <f>'Rate Design Work eff 10-14-16'!C58</f>
        <v>1361.8043880047101</v>
      </c>
      <c r="D59" s="250">
        <f>'Rate Design Work eff 9-15-17'!D58</f>
        <v>18.329999999999998</v>
      </c>
      <c r="F59" s="2">
        <f>D59*C59</f>
        <v>24961.874432126333</v>
      </c>
      <c r="G59" s="250">
        <f ca="1">$G$20</f>
        <v>18.759999999999998</v>
      </c>
      <c r="I59" s="2">
        <f t="shared" ca="1" si="5"/>
        <v>25547.450318968356</v>
      </c>
      <c r="J59" s="2"/>
      <c r="K59" s="250" t="e">
        <f ca="1">K20</f>
        <v>#DIV/0!</v>
      </c>
      <c r="M59" s="2" t="e">
        <f t="shared" ca="1" si="6"/>
        <v>#DIV/0!</v>
      </c>
      <c r="N59" s="2"/>
      <c r="O59" s="250" t="e">
        <f ca="1">O20</f>
        <v>#DIV/0!</v>
      </c>
      <c r="Q59" s="2" t="e">
        <f t="shared" ca="1" si="7"/>
        <v>#DIV/0!</v>
      </c>
      <c r="R59" s="2"/>
      <c r="S59" s="250" t="e">
        <f ca="1">S20</f>
        <v>#DIV/0!</v>
      </c>
      <c r="U59" s="2" t="e">
        <f t="shared" ca="1" si="8"/>
        <v>#DIV/0!</v>
      </c>
      <c r="V59" s="20"/>
      <c r="W59" s="266"/>
      <c r="X59" s="74"/>
      <c r="Y59" s="74"/>
      <c r="Z59" s="20"/>
      <c r="AA59" s="20"/>
      <c r="AB59" s="272"/>
      <c r="AC59" s="272"/>
      <c r="AD59" s="272"/>
      <c r="AE59" s="272"/>
      <c r="AF59" s="263"/>
      <c r="AG59" s="263"/>
      <c r="AH59" s="266"/>
      <c r="AI59" s="266"/>
      <c r="AJ59" s="270"/>
      <c r="AK59" s="266"/>
      <c r="AL59" s="20"/>
      <c r="AM59" s="20"/>
      <c r="AN59" s="20"/>
      <c r="AO59" s="20"/>
      <c r="AP59" s="20"/>
      <c r="AR59" s="84"/>
    </row>
    <row r="60" spans="1:44" hidden="1">
      <c r="A60" s="3" t="s">
        <v>350</v>
      </c>
      <c r="C60" s="249">
        <f>'Rate Design Work eff 10-14-16'!C59</f>
        <v>503.93238412641102</v>
      </c>
      <c r="D60" s="250">
        <f>'Rate Design Work eff 9-15-17'!D59</f>
        <v>29.57</v>
      </c>
      <c r="F60" s="2">
        <f>D60*C60</f>
        <v>14901.280598617974</v>
      </c>
      <c r="G60" s="250">
        <f ca="1">$G$21</f>
        <v>30.28</v>
      </c>
      <c r="I60" s="2">
        <f t="shared" ca="1" si="5"/>
        <v>15259.072591347727</v>
      </c>
      <c r="J60" s="2"/>
      <c r="K60" s="250" t="e">
        <f ca="1">K21</f>
        <v>#DIV/0!</v>
      </c>
      <c r="M60" s="2" t="e">
        <f t="shared" ca="1" si="6"/>
        <v>#DIV/0!</v>
      </c>
      <c r="N60" s="2"/>
      <c r="O60" s="250" t="e">
        <f ca="1">O21</f>
        <v>#DIV/0!</v>
      </c>
      <c r="Q60" s="2" t="e">
        <f t="shared" ca="1" si="7"/>
        <v>#DIV/0!</v>
      </c>
      <c r="R60" s="2"/>
      <c r="S60" s="250" t="e">
        <f ca="1">S21</f>
        <v>#DIV/0!</v>
      </c>
      <c r="U60" s="2" t="e">
        <f t="shared" ca="1" si="8"/>
        <v>#DIV/0!</v>
      </c>
      <c r="V60" s="20"/>
      <c r="W60" s="266"/>
      <c r="X60" s="74"/>
      <c r="Y60" s="74"/>
      <c r="Z60" s="20"/>
      <c r="AA60" s="20"/>
      <c r="AB60" s="272"/>
      <c r="AC60" s="272"/>
      <c r="AD60" s="272"/>
      <c r="AE60" s="272"/>
      <c r="AF60" s="263"/>
      <c r="AG60" s="263"/>
      <c r="AH60" s="266"/>
      <c r="AI60" s="266"/>
      <c r="AJ60" s="270"/>
      <c r="AK60" s="266"/>
      <c r="AL60" s="20"/>
      <c r="AM60" s="20"/>
      <c r="AN60" s="20"/>
      <c r="AO60" s="20"/>
      <c r="AP60" s="20"/>
      <c r="AR60" s="84"/>
    </row>
    <row r="61" spans="1:44" hidden="1">
      <c r="A61" s="3" t="s">
        <v>351</v>
      </c>
      <c r="C61" s="249">
        <f>'Rate Design Work eff 10-14-16'!C60</f>
        <v>324.1657048160514</v>
      </c>
      <c r="D61" s="250">
        <f>'Rate Design Work eff 9-15-17'!D60</f>
        <v>1</v>
      </c>
      <c r="E61" s="20"/>
      <c r="F61" s="2">
        <f>D61*C61</f>
        <v>324.1657048160514</v>
      </c>
      <c r="G61" s="254">
        <f>$G$22</f>
        <v>1</v>
      </c>
      <c r="H61" s="20"/>
      <c r="I61" s="2">
        <f t="shared" si="5"/>
        <v>324.1657048160514</v>
      </c>
      <c r="J61" s="2"/>
      <c r="K61" s="250">
        <f>K22</f>
        <v>1</v>
      </c>
      <c r="L61" s="20"/>
      <c r="M61" s="2">
        <f t="shared" si="6"/>
        <v>324.1657048160514</v>
      </c>
      <c r="N61" s="2"/>
      <c r="O61" s="250" t="str">
        <f>O22</f>
        <v xml:space="preserve"> </v>
      </c>
      <c r="P61" s="20"/>
      <c r="Q61" s="2">
        <f t="shared" si="7"/>
        <v>0</v>
      </c>
      <c r="R61" s="2"/>
      <c r="S61" s="250" t="str">
        <f>S22</f>
        <v xml:space="preserve"> </v>
      </c>
      <c r="T61" s="20"/>
      <c r="U61" s="2">
        <f t="shared" si="8"/>
        <v>0</v>
      </c>
      <c r="V61" s="263"/>
      <c r="W61" s="266"/>
      <c r="X61" s="74"/>
      <c r="Y61" s="74"/>
      <c r="Z61" s="20"/>
      <c r="AA61" s="20"/>
      <c r="AB61" s="263"/>
      <c r="AC61" s="263"/>
      <c r="AD61" s="263"/>
      <c r="AE61" s="263"/>
      <c r="AF61" s="263"/>
      <c r="AG61" s="263"/>
      <c r="AH61" s="266"/>
      <c r="AI61" s="266"/>
      <c r="AJ61" s="266"/>
      <c r="AK61" s="266"/>
      <c r="AL61" s="20"/>
      <c r="AM61" s="20"/>
      <c r="AN61" s="20"/>
      <c r="AO61" s="20"/>
      <c r="AP61" s="20"/>
      <c r="AR61" s="84"/>
    </row>
    <row r="62" spans="1:44" s="1118" customFormat="1" hidden="1">
      <c r="A62" s="968" t="s">
        <v>884</v>
      </c>
      <c r="C62" s="1122">
        <f>C64</f>
        <v>2083856</v>
      </c>
      <c r="D62" s="250">
        <f>'Rate Design Work eff 9-15-17'!D61</f>
        <v>0</v>
      </c>
      <c r="E62" s="1119"/>
      <c r="F62" s="1123"/>
      <c r="G62" s="1128">
        <f>G23</f>
        <v>0</v>
      </c>
      <c r="H62" s="1126" t="s">
        <v>364</v>
      </c>
      <c r="I62" s="1123">
        <f>G62*C62/100</f>
        <v>0</v>
      </c>
      <c r="J62" s="1123"/>
      <c r="K62" s="1128" t="str">
        <f>K23</f>
        <v xml:space="preserve"> </v>
      </c>
      <c r="L62" s="1126" t="s">
        <v>364</v>
      </c>
      <c r="M62" s="1123" t="e">
        <f>K62*#REF!/100</f>
        <v>#REF!</v>
      </c>
      <c r="N62" s="1123"/>
      <c r="O62" s="1128" t="str">
        <f>O23</f>
        <v xml:space="preserve"> </v>
      </c>
      <c r="P62" s="1126" t="s">
        <v>364</v>
      </c>
      <c r="Q62" s="1123">
        <f>O62*G62/100</f>
        <v>0</v>
      </c>
      <c r="R62" s="1123"/>
      <c r="S62" s="1128">
        <f>S23</f>
        <v>0</v>
      </c>
      <c r="T62" s="1126" t="s">
        <v>364</v>
      </c>
      <c r="U62" s="1123">
        <f>S62*C62/100</f>
        <v>0</v>
      </c>
      <c r="W62" s="784"/>
      <c r="Z62" s="1125"/>
      <c r="AA62" s="1125"/>
      <c r="AF62" s="1119"/>
      <c r="AG62" s="1119"/>
      <c r="AH62" s="1119"/>
      <c r="AI62" s="1119"/>
      <c r="AJ62" s="1119"/>
      <c r="AK62" s="1119"/>
      <c r="AL62" s="1119"/>
      <c r="AM62" s="1119"/>
      <c r="AN62" s="1119"/>
      <c r="AO62" s="1119"/>
      <c r="AP62" s="1119"/>
      <c r="AR62" s="1124"/>
    </row>
    <row r="63" spans="1:44" hidden="1">
      <c r="A63" s="3" t="s">
        <v>352</v>
      </c>
      <c r="C63" s="249">
        <f>'Rate Design Work eff 10-14-16'!C62</f>
        <v>15518</v>
      </c>
      <c r="D63" s="250"/>
      <c r="F63" s="2"/>
      <c r="G63" s="250"/>
      <c r="I63" s="2"/>
      <c r="J63" s="2"/>
      <c r="K63" s="250"/>
      <c r="M63" s="2"/>
      <c r="N63" s="2"/>
      <c r="O63" s="250"/>
      <c r="Q63" s="2"/>
      <c r="R63" s="2"/>
      <c r="S63" s="250"/>
      <c r="U63" s="2"/>
      <c r="V63" s="263"/>
      <c r="W63" s="263"/>
      <c r="X63" s="263"/>
      <c r="Y63" s="263"/>
      <c r="Z63" s="263"/>
      <c r="AA63" s="263"/>
      <c r="AB63" s="263"/>
      <c r="AC63" s="263"/>
      <c r="AD63" s="263"/>
      <c r="AE63" s="263"/>
      <c r="AF63" s="263"/>
      <c r="AG63" s="263"/>
      <c r="AH63" s="273"/>
      <c r="AI63" s="263"/>
      <c r="AJ63" s="263"/>
      <c r="AK63" s="263"/>
      <c r="AL63" s="20"/>
      <c r="AM63" s="20"/>
      <c r="AN63" s="20"/>
      <c r="AO63" s="20"/>
      <c r="AP63" s="20"/>
      <c r="AR63" s="84"/>
    </row>
    <row r="64" spans="1:44" hidden="1">
      <c r="A64" s="3" t="s">
        <v>35</v>
      </c>
      <c r="C64" s="249">
        <f>'Rate Design Work eff 10-14-16'!C63</f>
        <v>2083856</v>
      </c>
      <c r="D64" s="254"/>
      <c r="E64" s="20"/>
      <c r="F64" s="257">
        <f>SUM(F54:F61)</f>
        <v>298901.96859765274</v>
      </c>
      <c r="G64" s="254"/>
      <c r="H64" s="20"/>
      <c r="I64" s="257">
        <f ca="1">SUM(I54:I62)</f>
        <v>305957.56117399369</v>
      </c>
      <c r="J64" s="257"/>
      <c r="K64" s="254"/>
      <c r="L64" s="20"/>
      <c r="M64" s="257" t="e">
        <f ca="1">SUM(M54:M62)</f>
        <v>#DIV/0!</v>
      </c>
      <c r="N64" s="257"/>
      <c r="O64" s="254"/>
      <c r="P64" s="20"/>
      <c r="Q64" s="257" t="e">
        <f ca="1">SUM(Q54:Q62)</f>
        <v>#DIV/0!</v>
      </c>
      <c r="R64" s="257"/>
      <c r="S64" s="254"/>
      <c r="T64" s="20"/>
      <c r="U64" s="257" t="e">
        <f ca="1">SUM(U54:U62)</f>
        <v>#DIV/0!</v>
      </c>
      <c r="V64" s="263"/>
      <c r="W64" s="272"/>
      <c r="X64" s="263"/>
      <c r="Y64" s="263"/>
      <c r="Z64" s="20"/>
      <c r="AA64" s="20"/>
      <c r="AB64" s="20"/>
      <c r="AC64" s="20"/>
      <c r="AD64" s="20"/>
      <c r="AE64" s="20"/>
      <c r="AF64" s="20"/>
      <c r="AG64" s="263"/>
      <c r="AH64" s="263"/>
      <c r="AI64" s="263"/>
      <c r="AJ64" s="263"/>
      <c r="AK64" s="263"/>
      <c r="AL64" s="20"/>
      <c r="AM64" s="20"/>
      <c r="AN64" s="20"/>
      <c r="AO64" s="20"/>
      <c r="AP64" s="20"/>
      <c r="AR64" s="84"/>
    </row>
    <row r="65" spans="1:44" hidden="1">
      <c r="A65" s="3" t="s">
        <v>353</v>
      </c>
      <c r="C65" s="249">
        <f>'Table 2'!H52</f>
        <v>14372.590194620605</v>
      </c>
      <c r="D65" s="254"/>
      <c r="E65" s="20"/>
      <c r="F65" s="257">
        <f>'Table 3'!E52</f>
        <v>2323.2050877783413</v>
      </c>
      <c r="G65" s="254"/>
      <c r="H65" s="20"/>
      <c r="I65" s="257">
        <f>F65</f>
        <v>2323.2050877783413</v>
      </c>
      <c r="J65" s="257"/>
      <c r="K65" s="254"/>
      <c r="L65" s="20"/>
      <c r="M65" s="257" t="e">
        <f ca="1">M26/I26*I65</f>
        <v>#DIV/0!</v>
      </c>
      <c r="N65" s="257"/>
      <c r="O65" s="254"/>
      <c r="P65" s="20"/>
      <c r="Q65" s="257" t="e">
        <f ca="1">Q26/I26*I65</f>
        <v>#DIV/0!</v>
      </c>
      <c r="R65" s="257"/>
      <c r="S65" s="254"/>
      <c r="T65" s="20"/>
      <c r="U65" s="257" t="e">
        <f ca="1">U26/I26*I65</f>
        <v>#DIV/0!</v>
      </c>
      <c r="V65" s="429"/>
      <c r="W65" s="272"/>
      <c r="X65" s="263"/>
      <c r="Y65" s="263"/>
      <c r="Z65" s="263"/>
      <c r="AA65" s="263"/>
      <c r="AB65" s="268"/>
      <c r="AC65" s="268"/>
      <c r="AD65" s="268"/>
      <c r="AE65" s="268"/>
      <c r="AF65" s="266"/>
      <c r="AG65" s="263"/>
      <c r="AH65" s="263"/>
      <c r="AI65" s="263"/>
      <c r="AJ65" s="263"/>
      <c r="AK65" s="263"/>
      <c r="AL65" s="20"/>
      <c r="AM65" s="20"/>
      <c r="AN65" s="20"/>
      <c r="AO65" s="20"/>
      <c r="AP65" s="20"/>
      <c r="AR65" s="84"/>
    </row>
    <row r="66" spans="1:44" ht="16.5" hidden="1" thickBot="1">
      <c r="A66" s="3" t="s">
        <v>9</v>
      </c>
      <c r="C66" s="258">
        <f>C64+C65</f>
        <v>2098228.5901946207</v>
      </c>
      <c r="D66" s="297"/>
      <c r="E66" s="259"/>
      <c r="F66" s="259">
        <f>F64+F65</f>
        <v>301225.17368543107</v>
      </c>
      <c r="G66" s="297"/>
      <c r="H66" s="259"/>
      <c r="I66" s="259">
        <f ca="1">I64+I65</f>
        <v>308280.76626177202</v>
      </c>
      <c r="J66" s="51"/>
      <c r="K66" s="297"/>
      <c r="L66" s="259"/>
      <c r="M66" s="259" t="e">
        <f ca="1">M64+M65</f>
        <v>#DIV/0!</v>
      </c>
      <c r="N66" s="297"/>
      <c r="O66" s="297"/>
      <c r="P66" s="259"/>
      <c r="Q66" s="259" t="e">
        <f ca="1">Q64+Q65</f>
        <v>#DIV/0!</v>
      </c>
      <c r="R66" s="297"/>
      <c r="S66" s="297"/>
      <c r="T66" s="259"/>
      <c r="U66" s="259" t="e">
        <f ca="1">U64+U65</f>
        <v>#DIV/0!</v>
      </c>
      <c r="V66" s="396"/>
      <c r="W66" s="455"/>
      <c r="X66" s="263"/>
      <c r="Y66" s="263"/>
      <c r="Z66" s="263"/>
      <c r="AA66" s="263"/>
      <c r="AB66" s="263"/>
      <c r="AC66" s="263"/>
      <c r="AD66" s="263"/>
      <c r="AE66" s="263"/>
      <c r="AF66" s="263"/>
      <c r="AG66" s="263"/>
      <c r="AH66" s="263"/>
      <c r="AI66" s="263"/>
      <c r="AJ66" s="263"/>
      <c r="AK66" s="263"/>
      <c r="AL66" s="20"/>
      <c r="AM66" s="20"/>
      <c r="AN66" s="20"/>
      <c r="AO66" s="20"/>
      <c r="AP66" s="20"/>
      <c r="AR66" s="84"/>
    </row>
    <row r="67" spans="1:44" ht="16.5" hidden="1" thickTop="1">
      <c r="C67" s="260"/>
      <c r="D67" s="294" t="s">
        <v>31</v>
      </c>
      <c r="E67" s="260"/>
      <c r="F67" s="248"/>
      <c r="G67" s="1" t="s">
        <v>31</v>
      </c>
      <c r="H67" s="260"/>
      <c r="I67" s="2" t="s">
        <v>31</v>
      </c>
      <c r="J67" s="2"/>
      <c r="K67" s="1" t="s">
        <v>31</v>
      </c>
      <c r="L67" s="260"/>
      <c r="M67" s="2" t="s">
        <v>31</v>
      </c>
      <c r="N67" s="2"/>
      <c r="O67" s="1" t="s">
        <v>31</v>
      </c>
      <c r="P67" s="260"/>
      <c r="Q67" s="2" t="s">
        <v>31</v>
      </c>
      <c r="R67" s="2"/>
      <c r="S67" s="1" t="s">
        <v>31</v>
      </c>
      <c r="T67" s="260"/>
      <c r="U67" s="2" t="s">
        <v>31</v>
      </c>
      <c r="V67" s="20"/>
      <c r="W67" s="74"/>
      <c r="X67" s="74"/>
      <c r="Y67" s="74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R67" s="84"/>
    </row>
    <row r="68" spans="1:44" hidden="1">
      <c r="A68" s="247" t="s">
        <v>341</v>
      </c>
      <c r="F68" s="248"/>
      <c r="V68" s="20"/>
      <c r="W68" s="74"/>
      <c r="X68" s="74"/>
      <c r="Y68" s="74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R68" s="84"/>
    </row>
    <row r="69" spans="1:44" hidden="1">
      <c r="A69" s="3" t="s">
        <v>357</v>
      </c>
      <c r="F69" s="248"/>
      <c r="V69" s="263"/>
      <c r="W69" s="263"/>
      <c r="X69" s="263"/>
      <c r="Y69" s="263"/>
      <c r="Z69" s="263"/>
      <c r="AA69" s="263"/>
      <c r="AB69" s="263"/>
      <c r="AC69" s="263"/>
      <c r="AD69" s="263"/>
      <c r="AE69" s="263"/>
      <c r="AF69" s="263"/>
      <c r="AG69" s="263"/>
      <c r="AH69" s="263"/>
      <c r="AI69" s="263"/>
      <c r="AJ69" s="263"/>
      <c r="AK69" s="263"/>
      <c r="AL69" s="20"/>
      <c r="AM69" s="20"/>
      <c r="AN69" s="20"/>
      <c r="AO69" s="20"/>
      <c r="AP69" s="20"/>
      <c r="AR69" s="84"/>
    </row>
    <row r="70" spans="1:44" hidden="1">
      <c r="F70" s="248"/>
      <c r="V70" s="263"/>
      <c r="W70" s="263"/>
      <c r="X70" s="263"/>
      <c r="Y70" s="263"/>
      <c r="Z70" s="263"/>
      <c r="AA70" s="263"/>
      <c r="AB70" s="263"/>
      <c r="AC70" s="263"/>
      <c r="AD70" s="263"/>
      <c r="AE70" s="263"/>
      <c r="AF70" s="263"/>
      <c r="AG70" s="263"/>
      <c r="AH70" s="263"/>
      <c r="AI70" s="263"/>
      <c r="AJ70" s="263"/>
      <c r="AK70" s="263"/>
      <c r="AL70" s="20"/>
      <c r="AM70" s="20"/>
      <c r="AN70" s="20"/>
      <c r="AO70" s="20"/>
      <c r="AP70" s="20"/>
      <c r="AR70" s="84"/>
    </row>
    <row r="71" spans="1:44" hidden="1">
      <c r="A71" s="3" t="s">
        <v>343</v>
      </c>
      <c r="F71" s="248"/>
      <c r="V71" s="263"/>
      <c r="W71" s="263"/>
      <c r="X71" s="74"/>
      <c r="Y71" s="74"/>
      <c r="Z71" s="264"/>
      <c r="AA71" s="264"/>
      <c r="AB71" s="265"/>
      <c r="AC71" s="265"/>
      <c r="AD71" s="265"/>
      <c r="AE71" s="265"/>
      <c r="AF71" s="266"/>
      <c r="AG71" s="267"/>
      <c r="AH71" s="263"/>
      <c r="AI71" s="263"/>
      <c r="AJ71" s="263"/>
      <c r="AK71" s="263"/>
      <c r="AL71" s="20"/>
      <c r="AM71" s="20"/>
      <c r="AN71" s="20"/>
      <c r="AO71" s="20"/>
      <c r="AP71" s="20"/>
      <c r="AR71" s="84"/>
    </row>
    <row r="72" spans="1:44" hidden="1">
      <c r="A72" s="3" t="s">
        <v>344</v>
      </c>
      <c r="C72" s="249">
        <f>'Rate Design Work eff 10-14-16'!C71</f>
        <v>604.99709761288204</v>
      </c>
      <c r="D72" s="250">
        <f>'Rate Design Work eff 9-15-17'!D71</f>
        <v>10.98</v>
      </c>
      <c r="F72" s="2">
        <f>D72*C72</f>
        <v>6642.8681317894452</v>
      </c>
      <c r="G72" s="250">
        <f ca="1">$G$15</f>
        <v>11.24</v>
      </c>
      <c r="I72" s="2">
        <f t="shared" ref="I72:I74" ca="1" si="9">(G72*$C72)</f>
        <v>6800.1673771687947</v>
      </c>
      <c r="J72" s="2"/>
      <c r="K72" s="250" t="e">
        <f ca="1">K15</f>
        <v>#DIV/0!</v>
      </c>
      <c r="M72" s="2" t="e">
        <f t="shared" ref="M72:M74" ca="1" si="10">(K72*$C72)</f>
        <v>#DIV/0!</v>
      </c>
      <c r="N72" s="2"/>
      <c r="O72" s="250" t="e">
        <f ca="1">O15</f>
        <v>#DIV/0!</v>
      </c>
      <c r="Q72" s="2" t="e">
        <f t="shared" ref="Q72:Q74" ca="1" si="11">(O72*$C72)</f>
        <v>#DIV/0!</v>
      </c>
      <c r="R72" s="2"/>
      <c r="S72" s="250" t="e">
        <f ca="1">S15</f>
        <v>#DIV/0!</v>
      </c>
      <c r="U72" s="2" t="e">
        <f t="shared" ref="U72:U74" ca="1" si="12">(S72*$C72)</f>
        <v>#DIV/0!</v>
      </c>
      <c r="V72" s="20"/>
      <c r="W72" s="266"/>
      <c r="X72" s="74"/>
      <c r="Y72" s="74"/>
      <c r="Z72" s="263"/>
      <c r="AA72" s="263"/>
      <c r="AB72" s="268"/>
      <c r="AC72" s="268"/>
      <c r="AD72" s="268"/>
      <c r="AE72" s="268"/>
      <c r="AF72" s="269"/>
      <c r="AG72" s="263"/>
      <c r="AH72" s="266"/>
      <c r="AI72" s="266"/>
      <c r="AJ72" s="270"/>
      <c r="AK72" s="266"/>
      <c r="AL72" s="20"/>
      <c r="AM72" s="20"/>
      <c r="AN72" s="20"/>
      <c r="AO72" s="20"/>
      <c r="AP72" s="20"/>
      <c r="AR72" s="84"/>
    </row>
    <row r="73" spans="1:44" hidden="1">
      <c r="A73" s="3" t="s">
        <v>345</v>
      </c>
      <c r="C73" s="249">
        <f>'Rate Design Work eff 10-14-16'!C72</f>
        <v>401.56488078949502</v>
      </c>
      <c r="D73" s="250">
        <f>'Rate Design Work eff 9-15-17'!D72</f>
        <v>20.88</v>
      </c>
      <c r="F73" s="2">
        <f>D73*C73</f>
        <v>8384.6747108846557</v>
      </c>
      <c r="G73" s="250">
        <f ca="1">$G$16</f>
        <v>21.369999999999997</v>
      </c>
      <c r="I73" s="2">
        <f t="shared" ca="1" si="9"/>
        <v>8581.4415024715072</v>
      </c>
      <c r="J73" s="2"/>
      <c r="K73" s="250" t="e">
        <f ca="1">K16</f>
        <v>#DIV/0!</v>
      </c>
      <c r="M73" s="2" t="e">
        <f t="shared" ca="1" si="10"/>
        <v>#DIV/0!</v>
      </c>
      <c r="N73" s="2"/>
      <c r="O73" s="250" t="e">
        <f ca="1">O16</f>
        <v>#DIV/0!</v>
      </c>
      <c r="Q73" s="2" t="e">
        <f t="shared" ca="1" si="11"/>
        <v>#DIV/0!</v>
      </c>
      <c r="R73" s="2"/>
      <c r="S73" s="250" t="e">
        <f ca="1">S16</f>
        <v>#DIV/0!</v>
      </c>
      <c r="U73" s="2" t="e">
        <f t="shared" ca="1" si="12"/>
        <v>#DIV/0!</v>
      </c>
      <c r="V73" s="20"/>
      <c r="W73" s="266"/>
      <c r="X73" s="74"/>
      <c r="Y73" s="74"/>
      <c r="Z73" s="20"/>
      <c r="AA73" s="20"/>
      <c r="AB73" s="272"/>
      <c r="AC73" s="272"/>
      <c r="AD73" s="272"/>
      <c r="AE73" s="272"/>
      <c r="AF73" s="263"/>
      <c r="AG73" s="263"/>
      <c r="AH73" s="266"/>
      <c r="AI73" s="266"/>
      <c r="AJ73" s="270"/>
      <c r="AK73" s="266"/>
      <c r="AL73" s="20"/>
      <c r="AM73" s="20"/>
      <c r="AN73" s="20"/>
      <c r="AO73" s="20"/>
      <c r="AP73" s="20"/>
      <c r="AR73" s="84"/>
    </row>
    <row r="74" spans="1:44" hidden="1">
      <c r="A74" s="3" t="s">
        <v>346</v>
      </c>
      <c r="C74" s="249">
        <f>'Rate Design Work eff 10-14-16'!C73</f>
        <v>37.033422524669703</v>
      </c>
      <c r="D74" s="250">
        <f>'Rate Design Work eff 9-15-17'!D73</f>
        <v>43.21</v>
      </c>
      <c r="F74" s="2">
        <f>D74*C74</f>
        <v>1600.2141872909779</v>
      </c>
      <c r="G74" s="250">
        <f ca="1">$G$17</f>
        <v>44.25</v>
      </c>
      <c r="I74" s="2">
        <f t="shared" ca="1" si="9"/>
        <v>1638.7289467166343</v>
      </c>
      <c r="J74" s="2"/>
      <c r="K74" s="250" t="e">
        <f ca="1">K17</f>
        <v>#DIV/0!</v>
      </c>
      <c r="M74" s="2" t="e">
        <f t="shared" ca="1" si="10"/>
        <v>#DIV/0!</v>
      </c>
      <c r="N74" s="2"/>
      <c r="O74" s="250" t="e">
        <f ca="1">O17</f>
        <v>#DIV/0!</v>
      </c>
      <c r="Q74" s="2" t="e">
        <f t="shared" ca="1" si="11"/>
        <v>#DIV/0!</v>
      </c>
      <c r="R74" s="2"/>
      <c r="S74" s="250" t="e">
        <f ca="1">S17</f>
        <v>#DIV/0!</v>
      </c>
      <c r="U74" s="2" t="e">
        <f t="shared" ca="1" si="12"/>
        <v>#DIV/0!</v>
      </c>
      <c r="V74" s="20"/>
      <c r="W74" s="266"/>
      <c r="X74" s="74"/>
      <c r="Y74" s="74"/>
      <c r="Z74" s="20"/>
      <c r="AA74" s="20"/>
      <c r="AB74" s="272"/>
      <c r="AC74" s="272"/>
      <c r="AD74" s="272"/>
      <c r="AE74" s="272"/>
      <c r="AF74" s="263"/>
      <c r="AG74" s="263"/>
      <c r="AH74" s="266"/>
      <c r="AI74" s="266"/>
      <c r="AJ74" s="270"/>
      <c r="AK74" s="266"/>
      <c r="AL74" s="20"/>
      <c r="AM74" s="20"/>
      <c r="AN74" s="20"/>
      <c r="AO74" s="20"/>
      <c r="AP74" s="20"/>
      <c r="AR74" s="84"/>
    </row>
    <row r="75" spans="1:44" hidden="1">
      <c r="A75" s="3" t="s">
        <v>347</v>
      </c>
      <c r="C75" s="249"/>
      <c r="D75" s="250"/>
      <c r="F75" s="2"/>
      <c r="G75" s="250"/>
      <c r="I75" s="2"/>
      <c r="J75" s="2"/>
      <c r="K75" s="250"/>
      <c r="M75" s="2"/>
      <c r="N75" s="2"/>
      <c r="O75" s="250"/>
      <c r="Q75" s="2"/>
      <c r="R75" s="2"/>
      <c r="S75" s="250"/>
      <c r="U75" s="2"/>
      <c r="V75" s="20"/>
      <c r="W75" s="266"/>
      <c r="X75" s="74"/>
      <c r="Y75" s="74"/>
      <c r="Z75" s="20"/>
      <c r="AA75" s="20"/>
      <c r="AB75" s="272"/>
      <c r="AC75" s="272"/>
      <c r="AD75" s="272"/>
      <c r="AE75" s="272"/>
      <c r="AF75" s="263"/>
      <c r="AG75" s="263"/>
      <c r="AH75" s="266"/>
      <c r="AI75" s="266"/>
      <c r="AJ75" s="270"/>
      <c r="AK75" s="266"/>
      <c r="AL75" s="20"/>
      <c r="AM75" s="20"/>
      <c r="AN75" s="20"/>
      <c r="AO75" s="20"/>
      <c r="AP75" s="20"/>
      <c r="AR75" s="84"/>
    </row>
    <row r="76" spans="1:44" hidden="1">
      <c r="A76" s="3" t="s">
        <v>348</v>
      </c>
      <c r="C76" s="249">
        <f>'Rate Design Work eff 10-14-16'!C75</f>
        <v>12</v>
      </c>
      <c r="D76" s="250">
        <f>'Rate Design Work eff 9-15-17'!D75</f>
        <v>12.48</v>
      </c>
      <c r="F76" s="2">
        <f>D76*C76</f>
        <v>149.76</v>
      </c>
      <c r="G76" s="250">
        <f ca="1">$G$19</f>
        <v>12.77</v>
      </c>
      <c r="I76" s="2">
        <f t="shared" ref="I76:I79" ca="1" si="13">(G76*$C76)</f>
        <v>153.24</v>
      </c>
      <c r="J76" s="2"/>
      <c r="K76" s="250" t="e">
        <f ca="1">K19</f>
        <v>#DIV/0!</v>
      </c>
      <c r="M76" s="2" t="e">
        <f t="shared" ref="M76:M79" ca="1" si="14">(K76*$C76)</f>
        <v>#DIV/0!</v>
      </c>
      <c r="N76" s="2"/>
      <c r="O76" s="250" t="e">
        <f ca="1">O19</f>
        <v>#DIV/0!</v>
      </c>
      <c r="Q76" s="2" t="e">
        <f t="shared" ref="Q76:Q79" ca="1" si="15">(O76*$C76)</f>
        <v>#DIV/0!</v>
      </c>
      <c r="R76" s="2"/>
      <c r="S76" s="250" t="e">
        <f ca="1">S19</f>
        <v>#DIV/0!</v>
      </c>
      <c r="U76" s="2" t="e">
        <f t="shared" ref="U76:U79" ca="1" si="16">(S76*$C76)</f>
        <v>#DIV/0!</v>
      </c>
      <c r="V76" s="20"/>
      <c r="W76" s="266"/>
      <c r="X76" s="74"/>
      <c r="Y76" s="74"/>
      <c r="Z76" s="20"/>
      <c r="AA76" s="20"/>
      <c r="AB76" s="272"/>
      <c r="AC76" s="272"/>
      <c r="AD76" s="272"/>
      <c r="AE76" s="272"/>
      <c r="AF76" s="263"/>
      <c r="AG76" s="263"/>
      <c r="AH76" s="266"/>
      <c r="AI76" s="266"/>
      <c r="AJ76" s="270"/>
      <c r="AK76" s="266"/>
      <c r="AL76" s="20"/>
      <c r="AM76" s="20"/>
      <c r="AN76" s="20"/>
      <c r="AO76" s="20"/>
      <c r="AP76" s="20"/>
      <c r="AR76" s="84"/>
    </row>
    <row r="77" spans="1:44" hidden="1">
      <c r="A77" s="3" t="s">
        <v>349</v>
      </c>
      <c r="C77" s="249">
        <f>'Rate Design Work eff 10-14-16'!C76</f>
        <v>96.000818853397803</v>
      </c>
      <c r="D77" s="250">
        <f>'Rate Design Work eff 9-15-17'!D76</f>
        <v>18.329999999999998</v>
      </c>
      <c r="F77" s="2">
        <f>D77*C77</f>
        <v>1759.6950095827815</v>
      </c>
      <c r="G77" s="250">
        <f ca="1">$G$20</f>
        <v>18.759999999999998</v>
      </c>
      <c r="I77" s="2">
        <f t="shared" ca="1" si="13"/>
        <v>1800.9753616897426</v>
      </c>
      <c r="J77" s="2"/>
      <c r="K77" s="250" t="e">
        <f ca="1">K20</f>
        <v>#DIV/0!</v>
      </c>
      <c r="M77" s="2" t="e">
        <f t="shared" ca="1" si="14"/>
        <v>#DIV/0!</v>
      </c>
      <c r="N77" s="2"/>
      <c r="O77" s="250" t="e">
        <f ca="1">O20</f>
        <v>#DIV/0!</v>
      </c>
      <c r="Q77" s="2" t="e">
        <f t="shared" ca="1" si="15"/>
        <v>#DIV/0!</v>
      </c>
      <c r="R77" s="2"/>
      <c r="S77" s="250" t="e">
        <f ca="1">S20</f>
        <v>#DIV/0!</v>
      </c>
      <c r="U77" s="2" t="e">
        <f t="shared" ca="1" si="16"/>
        <v>#DIV/0!</v>
      </c>
      <c r="V77" s="20"/>
      <c r="W77" s="266"/>
      <c r="X77" s="74"/>
      <c r="Y77" s="74"/>
      <c r="Z77" s="20"/>
      <c r="AA77" s="20"/>
      <c r="AB77" s="272"/>
      <c r="AC77" s="272"/>
      <c r="AD77" s="272"/>
      <c r="AE77" s="272"/>
      <c r="AF77" s="263"/>
      <c r="AG77" s="263"/>
      <c r="AH77" s="266"/>
      <c r="AI77" s="266"/>
      <c r="AJ77" s="270"/>
      <c r="AK77" s="266"/>
      <c r="AL77" s="20"/>
      <c r="AM77" s="20"/>
      <c r="AN77" s="20"/>
      <c r="AO77" s="20"/>
      <c r="AP77" s="20"/>
      <c r="AR77" s="84"/>
    </row>
    <row r="78" spans="1:44" hidden="1">
      <c r="A78" s="3" t="s">
        <v>350</v>
      </c>
      <c r="C78" s="249">
        <f>'Rate Design Work eff 10-14-16'!C77</f>
        <v>2.0666895840495001</v>
      </c>
      <c r="D78" s="250">
        <f>'Rate Design Work eff 9-15-17'!D77</f>
        <v>29.57</v>
      </c>
      <c r="F78" s="2">
        <f>D78*C78</f>
        <v>61.11201100034372</v>
      </c>
      <c r="G78" s="250">
        <f ca="1">$G$21</f>
        <v>30.28</v>
      </c>
      <c r="I78" s="2">
        <f t="shared" ca="1" si="13"/>
        <v>62.579360605018863</v>
      </c>
      <c r="J78" s="2"/>
      <c r="K78" s="250" t="e">
        <f ca="1">K21</f>
        <v>#DIV/0!</v>
      </c>
      <c r="M78" s="2" t="e">
        <f t="shared" ca="1" si="14"/>
        <v>#DIV/0!</v>
      </c>
      <c r="N78" s="2"/>
      <c r="O78" s="250" t="e">
        <f ca="1">O21</f>
        <v>#DIV/0!</v>
      </c>
      <c r="Q78" s="2" t="e">
        <f t="shared" ca="1" si="15"/>
        <v>#DIV/0!</v>
      </c>
      <c r="R78" s="2"/>
      <c r="S78" s="250" t="e">
        <f ca="1">S21</f>
        <v>#DIV/0!</v>
      </c>
      <c r="U78" s="2" t="e">
        <f t="shared" ca="1" si="16"/>
        <v>#DIV/0!</v>
      </c>
      <c r="V78" s="20"/>
      <c r="W78" s="266"/>
      <c r="X78" s="74"/>
      <c r="Y78" s="74"/>
      <c r="Z78" s="20"/>
      <c r="AA78" s="20"/>
      <c r="AB78" s="272"/>
      <c r="AC78" s="272"/>
      <c r="AD78" s="272"/>
      <c r="AE78" s="272"/>
      <c r="AF78" s="263"/>
      <c r="AG78" s="263"/>
      <c r="AH78" s="266"/>
      <c r="AI78" s="266"/>
      <c r="AJ78" s="270"/>
      <c r="AK78" s="266"/>
      <c r="AL78" s="20"/>
      <c r="AM78" s="20"/>
      <c r="AN78" s="20"/>
      <c r="AO78" s="20"/>
      <c r="AP78" s="20"/>
      <c r="AR78" s="84"/>
    </row>
    <row r="79" spans="1:44" hidden="1">
      <c r="A79" s="3" t="s">
        <v>351</v>
      </c>
      <c r="C79" s="249">
        <f>'Rate Design Work eff 10-14-16'!C78</f>
        <v>131.99965205054301</v>
      </c>
      <c r="D79" s="250">
        <f>'Rate Design Work eff 9-15-17'!D78</f>
        <v>1</v>
      </c>
      <c r="E79" s="20"/>
      <c r="F79" s="2">
        <f>D79*C79</f>
        <v>131.99965205054301</v>
      </c>
      <c r="G79" s="254">
        <f>$G$22</f>
        <v>1</v>
      </c>
      <c r="H79" s="20"/>
      <c r="I79" s="2">
        <f t="shared" si="13"/>
        <v>131.99965205054301</v>
      </c>
      <c r="J79" s="2"/>
      <c r="K79" s="250">
        <f>K22</f>
        <v>1</v>
      </c>
      <c r="L79" s="20"/>
      <c r="M79" s="2">
        <f t="shared" si="14"/>
        <v>131.99965205054301</v>
      </c>
      <c r="N79" s="2"/>
      <c r="O79" s="250" t="str">
        <f>O22</f>
        <v xml:space="preserve"> </v>
      </c>
      <c r="P79" s="20"/>
      <c r="Q79" s="2">
        <f t="shared" si="15"/>
        <v>0</v>
      </c>
      <c r="R79" s="2"/>
      <c r="S79" s="250" t="str">
        <f>S22</f>
        <v xml:space="preserve"> </v>
      </c>
      <c r="T79" s="20"/>
      <c r="U79" s="2">
        <f t="shared" si="16"/>
        <v>0</v>
      </c>
      <c r="V79" s="263"/>
      <c r="W79" s="266"/>
      <c r="X79" s="74"/>
      <c r="Y79" s="74"/>
      <c r="Z79" s="20"/>
      <c r="AA79" s="20"/>
      <c r="AB79" s="263"/>
      <c r="AC79" s="263"/>
      <c r="AD79" s="263"/>
      <c r="AE79" s="263"/>
      <c r="AF79" s="263"/>
      <c r="AG79" s="263"/>
      <c r="AH79" s="266"/>
      <c r="AI79" s="266"/>
      <c r="AJ79" s="266"/>
      <c r="AK79" s="266"/>
      <c r="AL79" s="20"/>
      <c r="AM79" s="20"/>
      <c r="AN79" s="20"/>
      <c r="AO79" s="20"/>
      <c r="AP79" s="20"/>
      <c r="AR79" s="84"/>
    </row>
    <row r="80" spans="1:44" s="1118" customFormat="1" hidden="1">
      <c r="A80" s="968" t="s">
        <v>884</v>
      </c>
      <c r="C80" s="1122">
        <f>C82</f>
        <v>140168</v>
      </c>
      <c r="D80" s="250">
        <f>'Rate Design Work eff 9-15-17'!D79</f>
        <v>0</v>
      </c>
      <c r="E80" s="1119"/>
      <c r="F80" s="1123"/>
      <c r="G80" s="1128">
        <f>G23</f>
        <v>0</v>
      </c>
      <c r="H80" s="1126" t="s">
        <v>364</v>
      </c>
      <c r="I80" s="1123">
        <f>G80*C80/100</f>
        <v>0</v>
      </c>
      <c r="J80" s="1123"/>
      <c r="K80" s="1128" t="str">
        <f>K23</f>
        <v xml:space="preserve"> </v>
      </c>
      <c r="L80" s="1126" t="s">
        <v>364</v>
      </c>
      <c r="M80" s="1123" t="e">
        <f>K80*#REF!/100</f>
        <v>#REF!</v>
      </c>
      <c r="N80" s="1123"/>
      <c r="O80" s="1128" t="str">
        <f>O23</f>
        <v xml:space="preserve"> </v>
      </c>
      <c r="P80" s="1126" t="s">
        <v>364</v>
      </c>
      <c r="Q80" s="1123">
        <f>O80*G80/100</f>
        <v>0</v>
      </c>
      <c r="R80" s="1123"/>
      <c r="S80" s="1128">
        <f>S23</f>
        <v>0</v>
      </c>
      <c r="T80" s="1126" t="s">
        <v>364</v>
      </c>
      <c r="U80" s="1123">
        <f>S80*C80/100</f>
        <v>0</v>
      </c>
      <c r="W80" s="784"/>
      <c r="Z80" s="1125"/>
      <c r="AA80" s="1125"/>
      <c r="AF80" s="1119"/>
      <c r="AG80" s="1119"/>
      <c r="AH80" s="1119"/>
      <c r="AI80" s="1119"/>
      <c r="AJ80" s="1119"/>
      <c r="AK80" s="1119"/>
      <c r="AL80" s="1119"/>
      <c r="AM80" s="1119"/>
      <c r="AN80" s="1119"/>
      <c r="AO80" s="1119"/>
      <c r="AP80" s="1119"/>
      <c r="AR80" s="1124"/>
    </row>
    <row r="81" spans="1:44" hidden="1">
      <c r="A81" s="3" t="s">
        <v>352</v>
      </c>
      <c r="C81" s="249">
        <f>'Rate Design Work eff 10-14-16'!C80</f>
        <v>641</v>
      </c>
      <c r="D81" s="250"/>
      <c r="F81" s="2"/>
      <c r="G81" s="250"/>
      <c r="I81" s="2"/>
      <c r="J81" s="2"/>
      <c r="K81" s="250"/>
      <c r="M81" s="2"/>
      <c r="N81" s="2"/>
      <c r="O81" s="250"/>
      <c r="Q81" s="2"/>
      <c r="R81" s="2"/>
      <c r="S81" s="250"/>
      <c r="U81" s="2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73"/>
      <c r="AI81" s="263"/>
      <c r="AJ81" s="263"/>
      <c r="AK81" s="263"/>
      <c r="AL81" s="20"/>
      <c r="AM81" s="20"/>
      <c r="AN81" s="20"/>
      <c r="AO81" s="20"/>
      <c r="AP81" s="20"/>
      <c r="AR81" s="84"/>
    </row>
    <row r="82" spans="1:44" hidden="1">
      <c r="A82" s="3" t="s">
        <v>35</v>
      </c>
      <c r="C82" s="249">
        <f>'Rate Design Work eff 10-14-16'!C81</f>
        <v>140168</v>
      </c>
      <c r="D82" s="254"/>
      <c r="E82" s="20"/>
      <c r="F82" s="257">
        <f>SUM(F72:F79)</f>
        <v>18730.323702598747</v>
      </c>
      <c r="G82" s="254"/>
      <c r="H82" s="20"/>
      <c r="I82" s="257">
        <f ca="1">SUM(I72:I80)</f>
        <v>19169.132200702243</v>
      </c>
      <c r="J82" s="257"/>
      <c r="K82" s="254"/>
      <c r="L82" s="20"/>
      <c r="M82" s="257" t="e">
        <f ca="1">SUM(M72:M80)</f>
        <v>#DIV/0!</v>
      </c>
      <c r="N82" s="257"/>
      <c r="O82" s="254"/>
      <c r="P82" s="20"/>
      <c r="Q82" s="257" t="e">
        <f ca="1">SUM(Q72:Q80)</f>
        <v>#DIV/0!</v>
      </c>
      <c r="R82" s="257"/>
      <c r="S82" s="254"/>
      <c r="T82" s="20"/>
      <c r="U82" s="257" t="e">
        <f ca="1">SUM(U72:U80)</f>
        <v>#DIV/0!</v>
      </c>
      <c r="V82" s="263"/>
      <c r="W82" s="272"/>
      <c r="X82" s="263"/>
      <c r="Y82" s="263"/>
      <c r="Z82" s="20"/>
      <c r="AA82" s="20"/>
      <c r="AB82" s="20"/>
      <c r="AC82" s="20"/>
      <c r="AD82" s="20"/>
      <c r="AE82" s="20"/>
      <c r="AF82" s="20"/>
      <c r="AG82" s="263"/>
      <c r="AH82" s="263"/>
      <c r="AI82" s="263"/>
      <c r="AJ82" s="263"/>
      <c r="AK82" s="263"/>
      <c r="AL82" s="20"/>
      <c r="AM82" s="20"/>
      <c r="AN82" s="20"/>
      <c r="AO82" s="20"/>
      <c r="AP82" s="20"/>
      <c r="AR82" s="84"/>
    </row>
    <row r="83" spans="1:44" hidden="1">
      <c r="A83" s="3" t="s">
        <v>353</v>
      </c>
      <c r="C83" s="249">
        <f ca="1">'Table 2'!H84</f>
        <v>435.81097248984889</v>
      </c>
      <c r="D83" s="254"/>
      <c r="E83" s="20"/>
      <c r="F83" s="257">
        <f ca="1">'Table 3'!E84</f>
        <v>59.072572994694113</v>
      </c>
      <c r="G83" s="254"/>
      <c r="H83" s="20"/>
      <c r="I83" s="257">
        <f ca="1">F83</f>
        <v>59.072572994694113</v>
      </c>
      <c r="J83" s="257"/>
      <c r="K83" s="254"/>
      <c r="L83" s="20"/>
      <c r="M83" s="257" t="e">
        <f ca="1">M26/I26*I83</f>
        <v>#DIV/0!</v>
      </c>
      <c r="N83" s="257"/>
      <c r="O83" s="254"/>
      <c r="P83" s="20"/>
      <c r="Q83" s="257" t="e">
        <f ca="1">Q26/I26*I83</f>
        <v>#DIV/0!</v>
      </c>
      <c r="R83" s="257"/>
      <c r="S83" s="254"/>
      <c r="T83" s="20"/>
      <c r="U83" s="257" t="e">
        <f ca="1">U26/I26*I83</f>
        <v>#DIV/0!</v>
      </c>
      <c r="V83" s="429"/>
      <c r="W83" s="272"/>
      <c r="X83" s="263"/>
      <c r="Y83" s="263"/>
      <c r="Z83" s="263"/>
      <c r="AA83" s="263"/>
      <c r="AB83" s="268"/>
      <c r="AC83" s="268"/>
      <c r="AD83" s="268"/>
      <c r="AE83" s="268"/>
      <c r="AF83" s="266"/>
      <c r="AG83" s="263"/>
      <c r="AH83" s="263"/>
      <c r="AI83" s="263"/>
      <c r="AJ83" s="263"/>
      <c r="AK83" s="263"/>
      <c r="AL83" s="20"/>
      <c r="AM83" s="20"/>
      <c r="AN83" s="20"/>
      <c r="AO83" s="20"/>
      <c r="AP83" s="20"/>
      <c r="AR83" s="84"/>
    </row>
    <row r="84" spans="1:44" ht="16.5" hidden="1" thickBot="1">
      <c r="A84" s="3" t="s">
        <v>9</v>
      </c>
      <c r="C84" s="258">
        <f ca="1">C82+C83</f>
        <v>140603.81097248985</v>
      </c>
      <c r="D84" s="297"/>
      <c r="E84" s="259"/>
      <c r="F84" s="259">
        <f ca="1">F82+F83</f>
        <v>18789.396275593441</v>
      </c>
      <c r="G84" s="297"/>
      <c r="H84" s="259"/>
      <c r="I84" s="259">
        <f ca="1">I82+I83</f>
        <v>19228.204773696936</v>
      </c>
      <c r="J84" s="51"/>
      <c r="K84" s="297"/>
      <c r="L84" s="259"/>
      <c r="M84" s="259" t="e">
        <f ca="1">M82+M83</f>
        <v>#DIV/0!</v>
      </c>
      <c r="N84" s="297"/>
      <c r="O84" s="297"/>
      <c r="P84" s="259"/>
      <c r="Q84" s="259" t="e">
        <f ca="1">Q82+Q83</f>
        <v>#DIV/0!</v>
      </c>
      <c r="R84" s="297"/>
      <c r="S84" s="297"/>
      <c r="T84" s="259"/>
      <c r="U84" s="259" t="e">
        <f ca="1">U82+U83</f>
        <v>#DIV/0!</v>
      </c>
      <c r="V84" s="396"/>
      <c r="W84" s="455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0"/>
      <c r="AM84" s="20"/>
      <c r="AN84" s="20"/>
      <c r="AO84" s="20"/>
      <c r="AP84" s="20"/>
      <c r="AR84" s="84"/>
    </row>
    <row r="85" spans="1:44" ht="16.5" hidden="1" thickTop="1">
      <c r="C85" s="260"/>
      <c r="D85" s="294" t="s">
        <v>31</v>
      </c>
      <c r="E85" s="260"/>
      <c r="F85" s="248"/>
      <c r="G85" s="1" t="s">
        <v>31</v>
      </c>
      <c r="H85" s="260"/>
      <c r="I85" s="2" t="s">
        <v>31</v>
      </c>
      <c r="J85" s="2"/>
      <c r="K85" s="1" t="s">
        <v>31</v>
      </c>
      <c r="L85" s="260"/>
      <c r="M85" s="2" t="s">
        <v>31</v>
      </c>
      <c r="N85" s="2"/>
      <c r="O85" s="1" t="s">
        <v>31</v>
      </c>
      <c r="P85" s="260"/>
      <c r="Q85" s="2" t="s">
        <v>31</v>
      </c>
      <c r="R85" s="2"/>
      <c r="S85" s="1" t="s">
        <v>31</v>
      </c>
      <c r="T85" s="260"/>
      <c r="U85" s="2" t="s">
        <v>31</v>
      </c>
      <c r="V85" s="20"/>
      <c r="W85" s="74"/>
      <c r="X85" s="74"/>
      <c r="Y85" s="74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R85" s="84"/>
    </row>
    <row r="86" spans="1:44">
      <c r="A86" s="278" t="s">
        <v>358</v>
      </c>
      <c r="B86" s="1"/>
      <c r="C86" s="1"/>
      <c r="D86" s="21"/>
      <c r="E86" s="1"/>
      <c r="F86" s="1"/>
      <c r="G86" s="21"/>
      <c r="H86" s="1"/>
      <c r="I86" s="1"/>
      <c r="J86" s="1"/>
      <c r="K86" s="21"/>
      <c r="L86" s="1"/>
      <c r="M86" s="1"/>
      <c r="N86" s="1"/>
      <c r="O86" s="21"/>
      <c r="P86" s="1"/>
      <c r="Q86" s="1"/>
      <c r="R86" s="1"/>
      <c r="S86" s="21"/>
      <c r="T86" s="1"/>
      <c r="U86" s="1"/>
      <c r="V86" s="20"/>
      <c r="W86" s="74"/>
      <c r="X86" s="74"/>
      <c r="Y86" s="74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R86" s="84"/>
    </row>
    <row r="87" spans="1:44">
      <c r="A87" s="1" t="s">
        <v>359</v>
      </c>
      <c r="B87" s="1"/>
      <c r="C87" s="1"/>
      <c r="D87" s="21"/>
      <c r="E87" s="1"/>
      <c r="F87" s="1"/>
      <c r="G87" s="21"/>
      <c r="H87" s="1"/>
      <c r="I87" s="1"/>
      <c r="J87" s="1"/>
      <c r="K87" s="21"/>
      <c r="L87" s="1"/>
      <c r="M87" s="1"/>
      <c r="N87" s="1"/>
      <c r="O87" s="21"/>
      <c r="P87" s="1"/>
      <c r="Q87" s="1"/>
      <c r="R87" s="1"/>
      <c r="S87" s="21"/>
      <c r="T87" s="1"/>
      <c r="U87" s="1"/>
      <c r="V87" s="456"/>
      <c r="W87" s="74"/>
      <c r="X87" s="74"/>
      <c r="Y87" s="74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R87" s="84"/>
    </row>
    <row r="88" spans="1:44">
      <c r="A88" s="282"/>
      <c r="B88" s="1"/>
      <c r="C88" s="1"/>
      <c r="D88" s="21"/>
      <c r="E88" s="1"/>
      <c r="F88" s="1"/>
      <c r="G88" s="21"/>
      <c r="H88" s="1"/>
      <c r="I88" s="1"/>
      <c r="J88" s="1"/>
      <c r="K88" s="21"/>
      <c r="L88" s="1"/>
      <c r="M88" s="1"/>
      <c r="N88" s="1"/>
      <c r="O88" s="21"/>
      <c r="P88" s="1"/>
      <c r="Q88" s="1"/>
      <c r="R88" s="1"/>
      <c r="S88" s="21"/>
      <c r="T88" s="1"/>
      <c r="U88" s="1"/>
      <c r="V88" s="20"/>
      <c r="W88" s="74"/>
      <c r="X88" s="766" t="s">
        <v>625</v>
      </c>
      <c r="Y88" s="766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R88" s="84"/>
    </row>
    <row r="89" spans="1:44">
      <c r="A89" s="1" t="s">
        <v>360</v>
      </c>
      <c r="B89" s="1"/>
      <c r="C89" s="21">
        <f>C108+C123+C138+C153</f>
        <v>1263103.7974192717</v>
      </c>
      <c r="D89" s="283">
        <f>'Rate Design Work eff 9-15-17'!D88</f>
        <v>7.75</v>
      </c>
      <c r="E89" s="1"/>
      <c r="F89" s="2">
        <f>F108+F123+F138+F153</f>
        <v>9789055</v>
      </c>
      <c r="G89" s="283">
        <f>'Rate Design Work eff 9-15-17'!G88</f>
        <v>7.75</v>
      </c>
      <c r="H89" s="1"/>
      <c r="I89" s="2">
        <f>I108+I123+I138+I153</f>
        <v>9789055</v>
      </c>
      <c r="J89" s="2"/>
      <c r="K89" s="283">
        <f>'Rate Design Work eff 10-14-16'!K88</f>
        <v>7.75</v>
      </c>
      <c r="L89" s="1"/>
      <c r="M89" s="2">
        <f>M108+M123+M138+M153</f>
        <v>9789054.4299993571</v>
      </c>
      <c r="N89" s="2"/>
      <c r="O89" s="286" t="s">
        <v>31</v>
      </c>
      <c r="P89" s="1"/>
      <c r="Q89" s="2">
        <f>O89*C89</f>
        <v>0</v>
      </c>
      <c r="R89" s="2"/>
      <c r="S89" s="286" t="s">
        <v>31</v>
      </c>
      <c r="T89" s="1"/>
      <c r="U89" s="2">
        <f>S89*C89</f>
        <v>0</v>
      </c>
      <c r="X89" s="14">
        <f>(G89-D89)/D89</f>
        <v>0</v>
      </c>
      <c r="Y89" s="711" t="s">
        <v>31</v>
      </c>
      <c r="AK89" s="20"/>
      <c r="AL89" s="20"/>
      <c r="AM89" s="20"/>
      <c r="AN89" s="20"/>
      <c r="AO89" s="20"/>
      <c r="AP89" s="20"/>
      <c r="AR89" s="84"/>
    </row>
    <row r="90" spans="1:44">
      <c r="A90" s="1" t="s">
        <v>363</v>
      </c>
      <c r="B90" s="1"/>
      <c r="C90" s="21">
        <f>C109+C124+C139+C154</f>
        <v>706991944.07558155</v>
      </c>
      <c r="D90" s="284">
        <f>'Rate Design Work eff 9-15-17'!D89</f>
        <v>6.548</v>
      </c>
      <c r="E90" s="1" t="s">
        <v>364</v>
      </c>
      <c r="F90" s="2">
        <f>F109+F124+F139+F154</f>
        <v>46293832</v>
      </c>
      <c r="G90" s="284">
        <f>'Rate Design Work eff 9-15-17'!G89</f>
        <v>6.7170000000000005</v>
      </c>
      <c r="H90" s="1" t="s">
        <v>364</v>
      </c>
      <c r="I90" s="2">
        <f>I109+I124+I139+I154</f>
        <v>47488648</v>
      </c>
      <c r="J90" s="2"/>
      <c r="K90" s="284" t="e">
        <f>'Rate Design Work eff 10-14-16'!K89</f>
        <v>#DIV/0!</v>
      </c>
      <c r="L90" s="1" t="s">
        <v>364</v>
      </c>
      <c r="M90" s="2" t="e">
        <f>K90*C90/100</f>
        <v>#DIV/0!</v>
      </c>
      <c r="N90" s="1" t="s">
        <v>31</v>
      </c>
      <c r="O90" s="284" t="e">
        <f>'Rate Design Work eff 10-14-16'!O89</f>
        <v>#DIV/0!</v>
      </c>
      <c r="P90" s="1" t="s">
        <v>364</v>
      </c>
      <c r="Q90" s="2" t="e">
        <f>O90*C90/100</f>
        <v>#DIV/0!</v>
      </c>
      <c r="R90" s="2"/>
      <c r="S90" s="284" t="e">
        <f ca="1">'Rate Design Work eff 10-14-16'!S89</f>
        <v>#DIV/0!</v>
      </c>
      <c r="T90" s="1" t="s">
        <v>364</v>
      </c>
      <c r="U90" s="2" t="e">
        <f ca="1">(X104-U89-U92-U93-U94-U95-U96-U100)*I90/(I90+I91)</f>
        <v>#DIV/0!</v>
      </c>
      <c r="W90" s="88" t="s">
        <v>31</v>
      </c>
      <c r="X90" s="14">
        <f>((G90+G95)-D90)/D90</f>
        <v>2.5809407452657373E-2</v>
      </c>
      <c r="Y90" s="222">
        <f>(D91-D90)/D90</f>
        <v>0.58063530849114231</v>
      </c>
      <c r="Z90" s="222"/>
      <c r="AB90" s="222"/>
      <c r="AD90" s="84"/>
      <c r="AE90" s="84"/>
      <c r="AF90" s="222"/>
      <c r="AK90" s="20"/>
      <c r="AL90" s="20"/>
      <c r="AM90" s="20"/>
      <c r="AN90" s="20"/>
      <c r="AO90" s="20"/>
      <c r="AP90" s="20"/>
      <c r="AR90" s="84"/>
    </row>
    <row r="91" spans="1:44">
      <c r="A91" s="1" t="s">
        <v>365</v>
      </c>
      <c r="B91" s="1"/>
      <c r="C91" s="21">
        <f>C110+C125+C140+C155</f>
        <v>843225109.61000884</v>
      </c>
      <c r="D91" s="284">
        <f>'Rate Design Work eff 9-15-17'!D90</f>
        <v>10.35</v>
      </c>
      <c r="E91" s="1" t="s">
        <v>364</v>
      </c>
      <c r="F91" s="2">
        <f>F110+F125+F140+F155</f>
        <v>87273799</v>
      </c>
      <c r="G91" s="284">
        <f>'Rate Design Work eff 9-15-17'!G90</f>
        <v>10.613</v>
      </c>
      <c r="H91" s="1" t="s">
        <v>364</v>
      </c>
      <c r="I91" s="2">
        <f>I110+I125+I140+I155</f>
        <v>89491481</v>
      </c>
      <c r="J91" s="2"/>
      <c r="K91" s="284" t="e">
        <f>'Rate Design Work eff 10-14-16'!K90</f>
        <v>#DIV/0!</v>
      </c>
      <c r="L91" s="1" t="s">
        <v>364</v>
      </c>
      <c r="M91" s="2" t="e">
        <f>K91*C91/100</f>
        <v>#DIV/0!</v>
      </c>
      <c r="N91" s="1" t="s">
        <v>31</v>
      </c>
      <c r="O91" s="284" t="e">
        <f>'Rate Design Work eff 10-14-16'!O90</f>
        <v>#DIV/0!</v>
      </c>
      <c r="P91" s="1" t="s">
        <v>364</v>
      </c>
      <c r="Q91" s="2" t="e">
        <f>O91*C91/100</f>
        <v>#DIV/0!</v>
      </c>
      <c r="R91" s="2"/>
      <c r="S91" s="284" t="e">
        <f ca="1">'Rate Design Work eff 10-14-16'!S90</f>
        <v>#DIV/0!</v>
      </c>
      <c r="T91" s="1" t="s">
        <v>364</v>
      </c>
      <c r="U91" s="2" t="e">
        <f ca="1">S91*C91/100</f>
        <v>#DIV/0!</v>
      </c>
      <c r="V91" s="285"/>
      <c r="X91" s="14">
        <f>((G91+G96)-D91)/D91</f>
        <v>2.5410628019323662E-2</v>
      </c>
      <c r="Y91" s="222">
        <f>(G91-G90)/G90</f>
        <v>0.58002084263808229</v>
      </c>
      <c r="Z91" s="222">
        <v>0.72450000000000003</v>
      </c>
      <c r="AB91" s="222"/>
      <c r="AD91" s="106"/>
      <c r="AE91" s="106"/>
      <c r="AF91" s="222"/>
      <c r="AK91" s="20"/>
      <c r="AL91" s="20"/>
      <c r="AM91" s="20"/>
      <c r="AN91" s="20"/>
      <c r="AO91" s="20"/>
      <c r="AP91" s="20"/>
      <c r="AR91" s="84"/>
    </row>
    <row r="92" spans="1:44">
      <c r="A92" s="1" t="s">
        <v>367</v>
      </c>
      <c r="B92" s="1"/>
      <c r="C92" s="21">
        <f>C111+C126+C141+C156</f>
        <v>5306</v>
      </c>
      <c r="D92" s="286">
        <f>'Rate Design Work eff 9-15-17'!D91</f>
        <v>1.74</v>
      </c>
      <c r="E92" s="1"/>
      <c r="F92" s="2">
        <f>F111+F126+F141+F156</f>
        <v>9232</v>
      </c>
      <c r="G92" s="283">
        <f ca="1">'Rate Design Work eff 9-15-17'!G91</f>
        <v>1.78</v>
      </c>
      <c r="H92" s="1"/>
      <c r="I92" s="2">
        <f ca="1">I111+I126+I141+I156</f>
        <v>9444</v>
      </c>
      <c r="J92" s="2"/>
      <c r="K92" s="283" t="str">
        <f>'Rate Design Work eff 10-14-16'!K91</f>
        <v xml:space="preserve"> </v>
      </c>
      <c r="L92" s="1"/>
      <c r="M92" s="2">
        <f>K92*C92</f>
        <v>0</v>
      </c>
      <c r="N92" s="2"/>
      <c r="O92" s="286" t="s">
        <v>31</v>
      </c>
      <c r="P92" s="1"/>
      <c r="Q92" s="2">
        <f>O92*C92</f>
        <v>0</v>
      </c>
      <c r="R92" s="2"/>
      <c r="S92" s="284">
        <f ca="1">'Rate Design Work eff 10-14-16'!S91</f>
        <v>1.74</v>
      </c>
      <c r="T92" s="1"/>
      <c r="U92" s="2">
        <f ca="1">S92*C92</f>
        <v>9232.44</v>
      </c>
      <c r="X92" s="14">
        <f ca="1">(G92-D92)/D92</f>
        <v>2.2988505747126457E-2</v>
      </c>
      <c r="AD92" s="84"/>
      <c r="AE92" s="84"/>
      <c r="AF92" s="222"/>
      <c r="AK92" s="20"/>
      <c r="AL92" s="20"/>
      <c r="AM92" s="20"/>
      <c r="AN92" s="20"/>
      <c r="AO92" s="20"/>
      <c r="AP92" s="20"/>
      <c r="AR92" s="84"/>
    </row>
    <row r="93" spans="1:44">
      <c r="A93" s="288" t="s">
        <v>369</v>
      </c>
      <c r="B93" s="288"/>
      <c r="C93" s="21">
        <f>C112+C127+C142+C157</f>
        <v>703</v>
      </c>
      <c r="D93" s="286">
        <f>'Rate Design Work eff 9-15-17'!D92</f>
        <v>3.4</v>
      </c>
      <c r="E93" s="288"/>
      <c r="F93" s="2">
        <f>F112+F127+F142+F157</f>
        <v>2390</v>
      </c>
      <c r="G93" s="283">
        <f ca="1">'Rate Design Work eff 9-15-17'!G92</f>
        <v>3.5</v>
      </c>
      <c r="H93" s="288"/>
      <c r="I93" s="2">
        <f ca="1">I112+I127+I142+I157</f>
        <v>2461</v>
      </c>
      <c r="J93" s="2"/>
      <c r="K93" s="283" t="str">
        <f>'Rate Design Work eff 10-14-16'!K92</f>
        <v xml:space="preserve"> </v>
      </c>
      <c r="L93" s="288"/>
      <c r="M93" s="2">
        <f>K93*C93</f>
        <v>0</v>
      </c>
      <c r="N93" s="2"/>
      <c r="O93" s="286" t="s">
        <v>31</v>
      </c>
      <c r="P93" s="288"/>
      <c r="Q93" s="2">
        <f>O93*C93</f>
        <v>0</v>
      </c>
      <c r="R93" s="2"/>
      <c r="S93" s="283">
        <f ca="1">'Rate Design Work eff 10-14-16'!S92</f>
        <v>3.4</v>
      </c>
      <c r="T93" s="288"/>
      <c r="U93" s="2">
        <f ca="1">S93*C93</f>
        <v>2390.1999999999998</v>
      </c>
      <c r="X93" s="14">
        <f ca="1">(G93-D93)/D93</f>
        <v>2.941176470588238E-2</v>
      </c>
      <c r="AK93" s="20"/>
      <c r="AL93" s="20"/>
      <c r="AM93" s="20"/>
      <c r="AN93" s="20"/>
      <c r="AO93" s="20"/>
      <c r="AP93" s="20"/>
      <c r="AR93" s="84"/>
    </row>
    <row r="94" spans="1:44">
      <c r="A94" s="288" t="s">
        <v>370</v>
      </c>
      <c r="B94" s="288"/>
      <c r="C94" s="21">
        <f>C115+C128+C143+C158</f>
        <v>70.5</v>
      </c>
      <c r="D94" s="289">
        <f>'Rate Design Work eff 9-15-17'!D93</f>
        <v>-1.74</v>
      </c>
      <c r="E94" s="288"/>
      <c r="F94" s="2">
        <f>F115+F128+F143+F158</f>
        <v>-123</v>
      </c>
      <c r="G94" s="289">
        <f ca="1">-G92</f>
        <v>-1.78</v>
      </c>
      <c r="H94" s="288"/>
      <c r="I94" s="2">
        <f ca="1">I115+I128+I143+I158</f>
        <v>-126</v>
      </c>
      <c r="J94" s="2"/>
      <c r="K94" s="289" t="s">
        <v>31</v>
      </c>
      <c r="L94" s="288"/>
      <c r="M94" s="2">
        <f>K94*C94</f>
        <v>0</v>
      </c>
      <c r="N94" s="2"/>
      <c r="O94" s="289" t="s">
        <v>31</v>
      </c>
      <c r="P94" s="288"/>
      <c r="Q94" s="2">
        <f>O94*C94</f>
        <v>0</v>
      </c>
      <c r="R94" s="2"/>
      <c r="S94" s="289">
        <f ca="1">'Rate Design Work eff 10-14-16'!S93</f>
        <v>-1.74</v>
      </c>
      <c r="T94" s="288"/>
      <c r="U94" s="2">
        <f ca="1">S94*C94</f>
        <v>-122.67</v>
      </c>
      <c r="X94" s="14">
        <f ca="1">(G94-D94)/D94</f>
        <v>2.2988505747126457E-2</v>
      </c>
      <c r="AK94" s="20"/>
      <c r="AL94" s="20"/>
      <c r="AM94" s="20"/>
      <c r="AN94" s="20"/>
      <c r="AO94" s="20"/>
      <c r="AP94" s="20"/>
      <c r="AR94" s="84"/>
    </row>
    <row r="95" spans="1:44" s="1118" customFormat="1" hidden="1">
      <c r="A95" s="968" t="s">
        <v>886</v>
      </c>
      <c r="C95" s="1127">
        <f>C90</f>
        <v>706991944.07558155</v>
      </c>
      <c r="D95" s="254">
        <f>'Rate Design Work eff 9-15-17'!D94</f>
        <v>0</v>
      </c>
      <c r="E95" s="1119"/>
      <c r="F95" s="1123"/>
      <c r="G95" s="1128">
        <f>'Rate Design Work eff 9-15-17'!G94</f>
        <v>0</v>
      </c>
      <c r="H95" s="1126" t="s">
        <v>364</v>
      </c>
      <c r="I95" s="1123">
        <f>I113+I129+I144+I159</f>
        <v>0</v>
      </c>
      <c r="J95" s="1123"/>
      <c r="K95" s="1128" t="str">
        <f>'Rate Design Work eff 10-14-16'!K94</f>
        <v xml:space="preserve"> </v>
      </c>
      <c r="L95" s="1126" t="s">
        <v>31</v>
      </c>
      <c r="M95" s="2">
        <f>K95*C95/100</f>
        <v>0</v>
      </c>
      <c r="N95" s="1123"/>
      <c r="O95" s="1128" t="s">
        <v>31</v>
      </c>
      <c r="P95" s="1126" t="s">
        <v>31</v>
      </c>
      <c r="Q95" s="2">
        <f>O95*C95/100</f>
        <v>0</v>
      </c>
      <c r="R95" s="1123"/>
      <c r="S95" s="284">
        <f>'Rate Design Work eff 10-14-16'!S94</f>
        <v>0</v>
      </c>
      <c r="T95" s="1126" t="s">
        <v>364</v>
      </c>
      <c r="U95" s="2">
        <f>S95*C95/100</f>
        <v>0</v>
      </c>
      <c r="V95" s="1124"/>
      <c r="W95" s="784"/>
      <c r="Z95" s="1125"/>
      <c r="AA95" s="1125"/>
      <c r="AF95" s="1119"/>
      <c r="AG95" s="1119"/>
      <c r="AH95" s="1119"/>
      <c r="AI95" s="1119"/>
      <c r="AJ95" s="1119"/>
      <c r="AK95" s="1119"/>
      <c r="AL95" s="1119"/>
      <c r="AM95" s="1119"/>
      <c r="AN95" s="1119"/>
      <c r="AO95" s="1119"/>
      <c r="AP95" s="1119"/>
      <c r="AR95" s="1124"/>
    </row>
    <row r="96" spans="1:44" s="1118" customFormat="1" hidden="1">
      <c r="A96" s="968" t="s">
        <v>887</v>
      </c>
      <c r="C96" s="1127">
        <f>C91</f>
        <v>843225109.61000884</v>
      </c>
      <c r="D96" s="254">
        <f>'Rate Design Work eff 9-15-17'!D95</f>
        <v>0</v>
      </c>
      <c r="E96" s="1119"/>
      <c r="F96" s="1123"/>
      <c r="G96" s="1128">
        <f>'Rate Design Work eff 9-15-17'!G95</f>
        <v>0</v>
      </c>
      <c r="H96" s="1126" t="s">
        <v>364</v>
      </c>
      <c r="I96" s="1123">
        <f>I114+I130+I145+I160</f>
        <v>0</v>
      </c>
      <c r="J96" s="1123"/>
      <c r="K96" s="1128" t="str">
        <f>'Rate Design Work eff 10-14-16'!K95</f>
        <v xml:space="preserve"> </v>
      </c>
      <c r="L96" s="1126" t="s">
        <v>31</v>
      </c>
      <c r="M96" s="2">
        <f>K96*C96/100</f>
        <v>0</v>
      </c>
      <c r="N96" s="1123"/>
      <c r="O96" s="1128" t="s">
        <v>31</v>
      </c>
      <c r="P96" s="1126" t="s">
        <v>31</v>
      </c>
      <c r="Q96" s="2">
        <f>O96*C96/100</f>
        <v>0</v>
      </c>
      <c r="R96" s="1123"/>
      <c r="S96" s="284">
        <f>'Rate Design Work eff 10-14-16'!S95</f>
        <v>0</v>
      </c>
      <c r="T96" s="1126" t="s">
        <v>364</v>
      </c>
      <c r="U96" s="2">
        <f>S96*C96/100</f>
        <v>0</v>
      </c>
      <c r="V96" s="1124"/>
      <c r="W96" s="784"/>
      <c r="Z96" s="770" t="e">
        <f>(G96-G95)/G95</f>
        <v>#DIV/0!</v>
      </c>
      <c r="AA96" s="1125"/>
      <c r="AF96" s="1119"/>
      <c r="AG96" s="1119"/>
      <c r="AH96" s="1119"/>
      <c r="AI96" s="1119"/>
      <c r="AJ96" s="1119"/>
      <c r="AK96" s="1119"/>
      <c r="AL96" s="1119"/>
      <c r="AM96" s="1119"/>
      <c r="AN96" s="1119"/>
      <c r="AO96" s="1119"/>
      <c r="AP96" s="1119"/>
      <c r="AR96" s="1124"/>
    </row>
    <row r="97" spans="1:44" s="1118" customFormat="1" hidden="1">
      <c r="A97" s="1255" t="s">
        <v>860</v>
      </c>
      <c r="B97" s="1256"/>
      <c r="C97" s="1257"/>
      <c r="D97" s="1260">
        <f>'Rate Design Work eff 9-15-17'!D96</f>
        <v>6.548</v>
      </c>
      <c r="E97" s="1261" t="s">
        <v>364</v>
      </c>
      <c r="F97" s="1259"/>
      <c r="G97" s="1260">
        <f>G90+G95</f>
        <v>6.7170000000000005</v>
      </c>
      <c r="H97" s="1261" t="s">
        <v>364</v>
      </c>
      <c r="I97" s="1259"/>
      <c r="J97" s="1259"/>
      <c r="K97" s="1260" t="e">
        <f>K90+K95</f>
        <v>#DIV/0!</v>
      </c>
      <c r="L97" s="1261" t="s">
        <v>364</v>
      </c>
      <c r="M97" s="1259"/>
      <c r="N97" s="1259"/>
      <c r="O97" s="1260" t="e">
        <f>O90+O95</f>
        <v>#DIV/0!</v>
      </c>
      <c r="P97" s="1261" t="s">
        <v>364</v>
      </c>
      <c r="Q97" s="1259"/>
      <c r="R97" s="1259"/>
      <c r="S97" s="1260" t="e">
        <f ca="1">S90+S95</f>
        <v>#DIV/0!</v>
      </c>
      <c r="T97" s="1261" t="s">
        <v>364</v>
      </c>
      <c r="U97" s="1259"/>
      <c r="V97" s="1124"/>
      <c r="W97" s="784"/>
      <c r="Z97" s="1125"/>
      <c r="AA97" s="1125"/>
      <c r="AF97" s="1119"/>
      <c r="AG97" s="1119"/>
      <c r="AH97" s="1119"/>
      <c r="AI97" s="1119"/>
      <c r="AJ97" s="1119"/>
      <c r="AK97" s="1119"/>
      <c r="AL97" s="1119"/>
      <c r="AM97" s="1119"/>
      <c r="AN97" s="1119"/>
      <c r="AO97" s="1119"/>
      <c r="AP97" s="1119"/>
      <c r="AR97" s="1124"/>
    </row>
    <row r="98" spans="1:44" s="1118" customFormat="1" hidden="1">
      <c r="A98" s="1255" t="s">
        <v>861</v>
      </c>
      <c r="B98" s="1256"/>
      <c r="C98" s="1257"/>
      <c r="D98" s="1260">
        <f>'Rate Design Work eff 9-15-17'!D97</f>
        <v>10.35</v>
      </c>
      <c r="E98" s="1261" t="s">
        <v>364</v>
      </c>
      <c r="F98" s="1259"/>
      <c r="G98" s="1260">
        <f>G91+G96</f>
        <v>10.613</v>
      </c>
      <c r="H98" s="1261" t="s">
        <v>364</v>
      </c>
      <c r="I98" s="1259"/>
      <c r="J98" s="1259"/>
      <c r="K98" s="1260" t="e">
        <f>K91+K96</f>
        <v>#DIV/0!</v>
      </c>
      <c r="L98" s="1261" t="s">
        <v>364</v>
      </c>
      <c r="M98" s="1259"/>
      <c r="N98" s="1259"/>
      <c r="O98" s="1260" t="e">
        <f>O91+O96</f>
        <v>#DIV/0!</v>
      </c>
      <c r="P98" s="1261" t="s">
        <v>364</v>
      </c>
      <c r="Q98" s="1259"/>
      <c r="R98" s="1259"/>
      <c r="S98" s="1260" t="e">
        <f ca="1">S91+S96</f>
        <v>#DIV/0!</v>
      </c>
      <c r="T98" s="1261" t="s">
        <v>364</v>
      </c>
      <c r="U98" s="1259"/>
      <c r="V98" s="1124"/>
      <c r="W98" s="784"/>
      <c r="Z98" s="770">
        <f>(G98-G97)/G97</f>
        <v>0.58002084263808229</v>
      </c>
      <c r="AA98" s="1125"/>
      <c r="AF98" s="1119"/>
      <c r="AG98" s="1119"/>
      <c r="AH98" s="1119"/>
      <c r="AI98" s="1119"/>
      <c r="AJ98" s="1119"/>
      <c r="AK98" s="1119"/>
      <c r="AL98" s="1119"/>
      <c r="AM98" s="1119"/>
      <c r="AN98" s="1119"/>
      <c r="AO98" s="1119"/>
      <c r="AP98" s="1119"/>
      <c r="AR98" s="1124"/>
    </row>
    <row r="99" spans="1:44">
      <c r="A99" s="1" t="s">
        <v>371</v>
      </c>
      <c r="B99" s="290"/>
      <c r="C99" s="21">
        <f>C116+C131+C146+C161</f>
        <v>1550217053.6855903</v>
      </c>
      <c r="D99" s="953"/>
      <c r="E99" s="2"/>
      <c r="F99" s="2">
        <f>F116+F131+F146+F161</f>
        <v>143368185</v>
      </c>
      <c r="G99" s="2"/>
      <c r="H99" s="2"/>
      <c r="I99" s="2">
        <f t="shared" ref="I99" ca="1" si="17">I116+I131+I146+I161</f>
        <v>146780963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 ca="1">SUM(U89:U98)</f>
        <v>#DIV/0!</v>
      </c>
      <c r="W99" s="14"/>
      <c r="AK99" s="20"/>
      <c r="AL99" s="20"/>
      <c r="AM99" s="20"/>
      <c r="AN99" s="20"/>
      <c r="AO99" s="20"/>
      <c r="AP99" s="20"/>
      <c r="AR99" s="84"/>
    </row>
    <row r="100" spans="1:44">
      <c r="A100" s="1" t="s">
        <v>353</v>
      </c>
      <c r="B100" s="292"/>
      <c r="C100" s="293">
        <f>C117+C132+C147+C162</f>
        <v>19569583.803586423</v>
      </c>
      <c r="D100" s="294"/>
      <c r="E100" s="294"/>
      <c r="F100" s="295">
        <f>F117+F132+F147+F162</f>
        <v>1987055.0327333291</v>
      </c>
      <c r="G100" s="294"/>
      <c r="H100" s="294"/>
      <c r="I100" s="295">
        <f>F100</f>
        <v>1987055.0327333291</v>
      </c>
      <c r="J100" s="51"/>
      <c r="K100" s="294"/>
      <c r="L100" s="294"/>
      <c r="M100" s="295" t="e">
        <f>$I$100*V104/($V$104+$W$104+$X$104)</f>
        <v>#DIV/0!</v>
      </c>
      <c r="N100" s="51"/>
      <c r="O100" s="294"/>
      <c r="P100" s="294"/>
      <c r="Q100" s="295" t="e">
        <f>$I$100*W104/($V$104+$W$104+$X$104)</f>
        <v>#DIV/0!</v>
      </c>
      <c r="R100" s="51"/>
      <c r="S100" s="294"/>
      <c r="T100" s="294"/>
      <c r="U100" s="295" t="e">
        <f>$I$100*X104/($V$104+$W$104+$X$104)</f>
        <v>#DIV/0!</v>
      </c>
      <c r="AK100" s="20"/>
      <c r="AL100" s="20"/>
      <c r="AM100" s="20"/>
      <c r="AN100" s="20"/>
      <c r="AO100" s="20"/>
      <c r="AP100" s="20"/>
      <c r="AR100" s="84"/>
    </row>
    <row r="101" spans="1:44" ht="16.5" thickBot="1">
      <c r="A101" s="1" t="s">
        <v>372</v>
      </c>
      <c r="B101" s="1"/>
      <c r="C101" s="296">
        <f>C99+C100</f>
        <v>1569786637.4891768</v>
      </c>
      <c r="D101" s="297"/>
      <c r="E101" s="297"/>
      <c r="F101" s="297">
        <f>F99+F100</f>
        <v>145355240.03273332</v>
      </c>
      <c r="G101" s="297"/>
      <c r="H101" s="297"/>
      <c r="I101" s="297">
        <f ca="1">I99+I100</f>
        <v>148768018.03273332</v>
      </c>
      <c r="J101" s="297"/>
      <c r="K101" s="297"/>
      <c r="L101" s="297"/>
      <c r="M101" s="297" t="e">
        <f>M99+M100</f>
        <v>#DIV/0!</v>
      </c>
      <c r="N101" s="297"/>
      <c r="O101" s="297"/>
      <c r="P101" s="297"/>
      <c r="Q101" s="297" t="e">
        <f>Q99+Q100</f>
        <v>#DIV/0!</v>
      </c>
      <c r="R101" s="297"/>
      <c r="S101" s="297"/>
      <c r="T101" s="297"/>
      <c r="U101" s="297" t="e">
        <f ca="1">U99+U100</f>
        <v>#DIV/0!</v>
      </c>
      <c r="V101" s="757" t="s">
        <v>354</v>
      </c>
      <c r="W101" s="1082">
        <f ca="1">'Rate Spread targets'!X18*1000</f>
        <v>148767347.75518811</v>
      </c>
      <c r="X101" s="787">
        <f ca="1">'Rate Spread targets'!V18</f>
        <v>1.6941448609556001E-2</v>
      </c>
      <c r="Y101" s="751"/>
      <c r="Z101" s="4" t="s">
        <v>31</v>
      </c>
      <c r="AA101" s="4" t="s">
        <v>31</v>
      </c>
      <c r="AK101" s="20"/>
      <c r="AL101" s="20"/>
      <c r="AM101" s="20"/>
      <c r="AN101" s="20"/>
      <c r="AO101" s="20"/>
      <c r="AP101" s="20"/>
      <c r="AR101" s="84"/>
    </row>
    <row r="102" spans="1:44" ht="16.5" thickTop="1">
      <c r="A102" s="1"/>
      <c r="B102" s="1"/>
      <c r="C102" s="335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 t="s">
        <v>31</v>
      </c>
      <c r="V102" s="112" t="s">
        <v>257</v>
      </c>
      <c r="W102" s="780">
        <f ca="1">W101-I101</f>
        <v>-670.27754521369934</v>
      </c>
      <c r="X102" s="394">
        <v>1.6049999999999998E-2</v>
      </c>
      <c r="Y102" s="751"/>
      <c r="Z102" s="4"/>
      <c r="AA102" s="4"/>
      <c r="AK102" s="20"/>
      <c r="AL102" s="20"/>
      <c r="AM102" s="20"/>
      <c r="AN102" s="20"/>
      <c r="AO102" s="20"/>
      <c r="AP102" s="20"/>
      <c r="AR102" s="84"/>
    </row>
    <row r="103" spans="1:44" ht="15.75" hidden="1" customHeight="1">
      <c r="A103" s="1"/>
      <c r="B103" s="1"/>
      <c r="C103" s="335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>
        <f ca="1">U102-I101</f>
        <v>-148768018.03273332</v>
      </c>
      <c r="V103" s="1279"/>
      <c r="W103" s="719"/>
      <c r="X103" s="1276"/>
      <c r="Y103" s="751"/>
      <c r="Z103" s="4"/>
      <c r="AA103" s="4"/>
      <c r="AK103" s="20"/>
      <c r="AL103" s="20"/>
      <c r="AM103" s="20"/>
      <c r="AN103" s="20"/>
      <c r="AO103" s="20"/>
      <c r="AP103" s="20"/>
      <c r="AR103" s="84"/>
    </row>
    <row r="104" spans="1:44" ht="15.75" hidden="1" customHeight="1">
      <c r="A104" s="1"/>
      <c r="B104" s="298"/>
      <c r="C104" s="21"/>
      <c r="D104" s="1" t="s">
        <v>31</v>
      </c>
      <c r="E104" s="1"/>
      <c r="G104" s="1" t="s">
        <v>31</v>
      </c>
      <c r="H104" s="1"/>
      <c r="I104" s="2"/>
      <c r="J104" s="2"/>
      <c r="K104" s="1" t="s">
        <v>31</v>
      </c>
      <c r="L104" s="1"/>
      <c r="V104" s="1124"/>
      <c r="W104" s="1124"/>
      <c r="X104" s="1124"/>
      <c r="Y104" s="792"/>
      <c r="AK104" s="20"/>
      <c r="AL104" s="20"/>
      <c r="AM104" s="20"/>
      <c r="AN104" s="20"/>
      <c r="AO104" s="20"/>
      <c r="AP104" s="20"/>
      <c r="AR104" s="84"/>
    </row>
    <row r="105" spans="1:44">
      <c r="A105" s="278" t="s">
        <v>373</v>
      </c>
      <c r="B105" s="1"/>
      <c r="C105" s="1" t="s">
        <v>31</v>
      </c>
      <c r="D105" s="21"/>
      <c r="E105" s="1"/>
      <c r="F105" s="1"/>
      <c r="G105" s="21"/>
      <c r="H105" s="1"/>
      <c r="I105" s="1325" t="s">
        <v>31</v>
      </c>
      <c r="J105" s="1"/>
      <c r="K105" s="21"/>
      <c r="L105" s="1"/>
      <c r="M105" s="1"/>
      <c r="N105" s="1"/>
      <c r="O105" s="21"/>
      <c r="P105" s="1"/>
      <c r="Q105" s="1"/>
      <c r="R105" s="1"/>
      <c r="S105" s="21"/>
      <c r="T105" s="1"/>
      <c r="U105" s="1"/>
      <c r="V105" s="2"/>
      <c r="W105" s="2"/>
      <c r="X105" s="2"/>
      <c r="Y105" s="1"/>
      <c r="AA105" s="2"/>
      <c r="AB105" s="1" t="s">
        <v>31</v>
      </c>
      <c r="AC105" s="1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R105" s="84"/>
    </row>
    <row r="106" spans="1:44">
      <c r="A106" s="1" t="s">
        <v>320</v>
      </c>
      <c r="B106" s="1"/>
      <c r="C106" s="1" t="s">
        <v>31</v>
      </c>
      <c r="D106" s="21"/>
      <c r="E106" s="1"/>
      <c r="F106" s="1"/>
      <c r="G106" s="21"/>
      <c r="H106" s="1"/>
      <c r="I106" s="1"/>
      <c r="J106" s="1"/>
      <c r="K106" s="21"/>
      <c r="L106" s="1"/>
      <c r="M106" s="1" t="s">
        <v>31</v>
      </c>
      <c r="N106" s="1"/>
      <c r="O106" s="21"/>
      <c r="P106" s="1"/>
      <c r="Q106" s="1"/>
      <c r="R106" s="1"/>
      <c r="S106" s="21"/>
      <c r="T106" s="1"/>
      <c r="U106" s="1"/>
      <c r="V106" s="20"/>
      <c r="W106" s="74"/>
      <c r="X106" s="74"/>
      <c r="Y106" s="74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R106" s="84"/>
    </row>
    <row r="107" spans="1:44">
      <c r="A107" s="333" t="s">
        <v>671</v>
      </c>
      <c r="B107" s="1"/>
      <c r="C107" s="1"/>
      <c r="D107" s="21"/>
      <c r="E107" s="1"/>
      <c r="F107" s="1"/>
      <c r="G107" s="21"/>
      <c r="H107" s="1"/>
      <c r="I107" s="1"/>
      <c r="J107" s="1"/>
      <c r="K107" s="21"/>
      <c r="L107" s="1"/>
      <c r="M107" s="1"/>
      <c r="N107" s="1"/>
      <c r="O107" s="21"/>
      <c r="P107" s="1"/>
      <c r="Q107" s="1"/>
      <c r="R107" s="1"/>
      <c r="S107" s="21"/>
      <c r="T107" s="1"/>
      <c r="U107" s="1"/>
      <c r="V107" s="20"/>
      <c r="W107" s="74"/>
      <c r="X107" s="74"/>
      <c r="Y107" s="74"/>
      <c r="Z107" s="7" t="s">
        <v>31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R107" s="84"/>
    </row>
    <row r="108" spans="1:44">
      <c r="A108" s="1" t="s">
        <v>360</v>
      </c>
      <c r="B108" s="1"/>
      <c r="C108" s="21">
        <f>'Rate Design Work eff 10-14-16'!C107</f>
        <v>1190382.0735483039</v>
      </c>
      <c r="D108" s="283">
        <f>'Rate Design Work eff 9-15-17'!D107</f>
        <v>7.75</v>
      </c>
      <c r="E108" s="1"/>
      <c r="F108" s="2">
        <f>ROUND(D108*C108,0)</f>
        <v>9225461</v>
      </c>
      <c r="G108" s="283">
        <f>$G$89</f>
        <v>7.75</v>
      </c>
      <c r="H108" s="1"/>
      <c r="I108" s="2">
        <f>ROUND(G108*$C108,0)</f>
        <v>9225461</v>
      </c>
      <c r="J108" s="2"/>
      <c r="K108" s="283">
        <f>K89</f>
        <v>7.75</v>
      </c>
      <c r="L108" s="1"/>
      <c r="M108" s="2">
        <f>'Rate Design Work eff 10-14-16'!M107</f>
        <v>9225461.0699993558</v>
      </c>
      <c r="N108" s="2"/>
      <c r="O108" s="283" t="str">
        <f>$O$89</f>
        <v xml:space="preserve"> </v>
      </c>
      <c r="P108" s="1"/>
      <c r="Q108" s="2">
        <f>'Rate Design Work eff 10-14-16'!Q107</f>
        <v>0</v>
      </c>
      <c r="R108" s="2"/>
      <c r="S108" s="283" t="str">
        <f>$S$89</f>
        <v xml:space="preserve"> </v>
      </c>
      <c r="T108" s="1"/>
      <c r="U108" s="2">
        <f>'Rate Design Work eff 10-14-16'!U107</f>
        <v>0</v>
      </c>
      <c r="V108" s="20"/>
      <c r="W108" s="74"/>
      <c r="X108" s="74"/>
      <c r="Y108" s="74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R108" s="84"/>
    </row>
    <row r="109" spans="1:44">
      <c r="A109" s="1" t="s">
        <v>363</v>
      </c>
      <c r="B109" s="1"/>
      <c r="C109" s="21">
        <f>'Rate Design Work eff 10-14-16'!C108</f>
        <v>664551696.22316003</v>
      </c>
      <c r="D109" s="284">
        <f>'Rate Design Work eff 9-15-17'!D108</f>
        <v>6.548</v>
      </c>
      <c r="E109" s="1" t="s">
        <v>364</v>
      </c>
      <c r="F109" s="2">
        <f>ROUND(C109*D109/100,0)</f>
        <v>43514845</v>
      </c>
      <c r="G109" s="284">
        <f>$G$90</f>
        <v>6.7170000000000005</v>
      </c>
      <c r="H109" s="1" t="s">
        <v>364</v>
      </c>
      <c r="I109" s="2">
        <f>ROUND(G109*$C109/100,0)</f>
        <v>44637937</v>
      </c>
      <c r="J109" s="2"/>
      <c r="K109" s="284" t="e">
        <f>K90</f>
        <v>#DIV/0!</v>
      </c>
      <c r="L109" s="1" t="s">
        <v>364</v>
      </c>
      <c r="M109" s="2" t="e">
        <f>'Rate Design Work eff 10-14-16'!M108</f>
        <v>#DIV/0!</v>
      </c>
      <c r="N109" s="2"/>
      <c r="O109" s="284" t="e">
        <f>O90</f>
        <v>#DIV/0!</v>
      </c>
      <c r="P109" s="1" t="s">
        <v>364</v>
      </c>
      <c r="Q109" s="2" t="e">
        <f>'Rate Design Work eff 10-14-16'!Q108</f>
        <v>#DIV/0!</v>
      </c>
      <c r="R109" s="2"/>
      <c r="S109" s="284" t="e">
        <f ca="1">S90</f>
        <v>#DIV/0!</v>
      </c>
      <c r="T109" s="1" t="s">
        <v>364</v>
      </c>
      <c r="U109" s="2" t="e">
        <f ca="1">'Rate Design Work eff 10-14-16'!U108</f>
        <v>#DIV/0!</v>
      </c>
      <c r="V109" s="20"/>
      <c r="W109" s="74"/>
      <c r="X109" s="74"/>
      <c r="Y109" s="74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R109" s="84"/>
    </row>
    <row r="110" spans="1:44">
      <c r="A110" s="1" t="s">
        <v>365</v>
      </c>
      <c r="B110" s="21"/>
      <c r="C110" s="21">
        <f>'Rate Design Work eff 10-14-16'!C109</f>
        <v>794267679.4665302</v>
      </c>
      <c r="D110" s="284">
        <f>'Rate Design Work eff 9-15-17'!D109</f>
        <v>10.35</v>
      </c>
      <c r="E110" s="1" t="s">
        <v>364</v>
      </c>
      <c r="F110" s="2">
        <f>ROUND(C110*D110/100,0)</f>
        <v>82206705</v>
      </c>
      <c r="G110" s="284">
        <f>$G$91</f>
        <v>10.613</v>
      </c>
      <c r="H110" s="1" t="s">
        <v>364</v>
      </c>
      <c r="I110" s="2">
        <f>ROUND(G110*$C110/100,0)</f>
        <v>84295629</v>
      </c>
      <c r="J110" s="2"/>
      <c r="K110" s="284" t="e">
        <f>K91</f>
        <v>#DIV/0!</v>
      </c>
      <c r="L110" s="1" t="s">
        <v>364</v>
      </c>
      <c r="M110" s="2" t="e">
        <f>'Rate Design Work eff 10-14-16'!M109</f>
        <v>#DIV/0!</v>
      </c>
      <c r="N110" s="2"/>
      <c r="O110" s="284" t="e">
        <f>O91</f>
        <v>#DIV/0!</v>
      </c>
      <c r="P110" s="1" t="s">
        <v>364</v>
      </c>
      <c r="Q110" s="2" t="e">
        <f>'Rate Design Work eff 10-14-16'!Q109</f>
        <v>#DIV/0!</v>
      </c>
      <c r="R110" s="2"/>
      <c r="S110" s="284" t="e">
        <f ca="1">S91</f>
        <v>#DIV/0!</v>
      </c>
      <c r="T110" s="1" t="s">
        <v>364</v>
      </c>
      <c r="U110" s="2" t="e">
        <f ca="1">'Rate Design Work eff 10-14-16'!U109</f>
        <v>#DIV/0!</v>
      </c>
      <c r="V110" s="20"/>
      <c r="W110" s="74"/>
      <c r="X110" s="74"/>
      <c r="Y110" s="74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R110" s="84"/>
    </row>
    <row r="111" spans="1:44">
      <c r="A111" s="1" t="s">
        <v>367</v>
      </c>
      <c r="B111" s="1"/>
      <c r="C111" s="21">
        <v>0</v>
      </c>
      <c r="D111" s="286">
        <f>'Rate Design Work eff 9-15-17'!D110</f>
        <v>1.74</v>
      </c>
      <c r="E111" s="1"/>
      <c r="F111" s="2">
        <v>0</v>
      </c>
      <c r="G111" s="286">
        <f ca="1">$G$92</f>
        <v>1.78</v>
      </c>
      <c r="H111" s="1"/>
      <c r="I111" s="2">
        <f ca="1">ROUND(G111*$C111,0)</f>
        <v>0</v>
      </c>
      <c r="J111" s="2"/>
      <c r="K111" s="286" t="str">
        <f>K92</f>
        <v xml:space="preserve"> </v>
      </c>
      <c r="L111" s="1"/>
      <c r="M111" s="2">
        <f>'Rate Design Work eff 10-14-16'!M110</f>
        <v>0</v>
      </c>
      <c r="N111" s="2"/>
      <c r="O111" s="286" t="str">
        <f>O92</f>
        <v xml:space="preserve"> </v>
      </c>
      <c r="P111" s="1"/>
      <c r="Q111" s="2">
        <f>'Rate Design Work eff 10-14-16'!Q110</f>
        <v>0</v>
      </c>
      <c r="R111" s="2"/>
      <c r="S111" s="286">
        <f ca="1">S92</f>
        <v>1.74</v>
      </c>
      <c r="T111" s="1"/>
      <c r="U111" s="2">
        <f ca="1">'Rate Design Work eff 10-14-16'!U110</f>
        <v>0</v>
      </c>
      <c r="V111" s="20"/>
      <c r="W111" s="74"/>
      <c r="X111" s="74"/>
      <c r="Y111" s="74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R111" s="84"/>
    </row>
    <row r="112" spans="1:44">
      <c r="A112" s="288" t="s">
        <v>369</v>
      </c>
      <c r="B112" s="288"/>
      <c r="C112" s="21">
        <v>0</v>
      </c>
      <c r="D112" s="286">
        <f>'Rate Design Work eff 9-15-17'!D111</f>
        <v>3.4</v>
      </c>
      <c r="E112" s="288"/>
      <c r="F112" s="2">
        <v>0</v>
      </c>
      <c r="G112" s="286">
        <f ca="1">$G$93</f>
        <v>3.5</v>
      </c>
      <c r="H112" s="288"/>
      <c r="I112" s="2">
        <f ca="1">ROUND(G112*$C112,0)</f>
        <v>0</v>
      </c>
      <c r="J112" s="2"/>
      <c r="K112" s="286" t="str">
        <f>K93</f>
        <v xml:space="preserve"> </v>
      </c>
      <c r="L112" s="288"/>
      <c r="M112" s="2">
        <f>'Rate Design Work eff 10-14-16'!M111</f>
        <v>0</v>
      </c>
      <c r="N112" s="2"/>
      <c r="O112" s="286" t="str">
        <f t="shared" ref="O112:O115" si="18">O93</f>
        <v xml:space="preserve"> </v>
      </c>
      <c r="P112" s="288"/>
      <c r="Q112" s="2">
        <f>'Rate Design Work eff 10-14-16'!Q111</f>
        <v>0</v>
      </c>
      <c r="R112" s="2"/>
      <c r="S112" s="286">
        <f ca="1">S93</f>
        <v>3.4</v>
      </c>
      <c r="T112" s="288"/>
      <c r="U112" s="2">
        <f ca="1">'Rate Design Work eff 10-14-16'!U111</f>
        <v>0</v>
      </c>
      <c r="V112" s="20"/>
      <c r="W112" s="74"/>
      <c r="X112" s="74"/>
      <c r="Y112" s="74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R112" s="84"/>
    </row>
    <row r="113" spans="1:44" s="1118" customFormat="1" hidden="1">
      <c r="A113" s="968" t="s">
        <v>886</v>
      </c>
      <c r="C113" s="1122">
        <f>C109</f>
        <v>664551696.22316003</v>
      </c>
      <c r="D113" s="254">
        <f>'Rate Design Work eff 9-15-17'!D112</f>
        <v>0</v>
      </c>
      <c r="E113" s="1119"/>
      <c r="F113" s="1123"/>
      <c r="G113" s="1128">
        <f>G95</f>
        <v>0</v>
      </c>
      <c r="H113" s="1126" t="s">
        <v>364</v>
      </c>
      <c r="I113" s="1123">
        <f>G113*C113/100</f>
        <v>0</v>
      </c>
      <c r="J113" s="1123"/>
      <c r="K113" s="1128" t="str">
        <f>K95</f>
        <v xml:space="preserve"> </v>
      </c>
      <c r="L113" s="1126" t="s">
        <v>31</v>
      </c>
      <c r="M113" s="2">
        <f>'Rate Design Work eff 10-14-16'!M112</f>
        <v>0</v>
      </c>
      <c r="N113" s="1123"/>
      <c r="O113" s="286" t="str">
        <f t="shared" si="18"/>
        <v xml:space="preserve"> </v>
      </c>
      <c r="P113" s="1126" t="s">
        <v>31</v>
      </c>
      <c r="Q113" s="2">
        <f>'Rate Design Work eff 10-14-16'!Q112</f>
        <v>0</v>
      </c>
      <c r="R113" s="1123"/>
      <c r="S113" s="1128">
        <f>G113</f>
        <v>0</v>
      </c>
      <c r="T113" s="1126" t="s">
        <v>364</v>
      </c>
      <c r="U113" s="2">
        <f>'Rate Design Work eff 10-14-16'!U112</f>
        <v>0</v>
      </c>
      <c r="W113" s="784"/>
      <c r="Z113" s="1125"/>
      <c r="AA113" s="1125"/>
      <c r="AF113" s="1119"/>
      <c r="AG113" s="1119"/>
      <c r="AH113" s="1119"/>
      <c r="AI113" s="1119"/>
      <c r="AJ113" s="1119"/>
      <c r="AK113" s="1119"/>
      <c r="AL113" s="1119"/>
      <c r="AM113" s="1119"/>
      <c r="AN113" s="1119"/>
      <c r="AO113" s="1119"/>
      <c r="AP113" s="1119"/>
      <c r="AR113" s="1124"/>
    </row>
    <row r="114" spans="1:44" s="1118" customFormat="1" hidden="1">
      <c r="A114" s="968" t="s">
        <v>887</v>
      </c>
      <c r="C114" s="1122">
        <f>C110</f>
        <v>794267679.4665302</v>
      </c>
      <c r="D114" s="254">
        <f>'Rate Design Work eff 9-15-17'!D113</f>
        <v>0</v>
      </c>
      <c r="E114" s="1119"/>
      <c r="F114" s="1123"/>
      <c r="G114" s="1128">
        <f>G96</f>
        <v>0</v>
      </c>
      <c r="H114" s="1126" t="s">
        <v>364</v>
      </c>
      <c r="I114" s="1123">
        <f>G114*C114/100</f>
        <v>0</v>
      </c>
      <c r="J114" s="1123"/>
      <c r="K114" s="1128" t="str">
        <f>K96</f>
        <v xml:space="preserve"> </v>
      </c>
      <c r="L114" s="1126" t="s">
        <v>31</v>
      </c>
      <c r="M114" s="2">
        <f>'Rate Design Work eff 10-14-16'!M113</f>
        <v>0</v>
      </c>
      <c r="N114" s="1123"/>
      <c r="O114" s="286" t="str">
        <f t="shared" si="18"/>
        <v xml:space="preserve"> </v>
      </c>
      <c r="P114" s="1126" t="s">
        <v>31</v>
      </c>
      <c r="Q114" s="2">
        <f>'Rate Design Work eff 10-14-16'!Q113</f>
        <v>0</v>
      </c>
      <c r="R114" s="1123"/>
      <c r="S114" s="1128">
        <f>G114</f>
        <v>0</v>
      </c>
      <c r="T114" s="1126" t="s">
        <v>364</v>
      </c>
      <c r="U114" s="2">
        <f>'Rate Design Work eff 10-14-16'!U113</f>
        <v>0</v>
      </c>
      <c r="W114" s="784"/>
      <c r="Z114" s="1125"/>
      <c r="AA114" s="1125"/>
      <c r="AF114" s="1119"/>
      <c r="AG114" s="1119"/>
      <c r="AH114" s="1119"/>
      <c r="AI114" s="1119"/>
      <c r="AJ114" s="1119"/>
      <c r="AK114" s="1119"/>
      <c r="AL114" s="1119"/>
      <c r="AM114" s="1119"/>
      <c r="AN114" s="1119"/>
      <c r="AO114" s="1119"/>
      <c r="AP114" s="1119"/>
      <c r="AR114" s="1124"/>
    </row>
    <row r="115" spans="1:44">
      <c r="A115" s="288" t="s">
        <v>370</v>
      </c>
      <c r="B115" s="288"/>
      <c r="C115" s="21">
        <v>0</v>
      </c>
      <c r="D115" s="289">
        <f>'Rate Design Work eff 9-15-17'!D114</f>
        <v>-1.74</v>
      </c>
      <c r="E115" s="288"/>
      <c r="F115" s="2">
        <v>0</v>
      </c>
      <c r="G115" s="289">
        <f ca="1">-G111</f>
        <v>-1.78</v>
      </c>
      <c r="H115" s="288"/>
      <c r="I115" s="2">
        <f ca="1">ROUND(G115*$C115,0)</f>
        <v>0</v>
      </c>
      <c r="J115" s="2"/>
      <c r="K115" s="289" t="str">
        <f>K94</f>
        <v xml:space="preserve"> </v>
      </c>
      <c r="L115" s="288"/>
      <c r="M115" s="2">
        <f>'Rate Design Work eff 10-14-16'!M114</f>
        <v>0</v>
      </c>
      <c r="N115" s="2"/>
      <c r="O115" s="286" t="str">
        <f t="shared" si="18"/>
        <v xml:space="preserve"> </v>
      </c>
      <c r="P115" s="288"/>
      <c r="Q115" s="2">
        <f>'Rate Design Work eff 10-14-16'!Q114</f>
        <v>0</v>
      </c>
      <c r="R115" s="2"/>
      <c r="S115" s="289">
        <f ca="1">-S111</f>
        <v>-1.74</v>
      </c>
      <c r="T115" s="288"/>
      <c r="U115" s="2">
        <f ca="1">'Rate Design Work eff 10-14-16'!U114</f>
        <v>0</v>
      </c>
      <c r="V115" s="20"/>
      <c r="W115" s="74"/>
      <c r="X115" s="74"/>
      <c r="Y115" s="74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R115" s="84"/>
    </row>
    <row r="116" spans="1:44">
      <c r="A116" s="1" t="s">
        <v>371</v>
      </c>
      <c r="B116" s="290"/>
      <c r="C116" s="21">
        <f>SUM(C109:C110)</f>
        <v>1458819375.6896901</v>
      </c>
      <c r="D116" s="953"/>
      <c r="E116" s="2"/>
      <c r="F116" s="2">
        <f>SUM(F108:F115)</f>
        <v>134947011</v>
      </c>
      <c r="G116" s="2"/>
      <c r="H116" s="2"/>
      <c r="I116" s="2">
        <f ca="1">SUM(I108:I115)</f>
        <v>138159027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 ca="1">SUM(U108:U115)</f>
        <v>#DIV/0!</v>
      </c>
      <c r="V116" s="20"/>
      <c r="W116" s="51"/>
      <c r="X116" s="74"/>
      <c r="Y116" s="74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R116" s="84"/>
    </row>
    <row r="117" spans="1:44">
      <c r="A117" s="1" t="s">
        <v>353</v>
      </c>
      <c r="B117" s="292"/>
      <c r="C117" s="302">
        <f>'Table 2'!H13+'Table 2'!H17</f>
        <v>18426169.205008153</v>
      </c>
      <c r="D117" s="294"/>
      <c r="E117" s="294"/>
      <c r="F117" s="295">
        <f>'Table 3'!E13+'Table 3'!E17</f>
        <v>1871290.0371091876</v>
      </c>
      <c r="G117" s="294"/>
      <c r="H117" s="294"/>
      <c r="I117" s="295">
        <f>F117</f>
        <v>1871290.0371091876</v>
      </c>
      <c r="J117" s="51"/>
      <c r="K117" s="294"/>
      <c r="L117" s="294"/>
      <c r="M117" s="295" t="e">
        <f>I117/$I$100*$M$100</f>
        <v>#DIV/0!</v>
      </c>
      <c r="N117" s="51"/>
      <c r="O117" s="294"/>
      <c r="P117" s="294"/>
      <c r="Q117" s="295" t="e">
        <f>I117/$I$100*$Q$100</f>
        <v>#DIV/0!</v>
      </c>
      <c r="R117" s="51"/>
      <c r="S117" s="294"/>
      <c r="T117" s="294"/>
      <c r="U117" s="295" t="e">
        <f>I117/$I$100*$U$100</f>
        <v>#DIV/0!</v>
      </c>
      <c r="V117" s="429"/>
      <c r="W117" s="272"/>
      <c r="X117" s="74"/>
      <c r="Y117" s="74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R117" s="84"/>
    </row>
    <row r="118" spans="1:44" ht="16.5" thickBot="1">
      <c r="A118" s="1" t="s">
        <v>372</v>
      </c>
      <c r="B118" s="1"/>
      <c r="C118" s="296">
        <f>C116+C117</f>
        <v>1477245544.8946984</v>
      </c>
      <c r="D118" s="297"/>
      <c r="E118" s="297"/>
      <c r="F118" s="297">
        <f>SUM(F116:F117)</f>
        <v>136818301.0371092</v>
      </c>
      <c r="G118" s="297"/>
      <c r="H118" s="297"/>
      <c r="I118" s="297">
        <f ca="1">I116+I117</f>
        <v>140030317.0371092</v>
      </c>
      <c r="J118" s="51"/>
      <c r="K118" s="297"/>
      <c r="L118" s="297"/>
      <c r="M118" s="297" t="e">
        <f>M116+M117</f>
        <v>#DIV/0!</v>
      </c>
      <c r="N118" s="297"/>
      <c r="O118" s="297"/>
      <c r="P118" s="297"/>
      <c r="Q118" s="297" t="e">
        <f>Q116+Q117</f>
        <v>#DIV/0!</v>
      </c>
      <c r="R118" s="297"/>
      <c r="S118" s="297"/>
      <c r="T118" s="297"/>
      <c r="U118" s="297" t="e">
        <f ca="1">U116+$U$117</f>
        <v>#DIV/0!</v>
      </c>
      <c r="V118" s="396"/>
      <c r="W118" s="455"/>
      <c r="X118" s="74"/>
      <c r="Y118" s="74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R118" s="84"/>
    </row>
    <row r="119" spans="1:44" ht="16.5" thickTop="1">
      <c r="A119" s="1"/>
      <c r="B119" s="298"/>
      <c r="C119" s="21"/>
      <c r="D119" s="1" t="s">
        <v>31</v>
      </c>
      <c r="E119" s="1"/>
      <c r="F119" s="84" t="s">
        <v>31</v>
      </c>
      <c r="G119" s="1" t="s">
        <v>31</v>
      </c>
      <c r="H119" s="1"/>
      <c r="I119" s="2" t="s">
        <v>31</v>
      </c>
      <c r="J119" s="2"/>
      <c r="K119" s="1" t="s">
        <v>31</v>
      </c>
      <c r="L119" s="1"/>
      <c r="M119" s="2" t="s">
        <v>31</v>
      </c>
      <c r="N119" s="2"/>
      <c r="O119" s="1" t="s">
        <v>31</v>
      </c>
      <c r="P119" s="1"/>
      <c r="Q119" s="2" t="s">
        <v>31</v>
      </c>
      <c r="R119" s="2"/>
      <c r="S119" s="1" t="s">
        <v>31</v>
      </c>
      <c r="T119" s="1"/>
      <c r="U119" s="2" t="s">
        <v>31</v>
      </c>
      <c r="V119" s="20"/>
      <c r="W119" s="74"/>
      <c r="X119" s="74"/>
      <c r="Y119" s="74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R119" s="84"/>
    </row>
    <row r="120" spans="1:44">
      <c r="A120" s="278" t="s">
        <v>374</v>
      </c>
      <c r="B120" s="1"/>
      <c r="C120" s="1" t="s">
        <v>31</v>
      </c>
      <c r="D120" s="21"/>
      <c r="E120" s="1"/>
      <c r="F120" s="1"/>
      <c r="G120" s="21"/>
      <c r="H120" s="1"/>
      <c r="I120" s="1"/>
      <c r="J120" s="1"/>
      <c r="K120" s="21"/>
      <c r="L120" s="1"/>
      <c r="M120" s="1"/>
      <c r="N120" s="1"/>
      <c r="O120" s="21"/>
      <c r="P120" s="1"/>
      <c r="Q120" s="1"/>
      <c r="R120" s="1"/>
      <c r="S120" s="21"/>
      <c r="T120" s="1"/>
      <c r="U120" s="1"/>
      <c r="V120" s="20"/>
      <c r="W120" s="74"/>
      <c r="X120" s="74"/>
      <c r="Y120" s="74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R120" s="84"/>
    </row>
    <row r="121" spans="1:44">
      <c r="A121" s="1" t="s">
        <v>320</v>
      </c>
      <c r="B121" s="1"/>
      <c r="C121" s="1"/>
      <c r="D121" s="21"/>
      <c r="E121" s="1"/>
      <c r="F121" s="1"/>
      <c r="G121" s="21"/>
      <c r="H121" s="1"/>
      <c r="I121" s="1"/>
      <c r="J121" s="1"/>
      <c r="K121" s="21"/>
      <c r="L121" s="1"/>
      <c r="M121" s="1"/>
      <c r="N121" s="1"/>
      <c r="O121" s="21"/>
      <c r="P121" s="1"/>
      <c r="Q121" s="1"/>
      <c r="R121" s="1"/>
      <c r="S121" s="21"/>
      <c r="T121" s="1"/>
      <c r="U121" s="1"/>
      <c r="V121" s="20"/>
      <c r="W121" s="74"/>
      <c r="X121" s="74"/>
      <c r="Y121" s="74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R121" s="84"/>
    </row>
    <row r="122" spans="1:44">
      <c r="A122" s="282"/>
      <c r="B122" s="1"/>
      <c r="C122" s="1"/>
      <c r="D122" s="21"/>
      <c r="E122" s="1"/>
      <c r="F122" s="1"/>
      <c r="G122" s="21"/>
      <c r="H122" s="1"/>
      <c r="I122" s="1"/>
      <c r="J122" s="1"/>
      <c r="K122" s="21"/>
      <c r="L122" s="1"/>
      <c r="M122" s="1"/>
      <c r="N122" s="1"/>
      <c r="O122" s="21"/>
      <c r="P122" s="1"/>
      <c r="Q122" s="1"/>
      <c r="R122" s="1"/>
      <c r="S122" s="21"/>
      <c r="T122" s="1"/>
      <c r="U122" s="1"/>
      <c r="V122" s="20"/>
      <c r="W122" s="74"/>
      <c r="X122" s="74"/>
      <c r="Y122" s="74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R122" s="84"/>
    </row>
    <row r="123" spans="1:44">
      <c r="A123" s="1" t="s">
        <v>360</v>
      </c>
      <c r="B123" s="1"/>
      <c r="C123" s="21">
        <f>'Rate Design Work eff 10-14-16'!C122</f>
        <v>71521.491612903294</v>
      </c>
      <c r="D123" s="283">
        <f>'Rate Design Work eff 9-15-17'!D122</f>
        <v>7.75</v>
      </c>
      <c r="E123" s="1"/>
      <c r="F123" s="2">
        <f>ROUND(D123*C123,0)</f>
        <v>554292</v>
      </c>
      <c r="G123" s="283">
        <f>D123</f>
        <v>7.75</v>
      </c>
      <c r="H123" s="1"/>
      <c r="I123" s="2">
        <f>ROUND(G123*$C123,0)</f>
        <v>554292</v>
      </c>
      <c r="J123" s="2"/>
      <c r="K123" s="283">
        <f>G123</f>
        <v>7.75</v>
      </c>
      <c r="L123" s="1"/>
      <c r="M123" s="2">
        <f>'Rate Design Work eff 10-14-16'!M122</f>
        <v>554291.56000000052</v>
      </c>
      <c r="N123" s="2"/>
      <c r="O123" s="283" t="str">
        <f>$O$89</f>
        <v xml:space="preserve"> </v>
      </c>
      <c r="P123" s="1"/>
      <c r="Q123" s="2">
        <f>'Rate Design Work eff 10-14-16'!Q122</f>
        <v>0</v>
      </c>
      <c r="R123" s="2"/>
      <c r="S123" s="283" t="str">
        <f>$S$89</f>
        <v xml:space="preserve"> </v>
      </c>
      <c r="T123" s="1"/>
      <c r="U123" s="2">
        <f>'Rate Design Work eff 10-14-16'!U122</f>
        <v>0</v>
      </c>
      <c r="V123" s="20"/>
      <c r="W123" s="74"/>
      <c r="X123" s="74"/>
      <c r="Y123" s="74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R123" s="84"/>
    </row>
    <row r="124" spans="1:44">
      <c r="A124" s="1" t="s">
        <v>363</v>
      </c>
      <c r="B124" s="1"/>
      <c r="C124" s="21">
        <f>'Rate Design Work eff 10-14-16'!C123</f>
        <v>41755519.776553854</v>
      </c>
      <c r="D124" s="284">
        <f>'Rate Design Work eff 9-15-17'!D123</f>
        <v>6.548</v>
      </c>
      <c r="E124" s="1" t="s">
        <v>364</v>
      </c>
      <c r="F124" s="2">
        <f>ROUND(C124*D124/100,0)</f>
        <v>2734151</v>
      </c>
      <c r="G124" s="284">
        <f>$G$90</f>
        <v>6.7170000000000005</v>
      </c>
      <c r="H124" s="1" t="s">
        <v>364</v>
      </c>
      <c r="I124" s="2">
        <f>ROUND(G124*$C124/100,0)</f>
        <v>2804718</v>
      </c>
      <c r="J124" s="2"/>
      <c r="K124" s="284" t="e">
        <f>K90</f>
        <v>#DIV/0!</v>
      </c>
      <c r="L124" s="1" t="s">
        <v>364</v>
      </c>
      <c r="M124" s="2" t="e">
        <f>'Rate Design Work eff 10-14-16'!M123</f>
        <v>#DIV/0!</v>
      </c>
      <c r="N124" s="2"/>
      <c r="O124" s="284" t="e">
        <f>O90</f>
        <v>#DIV/0!</v>
      </c>
      <c r="P124" s="1" t="s">
        <v>364</v>
      </c>
      <c r="Q124" s="2" t="e">
        <f>'Rate Design Work eff 10-14-16'!Q123</f>
        <v>#DIV/0!</v>
      </c>
      <c r="R124" s="2"/>
      <c r="S124" s="284" t="e">
        <f ca="1">S90</f>
        <v>#DIV/0!</v>
      </c>
      <c r="T124" s="1" t="s">
        <v>364</v>
      </c>
      <c r="U124" s="2" t="e">
        <f ca="1">'Rate Design Work eff 10-14-16'!U123</f>
        <v>#DIV/0!</v>
      </c>
      <c r="V124" s="20"/>
      <c r="W124" s="74"/>
      <c r="X124" s="74"/>
      <c r="Y124" s="74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R124" s="84"/>
    </row>
    <row r="125" spans="1:44">
      <c r="A125" s="1" t="s">
        <v>365</v>
      </c>
      <c r="B125" s="1"/>
      <c r="C125" s="21">
        <f>'Rate Design Work eff 10-14-16'!C124</f>
        <v>47018320.003545634</v>
      </c>
      <c r="D125" s="284">
        <f>'Rate Design Work eff 9-15-17'!D124</f>
        <v>10.35</v>
      </c>
      <c r="E125" s="1" t="s">
        <v>364</v>
      </c>
      <c r="F125" s="2">
        <f>ROUND(C125*D125/100,0)</f>
        <v>4866396</v>
      </c>
      <c r="G125" s="284">
        <f>$G$91</f>
        <v>10.613</v>
      </c>
      <c r="H125" s="1" t="s">
        <v>364</v>
      </c>
      <c r="I125" s="2">
        <f>ROUND(G125*$C125/100,0)</f>
        <v>4990054</v>
      </c>
      <c r="J125" s="2"/>
      <c r="K125" s="284" t="e">
        <f>K91</f>
        <v>#DIV/0!</v>
      </c>
      <c r="L125" s="1" t="s">
        <v>364</v>
      </c>
      <c r="M125" s="2" t="e">
        <f>'Rate Design Work eff 10-14-16'!M124</f>
        <v>#DIV/0!</v>
      </c>
      <c r="N125" s="2"/>
      <c r="O125" s="284" t="e">
        <f>O91</f>
        <v>#DIV/0!</v>
      </c>
      <c r="P125" s="1" t="s">
        <v>364</v>
      </c>
      <c r="Q125" s="2" t="e">
        <f>'Rate Design Work eff 10-14-16'!Q124</f>
        <v>#DIV/0!</v>
      </c>
      <c r="R125" s="2"/>
      <c r="S125" s="284" t="e">
        <f ca="1">S91</f>
        <v>#DIV/0!</v>
      </c>
      <c r="T125" s="1" t="s">
        <v>364</v>
      </c>
      <c r="U125" s="2" t="e">
        <f ca="1">'Rate Design Work eff 10-14-16'!U124</f>
        <v>#DIV/0!</v>
      </c>
      <c r="V125" s="20"/>
      <c r="W125" s="74"/>
      <c r="X125" s="74"/>
      <c r="Y125" s="74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R125" s="84"/>
    </row>
    <row r="126" spans="1:44">
      <c r="A126" s="1" t="s">
        <v>367</v>
      </c>
      <c r="B126" s="1"/>
      <c r="C126" s="21">
        <v>0</v>
      </c>
      <c r="D126" s="286">
        <f>'Rate Design Work eff 9-15-17'!D125</f>
        <v>1.74</v>
      </c>
      <c r="E126" s="1"/>
      <c r="F126" s="2">
        <v>0</v>
      </c>
      <c r="G126" s="286">
        <f ca="1">$G$92</f>
        <v>1.78</v>
      </c>
      <c r="H126" s="1"/>
      <c r="I126" s="2">
        <f ca="1">ROUND(G126*$C126,0)</f>
        <v>0</v>
      </c>
      <c r="J126" s="2"/>
      <c r="K126" s="286">
        <v>0</v>
      </c>
      <c r="L126" s="1"/>
      <c r="M126" s="2">
        <f>'Rate Design Work eff 10-14-16'!M125</f>
        <v>0</v>
      </c>
      <c r="N126" s="2"/>
      <c r="O126" s="286">
        <v>0</v>
      </c>
      <c r="P126" s="1"/>
      <c r="Q126" s="2">
        <f>'Rate Design Work eff 10-14-16'!Q125</f>
        <v>0</v>
      </c>
      <c r="R126" s="2"/>
      <c r="S126" s="286">
        <f ca="1">S92</f>
        <v>1.74</v>
      </c>
      <c r="T126" s="1"/>
      <c r="U126" s="2">
        <f ca="1">'Rate Design Work eff 10-14-16'!U125</f>
        <v>0</v>
      </c>
      <c r="V126" s="20"/>
      <c r="W126" s="74"/>
      <c r="X126" s="74"/>
      <c r="Y126" s="74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R126" s="84"/>
    </row>
    <row r="127" spans="1:44">
      <c r="A127" s="288" t="s">
        <v>369</v>
      </c>
      <c r="B127" s="288"/>
      <c r="C127" s="21">
        <v>0</v>
      </c>
      <c r="D127" s="286">
        <f>'Rate Design Work eff 9-15-17'!D126</f>
        <v>3.4</v>
      </c>
      <c r="E127" s="288"/>
      <c r="F127" s="2">
        <v>0</v>
      </c>
      <c r="G127" s="286">
        <f ca="1">$G$93</f>
        <v>3.5</v>
      </c>
      <c r="H127" s="288"/>
      <c r="I127" s="2">
        <f ca="1">ROUND(G127*$C127,0)</f>
        <v>0</v>
      </c>
      <c r="J127" s="2"/>
      <c r="K127" s="286">
        <v>0</v>
      </c>
      <c r="L127" s="288"/>
      <c r="M127" s="2">
        <f>'Rate Design Work eff 10-14-16'!M126</f>
        <v>0</v>
      </c>
      <c r="N127" s="2"/>
      <c r="O127" s="286">
        <v>0</v>
      </c>
      <c r="P127" s="288"/>
      <c r="Q127" s="2">
        <f>'Rate Design Work eff 10-14-16'!Q126</f>
        <v>0</v>
      </c>
      <c r="R127" s="2"/>
      <c r="S127" s="286">
        <f ca="1">S93</f>
        <v>3.4</v>
      </c>
      <c r="T127" s="288"/>
      <c r="U127" s="2">
        <f ca="1">'Rate Design Work eff 10-14-16'!U126</f>
        <v>0</v>
      </c>
      <c r="V127" s="20"/>
      <c r="W127" s="74"/>
      <c r="X127" s="74"/>
      <c r="Y127" s="74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R127" s="84"/>
    </row>
    <row r="128" spans="1:44">
      <c r="A128" s="288" t="s">
        <v>370</v>
      </c>
      <c r="B128" s="288"/>
      <c r="C128" s="21">
        <v>0</v>
      </c>
      <c r="D128" s="289">
        <f>'Rate Design Work eff 9-15-17'!D127</f>
        <v>-1.74</v>
      </c>
      <c r="E128" s="288"/>
      <c r="F128" s="2">
        <v>0</v>
      </c>
      <c r="G128" s="289">
        <f ca="1">-G126</f>
        <v>-1.78</v>
      </c>
      <c r="H128" s="288"/>
      <c r="I128" s="2">
        <f ca="1">ROUND(G128*$C128,0)</f>
        <v>0</v>
      </c>
      <c r="J128" s="2"/>
      <c r="K128" s="289">
        <f>-K126</f>
        <v>0</v>
      </c>
      <c r="L128" s="288"/>
      <c r="M128" s="2">
        <f>'Rate Design Work eff 10-14-16'!M127</f>
        <v>0</v>
      </c>
      <c r="N128" s="2"/>
      <c r="O128" s="289">
        <f>-O126</f>
        <v>0</v>
      </c>
      <c r="P128" s="288"/>
      <c r="Q128" s="2">
        <f>'Rate Design Work eff 10-14-16'!Q127</f>
        <v>0</v>
      </c>
      <c r="R128" s="2"/>
      <c r="S128" s="289">
        <f ca="1">-S126</f>
        <v>-1.74</v>
      </c>
      <c r="T128" s="288"/>
      <c r="U128" s="2">
        <f ca="1">'Rate Design Work eff 10-14-16'!U127</f>
        <v>0</v>
      </c>
      <c r="V128" s="20"/>
      <c r="W128" s="74"/>
      <c r="X128" s="74"/>
      <c r="Y128" s="74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R128" s="84"/>
    </row>
    <row r="129" spans="1:44" s="1118" customFormat="1" hidden="1">
      <c r="A129" s="968" t="s">
        <v>886</v>
      </c>
      <c r="C129" s="1122">
        <f>C124</f>
        <v>41755519.776553854</v>
      </c>
      <c r="D129" s="254">
        <f>'Rate Design Work eff 9-15-17'!D128</f>
        <v>0</v>
      </c>
      <c r="E129" s="1119"/>
      <c r="F129" s="1123"/>
      <c r="G129" s="1128">
        <f>G113</f>
        <v>0</v>
      </c>
      <c r="H129" s="1126" t="s">
        <v>364</v>
      </c>
      <c r="I129" s="1123">
        <f>G129*C129/100</f>
        <v>0</v>
      </c>
      <c r="J129" s="1123"/>
      <c r="K129" s="1128" t="str">
        <f>K113</f>
        <v xml:space="preserve"> </v>
      </c>
      <c r="L129" s="1126" t="s">
        <v>364</v>
      </c>
      <c r="M129" s="2">
        <f>'Rate Design Work eff 10-14-16'!M128</f>
        <v>0</v>
      </c>
      <c r="N129" s="1123"/>
      <c r="O129" s="1128" t="str">
        <f>O113</f>
        <v xml:space="preserve"> </v>
      </c>
      <c r="P129" s="1126" t="s">
        <v>364</v>
      </c>
      <c r="Q129" s="2">
        <f>'Rate Design Work eff 10-14-16'!Q128</f>
        <v>0</v>
      </c>
      <c r="R129" s="1123"/>
      <c r="S129" s="1128">
        <f>S113</f>
        <v>0</v>
      </c>
      <c r="T129" s="1126" t="s">
        <v>364</v>
      </c>
      <c r="U129" s="2">
        <f>'Rate Design Work eff 10-14-16'!U128</f>
        <v>0</v>
      </c>
      <c r="W129" s="784"/>
      <c r="Z129" s="1125"/>
      <c r="AA129" s="1125"/>
      <c r="AF129" s="1119"/>
      <c r="AG129" s="1119"/>
      <c r="AH129" s="1119"/>
      <c r="AI129" s="1119"/>
      <c r="AJ129" s="1119"/>
      <c r="AK129" s="1119"/>
      <c r="AL129" s="1119"/>
      <c r="AM129" s="1119"/>
      <c r="AN129" s="1119"/>
      <c r="AO129" s="1119"/>
      <c r="AP129" s="1119"/>
      <c r="AR129" s="1124"/>
    </row>
    <row r="130" spans="1:44" s="1118" customFormat="1" hidden="1">
      <c r="A130" s="968" t="s">
        <v>887</v>
      </c>
      <c r="C130" s="1122">
        <f>C125</f>
        <v>47018320.003545634</v>
      </c>
      <c r="D130" s="254">
        <f>'Rate Design Work eff 9-15-17'!D129</f>
        <v>0</v>
      </c>
      <c r="E130" s="1119"/>
      <c r="F130" s="1123"/>
      <c r="G130" s="1128">
        <f>G114</f>
        <v>0</v>
      </c>
      <c r="H130" s="1126" t="s">
        <v>364</v>
      </c>
      <c r="I130" s="1123">
        <f>G130*C130/100</f>
        <v>0</v>
      </c>
      <c r="J130" s="1123"/>
      <c r="K130" s="1128" t="str">
        <f>K114</f>
        <v xml:space="preserve"> </v>
      </c>
      <c r="L130" s="1126" t="s">
        <v>364</v>
      </c>
      <c r="M130" s="2">
        <f>'Rate Design Work eff 10-14-16'!M129</f>
        <v>0</v>
      </c>
      <c r="N130" s="1123"/>
      <c r="O130" s="1128" t="str">
        <f>O114</f>
        <v xml:space="preserve"> </v>
      </c>
      <c r="P130" s="1126" t="s">
        <v>364</v>
      </c>
      <c r="Q130" s="2">
        <f>'Rate Design Work eff 10-14-16'!Q129</f>
        <v>0</v>
      </c>
      <c r="R130" s="1123"/>
      <c r="S130" s="1128">
        <f>S114</f>
        <v>0</v>
      </c>
      <c r="T130" s="1126" t="s">
        <v>364</v>
      </c>
      <c r="U130" s="2">
        <f>'Rate Design Work eff 10-14-16'!U129</f>
        <v>0</v>
      </c>
      <c r="W130" s="784"/>
      <c r="Z130" s="1125"/>
      <c r="AA130" s="1125"/>
      <c r="AF130" s="1119"/>
      <c r="AG130" s="1119"/>
      <c r="AH130" s="1119"/>
      <c r="AI130" s="1119"/>
      <c r="AJ130" s="1119"/>
      <c r="AK130" s="1119"/>
      <c r="AL130" s="1119"/>
      <c r="AM130" s="1119"/>
      <c r="AN130" s="1119"/>
      <c r="AO130" s="1119"/>
      <c r="AP130" s="1119"/>
      <c r="AR130" s="1124"/>
    </row>
    <row r="131" spans="1:44">
      <c r="A131" s="1" t="s">
        <v>371</v>
      </c>
      <c r="B131" s="1"/>
      <c r="C131" s="21">
        <f>SUM(C124:C125)</f>
        <v>88773839.780099481</v>
      </c>
      <c r="D131" s="953"/>
      <c r="E131" s="2"/>
      <c r="F131" s="2">
        <f>SUM(F123:F128)</f>
        <v>8154839</v>
      </c>
      <c r="G131" s="2"/>
      <c r="H131" s="2"/>
      <c r="I131" s="2">
        <f ca="1">SUM(I123:I130)</f>
        <v>8349064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 ca="1">SUM(U123:U130)</f>
        <v>#DIV/0!</v>
      </c>
      <c r="V131" s="20"/>
      <c r="W131" s="74"/>
      <c r="X131" s="74"/>
      <c r="Y131" s="74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R131" s="84"/>
    </row>
    <row r="132" spans="1:44">
      <c r="A132" s="1" t="s">
        <v>353</v>
      </c>
      <c r="B132" s="1"/>
      <c r="C132" s="302">
        <f>'Table 2'!H14</f>
        <v>1109915.5774999433</v>
      </c>
      <c r="D132" s="294"/>
      <c r="E132" s="294"/>
      <c r="F132" s="295">
        <f>'Table 3'!E14</f>
        <v>112036.90433211296</v>
      </c>
      <c r="G132" s="294"/>
      <c r="H132" s="294"/>
      <c r="I132" s="295">
        <f>F132</f>
        <v>112036.90433211296</v>
      </c>
      <c r="J132" s="51"/>
      <c r="K132" s="294"/>
      <c r="L132" s="294"/>
      <c r="M132" s="295" t="e">
        <f>I132/$I$100*$M$100</f>
        <v>#DIV/0!</v>
      </c>
      <c r="N132" s="51"/>
      <c r="O132" s="294"/>
      <c r="P132" s="294"/>
      <c r="Q132" s="295" t="e">
        <f>I132/$I$100*$Q$100</f>
        <v>#DIV/0!</v>
      </c>
      <c r="R132" s="51"/>
      <c r="S132" s="294"/>
      <c r="T132" s="294"/>
      <c r="U132" s="295" t="e">
        <f>I132/$I$100*$U$100</f>
        <v>#DIV/0!</v>
      </c>
      <c r="V132" s="429"/>
      <c r="W132" s="272"/>
      <c r="X132" s="74"/>
      <c r="Y132" s="74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R132" s="84"/>
    </row>
    <row r="133" spans="1:44" ht="16.5" thickBot="1">
      <c r="A133" s="1" t="s">
        <v>372</v>
      </c>
      <c r="B133" s="1"/>
      <c r="C133" s="296">
        <f>C131+C132</f>
        <v>89883755.357599422</v>
      </c>
      <c r="D133" s="297"/>
      <c r="E133" s="297"/>
      <c r="F133" s="297">
        <f>SUM(F131:F132)</f>
        <v>8266875.9043321125</v>
      </c>
      <c r="G133" s="297"/>
      <c r="H133" s="297"/>
      <c r="I133" s="297">
        <f ca="1">I131+I132</f>
        <v>8461100.9043321125</v>
      </c>
      <c r="J133" s="51"/>
      <c r="K133" s="297"/>
      <c r="L133" s="297"/>
      <c r="M133" s="297" t="e">
        <f>M131+M132</f>
        <v>#DIV/0!</v>
      </c>
      <c r="N133" s="297"/>
      <c r="O133" s="297"/>
      <c r="P133" s="297"/>
      <c r="Q133" s="297" t="e">
        <f>Q131+Q132</f>
        <v>#DIV/0!</v>
      </c>
      <c r="R133" s="297"/>
      <c r="S133" s="297"/>
      <c r="T133" s="297"/>
      <c r="U133" s="297" t="e">
        <f ca="1">U131+U132</f>
        <v>#DIV/0!</v>
      </c>
      <c r="V133" s="396"/>
      <c r="W133" s="455"/>
      <c r="X133" s="74"/>
      <c r="Y133" s="74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R133" s="84"/>
    </row>
    <row r="134" spans="1:44" ht="16.5" hidden="1" thickTop="1">
      <c r="A134" s="1"/>
      <c r="B134" s="298"/>
      <c r="C134" s="21"/>
      <c r="D134" s="1" t="s">
        <v>31</v>
      </c>
      <c r="E134" s="1"/>
      <c r="G134" s="1" t="s">
        <v>31</v>
      </c>
      <c r="H134" s="1"/>
      <c r="I134" s="2" t="s">
        <v>31</v>
      </c>
      <c r="J134" s="2"/>
      <c r="K134" s="1" t="s">
        <v>31</v>
      </c>
      <c r="L134" s="1"/>
      <c r="M134" s="2" t="s">
        <v>31</v>
      </c>
      <c r="N134" s="2"/>
      <c r="O134" s="1" t="s">
        <v>31</v>
      </c>
      <c r="P134" s="1"/>
      <c r="Q134" s="2" t="s">
        <v>31</v>
      </c>
      <c r="R134" s="2"/>
      <c r="S134" s="1" t="s">
        <v>31</v>
      </c>
      <c r="T134" s="1"/>
      <c r="U134" s="2" t="s">
        <v>31</v>
      </c>
      <c r="V134" s="20"/>
      <c r="W134" s="74"/>
      <c r="X134" s="74"/>
      <c r="Y134" s="74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R134" s="84"/>
    </row>
    <row r="135" spans="1:44" hidden="1">
      <c r="A135" s="278" t="s">
        <v>375</v>
      </c>
      <c r="B135" s="1"/>
      <c r="C135" s="1"/>
      <c r="D135" s="21"/>
      <c r="E135" s="1"/>
      <c r="F135" s="1"/>
      <c r="G135" s="21"/>
      <c r="H135" s="1"/>
      <c r="I135" s="1"/>
      <c r="J135" s="1"/>
      <c r="K135" s="21"/>
      <c r="L135" s="1"/>
      <c r="M135" s="1"/>
      <c r="N135" s="1"/>
      <c r="O135" s="21"/>
      <c r="P135" s="1"/>
      <c r="Q135" s="1"/>
      <c r="R135" s="1"/>
      <c r="S135" s="21"/>
      <c r="T135" s="1"/>
      <c r="U135" s="1"/>
      <c r="V135" s="20"/>
      <c r="W135" s="74"/>
      <c r="X135" s="74"/>
      <c r="Y135" s="74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R135" s="84"/>
    </row>
    <row r="136" spans="1:44" hidden="1">
      <c r="A136" s="1" t="s">
        <v>320</v>
      </c>
      <c r="B136" s="1"/>
      <c r="C136" s="1"/>
      <c r="D136" s="21"/>
      <c r="E136" s="1"/>
      <c r="F136" s="1"/>
      <c r="G136" s="21"/>
      <c r="H136" s="1"/>
      <c r="I136" s="1"/>
      <c r="J136" s="1"/>
      <c r="K136" s="21"/>
      <c r="L136" s="1"/>
      <c r="M136" s="1"/>
      <c r="N136" s="1"/>
      <c r="O136" s="21"/>
      <c r="P136" s="1"/>
      <c r="Q136" s="1"/>
      <c r="R136" s="1"/>
      <c r="S136" s="21"/>
      <c r="T136" s="1"/>
      <c r="U136" s="1"/>
      <c r="V136" s="20"/>
      <c r="W136" s="74"/>
      <c r="X136" s="74"/>
      <c r="Y136" s="74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R136" s="84"/>
    </row>
    <row r="137" spans="1:44" hidden="1">
      <c r="A137" s="282"/>
      <c r="B137" s="1"/>
      <c r="C137" s="1"/>
      <c r="D137" s="21"/>
      <c r="E137" s="1"/>
      <c r="F137" s="1"/>
      <c r="G137" s="21"/>
      <c r="H137" s="1"/>
      <c r="I137" s="1"/>
      <c r="J137" s="1"/>
      <c r="K137" s="21"/>
      <c r="L137" s="1"/>
      <c r="M137" s="1"/>
      <c r="N137" s="1"/>
      <c r="O137" s="21"/>
      <c r="P137" s="1"/>
      <c r="Q137" s="1"/>
      <c r="R137" s="1"/>
      <c r="S137" s="21"/>
      <c r="T137" s="1"/>
      <c r="U137" s="1"/>
      <c r="V137" s="20"/>
      <c r="W137" s="74"/>
      <c r="X137" s="74"/>
      <c r="Y137" s="74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R137" s="84"/>
    </row>
    <row r="138" spans="1:44" hidden="1">
      <c r="A138" s="1" t="s">
        <v>360</v>
      </c>
      <c r="B138" s="1"/>
      <c r="C138" s="21">
        <f>'Rate Design Work eff 10-14-16'!C137</f>
        <v>995.23225806451603</v>
      </c>
      <c r="D138" s="283">
        <f>'Rate Design Work eff 9-15-17'!D137</f>
        <v>7.75</v>
      </c>
      <c r="E138" s="1"/>
      <c r="F138" s="2">
        <f>ROUND(D138*C138,0)</f>
        <v>7713</v>
      </c>
      <c r="G138" s="283">
        <f>$G$89</f>
        <v>7.75</v>
      </c>
      <c r="H138" s="1"/>
      <c r="I138" s="2">
        <f>ROUND(G138*$C138,0)</f>
        <v>7713</v>
      </c>
      <c r="J138" s="2"/>
      <c r="K138" s="283">
        <f>$K$89</f>
        <v>7.75</v>
      </c>
      <c r="L138" s="1"/>
      <c r="M138" s="2">
        <f>K138*$C138</f>
        <v>7713.0499999999993</v>
      </c>
      <c r="N138" s="2"/>
      <c r="O138" s="283" t="str">
        <f>$O$89</f>
        <v xml:space="preserve"> </v>
      </c>
      <c r="P138" s="1"/>
      <c r="Q138" s="2">
        <f>ROUND(O138*$C138,0)</f>
        <v>0</v>
      </c>
      <c r="R138" s="2"/>
      <c r="S138" s="283" t="str">
        <f>$S$89</f>
        <v xml:space="preserve"> </v>
      </c>
      <c r="T138" s="1"/>
      <c r="U138" s="2">
        <f>ROUND(S138*$C138,0)</f>
        <v>0</v>
      </c>
      <c r="V138" s="20"/>
      <c r="W138" s="74"/>
      <c r="X138" s="74"/>
      <c r="Y138" s="74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R138" s="84"/>
    </row>
    <row r="139" spans="1:44" hidden="1">
      <c r="A139" s="1" t="s">
        <v>363</v>
      </c>
      <c r="B139" s="1"/>
      <c r="C139" s="21">
        <f>'Rate Design Work eff 10-14-16'!C138</f>
        <v>563242.07586769864</v>
      </c>
      <c r="D139" s="284">
        <f>'Rate Design Work eff 9-15-17'!D138</f>
        <v>6.548</v>
      </c>
      <c r="E139" s="1" t="s">
        <v>364</v>
      </c>
      <c r="F139" s="2">
        <f>ROUND(C139*D139/100,0)</f>
        <v>36881</v>
      </c>
      <c r="G139" s="284">
        <f>$G$90</f>
        <v>6.7170000000000005</v>
      </c>
      <c r="H139" s="1" t="s">
        <v>364</v>
      </c>
      <c r="I139" s="2">
        <f>ROUND(G139*$C139/100,0)</f>
        <v>37833</v>
      </c>
      <c r="J139" s="2"/>
      <c r="K139" s="284" t="e">
        <f>K90</f>
        <v>#DIV/0!</v>
      </c>
      <c r="L139" s="1" t="s">
        <v>364</v>
      </c>
      <c r="M139" s="2" t="e">
        <f>K139*$C139/100</f>
        <v>#DIV/0!</v>
      </c>
      <c r="N139" s="2"/>
      <c r="O139" s="284" t="e">
        <f>O90</f>
        <v>#DIV/0!</v>
      </c>
      <c r="P139" s="1" t="s">
        <v>364</v>
      </c>
      <c r="Q139" s="2" t="e">
        <f>ROUND(O139*$C139/100,0)</f>
        <v>#DIV/0!</v>
      </c>
      <c r="R139" s="2"/>
      <c r="S139" s="284" t="e">
        <f ca="1">S90</f>
        <v>#DIV/0!</v>
      </c>
      <c r="T139" s="1" t="s">
        <v>364</v>
      </c>
      <c r="U139" s="2" t="e">
        <f ca="1">ROUND(S139*$C139/100,0)</f>
        <v>#DIV/0!</v>
      </c>
      <c r="V139" s="20"/>
      <c r="W139" s="74"/>
      <c r="X139" s="74"/>
      <c r="Y139" s="74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R139" s="84"/>
    </row>
    <row r="140" spans="1:44" hidden="1">
      <c r="A140" s="1" t="s">
        <v>365</v>
      </c>
      <c r="B140" s="1"/>
      <c r="C140" s="21">
        <f>'Rate Design Work eff 10-14-16'!C139</f>
        <v>1663533.139932974</v>
      </c>
      <c r="D140" s="284">
        <f>'Rate Design Work eff 9-15-17'!D139</f>
        <v>10.35</v>
      </c>
      <c r="E140" s="1" t="s">
        <v>364</v>
      </c>
      <c r="F140" s="2">
        <f>ROUND(C140*D140/100,0)</f>
        <v>172176</v>
      </c>
      <c r="G140" s="284">
        <f>$G$91</f>
        <v>10.613</v>
      </c>
      <c r="H140" s="1" t="s">
        <v>364</v>
      </c>
      <c r="I140" s="2">
        <f>ROUND(G140*$C140/100,0)</f>
        <v>176551</v>
      </c>
      <c r="J140" s="2"/>
      <c r="K140" s="284" t="e">
        <f>K110</f>
        <v>#DIV/0!</v>
      </c>
      <c r="L140" s="1" t="s">
        <v>364</v>
      </c>
      <c r="M140" s="2" t="e">
        <f>K140*$C140/100</f>
        <v>#DIV/0!</v>
      </c>
      <c r="N140" s="2"/>
      <c r="O140" s="284" t="e">
        <f>O110</f>
        <v>#DIV/0!</v>
      </c>
      <c r="P140" s="1" t="s">
        <v>364</v>
      </c>
      <c r="Q140" s="2" t="e">
        <f>ROUND(O140*$C140/100,0)</f>
        <v>#DIV/0!</v>
      </c>
      <c r="R140" s="2"/>
      <c r="S140" s="284" t="e">
        <f ca="1">S110</f>
        <v>#DIV/0!</v>
      </c>
      <c r="T140" s="1" t="s">
        <v>364</v>
      </c>
      <c r="U140" s="2" t="e">
        <f ca="1">ROUND(S140*$C140/100,0)</f>
        <v>#DIV/0!</v>
      </c>
      <c r="V140" s="20"/>
      <c r="W140" s="74"/>
      <c r="X140" s="74"/>
      <c r="Y140" s="74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R140" s="84"/>
    </row>
    <row r="141" spans="1:44" hidden="1">
      <c r="A141" s="1" t="s">
        <v>367</v>
      </c>
      <c r="B141" s="1"/>
      <c r="C141" s="21">
        <f>'Rate Design Work eff 10-14-16'!C140</f>
        <v>4598.5</v>
      </c>
      <c r="D141" s="286">
        <f>'Rate Design Work eff 9-15-17'!D140</f>
        <v>1.74</v>
      </c>
      <c r="E141" s="1"/>
      <c r="F141" s="2">
        <f>ROUND(D141*C141,0)</f>
        <v>8001</v>
      </c>
      <c r="G141" s="286">
        <f ca="1">$G$92</f>
        <v>1.78</v>
      </c>
      <c r="H141" s="1"/>
      <c r="I141" s="2">
        <f ca="1">ROUND(G141*$C141,0)</f>
        <v>8185</v>
      </c>
      <c r="J141" s="2"/>
      <c r="K141" s="286">
        <v>0</v>
      </c>
      <c r="L141" s="1"/>
      <c r="M141" s="2">
        <f>ROUND(K141*$C141,0)</f>
        <v>0</v>
      </c>
      <c r="N141" s="2"/>
      <c r="O141" s="286">
        <v>0</v>
      </c>
      <c r="P141" s="1"/>
      <c r="Q141" s="2">
        <f>ROUND(O141*$C141,0)</f>
        <v>0</v>
      </c>
      <c r="R141" s="2"/>
      <c r="S141" s="286">
        <f ca="1">S92</f>
        <v>1.74</v>
      </c>
      <c r="T141" s="1"/>
      <c r="U141" s="2">
        <f ca="1">ROUND(S141*$C141,0)</f>
        <v>8001</v>
      </c>
      <c r="V141" s="20"/>
      <c r="W141" s="74"/>
      <c r="X141" s="74"/>
      <c r="Y141" s="74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R141" s="84"/>
    </row>
    <row r="142" spans="1:44" hidden="1">
      <c r="A142" s="288" t="s">
        <v>369</v>
      </c>
      <c r="B142" s="288"/>
      <c r="C142" s="21">
        <f>'Rate Design Work eff 10-14-16'!C141</f>
        <v>605</v>
      </c>
      <c r="D142" s="286">
        <f>'Rate Design Work eff 9-15-17'!D141</f>
        <v>3.4</v>
      </c>
      <c r="E142" s="288"/>
      <c r="F142" s="2">
        <f>ROUND(D142*C142,0)</f>
        <v>2057</v>
      </c>
      <c r="G142" s="286">
        <f ca="1">$G$93</f>
        <v>3.5</v>
      </c>
      <c r="H142" s="288"/>
      <c r="I142" s="2">
        <f ca="1">ROUND(G142*$C142,0)</f>
        <v>2118</v>
      </c>
      <c r="J142" s="2"/>
      <c r="K142" s="286">
        <v>0</v>
      </c>
      <c r="L142" s="288"/>
      <c r="M142" s="2">
        <f>ROUND(K142*$C142,0)</f>
        <v>0</v>
      </c>
      <c r="N142" s="2"/>
      <c r="O142" s="286">
        <v>0</v>
      </c>
      <c r="P142" s="288"/>
      <c r="Q142" s="2">
        <f>ROUND(O142*$C142,0)</f>
        <v>0</v>
      </c>
      <c r="R142" s="2"/>
      <c r="S142" s="286">
        <f ca="1">S93</f>
        <v>3.4</v>
      </c>
      <c r="T142" s="288"/>
      <c r="U142" s="2">
        <f ca="1">ROUND(S142*$C142,0)</f>
        <v>2057</v>
      </c>
      <c r="V142" s="20"/>
      <c r="W142" s="74"/>
      <c r="X142" s="74"/>
      <c r="Y142" s="74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R142" s="84"/>
    </row>
    <row r="143" spans="1:44" hidden="1">
      <c r="A143" s="288" t="s">
        <v>370</v>
      </c>
      <c r="B143" s="288"/>
      <c r="C143" s="21">
        <f>'Rate Design Work eff 10-14-16'!C142</f>
        <v>55.5</v>
      </c>
      <c r="D143" s="289">
        <f>'Rate Design Work eff 9-15-17'!D142</f>
        <v>-1.74</v>
      </c>
      <c r="E143" s="288"/>
      <c r="F143" s="2">
        <f>ROUND(D143*C143,0)</f>
        <v>-97</v>
      </c>
      <c r="G143" s="289">
        <f ca="1">-G141</f>
        <v>-1.78</v>
      </c>
      <c r="H143" s="288"/>
      <c r="I143" s="2">
        <f ca="1">ROUND(G143*$C143,0)</f>
        <v>-99</v>
      </c>
      <c r="J143" s="2"/>
      <c r="K143" s="289">
        <f>-K141</f>
        <v>0</v>
      </c>
      <c r="L143" s="288"/>
      <c r="M143" s="2">
        <f>ROUND(K143*$C143,0)</f>
        <v>0</v>
      </c>
      <c r="N143" s="2"/>
      <c r="O143" s="289">
        <f>-O141</f>
        <v>0</v>
      </c>
      <c r="P143" s="288"/>
      <c r="Q143" s="2">
        <f>ROUND(O143*$C143,0)</f>
        <v>0</v>
      </c>
      <c r="R143" s="2"/>
      <c r="S143" s="289">
        <f ca="1">-S141</f>
        <v>-1.74</v>
      </c>
      <c r="T143" s="288"/>
      <c r="U143" s="2">
        <f ca="1">ROUND(S143*$C143,0)</f>
        <v>-97</v>
      </c>
      <c r="V143" s="20"/>
      <c r="W143" s="74"/>
      <c r="X143" s="74"/>
      <c r="Y143" s="74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R143" s="84"/>
    </row>
    <row r="144" spans="1:44" s="1118" customFormat="1" hidden="1">
      <c r="A144" s="968" t="s">
        <v>886</v>
      </c>
      <c r="C144" s="1122">
        <f>C139</f>
        <v>563242.07586769864</v>
      </c>
      <c r="D144" s="254">
        <f>'Rate Design Work eff 9-15-17'!D143</f>
        <v>0</v>
      </c>
      <c r="E144" s="1119"/>
      <c r="F144" s="1123"/>
      <c r="G144" s="1128">
        <f>G129</f>
        <v>0</v>
      </c>
      <c r="H144" s="1126" t="s">
        <v>364</v>
      </c>
      <c r="I144" s="1123">
        <f>G144*C144/100</f>
        <v>0</v>
      </c>
      <c r="J144" s="1123"/>
      <c r="K144" s="1128" t="str">
        <f>K129</f>
        <v xml:space="preserve"> </v>
      </c>
      <c r="L144" s="1126" t="s">
        <v>364</v>
      </c>
      <c r="M144" s="1123">
        <f>K144*C144/100</f>
        <v>0</v>
      </c>
      <c r="N144" s="1123"/>
      <c r="O144" s="1128" t="str">
        <f>O129</f>
        <v xml:space="preserve"> </v>
      </c>
      <c r="P144" s="1126" t="s">
        <v>364</v>
      </c>
      <c r="Q144" s="1123">
        <f>O144*C144/100</f>
        <v>0</v>
      </c>
      <c r="R144" s="1123"/>
      <c r="S144" s="1128">
        <f>S129</f>
        <v>0</v>
      </c>
      <c r="T144" s="1126" t="s">
        <v>364</v>
      </c>
      <c r="U144" s="1123">
        <f>S144*C144/100</f>
        <v>0</v>
      </c>
      <c r="W144" s="784"/>
      <c r="Z144" s="1125"/>
      <c r="AA144" s="1125"/>
      <c r="AF144" s="1119"/>
      <c r="AG144" s="1119"/>
      <c r="AH144" s="1119"/>
      <c r="AI144" s="1119"/>
      <c r="AJ144" s="1119"/>
      <c r="AK144" s="1119"/>
      <c r="AL144" s="1119"/>
      <c r="AM144" s="1119"/>
      <c r="AN144" s="1119"/>
      <c r="AO144" s="1119"/>
      <c r="AP144" s="1119"/>
      <c r="AR144" s="1124"/>
    </row>
    <row r="145" spans="1:44" s="1118" customFormat="1" hidden="1">
      <c r="A145" s="968" t="s">
        <v>887</v>
      </c>
      <c r="C145" s="1122">
        <f>C140</f>
        <v>1663533.139932974</v>
      </c>
      <c r="D145" s="254">
        <f>'Rate Design Work eff 9-15-17'!D144</f>
        <v>0</v>
      </c>
      <c r="E145" s="1119"/>
      <c r="F145" s="1123"/>
      <c r="G145" s="1128">
        <f>G130</f>
        <v>0</v>
      </c>
      <c r="H145" s="1126" t="s">
        <v>364</v>
      </c>
      <c r="I145" s="1123">
        <f>G145*C145/100</f>
        <v>0</v>
      </c>
      <c r="J145" s="1123"/>
      <c r="K145" s="1128" t="str">
        <f>K130</f>
        <v xml:space="preserve"> </v>
      </c>
      <c r="L145" s="1126" t="s">
        <v>364</v>
      </c>
      <c r="M145" s="1123">
        <f>K145*C145/100</f>
        <v>0</v>
      </c>
      <c r="N145" s="1123"/>
      <c r="O145" s="1128" t="str">
        <f>O130</f>
        <v xml:space="preserve"> </v>
      </c>
      <c r="P145" s="1126" t="s">
        <v>364</v>
      </c>
      <c r="Q145" s="1123">
        <f>O145*C145/100</f>
        <v>0</v>
      </c>
      <c r="R145" s="1123"/>
      <c r="S145" s="1128">
        <f>S130</f>
        <v>0</v>
      </c>
      <c r="T145" s="1126" t="s">
        <v>364</v>
      </c>
      <c r="U145" s="1123">
        <f>S145*C145/100</f>
        <v>0</v>
      </c>
      <c r="W145" s="784"/>
      <c r="Z145" s="1125"/>
      <c r="AA145" s="1125"/>
      <c r="AF145" s="1119"/>
      <c r="AG145" s="1119"/>
      <c r="AH145" s="1119"/>
      <c r="AI145" s="1119"/>
      <c r="AJ145" s="1119"/>
      <c r="AK145" s="1119"/>
      <c r="AL145" s="1119"/>
      <c r="AM145" s="1119"/>
      <c r="AN145" s="1119"/>
      <c r="AO145" s="1119"/>
      <c r="AP145" s="1119"/>
      <c r="AR145" s="1124"/>
    </row>
    <row r="146" spans="1:44" hidden="1">
      <c r="A146" s="1" t="s">
        <v>371</v>
      </c>
      <c r="B146" s="290"/>
      <c r="C146" s="21">
        <f>SUM(C139:C140)</f>
        <v>2226775.2158006728</v>
      </c>
      <c r="D146" s="953"/>
      <c r="E146" s="2"/>
      <c r="F146" s="2">
        <f>SUM(F138:F143)</f>
        <v>226731</v>
      </c>
      <c r="G146" s="2"/>
      <c r="H146" s="2"/>
      <c r="I146" s="2">
        <f ca="1">SUM(I138:I145)</f>
        <v>232301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 ca="1">SUM(U138:U145)</f>
        <v>#DIV/0!</v>
      </c>
      <c r="V146" s="20"/>
      <c r="W146" s="74"/>
      <c r="X146" s="74"/>
      <c r="Y146" s="74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R146" s="84"/>
    </row>
    <row r="147" spans="1:44" hidden="1">
      <c r="A147" s="1" t="s">
        <v>353</v>
      </c>
      <c r="B147" s="25"/>
      <c r="C147" s="302">
        <f>'Table 2'!H15</f>
        <v>28355.575910563297</v>
      </c>
      <c r="D147" s="294"/>
      <c r="E147" s="294"/>
      <c r="F147" s="295">
        <f>'Table 3'!E15</f>
        <v>3166.5031041856219</v>
      </c>
      <c r="G147" s="294"/>
      <c r="H147" s="294"/>
      <c r="I147" s="295">
        <f>F147</f>
        <v>3166.5031041856219</v>
      </c>
      <c r="J147" s="51"/>
      <c r="K147" s="294"/>
      <c r="L147" s="294"/>
      <c r="M147" s="295" t="e">
        <f>I147/$I$100*$M$100</f>
        <v>#DIV/0!</v>
      </c>
      <c r="N147" s="51"/>
      <c r="O147" s="294"/>
      <c r="P147" s="294"/>
      <c r="Q147" s="295" t="e">
        <f>I147/$I$100*$Q$100</f>
        <v>#DIV/0!</v>
      </c>
      <c r="R147" s="51"/>
      <c r="S147" s="294"/>
      <c r="T147" s="294"/>
      <c r="U147" s="295" t="e">
        <f>I147/$I$100*$U$100</f>
        <v>#DIV/0!</v>
      </c>
      <c r="V147" s="429"/>
      <c r="W147" s="272"/>
      <c r="X147" s="74"/>
      <c r="Y147" s="74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R147" s="84"/>
    </row>
    <row r="148" spans="1:44" ht="16.5" hidden="1" thickBot="1">
      <c r="A148" s="1" t="s">
        <v>372</v>
      </c>
      <c r="B148" s="1"/>
      <c r="C148" s="296">
        <f>C146+C147</f>
        <v>2255130.7917112359</v>
      </c>
      <c r="D148" s="297"/>
      <c r="E148" s="297"/>
      <c r="F148" s="297">
        <f>F146+F147</f>
        <v>229897.50310418563</v>
      </c>
      <c r="G148" s="297"/>
      <c r="H148" s="297"/>
      <c r="I148" s="297">
        <f ca="1">I146+I147</f>
        <v>235467.50310418563</v>
      </c>
      <c r="J148" s="51"/>
      <c r="K148" s="297"/>
      <c r="L148" s="297"/>
      <c r="M148" s="297" t="e">
        <f>M146+M147</f>
        <v>#DIV/0!</v>
      </c>
      <c r="N148" s="297"/>
      <c r="O148" s="297"/>
      <c r="P148" s="297"/>
      <c r="Q148" s="297" t="e">
        <f>Q146+Q147</f>
        <v>#DIV/0!</v>
      </c>
      <c r="R148" s="297"/>
      <c r="S148" s="297"/>
      <c r="T148" s="297"/>
      <c r="U148" s="297" t="e">
        <f ca="1">U146+U147</f>
        <v>#DIV/0!</v>
      </c>
      <c r="V148" s="396"/>
      <c r="W148" s="455"/>
      <c r="X148" s="74"/>
      <c r="Y148" s="74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R148" s="84"/>
    </row>
    <row r="149" spans="1:44" ht="16.5" hidden="1" thickTop="1">
      <c r="A149" s="1"/>
      <c r="B149" s="298"/>
      <c r="C149" s="21"/>
      <c r="D149" s="1" t="s">
        <v>31</v>
      </c>
      <c r="E149" s="1"/>
      <c r="G149" s="1" t="s">
        <v>31</v>
      </c>
      <c r="H149" s="1"/>
      <c r="I149" s="2" t="s">
        <v>31</v>
      </c>
      <c r="J149" s="2"/>
      <c r="K149" s="1" t="s">
        <v>31</v>
      </c>
      <c r="L149" s="1"/>
      <c r="M149" s="2" t="s">
        <v>31</v>
      </c>
      <c r="N149" s="2"/>
      <c r="O149" s="1" t="s">
        <v>31</v>
      </c>
      <c r="P149" s="1"/>
      <c r="Q149" s="2" t="s">
        <v>31</v>
      </c>
      <c r="R149" s="2"/>
      <c r="S149" s="1" t="s">
        <v>31</v>
      </c>
      <c r="T149" s="1"/>
      <c r="U149" s="2" t="s">
        <v>31</v>
      </c>
      <c r="V149" s="20"/>
      <c r="W149" s="74"/>
      <c r="X149" s="74"/>
      <c r="Y149" s="74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R149" s="84"/>
    </row>
    <row r="150" spans="1:44" hidden="1">
      <c r="A150" s="278" t="s">
        <v>376</v>
      </c>
      <c r="B150" s="1"/>
      <c r="C150" s="1"/>
      <c r="D150" s="21"/>
      <c r="E150" s="1"/>
      <c r="F150" s="1"/>
      <c r="G150" s="21"/>
      <c r="H150" s="1"/>
      <c r="I150" s="1"/>
      <c r="J150" s="1"/>
      <c r="K150" s="21"/>
      <c r="L150" s="1"/>
      <c r="M150" s="1"/>
      <c r="N150" s="1"/>
      <c r="O150" s="21"/>
      <c r="P150" s="1"/>
      <c r="Q150" s="1"/>
      <c r="R150" s="1"/>
      <c r="S150" s="21"/>
      <c r="T150" s="1"/>
      <c r="U150" s="1"/>
      <c r="V150" s="20"/>
      <c r="W150" s="74"/>
      <c r="X150" s="74"/>
      <c r="Y150" s="74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R150" s="84"/>
    </row>
    <row r="151" spans="1:44" hidden="1">
      <c r="A151" s="1" t="s">
        <v>320</v>
      </c>
      <c r="B151" s="1"/>
      <c r="C151" s="1"/>
      <c r="D151" s="21"/>
      <c r="E151" s="1"/>
      <c r="F151" s="1"/>
      <c r="G151" s="21"/>
      <c r="H151" s="1"/>
      <c r="I151" s="1"/>
      <c r="J151" s="1"/>
      <c r="K151" s="21"/>
      <c r="L151" s="1"/>
      <c r="M151" s="1"/>
      <c r="N151" s="1"/>
      <c r="O151" s="21"/>
      <c r="P151" s="1"/>
      <c r="Q151" s="1"/>
      <c r="R151" s="1"/>
      <c r="S151" s="21"/>
      <c r="T151" s="1"/>
      <c r="U151" s="1"/>
      <c r="V151" s="20"/>
      <c r="W151" s="74"/>
      <c r="X151" s="74"/>
      <c r="Y151" s="74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R151" s="84"/>
    </row>
    <row r="152" spans="1:44" hidden="1">
      <c r="A152" s="282"/>
      <c r="B152" s="1"/>
      <c r="C152" s="1"/>
      <c r="D152" s="21"/>
      <c r="E152" s="1"/>
      <c r="F152" s="1"/>
      <c r="G152" s="21"/>
      <c r="H152" s="1"/>
      <c r="I152" s="1"/>
      <c r="J152" s="1"/>
      <c r="K152" s="21"/>
      <c r="L152" s="1"/>
      <c r="M152" s="1"/>
      <c r="N152" s="1"/>
      <c r="O152" s="21"/>
      <c r="P152" s="1"/>
      <c r="Q152" s="1"/>
      <c r="R152" s="1"/>
      <c r="S152" s="21"/>
      <c r="T152" s="1"/>
      <c r="U152" s="1"/>
      <c r="V152" s="20"/>
      <c r="W152" s="74"/>
      <c r="X152" s="74"/>
      <c r="Y152" s="74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R152" s="84"/>
    </row>
    <row r="153" spans="1:44" hidden="1">
      <c r="A153" s="1" t="s">
        <v>360</v>
      </c>
      <c r="B153" s="1"/>
      <c r="C153" s="21">
        <f>'Rate Design Work eff 10-14-16'!C152</f>
        <v>205</v>
      </c>
      <c r="D153" s="283">
        <f>'Rate Design Work eff 9-15-17'!D152</f>
        <v>7.75</v>
      </c>
      <c r="E153" s="1"/>
      <c r="F153" s="2">
        <f>ROUND(D153*C153,0)</f>
        <v>1589</v>
      </c>
      <c r="G153" s="283">
        <f>$G$89</f>
        <v>7.75</v>
      </c>
      <c r="H153" s="1"/>
      <c r="I153" s="2">
        <f>ROUND(G153*$C153,0)</f>
        <v>1589</v>
      </c>
      <c r="J153" s="2"/>
      <c r="K153" s="283">
        <f>$K$89</f>
        <v>7.75</v>
      </c>
      <c r="L153" s="1"/>
      <c r="M153" s="2">
        <f>K153*$C153</f>
        <v>1588.75</v>
      </c>
      <c r="N153" s="2"/>
      <c r="O153" s="283" t="str">
        <f>$O$89</f>
        <v xml:space="preserve"> </v>
      </c>
      <c r="P153" s="1"/>
      <c r="Q153" s="2">
        <f>ROUND(O153*$C153,0)</f>
        <v>0</v>
      </c>
      <c r="R153" s="2"/>
      <c r="S153" s="283" t="str">
        <f>$S$89</f>
        <v xml:space="preserve"> </v>
      </c>
      <c r="T153" s="1"/>
      <c r="U153" s="2">
        <f>ROUND(S153*$C153,0)</f>
        <v>0</v>
      </c>
      <c r="V153" s="20"/>
      <c r="W153" s="74"/>
      <c r="X153" s="74"/>
      <c r="Y153" s="74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R153" s="84"/>
    </row>
    <row r="154" spans="1:44" hidden="1">
      <c r="A154" s="1" t="s">
        <v>363</v>
      </c>
      <c r="B154" s="1"/>
      <c r="C154" s="21">
        <f>'Rate Design Work eff 10-14-16'!C153</f>
        <v>121486</v>
      </c>
      <c r="D154" s="284">
        <f>'Rate Design Work eff 9-15-17'!D153</f>
        <v>6.548</v>
      </c>
      <c r="E154" s="1" t="s">
        <v>364</v>
      </c>
      <c r="F154" s="2">
        <f>ROUND(C154*D154/100,0)</f>
        <v>7955</v>
      </c>
      <c r="G154" s="284">
        <f>$G$90</f>
        <v>6.7170000000000005</v>
      </c>
      <c r="H154" s="1" t="s">
        <v>364</v>
      </c>
      <c r="I154" s="2">
        <f>ROUND(G154*$C154/100,0)</f>
        <v>8160</v>
      </c>
      <c r="J154" s="2"/>
      <c r="K154" s="284" t="e">
        <f>K90</f>
        <v>#DIV/0!</v>
      </c>
      <c r="L154" s="1" t="s">
        <v>364</v>
      </c>
      <c r="M154" s="2" t="e">
        <f>K154*$C154/100</f>
        <v>#DIV/0!</v>
      </c>
      <c r="N154" s="2"/>
      <c r="O154" s="284" t="e">
        <f>O90</f>
        <v>#DIV/0!</v>
      </c>
      <c r="P154" s="1" t="s">
        <v>364</v>
      </c>
      <c r="Q154" s="2" t="e">
        <f>ROUND(O154*$C154/100,0)</f>
        <v>#DIV/0!</v>
      </c>
      <c r="R154" s="2"/>
      <c r="S154" s="284" t="e">
        <f ca="1">S90</f>
        <v>#DIV/0!</v>
      </c>
      <c r="T154" s="1" t="s">
        <v>364</v>
      </c>
      <c r="U154" s="2" t="e">
        <f ca="1">ROUND(S154*$C154/100,0)</f>
        <v>#DIV/0!</v>
      </c>
      <c r="V154" s="20"/>
      <c r="W154" s="74"/>
      <c r="X154" s="74"/>
      <c r="Y154" s="74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R154" s="84"/>
    </row>
    <row r="155" spans="1:44" hidden="1">
      <c r="A155" s="1" t="s">
        <v>365</v>
      </c>
      <c r="B155" s="1"/>
      <c r="C155" s="21">
        <f>'Rate Design Work eff 10-14-16'!C154</f>
        <v>275577</v>
      </c>
      <c r="D155" s="284">
        <f>'Rate Design Work eff 9-15-17'!D154</f>
        <v>10.35</v>
      </c>
      <c r="E155" s="1" t="s">
        <v>364</v>
      </c>
      <c r="F155" s="2">
        <f>ROUND(C155*D155/100,0)</f>
        <v>28522</v>
      </c>
      <c r="G155" s="284">
        <f>$G$91</f>
        <v>10.613</v>
      </c>
      <c r="H155" s="1" t="s">
        <v>364</v>
      </c>
      <c r="I155" s="2">
        <f>ROUND(G155*$C155/100,0)</f>
        <v>29247</v>
      </c>
      <c r="J155" s="2"/>
      <c r="K155" s="284" t="e">
        <f>K91</f>
        <v>#DIV/0!</v>
      </c>
      <c r="L155" s="1" t="s">
        <v>364</v>
      </c>
      <c r="M155" s="2" t="e">
        <f>K155*$C155/100</f>
        <v>#DIV/0!</v>
      </c>
      <c r="N155" s="2"/>
      <c r="O155" s="284" t="e">
        <f>O91</f>
        <v>#DIV/0!</v>
      </c>
      <c r="P155" s="1" t="s">
        <v>364</v>
      </c>
      <c r="Q155" s="2" t="e">
        <f>ROUND(O155*$C155/100,0)</f>
        <v>#DIV/0!</v>
      </c>
      <c r="R155" s="2"/>
      <c r="S155" s="284" t="e">
        <f ca="1">S91</f>
        <v>#DIV/0!</v>
      </c>
      <c r="T155" s="1" t="s">
        <v>364</v>
      </c>
      <c r="U155" s="2" t="e">
        <f ca="1">ROUND(S155*$C155/100,0)</f>
        <v>#DIV/0!</v>
      </c>
      <c r="V155" s="20"/>
      <c r="W155" s="74"/>
      <c r="X155" s="74"/>
      <c r="Y155" s="74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R155" s="84"/>
    </row>
    <row r="156" spans="1:44" hidden="1">
      <c r="A156" s="1" t="s">
        <v>367</v>
      </c>
      <c r="B156" s="1"/>
      <c r="C156" s="21">
        <f>'Rate Design Work eff 10-14-16'!C155</f>
        <v>707.5</v>
      </c>
      <c r="D156" s="286">
        <f>'Rate Design Work eff 9-15-17'!D155</f>
        <v>1.74</v>
      </c>
      <c r="E156" s="1"/>
      <c r="F156" s="2">
        <f>ROUND(D156*C156,0)</f>
        <v>1231</v>
      </c>
      <c r="G156" s="286">
        <f ca="1">$G$92</f>
        <v>1.78</v>
      </c>
      <c r="H156" s="1"/>
      <c r="I156" s="2">
        <f ca="1">ROUND(G156*$C156,0)</f>
        <v>1259</v>
      </c>
      <c r="J156" s="2"/>
      <c r="K156" s="286">
        <v>0</v>
      </c>
      <c r="L156" s="1"/>
      <c r="M156" s="2">
        <f>ROUND(K156*$C156,0)</f>
        <v>0</v>
      </c>
      <c r="N156" s="2"/>
      <c r="O156" s="286">
        <v>0</v>
      </c>
      <c r="P156" s="1"/>
      <c r="Q156" s="2">
        <f>ROUND(O156*$C156,0)</f>
        <v>0</v>
      </c>
      <c r="R156" s="2"/>
      <c r="S156" s="286">
        <f ca="1">S92</f>
        <v>1.74</v>
      </c>
      <c r="T156" s="1"/>
      <c r="U156" s="2">
        <f ca="1">ROUND(S156*$C156,0)</f>
        <v>1231</v>
      </c>
      <c r="V156" s="20"/>
      <c r="W156" s="74"/>
      <c r="X156" s="74"/>
      <c r="Y156" s="74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R156" s="84"/>
    </row>
    <row r="157" spans="1:44" hidden="1">
      <c r="A157" s="288" t="s">
        <v>369</v>
      </c>
      <c r="B157" s="288"/>
      <c r="C157" s="21">
        <f>'Rate Design Work eff 10-14-16'!C156</f>
        <v>98</v>
      </c>
      <c r="D157" s="286">
        <f>'Rate Design Work eff 9-15-17'!D156</f>
        <v>3.4</v>
      </c>
      <c r="E157" s="288"/>
      <c r="F157" s="2">
        <f>ROUND(D157*C157,0)</f>
        <v>333</v>
      </c>
      <c r="G157" s="286">
        <f ca="1">$G$93</f>
        <v>3.5</v>
      </c>
      <c r="H157" s="288"/>
      <c r="I157" s="2">
        <f ca="1">ROUND(G157*$C157,0)</f>
        <v>343</v>
      </c>
      <c r="J157" s="2"/>
      <c r="K157" s="286">
        <v>0</v>
      </c>
      <c r="L157" s="288"/>
      <c r="M157" s="2">
        <f>ROUND(K157*$C157,0)</f>
        <v>0</v>
      </c>
      <c r="N157" s="2"/>
      <c r="O157" s="286">
        <v>0</v>
      </c>
      <c r="P157" s="288"/>
      <c r="Q157" s="2">
        <f>ROUND(O157*$C157,0)</f>
        <v>0</v>
      </c>
      <c r="R157" s="2"/>
      <c r="S157" s="286">
        <f ca="1">S93</f>
        <v>3.4</v>
      </c>
      <c r="T157" s="288"/>
      <c r="U157" s="2">
        <f ca="1">ROUND(S157*$C157,0)</f>
        <v>333</v>
      </c>
      <c r="V157" s="20"/>
      <c r="W157" s="74"/>
      <c r="X157" s="74"/>
      <c r="Y157" s="74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R157" s="84"/>
    </row>
    <row r="158" spans="1:44" hidden="1">
      <c r="A158" s="288" t="s">
        <v>370</v>
      </c>
      <c r="B158" s="288"/>
      <c r="C158" s="21">
        <f>'Rate Design Work eff 10-14-16'!C157</f>
        <v>15</v>
      </c>
      <c r="D158" s="289">
        <f>'Rate Design Work eff 9-15-17'!D157</f>
        <v>-1.74</v>
      </c>
      <c r="E158" s="288"/>
      <c r="F158" s="2">
        <f>ROUND(D158*C158,0)</f>
        <v>-26</v>
      </c>
      <c r="G158" s="289">
        <f ca="1">-G156</f>
        <v>-1.78</v>
      </c>
      <c r="H158" s="288"/>
      <c r="I158" s="2">
        <f ca="1">ROUND(G158*$C158,0)</f>
        <v>-27</v>
      </c>
      <c r="J158" s="2"/>
      <c r="K158" s="289">
        <f>-K156</f>
        <v>0</v>
      </c>
      <c r="L158" s="288"/>
      <c r="M158" s="2">
        <f>ROUND(K158*$C158,0)</f>
        <v>0</v>
      </c>
      <c r="N158" s="2"/>
      <c r="O158" s="289">
        <f>-O156</f>
        <v>0</v>
      </c>
      <c r="P158" s="288"/>
      <c r="Q158" s="2">
        <f>ROUND(O158*$C158,0)</f>
        <v>0</v>
      </c>
      <c r="R158" s="2"/>
      <c r="S158" s="289">
        <f ca="1">-S156</f>
        <v>-1.74</v>
      </c>
      <c r="T158" s="288"/>
      <c r="U158" s="2">
        <f ca="1">ROUND(S158*$C158,0)</f>
        <v>-26</v>
      </c>
      <c r="V158" s="20"/>
      <c r="W158" s="74"/>
      <c r="X158" s="74"/>
      <c r="Y158" s="74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R158" s="84"/>
    </row>
    <row r="159" spans="1:44" s="1118" customFormat="1" hidden="1">
      <c r="A159" s="968" t="s">
        <v>886</v>
      </c>
      <c r="C159" s="1122">
        <f>C154</f>
        <v>121486</v>
      </c>
      <c r="D159" s="254">
        <f>'Rate Design Work eff 9-15-17'!D158</f>
        <v>0</v>
      </c>
      <c r="E159" s="1119"/>
      <c r="F159" s="1123"/>
      <c r="G159" s="1128">
        <f>G144</f>
        <v>0</v>
      </c>
      <c r="H159" s="1126" t="s">
        <v>364</v>
      </c>
      <c r="I159" s="1123">
        <f>G159*C159/100</f>
        <v>0</v>
      </c>
      <c r="J159" s="1123"/>
      <c r="K159" s="1128" t="str">
        <f>K144</f>
        <v xml:space="preserve"> </v>
      </c>
      <c r="L159" s="1126" t="s">
        <v>364</v>
      </c>
      <c r="M159" s="1123">
        <f>K159*C159/100</f>
        <v>0</v>
      </c>
      <c r="N159" s="1123"/>
      <c r="O159" s="1128" t="str">
        <f>O144</f>
        <v xml:space="preserve"> </v>
      </c>
      <c r="P159" s="1126" t="s">
        <v>364</v>
      </c>
      <c r="Q159" s="1123">
        <f>O159*C159/100</f>
        <v>0</v>
      </c>
      <c r="R159" s="1123"/>
      <c r="S159" s="1128">
        <f>S144</f>
        <v>0</v>
      </c>
      <c r="T159" s="1126" t="s">
        <v>364</v>
      </c>
      <c r="U159" s="1123">
        <f>S159*C159/100</f>
        <v>0</v>
      </c>
      <c r="W159" s="784"/>
      <c r="Z159" s="1125"/>
      <c r="AA159" s="1125"/>
      <c r="AF159" s="1119"/>
      <c r="AG159" s="1119"/>
      <c r="AH159" s="1119"/>
      <c r="AI159" s="1119"/>
      <c r="AJ159" s="1119"/>
      <c r="AK159" s="1119"/>
      <c r="AL159" s="1119"/>
      <c r="AM159" s="1119"/>
      <c r="AN159" s="1119"/>
      <c r="AO159" s="1119"/>
      <c r="AP159" s="1119"/>
      <c r="AR159" s="1124"/>
    </row>
    <row r="160" spans="1:44" s="1118" customFormat="1" hidden="1">
      <c r="A160" s="968" t="s">
        <v>887</v>
      </c>
      <c r="C160" s="1122">
        <f>C155</f>
        <v>275577</v>
      </c>
      <c r="D160" s="254">
        <f>'Rate Design Work eff 9-15-17'!D159</f>
        <v>0</v>
      </c>
      <c r="E160" s="1119"/>
      <c r="F160" s="1123"/>
      <c r="G160" s="1128">
        <f>G145</f>
        <v>0</v>
      </c>
      <c r="H160" s="1126" t="s">
        <v>364</v>
      </c>
      <c r="I160" s="1123">
        <f>G160*C160/100</f>
        <v>0</v>
      </c>
      <c r="J160" s="1123"/>
      <c r="K160" s="1128" t="str">
        <f>K145</f>
        <v xml:space="preserve"> </v>
      </c>
      <c r="L160" s="1126" t="s">
        <v>364</v>
      </c>
      <c r="M160" s="1123">
        <f>K160*C160/100</f>
        <v>0</v>
      </c>
      <c r="N160" s="1123"/>
      <c r="O160" s="1128" t="str">
        <f>O145</f>
        <v xml:space="preserve"> </v>
      </c>
      <c r="P160" s="1126" t="s">
        <v>364</v>
      </c>
      <c r="Q160" s="1123">
        <f>O160*C160/100</f>
        <v>0</v>
      </c>
      <c r="R160" s="1123"/>
      <c r="S160" s="1128">
        <f>S145</f>
        <v>0</v>
      </c>
      <c r="T160" s="1126" t="s">
        <v>364</v>
      </c>
      <c r="U160" s="1123">
        <f>S160*C160/100</f>
        <v>0</v>
      </c>
      <c r="W160" s="784"/>
      <c r="Z160" s="1125"/>
      <c r="AA160" s="1125"/>
      <c r="AF160" s="1119"/>
      <c r="AG160" s="1119"/>
      <c r="AH160" s="1119"/>
      <c r="AI160" s="1119"/>
      <c r="AJ160" s="1119"/>
      <c r="AK160" s="1119"/>
      <c r="AL160" s="1119"/>
      <c r="AM160" s="1119"/>
      <c r="AN160" s="1119"/>
      <c r="AO160" s="1119"/>
      <c r="AP160" s="1119"/>
      <c r="AR160" s="1124"/>
    </row>
    <row r="161" spans="1:51" hidden="1">
      <c r="A161" s="1" t="s">
        <v>371</v>
      </c>
      <c r="B161" s="1"/>
      <c r="C161" s="21">
        <f>SUM(C154:C155)</f>
        <v>397063</v>
      </c>
      <c r="D161" s="953"/>
      <c r="E161" s="2"/>
      <c r="F161" s="2">
        <f>SUM(F153:F158)</f>
        <v>39604</v>
      </c>
      <c r="G161" s="2"/>
      <c r="H161" s="2"/>
      <c r="I161" s="2">
        <f ca="1">SUM(I153:I160)</f>
        <v>40571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 ca="1">SUM(U153:U160)</f>
        <v>#DIV/0!</v>
      </c>
      <c r="V161" s="20"/>
      <c r="W161" s="74"/>
      <c r="X161" s="74"/>
      <c r="Y161" s="74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R161" s="84"/>
    </row>
    <row r="162" spans="1:51" hidden="1">
      <c r="A162" s="1" t="s">
        <v>353</v>
      </c>
      <c r="B162" s="1"/>
      <c r="C162" s="302">
        <f>'Table 2'!H16</f>
        <v>5143.445167760472</v>
      </c>
      <c r="D162" s="294"/>
      <c r="E162" s="294"/>
      <c r="F162" s="295">
        <f>'Table 3'!E16</f>
        <v>561.58818784280481</v>
      </c>
      <c r="G162" s="294"/>
      <c r="H162" s="294"/>
      <c r="I162" s="295">
        <f>F162</f>
        <v>561.58818784280481</v>
      </c>
      <c r="J162" s="51"/>
      <c r="K162" s="294"/>
      <c r="L162" s="294"/>
      <c r="M162" s="295" t="e">
        <f>I162/$I$100*$M$100</f>
        <v>#DIV/0!</v>
      </c>
      <c r="N162" s="51"/>
      <c r="O162" s="294"/>
      <c r="P162" s="294"/>
      <c r="Q162" s="295" t="e">
        <f>I162/$I$100*$Q$100</f>
        <v>#DIV/0!</v>
      </c>
      <c r="R162" s="51"/>
      <c r="S162" s="294"/>
      <c r="T162" s="294"/>
      <c r="U162" s="295" t="e">
        <f>I162/$I$100*$U$100</f>
        <v>#DIV/0!</v>
      </c>
      <c r="V162" s="429"/>
      <c r="W162" s="272"/>
      <c r="X162" s="74"/>
      <c r="Y162" s="74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R162" s="84"/>
    </row>
    <row r="163" spans="1:51" ht="16.5" hidden="1" thickBot="1">
      <c r="A163" s="1" t="s">
        <v>372</v>
      </c>
      <c r="B163" s="1"/>
      <c r="C163" s="296">
        <f>C161+C162</f>
        <v>402206.44516776048</v>
      </c>
      <c r="D163" s="297"/>
      <c r="E163" s="297"/>
      <c r="F163" s="297">
        <f>F161+F162</f>
        <v>40165.588187842804</v>
      </c>
      <c r="G163" s="297"/>
      <c r="H163" s="297"/>
      <c r="I163" s="297">
        <f ca="1">I161+I162</f>
        <v>41132.588187842804</v>
      </c>
      <c r="J163" s="51"/>
      <c r="K163" s="297"/>
      <c r="L163" s="297"/>
      <c r="M163" s="297" t="e">
        <f>M161+M162</f>
        <v>#DIV/0!</v>
      </c>
      <c r="N163" s="297"/>
      <c r="O163" s="297"/>
      <c r="P163" s="297"/>
      <c r="Q163" s="297" t="e">
        <f>Q161+Q162</f>
        <v>#DIV/0!</v>
      </c>
      <c r="R163" s="297"/>
      <c r="S163" s="297"/>
      <c r="T163" s="297"/>
      <c r="U163" s="297" t="e">
        <f ca="1">U161+U162</f>
        <v>#DIV/0!</v>
      </c>
      <c r="V163" s="396"/>
      <c r="W163" s="455"/>
      <c r="X163" s="74"/>
      <c r="Y163" s="74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R163" s="84"/>
    </row>
    <row r="164" spans="1:51" ht="16.5" hidden="1" thickTop="1">
      <c r="A164" s="1"/>
      <c r="B164" s="298"/>
      <c r="C164" s="21"/>
      <c r="D164" s="1" t="s">
        <v>31</v>
      </c>
      <c r="E164" s="1"/>
      <c r="G164" s="1" t="s">
        <v>31</v>
      </c>
      <c r="H164" s="1"/>
      <c r="I164" s="2" t="s">
        <v>31</v>
      </c>
      <c r="J164" s="2"/>
      <c r="K164" s="1" t="s">
        <v>31</v>
      </c>
      <c r="L164" s="1"/>
      <c r="M164" s="2" t="s">
        <v>31</v>
      </c>
      <c r="N164" s="2"/>
      <c r="O164" s="1" t="s">
        <v>31</v>
      </c>
      <c r="P164" s="1"/>
      <c r="Q164" s="2" t="s">
        <v>31</v>
      </c>
      <c r="R164" s="2"/>
      <c r="S164" s="1" t="s">
        <v>31</v>
      </c>
      <c r="T164" s="1"/>
      <c r="U164" s="2" t="s">
        <v>31</v>
      </c>
      <c r="V164" s="20"/>
      <c r="W164" s="74"/>
      <c r="X164" s="74"/>
      <c r="Y164" s="74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R164" s="84"/>
    </row>
    <row r="165" spans="1:51" ht="16.5" thickTop="1">
      <c r="A165" s="278" t="s">
        <v>377</v>
      </c>
      <c r="B165" s="1"/>
      <c r="C165" s="1" t="s">
        <v>31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20"/>
      <c r="W165" s="74"/>
      <c r="X165" s="74"/>
      <c r="Y165" s="74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R165" s="84"/>
    </row>
    <row r="166" spans="1:51">
      <c r="A166" s="1" t="s">
        <v>378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20"/>
      <c r="W166" s="74"/>
      <c r="X166" s="74"/>
      <c r="Y166" s="74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R166" s="84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20"/>
      <c r="X167" s="74"/>
      <c r="Y167" s="74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R167" s="84"/>
    </row>
    <row r="168" spans="1:51">
      <c r="A168" s="1" t="s">
        <v>379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20"/>
      <c r="W168" s="74"/>
      <c r="X168" s="766" t="s">
        <v>625</v>
      </c>
      <c r="Y168" s="766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R168" s="84"/>
    </row>
    <row r="169" spans="1:51">
      <c r="A169" s="1" t="s">
        <v>380</v>
      </c>
      <c r="B169" s="1"/>
      <c r="C169" s="21">
        <f>C492</f>
        <v>2</v>
      </c>
      <c r="D169" s="283">
        <f>'Rate Design Work eff 9-15-17'!D168</f>
        <v>117.12</v>
      </c>
      <c r="E169" s="1"/>
      <c r="F169" s="2">
        <f t="shared" ref="F169:F171" si="19">F457</f>
        <v>234</v>
      </c>
      <c r="G169" s="286">
        <f ca="1">'Rate Design Work eff 9-15-17'!G168</f>
        <v>119.88</v>
      </c>
      <c r="H169" s="1"/>
      <c r="I169" s="2">
        <f ca="1">I457</f>
        <v>240</v>
      </c>
      <c r="J169" s="2"/>
      <c r="K169" s="286">
        <f ca="1">'Rate Design Work eff 10-14-16'!K168</f>
        <v>117.12</v>
      </c>
      <c r="L169" s="1"/>
      <c r="M169" s="2">
        <f ca="1">'Rate Design Work eff 10-14-16'!M168</f>
        <v>234</v>
      </c>
      <c r="N169" s="2"/>
      <c r="O169" s="286" t="str">
        <f>'Rate Design Work eff 10-14-16'!O168</f>
        <v xml:space="preserve"> </v>
      </c>
      <c r="P169" s="1"/>
      <c r="Q169" s="2">
        <f>O169*C169</f>
        <v>0</v>
      </c>
      <c r="R169" s="2"/>
      <c r="S169" s="286" t="str">
        <f>'Rate Design Work eff 10-14-16'!S168</f>
        <v xml:space="preserve"> </v>
      </c>
      <c r="T169" s="1"/>
      <c r="U169" s="2">
        <f>S169*C169</f>
        <v>0</v>
      </c>
      <c r="X169" s="55">
        <f ca="1">(G169-D169)/D169</f>
        <v>2.3565573770491725E-2</v>
      </c>
      <c r="Y169" s="55"/>
      <c r="AB169" s="53"/>
      <c r="AD169" s="53"/>
      <c r="AF169" s="53"/>
      <c r="AG169" s="53"/>
      <c r="AR169" s="20"/>
      <c r="AS169" s="20"/>
      <c r="AT169" s="20"/>
      <c r="AU169" s="20"/>
      <c r="AV169" s="20"/>
      <c r="AW169" s="20"/>
      <c r="AY169" s="84"/>
    </row>
    <row r="170" spans="1:51">
      <c r="A170" s="1" t="s">
        <v>381</v>
      </c>
      <c r="B170" s="1"/>
      <c r="C170" s="21">
        <f>C458</f>
        <v>82.084931506849301</v>
      </c>
      <c r="D170" s="283">
        <f>'Rate Design Work eff 9-15-17'!D169</f>
        <v>174.48</v>
      </c>
      <c r="E170" s="1"/>
      <c r="F170" s="2">
        <f t="shared" si="19"/>
        <v>14322</v>
      </c>
      <c r="G170" s="286">
        <f ca="1">'Rate Design Work eff 9-15-17'!G169</f>
        <v>178.68</v>
      </c>
      <c r="H170" s="1"/>
      <c r="I170" s="2">
        <f ca="1">I458</f>
        <v>14667</v>
      </c>
      <c r="J170" s="2"/>
      <c r="K170" s="286">
        <f ca="1">'Rate Design Work eff 10-14-16'!K169</f>
        <v>174.48</v>
      </c>
      <c r="L170" s="1"/>
      <c r="M170" s="2">
        <f ca="1">'Rate Design Work eff 10-14-16'!M169</f>
        <v>14322</v>
      </c>
      <c r="N170" s="2"/>
      <c r="O170" s="286" t="str">
        <f>'Rate Design Work eff 10-14-16'!O169</f>
        <v xml:space="preserve"> </v>
      </c>
      <c r="P170" s="1"/>
      <c r="Q170" s="2">
        <f>O170*C170</f>
        <v>0</v>
      </c>
      <c r="R170" s="2"/>
      <c r="S170" s="286" t="str">
        <f>'Rate Design Work eff 10-14-16'!S169</f>
        <v xml:space="preserve"> </v>
      </c>
      <c r="T170" s="1"/>
      <c r="U170" s="2">
        <f>S170*C170</f>
        <v>0</v>
      </c>
      <c r="V170" s="84"/>
      <c r="X170" s="55">
        <f ca="1">(G170-D170)/D170</f>
        <v>2.4071526822558559E-2</v>
      </c>
      <c r="Y170" s="55"/>
      <c r="AA170" s="84"/>
      <c r="AB170" s="713"/>
      <c r="AC170" s="84"/>
      <c r="AD170" s="713"/>
      <c r="AE170" s="84"/>
      <c r="AF170" s="84"/>
      <c r="AG170" s="713"/>
      <c r="AH170" s="222"/>
      <c r="AI170" s="84"/>
      <c r="AJ170" s="84"/>
      <c r="AR170" s="20"/>
      <c r="AS170" s="20"/>
      <c r="AT170" s="20"/>
      <c r="AU170" s="20"/>
      <c r="AV170" s="20"/>
      <c r="AW170" s="20"/>
      <c r="AY170" s="84"/>
    </row>
    <row r="171" spans="1:51">
      <c r="A171" s="1" t="s">
        <v>382</v>
      </c>
      <c r="B171" s="1"/>
      <c r="C171" s="21">
        <f>C459</f>
        <v>2770.9452054794501</v>
      </c>
      <c r="D171" s="283">
        <f>'Rate Design Work eff 9-15-17'!D170</f>
        <v>12.24</v>
      </c>
      <c r="E171" s="1"/>
      <c r="F171" s="2">
        <f t="shared" si="19"/>
        <v>33916</v>
      </c>
      <c r="G171" s="286">
        <f ca="1">'Rate Design Work eff 9-15-17'!G170</f>
        <v>12.48</v>
      </c>
      <c r="H171" s="1"/>
      <c r="I171" s="2">
        <f ca="1">I459</f>
        <v>34581</v>
      </c>
      <c r="J171" s="2"/>
      <c r="K171" s="286">
        <f ca="1">'Rate Design Work eff 10-14-16'!K170</f>
        <v>12.24</v>
      </c>
      <c r="L171" s="1"/>
      <c r="M171" s="2">
        <f ca="1">'Rate Design Work eff 10-14-16'!M170</f>
        <v>33916</v>
      </c>
      <c r="N171" s="2"/>
      <c r="O171" s="286" t="str">
        <f>'Rate Design Work eff 10-14-16'!O170</f>
        <v xml:space="preserve"> </v>
      </c>
      <c r="P171" s="1"/>
      <c r="Q171" s="2">
        <f>O171*C171</f>
        <v>0</v>
      </c>
      <c r="R171" s="2"/>
      <c r="S171" s="286" t="str">
        <f>'Rate Design Work eff 10-14-16'!S170</f>
        <v xml:space="preserve"> </v>
      </c>
      <c r="T171" s="1"/>
      <c r="U171" s="2">
        <f>S171*C171</f>
        <v>0</v>
      </c>
      <c r="X171" s="55">
        <f ca="1">(G171-D171)/D171</f>
        <v>1.9607843137254919E-2</v>
      </c>
      <c r="Y171" s="55"/>
      <c r="AA171" s="84"/>
      <c r="AB171" s="713"/>
      <c r="AC171" s="84"/>
      <c r="AD171" s="713"/>
      <c r="AE171" s="84"/>
      <c r="AF171" s="84"/>
      <c r="AG171" s="713"/>
      <c r="AH171" s="222"/>
      <c r="AI171" s="84"/>
      <c r="AJ171" s="84"/>
      <c r="AR171" s="20"/>
      <c r="AS171" s="20"/>
      <c r="AT171" s="20"/>
      <c r="AU171" s="20"/>
      <c r="AV171" s="20"/>
      <c r="AW171" s="20"/>
      <c r="AY171" s="84"/>
    </row>
    <row r="172" spans="1:51">
      <c r="A172" s="1" t="s">
        <v>383</v>
      </c>
      <c r="B172" s="1"/>
      <c r="C172" s="304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305"/>
      <c r="Y172" s="305"/>
      <c r="AA172" s="84"/>
      <c r="AB172" s="713"/>
      <c r="AC172" s="84"/>
      <c r="AD172" s="713"/>
      <c r="AE172" s="84"/>
      <c r="AF172" s="84"/>
      <c r="AG172" s="713"/>
      <c r="AH172" s="222"/>
      <c r="AI172" s="84"/>
      <c r="AJ172" s="84"/>
      <c r="AR172" s="20"/>
      <c r="AS172" s="20"/>
      <c r="AT172" s="20"/>
      <c r="AU172" s="20"/>
      <c r="AV172" s="20"/>
      <c r="AW172" s="20"/>
      <c r="AY172" s="84"/>
    </row>
    <row r="173" spans="1:51">
      <c r="A173" s="1" t="s">
        <v>380</v>
      </c>
      <c r="B173" s="1"/>
      <c r="C173" s="304">
        <f>C214+C351</f>
        <v>166474.82968162166</v>
      </c>
      <c r="D173" s="283">
        <f>'Rate Design Work eff 9-15-17'!D172</f>
        <v>9.76</v>
      </c>
      <c r="E173" s="308"/>
      <c r="F173" s="307">
        <f>F214+F351</f>
        <v>1624794</v>
      </c>
      <c r="G173" s="286">
        <f ca="1">'Rate Design Work eff 9-15-17'!G172</f>
        <v>9.99</v>
      </c>
      <c r="H173" s="308"/>
      <c r="I173" s="307">
        <f ca="1">I214+I351</f>
        <v>1663084</v>
      </c>
      <c r="J173" s="307"/>
      <c r="K173" s="286">
        <f ca="1">'Rate Design Work eff 10-14-16'!K172</f>
        <v>9.76</v>
      </c>
      <c r="L173" s="308"/>
      <c r="M173" s="2">
        <f ca="1">'Rate Design Work eff 10-14-16'!M172</f>
        <v>1624795</v>
      </c>
      <c r="N173" s="307"/>
      <c r="O173" s="286" t="str">
        <f>'Rate Design Work eff 10-14-16'!O172</f>
        <v xml:space="preserve"> </v>
      </c>
      <c r="P173" s="308"/>
      <c r="Q173" s="2">
        <f>O173*C173</f>
        <v>0</v>
      </c>
      <c r="R173" s="307"/>
      <c r="S173" s="286" t="str">
        <f>'Rate Design Work eff 10-14-16'!S172</f>
        <v xml:space="preserve"> </v>
      </c>
      <c r="T173" s="308"/>
      <c r="U173" s="2">
        <f>S173*C173</f>
        <v>0</v>
      </c>
      <c r="X173" s="55">
        <f ca="1">(G173-D173)/D173</f>
        <v>2.3565573770491847E-2</v>
      </c>
      <c r="Y173" s="55"/>
      <c r="AA173" s="84"/>
      <c r="AB173" s="713"/>
      <c r="AC173" s="84"/>
      <c r="AD173" s="713"/>
      <c r="AE173" s="84"/>
      <c r="AF173" s="84"/>
      <c r="AG173" s="713"/>
      <c r="AH173" s="222"/>
      <c r="AI173" s="84"/>
      <c r="AJ173" s="84"/>
      <c r="AR173" s="20"/>
      <c r="AS173" s="20"/>
      <c r="AT173" s="20"/>
      <c r="AU173" s="20"/>
      <c r="AV173" s="20"/>
      <c r="AW173" s="20"/>
      <c r="AY173" s="84"/>
    </row>
    <row r="174" spans="1:51">
      <c r="A174" s="1" t="s">
        <v>381</v>
      </c>
      <c r="B174" s="1"/>
      <c r="C174" s="304">
        <f>C215+C352</f>
        <v>64148.300000000723</v>
      </c>
      <c r="D174" s="283">
        <f>'Rate Design Work eff 9-15-17'!D173</f>
        <v>14.54</v>
      </c>
      <c r="E174" s="310"/>
      <c r="F174" s="307">
        <f>F215+F352</f>
        <v>932716</v>
      </c>
      <c r="G174" s="286">
        <f ca="1">'Rate Design Work eff 9-15-17'!G173</f>
        <v>14.89</v>
      </c>
      <c r="H174" s="310"/>
      <c r="I174" s="307">
        <f ca="1">I215+I352</f>
        <v>955168</v>
      </c>
      <c r="J174" s="307"/>
      <c r="K174" s="286">
        <f ca="1">'Rate Design Work eff 10-14-16'!K173</f>
        <v>14.54</v>
      </c>
      <c r="L174" s="310"/>
      <c r="M174" s="2">
        <f ca="1">'Rate Design Work eff 10-14-16'!M173</f>
        <v>932716</v>
      </c>
      <c r="N174" s="307"/>
      <c r="O174" s="286" t="str">
        <f>'Rate Design Work eff 10-14-16'!O173</f>
        <v xml:space="preserve"> </v>
      </c>
      <c r="P174" s="310"/>
      <c r="Q174" s="2">
        <f>O174*C174</f>
        <v>0</v>
      </c>
      <c r="R174" s="307"/>
      <c r="S174" s="286" t="str">
        <f>'Rate Design Work eff 10-14-16'!S173</f>
        <v xml:space="preserve"> </v>
      </c>
      <c r="T174" s="310"/>
      <c r="U174" s="2">
        <f>S174*C174</f>
        <v>0</v>
      </c>
      <c r="X174" s="55">
        <f ca="1">(G174-D174)/D174</f>
        <v>2.4071526822558559E-2</v>
      </c>
      <c r="Y174" s="55"/>
      <c r="Z174" s="69"/>
      <c r="AA174" s="84"/>
      <c r="AB174" s="713"/>
      <c r="AC174" s="84"/>
      <c r="AD174" s="712"/>
      <c r="AE174" s="84"/>
      <c r="AF174" s="84"/>
      <c r="AG174" s="712"/>
      <c r="AI174" s="20"/>
      <c r="AJ174" s="20"/>
      <c r="AK174" s="20"/>
      <c r="AL174" s="20"/>
      <c r="AM174" s="20"/>
      <c r="AN174" s="20"/>
      <c r="AO174" s="20"/>
      <c r="AP174" s="20"/>
      <c r="AR174" s="84"/>
    </row>
    <row r="175" spans="1:51">
      <c r="A175" s="1" t="s">
        <v>382</v>
      </c>
      <c r="B175" s="1"/>
      <c r="C175" s="304">
        <f>C216+C353</f>
        <v>1035367</v>
      </c>
      <c r="D175" s="283">
        <f>'Rate Design Work eff 9-15-17'!D174</f>
        <v>1.02</v>
      </c>
      <c r="E175" s="310"/>
      <c r="F175" s="307">
        <f>F216+F353</f>
        <v>1056074</v>
      </c>
      <c r="G175" s="286">
        <f ca="1">'Rate Design Work eff 9-15-17'!G174</f>
        <v>1.04</v>
      </c>
      <c r="H175" s="310"/>
      <c r="I175" s="307">
        <f ca="1">I216+I353</f>
        <v>1076781</v>
      </c>
      <c r="J175" s="307"/>
      <c r="K175" s="286">
        <f ca="1">'Rate Design Work eff 10-14-16'!K174</f>
        <v>1.02</v>
      </c>
      <c r="L175" s="310"/>
      <c r="M175" s="2">
        <f ca="1">'Rate Design Work eff 10-14-16'!M174</f>
        <v>1056074</v>
      </c>
      <c r="N175" s="307"/>
      <c r="O175" s="286" t="str">
        <f>'Rate Design Work eff 10-14-16'!O174</f>
        <v xml:space="preserve"> </v>
      </c>
      <c r="P175" s="310"/>
      <c r="Q175" s="2">
        <f>O175*C175</f>
        <v>0</v>
      </c>
      <c r="R175" s="307"/>
      <c r="S175" s="286" t="str">
        <f>'Rate Design Work eff 10-14-16'!S174</f>
        <v xml:space="preserve"> </v>
      </c>
      <c r="T175" s="310"/>
      <c r="U175" s="2">
        <f>S175*C175</f>
        <v>0</v>
      </c>
      <c r="X175" s="55">
        <f ca="1">(G175-D175)/D175</f>
        <v>1.9607843137254919E-2</v>
      </c>
      <c r="Y175" s="55"/>
      <c r="Z175" s="69"/>
      <c r="AC175" s="15"/>
      <c r="AD175" s="15"/>
      <c r="AE175" s="15"/>
      <c r="AF175" s="15"/>
      <c r="AG175" s="15"/>
      <c r="AI175" s="20"/>
      <c r="AJ175" s="20"/>
      <c r="AK175" s="20"/>
      <c r="AL175" s="20"/>
      <c r="AM175" s="20"/>
      <c r="AN175" s="20"/>
      <c r="AO175" s="20"/>
      <c r="AP175" s="20"/>
      <c r="AR175" s="84"/>
    </row>
    <row r="176" spans="1:51">
      <c r="A176" s="1" t="s">
        <v>384</v>
      </c>
      <c r="B176" s="1"/>
      <c r="C176" s="304">
        <f>SUM(C173:C174)</f>
        <v>230623.12968162238</v>
      </c>
      <c r="D176" s="283"/>
      <c r="E176" s="308"/>
      <c r="F176" s="307"/>
      <c r="G176" s="286"/>
      <c r="H176" s="308"/>
      <c r="I176" s="307"/>
      <c r="J176" s="307"/>
      <c r="K176" s="286"/>
      <c r="L176" s="308"/>
      <c r="M176" s="307"/>
      <c r="N176" s="307"/>
      <c r="O176" s="286"/>
      <c r="P176" s="308"/>
      <c r="Q176" s="307"/>
      <c r="R176" s="307"/>
      <c r="S176" s="286"/>
      <c r="T176" s="308"/>
      <c r="U176" s="307"/>
      <c r="X176" s="305"/>
      <c r="Y176" s="305"/>
      <c r="Z176" s="69"/>
      <c r="AI176" s="20"/>
      <c r="AJ176" s="20"/>
      <c r="AK176" s="20"/>
      <c r="AL176" s="20"/>
      <c r="AM176" s="20"/>
      <c r="AN176" s="20"/>
      <c r="AO176" s="20"/>
      <c r="AP176" s="20"/>
      <c r="AR176" s="84"/>
    </row>
    <row r="177" spans="1:44">
      <c r="A177" s="1" t="s">
        <v>352</v>
      </c>
      <c r="B177" s="1"/>
      <c r="C177" s="304">
        <f t="shared" ref="C177:C182" si="20">C217+C355+C461</f>
        <v>228552.50150792321</v>
      </c>
      <c r="D177" s="283"/>
      <c r="E177" s="308"/>
      <c r="F177" s="307"/>
      <c r="G177" s="286"/>
      <c r="H177" s="308"/>
      <c r="I177" s="307"/>
      <c r="J177" s="307"/>
      <c r="K177" s="286"/>
      <c r="L177" s="308"/>
      <c r="M177" s="307"/>
      <c r="N177" s="307"/>
      <c r="O177" s="286"/>
      <c r="P177" s="308"/>
      <c r="Q177" s="307"/>
      <c r="R177" s="307"/>
      <c r="S177" s="286"/>
      <c r="T177" s="308"/>
      <c r="U177" s="307"/>
      <c r="X177" s="305"/>
      <c r="Y177" s="305"/>
      <c r="Z177" s="69"/>
      <c r="AI177" s="20"/>
      <c r="AJ177" s="20"/>
      <c r="AK177" s="20"/>
      <c r="AL177" s="20"/>
      <c r="AM177" s="20"/>
      <c r="AN177" s="20"/>
      <c r="AO177" s="20"/>
      <c r="AP177" s="20"/>
      <c r="AR177" s="84"/>
    </row>
    <row r="178" spans="1:44">
      <c r="A178" s="1" t="s">
        <v>385</v>
      </c>
      <c r="B178" s="1"/>
      <c r="C178" s="304">
        <f t="shared" si="20"/>
        <v>844065.53671882139</v>
      </c>
      <c r="D178" s="283">
        <f>'Rate Design Work eff 9-15-17'!D177</f>
        <v>3.7</v>
      </c>
      <c r="E178" s="308"/>
      <c r="F178" s="307">
        <f>F218+F356+F462</f>
        <v>3123042</v>
      </c>
      <c r="G178" s="286">
        <f ca="1">'Rate Design Work eff 9-15-17'!G177</f>
        <v>3.8</v>
      </c>
      <c r="H178" s="308"/>
      <c r="I178" s="307">
        <f t="shared" ref="I178:I185" ca="1" si="21">I218+I356+I462</f>
        <v>3207448</v>
      </c>
      <c r="J178" s="307"/>
      <c r="K178" s="286" t="e">
        <f ca="1">'Rate Design Work eff 10-14-16'!K177</f>
        <v>#REF!</v>
      </c>
      <c r="L178" s="1" t="s">
        <v>31</v>
      </c>
      <c r="M178" s="2" t="e">
        <f ca="1">'Rate Design Work eff 10-14-16'!M177</f>
        <v>#REF!</v>
      </c>
      <c r="N178" s="1" t="s">
        <v>31</v>
      </c>
      <c r="O178" s="286" t="e">
        <f ca="1">'Rate Design Work eff 10-14-16'!O177</f>
        <v>#DIV/0!</v>
      </c>
      <c r="P178" s="1" t="s">
        <v>31</v>
      </c>
      <c r="Q178" s="2" t="e">
        <f ca="1">'Rate Design Work eff 10-14-16'!Q177</f>
        <v>#DIV/0!</v>
      </c>
      <c r="R178" s="2"/>
      <c r="S178" s="286" t="e">
        <f ca="1">'Rate Design Work eff 10-14-16'!S177</f>
        <v>#DIV/0!</v>
      </c>
      <c r="T178" s="1" t="s">
        <v>31</v>
      </c>
      <c r="U178" s="2" t="e">
        <f ca="1">'Rate Design Work eff 10-14-16'!U177</f>
        <v>#DIV/0!</v>
      </c>
      <c r="X178" s="55">
        <f ca="1">(G178-D178)/D178</f>
        <v>2.7027027027026931E-2</v>
      </c>
      <c r="Y178" s="55"/>
      <c r="Z178" s="69"/>
      <c r="AI178" s="20"/>
      <c r="AJ178" s="20"/>
      <c r="AK178" s="20"/>
      <c r="AL178" s="20"/>
      <c r="AM178" s="20"/>
      <c r="AN178" s="20"/>
      <c r="AO178" s="20"/>
      <c r="AP178" s="20"/>
      <c r="AR178" s="84"/>
    </row>
    <row r="179" spans="1:44">
      <c r="A179" s="1" t="s">
        <v>387</v>
      </c>
      <c r="B179" s="1"/>
      <c r="C179" s="304">
        <f t="shared" si="20"/>
        <v>130952667.91217485</v>
      </c>
      <c r="D179" s="284">
        <f>'Rate Design Work eff 9-15-17'!D178</f>
        <v>10.628</v>
      </c>
      <c r="E179" s="308" t="s">
        <v>364</v>
      </c>
      <c r="F179" s="307">
        <f>F219+F357+F463</f>
        <v>13917649</v>
      </c>
      <c r="G179" s="771">
        <f ca="1">'Rate Design Work eff 9-15-17'!G178</f>
        <v>10.878</v>
      </c>
      <c r="H179" s="308" t="s">
        <v>364</v>
      </c>
      <c r="I179" s="307">
        <f t="shared" ca="1" si="21"/>
        <v>14245033</v>
      </c>
      <c r="J179" s="307"/>
      <c r="K179" s="771" t="e">
        <f ca="1">'Rate Design Work eff 10-14-16'!K178</f>
        <v>#REF!</v>
      </c>
      <c r="L179" s="1126" t="s">
        <v>364</v>
      </c>
      <c r="M179" s="2" t="e">
        <f ca="1">'Rate Design Work eff 10-14-16'!M178</f>
        <v>#REF!</v>
      </c>
      <c r="N179" s="307"/>
      <c r="O179" s="771" t="e">
        <f ca="1">'Rate Design Work eff 10-14-16'!O178</f>
        <v>#DIV/0!</v>
      </c>
      <c r="P179" s="308" t="s">
        <v>364</v>
      </c>
      <c r="Q179" s="2" t="e">
        <f ca="1">'Rate Design Work eff 10-14-16'!Q178</f>
        <v>#DIV/0!</v>
      </c>
      <c r="R179" s="307"/>
      <c r="S179" s="771" t="e">
        <f ca="1">'Rate Design Work eff 10-14-16'!S178</f>
        <v>#DIV/0!</v>
      </c>
      <c r="T179" s="308" t="s">
        <v>364</v>
      </c>
      <c r="U179" s="2" t="e">
        <f ca="1">'Rate Design Work eff 10-14-16'!U178</f>
        <v>#DIV/0!</v>
      </c>
      <c r="X179" s="55">
        <f ca="1">((G179+G183)-D179)/D179</f>
        <v>2.3522770041400076E-2</v>
      </c>
      <c r="Y179" s="55"/>
      <c r="Z179" s="69"/>
      <c r="AA179" s="221"/>
      <c r="AB179" s="221"/>
      <c r="AC179" s="221"/>
      <c r="AD179" s="221"/>
      <c r="AE179" s="221"/>
      <c r="AF179" s="221"/>
      <c r="AI179" s="20"/>
      <c r="AJ179" s="20"/>
      <c r="AK179" s="20"/>
      <c r="AL179" s="20"/>
      <c r="AM179" s="20"/>
      <c r="AN179" s="20"/>
      <c r="AO179" s="20"/>
      <c r="AP179" s="20"/>
      <c r="AR179" s="84"/>
    </row>
    <row r="180" spans="1:44">
      <c r="A180" s="1" t="s">
        <v>388</v>
      </c>
      <c r="B180" s="1"/>
      <c r="C180" s="304">
        <f t="shared" si="20"/>
        <v>281502228.69846565</v>
      </c>
      <c r="D180" s="284">
        <f>'Rate Design Work eff 9-15-17'!D179</f>
        <v>7.3410000000000002</v>
      </c>
      <c r="E180" s="308" t="s">
        <v>364</v>
      </c>
      <c r="F180" s="307">
        <f>F220+F358+F464</f>
        <v>20665077</v>
      </c>
      <c r="G180" s="771">
        <f ca="1">'Rate Design Work eff 9-15-17'!G179</f>
        <v>7.5140000000000002</v>
      </c>
      <c r="H180" s="308" t="s">
        <v>364</v>
      </c>
      <c r="I180" s="307">
        <f t="shared" ca="1" si="21"/>
        <v>21152078</v>
      </c>
      <c r="J180" s="307"/>
      <c r="K180" s="771" t="e">
        <f ca="1">'Rate Design Work eff 10-14-16'!K179</f>
        <v>#REF!</v>
      </c>
      <c r="L180" s="1126" t="s">
        <v>364</v>
      </c>
      <c r="M180" s="2" t="e">
        <f ca="1">'Rate Design Work eff 10-14-16'!M179</f>
        <v>#REF!</v>
      </c>
      <c r="N180" s="307"/>
      <c r="O180" s="771" t="e">
        <f ca="1">'Rate Design Work eff 10-14-16'!O179</f>
        <v>#DIV/0!</v>
      </c>
      <c r="P180" s="308" t="s">
        <v>364</v>
      </c>
      <c r="Q180" s="2" t="e">
        <f ca="1">'Rate Design Work eff 10-14-16'!Q179</f>
        <v>#DIV/0!</v>
      </c>
      <c r="R180" s="307"/>
      <c r="S180" s="771" t="e">
        <f ca="1">'Rate Design Work eff 10-14-16'!S179</f>
        <v>#DIV/0!</v>
      </c>
      <c r="T180" s="308" t="s">
        <v>364</v>
      </c>
      <c r="U180" s="2" t="e">
        <f ca="1">'Rate Design Work eff 10-14-16'!U179</f>
        <v>#DIV/0!</v>
      </c>
      <c r="V180" s="314"/>
      <c r="X180" s="55">
        <f ca="1">((G180+G184)-D180)/D180</f>
        <v>2.3566271625119199E-2</v>
      </c>
      <c r="Y180" s="55"/>
      <c r="Z180" s="69"/>
      <c r="AI180" s="20"/>
      <c r="AJ180" s="20"/>
      <c r="AK180" s="20"/>
      <c r="AL180" s="20"/>
      <c r="AM180" s="20"/>
      <c r="AN180" s="20"/>
      <c r="AO180" s="20"/>
      <c r="AP180" s="20"/>
      <c r="AR180" s="84"/>
    </row>
    <row r="181" spans="1:44">
      <c r="A181" s="1" t="s">
        <v>389</v>
      </c>
      <c r="B181" s="1"/>
      <c r="C181" s="304">
        <f t="shared" si="20"/>
        <v>119991272.36558694</v>
      </c>
      <c r="D181" s="284">
        <f>'Rate Design Work eff 9-15-17'!D180</f>
        <v>6.3240000000000007</v>
      </c>
      <c r="E181" s="308" t="s">
        <v>364</v>
      </c>
      <c r="F181" s="307">
        <f>F221+F359+F465</f>
        <v>7588248</v>
      </c>
      <c r="G181" s="771">
        <f ca="1">'Rate Design Work eff 9-15-17'!G180</f>
        <v>6.4720000000000004</v>
      </c>
      <c r="H181" s="308" t="s">
        <v>364</v>
      </c>
      <c r="I181" s="307">
        <f t="shared" ca="1" si="21"/>
        <v>7765836</v>
      </c>
      <c r="J181" s="307"/>
      <c r="K181" s="771" t="e">
        <f ca="1">'Rate Design Work eff 10-14-16'!K180</f>
        <v>#REF!</v>
      </c>
      <c r="L181" s="1126" t="s">
        <v>364</v>
      </c>
      <c r="M181" s="2" t="e">
        <f ca="1">'Rate Design Work eff 10-14-16'!M180</f>
        <v>#REF!</v>
      </c>
      <c r="N181" s="307"/>
      <c r="O181" s="771" t="e">
        <f ca="1">'Rate Design Work eff 10-14-16'!O180</f>
        <v>#DIV/0!</v>
      </c>
      <c r="P181" s="308" t="s">
        <v>364</v>
      </c>
      <c r="Q181" s="2" t="e">
        <f ca="1">'Rate Design Work eff 10-14-16'!Q180</f>
        <v>#DIV/0!</v>
      </c>
      <c r="R181" s="307"/>
      <c r="S181" s="771" t="e">
        <f ca="1">'Rate Design Work eff 10-14-16'!S180</f>
        <v>#DIV/0!</v>
      </c>
      <c r="T181" s="308" t="s">
        <v>364</v>
      </c>
      <c r="U181" s="2" t="e">
        <f ca="1">'Rate Design Work eff 10-14-16'!U180</f>
        <v>#DIV/0!</v>
      </c>
      <c r="V181" s="285"/>
      <c r="X181" s="55">
        <f ca="1">((G181+G185)-D181)/D181</f>
        <v>2.3402909550917089E-2</v>
      </c>
      <c r="Y181" s="55"/>
      <c r="Z181" s="69"/>
      <c r="AA181" s="84"/>
      <c r="AB181" s="84"/>
      <c r="AI181" s="20"/>
      <c r="AJ181" s="20"/>
      <c r="AK181" s="20"/>
      <c r="AL181" s="20"/>
      <c r="AM181" s="20"/>
      <c r="AN181" s="20"/>
      <c r="AO181" s="20"/>
      <c r="AP181" s="20"/>
      <c r="AR181" s="84"/>
    </row>
    <row r="182" spans="1:44">
      <c r="A182" s="1" t="s">
        <v>390</v>
      </c>
      <c r="B182" s="1"/>
      <c r="C182" s="304">
        <f t="shared" si="20"/>
        <v>122445.59285714269</v>
      </c>
      <c r="D182" s="315">
        <f>'Rate Design Work eff 9-15-17'!D181</f>
        <v>57</v>
      </c>
      <c r="E182" s="308" t="s">
        <v>364</v>
      </c>
      <c r="F182" s="307">
        <f>F222+F360+F466</f>
        <v>69794</v>
      </c>
      <c r="G182" s="772">
        <f ca="1">'Rate Design Work eff 9-15-17'!G181</f>
        <v>58</v>
      </c>
      <c r="H182" s="308" t="s">
        <v>364</v>
      </c>
      <c r="I182" s="307">
        <f t="shared" ca="1" si="21"/>
        <v>71019</v>
      </c>
      <c r="J182" s="307"/>
      <c r="K182" s="772" t="str">
        <f>'Rate Design Work eff 10-14-16'!K181</f>
        <v xml:space="preserve"> </v>
      </c>
      <c r="L182" s="308"/>
      <c r="M182" s="999">
        <f>K182*C182</f>
        <v>0</v>
      </c>
      <c r="N182" s="307"/>
      <c r="O182" s="772" t="e">
        <f>'Rate Design Work eff 10-14-16'!O181</f>
        <v>#DIV/0!</v>
      </c>
      <c r="P182" s="308" t="s">
        <v>364</v>
      </c>
      <c r="Q182" s="2" t="e">
        <f>'Rate Design Work eff 10-14-16'!Q181</f>
        <v>#DIV/0!</v>
      </c>
      <c r="R182" s="307"/>
      <c r="S182" s="772" t="e">
        <f>'Rate Design Work eff 10-14-16'!S181</f>
        <v>#DIV/0!</v>
      </c>
      <c r="T182" s="308" t="s">
        <v>364</v>
      </c>
      <c r="U182" s="2" t="e">
        <f>'Rate Design Work eff 10-14-16'!U181</f>
        <v>#DIV/0!</v>
      </c>
      <c r="X182" s="55">
        <f ca="1">(G182-D182)/D182</f>
        <v>1.7543859649122806E-2</v>
      </c>
      <c r="Y182" s="55"/>
      <c r="Z182" s="69"/>
      <c r="AI182" s="20"/>
      <c r="AJ182" s="20"/>
      <c r="AK182" s="20"/>
      <c r="AL182" s="20"/>
      <c r="AM182" s="20"/>
      <c r="AN182" s="20"/>
      <c r="AO182" s="20"/>
      <c r="AP182" s="20"/>
      <c r="AR182" s="84"/>
    </row>
    <row r="183" spans="1:44" s="1118" customFormat="1" hidden="1">
      <c r="A183" s="968" t="s">
        <v>888</v>
      </c>
      <c r="C183" s="987">
        <f>C179</f>
        <v>130952667.91217485</v>
      </c>
      <c r="D183" s="254">
        <f>'Rate Design Work eff 9-15-17'!D182</f>
        <v>0</v>
      </c>
      <c r="E183" s="1119"/>
      <c r="F183" s="1123"/>
      <c r="G183" s="771">
        <f>'Rate Design Work eff 9-15-17'!G182</f>
        <v>0</v>
      </c>
      <c r="H183" s="972" t="s">
        <v>364</v>
      </c>
      <c r="I183" s="999">
        <f t="shared" si="21"/>
        <v>0</v>
      </c>
      <c r="J183" s="999"/>
      <c r="K183" s="771" t="str">
        <f>'Rate Design Work eff 10-14-16'!K182</f>
        <v xml:space="preserve"> </v>
      </c>
      <c r="L183" s="972"/>
      <c r="M183" s="999">
        <f>K183*C183</f>
        <v>0</v>
      </c>
      <c r="N183" s="999"/>
      <c r="O183" s="771" t="str">
        <f>'Rate Design Work eff 10-14-16'!O182</f>
        <v xml:space="preserve"> </v>
      </c>
      <c r="P183" s="972" t="s">
        <v>31</v>
      </c>
      <c r="Q183" s="999">
        <f>O183*C183</f>
        <v>0</v>
      </c>
      <c r="R183" s="999"/>
      <c r="S183" s="771">
        <f>'Rate Design Work eff 10-14-16'!S182</f>
        <v>0</v>
      </c>
      <c r="T183" s="972" t="s">
        <v>364</v>
      </c>
      <c r="U183" s="2">
        <f>'Rate Design Work eff 10-14-16'!U182</f>
        <v>0</v>
      </c>
      <c r="V183" s="1124"/>
      <c r="W183" s="784"/>
      <c r="Z183" s="1125"/>
      <c r="AA183" s="1125"/>
      <c r="AF183" s="1119"/>
      <c r="AG183" s="1119"/>
      <c r="AH183" s="1119"/>
      <c r="AI183" s="1119"/>
      <c r="AJ183" s="1119"/>
      <c r="AK183" s="1119"/>
      <c r="AL183" s="1119"/>
      <c r="AM183" s="1119"/>
      <c r="AN183" s="1119"/>
      <c r="AO183" s="1119"/>
      <c r="AP183" s="1119"/>
      <c r="AR183" s="1124"/>
    </row>
    <row r="184" spans="1:44" s="1118" customFormat="1" hidden="1">
      <c r="A184" s="968" t="s">
        <v>889</v>
      </c>
      <c r="C184" s="987">
        <f t="shared" ref="C184:C185" si="22">C180</f>
        <v>281502228.69846565</v>
      </c>
      <c r="D184" s="254">
        <f>'Rate Design Work eff 9-15-17'!D183</f>
        <v>0</v>
      </c>
      <c r="E184" s="1119"/>
      <c r="F184" s="1123"/>
      <c r="G184" s="771">
        <f>'Rate Design Work eff 9-15-17'!G183</f>
        <v>0</v>
      </c>
      <c r="H184" s="972" t="s">
        <v>364</v>
      </c>
      <c r="I184" s="999">
        <f t="shared" si="21"/>
        <v>0</v>
      </c>
      <c r="J184" s="999"/>
      <c r="K184" s="771" t="str">
        <f>'Rate Design Work eff 10-14-16'!K183</f>
        <v xml:space="preserve"> </v>
      </c>
      <c r="L184" s="972"/>
      <c r="M184" s="999">
        <f>K184*C184</f>
        <v>0</v>
      </c>
      <c r="N184" s="999"/>
      <c r="O184" s="771" t="str">
        <f>'Rate Design Work eff 10-14-16'!O183</f>
        <v xml:space="preserve"> </v>
      </c>
      <c r="P184" s="972" t="s">
        <v>31</v>
      </c>
      <c r="Q184" s="999">
        <f>O184*C184</f>
        <v>0</v>
      </c>
      <c r="R184" s="999"/>
      <c r="S184" s="771">
        <f>'Rate Design Work eff 10-14-16'!S183</f>
        <v>0</v>
      </c>
      <c r="T184" s="972" t="s">
        <v>364</v>
      </c>
      <c r="U184" s="2">
        <f>'Rate Design Work eff 10-14-16'!U183</f>
        <v>0</v>
      </c>
      <c r="W184" s="784"/>
      <c r="Z184" s="1125"/>
      <c r="AA184" s="1125"/>
      <c r="AF184" s="1119"/>
      <c r="AG184" s="1119"/>
      <c r="AH184" s="1119"/>
      <c r="AI184" s="1119"/>
      <c r="AJ184" s="1119"/>
      <c r="AK184" s="1119"/>
      <c r="AL184" s="1119"/>
      <c r="AM184" s="1119"/>
      <c r="AN184" s="1119"/>
      <c r="AO184" s="1119"/>
      <c r="AP184" s="1119"/>
      <c r="AR184" s="1124"/>
    </row>
    <row r="185" spans="1:44" s="1118" customFormat="1" hidden="1">
      <c r="A185" s="968" t="s">
        <v>890</v>
      </c>
      <c r="C185" s="987">
        <f t="shared" si="22"/>
        <v>119991272.36558694</v>
      </c>
      <c r="D185" s="254">
        <f>'Rate Design Work eff 9-15-17'!D184</f>
        <v>0</v>
      </c>
      <c r="E185" s="1119"/>
      <c r="F185" s="1123"/>
      <c r="G185" s="771">
        <f>'Rate Design Work eff 9-15-17'!G184</f>
        <v>0</v>
      </c>
      <c r="H185" s="972" t="s">
        <v>364</v>
      </c>
      <c r="I185" s="999">
        <f t="shared" ca="1" si="21"/>
        <v>8774</v>
      </c>
      <c r="J185" s="999"/>
      <c r="K185" s="771" t="str">
        <f>'Rate Design Work eff 10-14-16'!K184</f>
        <v xml:space="preserve"> </v>
      </c>
      <c r="L185" s="972"/>
      <c r="M185" s="999">
        <f>K185*C185</f>
        <v>0</v>
      </c>
      <c r="N185" s="999"/>
      <c r="O185" s="771" t="str">
        <f>'Rate Design Work eff 10-14-16'!O184</f>
        <v xml:space="preserve"> </v>
      </c>
      <c r="P185" s="972" t="s">
        <v>31</v>
      </c>
      <c r="Q185" s="999">
        <f>O185*C185</f>
        <v>0</v>
      </c>
      <c r="R185" s="999"/>
      <c r="S185" s="771">
        <f>'Rate Design Work eff 10-14-16'!S184</f>
        <v>0</v>
      </c>
      <c r="T185" s="972" t="s">
        <v>364</v>
      </c>
      <c r="U185" s="2">
        <f ca="1">'Rate Design Work eff 10-14-16'!U184</f>
        <v>8572</v>
      </c>
      <c r="W185" s="784"/>
      <c r="Z185" s="1125"/>
      <c r="AA185" s="1125"/>
      <c r="AF185" s="1119"/>
      <c r="AG185" s="1119"/>
      <c r="AH185" s="1119"/>
      <c r="AI185" s="1119"/>
      <c r="AJ185" s="1119"/>
      <c r="AK185" s="1119"/>
      <c r="AL185" s="1119"/>
      <c r="AM185" s="1119"/>
      <c r="AN185" s="1119"/>
      <c r="AO185" s="1119"/>
      <c r="AP185" s="1119"/>
      <c r="AR185" s="1124"/>
    </row>
    <row r="186" spans="1:44" s="1118" customFormat="1" hidden="1">
      <c r="A186" s="1255" t="s">
        <v>865</v>
      </c>
      <c r="B186" s="1256"/>
      <c r="C186" s="1262"/>
      <c r="D186" s="1260">
        <f>'Rate Design Work eff 9-15-17'!D185</f>
        <v>10.628</v>
      </c>
      <c r="E186" s="1263" t="s">
        <v>364</v>
      </c>
      <c r="F186" s="1259"/>
      <c r="G186" s="1260">
        <f ca="1">G179+G183</f>
        <v>10.878</v>
      </c>
      <c r="H186" s="1263" t="s">
        <v>364</v>
      </c>
      <c r="I186" s="1264"/>
      <c r="J186" s="1264"/>
      <c r="K186" s="1260" t="e">
        <f ca="1">K179+K183</f>
        <v>#REF!</v>
      </c>
      <c r="L186" s="1263" t="s">
        <v>364</v>
      </c>
      <c r="M186" s="1264"/>
      <c r="N186" s="1264"/>
      <c r="O186" s="1260" t="e">
        <f ca="1">O179+O183</f>
        <v>#DIV/0!</v>
      </c>
      <c r="P186" s="1263" t="s">
        <v>364</v>
      </c>
      <c r="Q186" s="1264"/>
      <c r="R186" s="1264"/>
      <c r="S186" s="1260" t="e">
        <f ca="1">S179+S183</f>
        <v>#DIV/0!</v>
      </c>
      <c r="T186" s="1263" t="s">
        <v>364</v>
      </c>
      <c r="U186" s="1264"/>
      <c r="W186" s="784"/>
      <c r="Z186" s="1125"/>
      <c r="AA186" s="1125"/>
      <c r="AF186" s="1119"/>
      <c r="AG186" s="1119"/>
      <c r="AH186" s="1119"/>
      <c r="AI186" s="1119"/>
      <c r="AJ186" s="1119"/>
      <c r="AK186" s="1119"/>
      <c r="AL186" s="1119"/>
      <c r="AM186" s="1119"/>
      <c r="AN186" s="1119"/>
      <c r="AO186" s="1119"/>
      <c r="AP186" s="1119"/>
      <c r="AR186" s="1124"/>
    </row>
    <row r="187" spans="1:44" s="1118" customFormat="1" hidden="1">
      <c r="A187" s="1255" t="s">
        <v>866</v>
      </c>
      <c r="B187" s="1256"/>
      <c r="C187" s="1262"/>
      <c r="D187" s="1260">
        <f>'Rate Design Work eff 9-15-17'!D186</f>
        <v>7.3410000000000002</v>
      </c>
      <c r="E187" s="1263" t="s">
        <v>364</v>
      </c>
      <c r="F187" s="1259"/>
      <c r="G187" s="1260">
        <f t="shared" ref="G187:G188" ca="1" si="23">G180+G184</f>
        <v>7.5140000000000002</v>
      </c>
      <c r="H187" s="1263" t="s">
        <v>364</v>
      </c>
      <c r="I187" s="1264"/>
      <c r="J187" s="1264"/>
      <c r="K187" s="1260" t="e">
        <f t="shared" ref="K187:K188" ca="1" si="24">K180+K184</f>
        <v>#REF!</v>
      </c>
      <c r="L187" s="1263" t="s">
        <v>364</v>
      </c>
      <c r="M187" s="1264"/>
      <c r="N187" s="1264"/>
      <c r="O187" s="1260" t="e">
        <f t="shared" ref="O187:O188" ca="1" si="25">O180+O184</f>
        <v>#DIV/0!</v>
      </c>
      <c r="P187" s="1263" t="s">
        <v>364</v>
      </c>
      <c r="Q187" s="1264"/>
      <c r="R187" s="1264"/>
      <c r="S187" s="1260" t="e">
        <f t="shared" ref="S187:S188" ca="1" si="26">S180+S184</f>
        <v>#DIV/0!</v>
      </c>
      <c r="T187" s="1263" t="s">
        <v>364</v>
      </c>
      <c r="U187" s="1264"/>
      <c r="W187" s="784" t="s">
        <v>31</v>
      </c>
      <c r="Z187" s="1125"/>
      <c r="AA187" s="1125"/>
      <c r="AF187" s="1119"/>
      <c r="AG187" s="1119"/>
      <c r="AH187" s="1119"/>
      <c r="AI187" s="1119"/>
      <c r="AJ187" s="1119"/>
      <c r="AK187" s="1119"/>
      <c r="AL187" s="1119"/>
      <c r="AM187" s="1119"/>
      <c r="AN187" s="1119"/>
      <c r="AO187" s="1119"/>
      <c r="AP187" s="1119"/>
      <c r="AR187" s="1124"/>
    </row>
    <row r="188" spans="1:44" s="1118" customFormat="1" hidden="1">
      <c r="A188" s="1255" t="s">
        <v>867</v>
      </c>
      <c r="B188" s="1256"/>
      <c r="C188" s="1262"/>
      <c r="D188" s="1260">
        <f>'Rate Design Work eff 9-15-17'!D187</f>
        <v>6.3240000000000007</v>
      </c>
      <c r="E188" s="1263" t="s">
        <v>364</v>
      </c>
      <c r="F188" s="1259"/>
      <c r="G188" s="1260">
        <f t="shared" ca="1" si="23"/>
        <v>6.4720000000000004</v>
      </c>
      <c r="H188" s="1263" t="s">
        <v>364</v>
      </c>
      <c r="I188" s="1264"/>
      <c r="J188" s="1264"/>
      <c r="K188" s="1260" t="e">
        <f t="shared" ca="1" si="24"/>
        <v>#REF!</v>
      </c>
      <c r="L188" s="1263" t="s">
        <v>364</v>
      </c>
      <c r="M188" s="1264"/>
      <c r="N188" s="1264"/>
      <c r="O188" s="1260" t="e">
        <f t="shared" ca="1" si="25"/>
        <v>#DIV/0!</v>
      </c>
      <c r="P188" s="1263" t="s">
        <v>364</v>
      </c>
      <c r="Q188" s="1264"/>
      <c r="R188" s="1264"/>
      <c r="S188" s="1260" t="e">
        <f t="shared" ca="1" si="26"/>
        <v>#DIV/0!</v>
      </c>
      <c r="T188" s="1263" t="s">
        <v>364</v>
      </c>
      <c r="U188" s="1264"/>
      <c r="W188" s="784"/>
      <c r="Z188" s="1125"/>
      <c r="AA188" s="1125"/>
      <c r="AF188" s="1119"/>
      <c r="AG188" s="1119"/>
      <c r="AH188" s="1119"/>
      <c r="AI188" s="1119"/>
      <c r="AJ188" s="1119"/>
      <c r="AK188" s="1119"/>
      <c r="AL188" s="1119"/>
      <c r="AM188" s="1119"/>
      <c r="AN188" s="1119"/>
      <c r="AO188" s="1119"/>
      <c r="AP188" s="1119"/>
      <c r="AR188" s="1124"/>
    </row>
    <row r="189" spans="1:44">
      <c r="A189" s="316" t="s">
        <v>391</v>
      </c>
      <c r="B189" s="1"/>
      <c r="C189" s="304"/>
      <c r="D189" s="317">
        <f>'Rate Design Work eff 9-15-17'!D188</f>
        <v>-0.01</v>
      </c>
      <c r="E189" s="308"/>
      <c r="F189" s="307"/>
      <c r="G189" s="317">
        <v>-0.01</v>
      </c>
      <c r="H189" s="308"/>
      <c r="I189" s="307"/>
      <c r="J189" s="307"/>
      <c r="K189" s="317">
        <v>-0.01</v>
      </c>
      <c r="L189" s="308"/>
      <c r="M189" s="307"/>
      <c r="N189" s="307"/>
      <c r="O189" s="317">
        <v>-0.01</v>
      </c>
      <c r="P189" s="308"/>
      <c r="Q189" s="307"/>
      <c r="R189" s="307"/>
      <c r="S189" s="317">
        <v>-0.01</v>
      </c>
      <c r="T189" s="308"/>
      <c r="U189" s="307"/>
      <c r="W189" s="318"/>
      <c r="AI189" s="20"/>
      <c r="AJ189" s="20"/>
      <c r="AK189" s="20"/>
      <c r="AL189" s="20"/>
      <c r="AM189" s="20"/>
      <c r="AN189" s="20"/>
      <c r="AO189" s="20"/>
      <c r="AP189" s="20"/>
      <c r="AR189" s="84"/>
    </row>
    <row r="190" spans="1:44">
      <c r="A190" s="1" t="s">
        <v>380</v>
      </c>
      <c r="B190" s="1"/>
      <c r="C190" s="304">
        <f t="shared" ref="C190:C199" si="27">C227+C365+C471</f>
        <v>74.633333333333297</v>
      </c>
      <c r="D190" s="319">
        <f>'Rate Design Work eff 9-15-17'!D189</f>
        <v>9.76</v>
      </c>
      <c r="E190" s="306"/>
      <c r="F190" s="307">
        <f t="shared" ref="F190:F199" si="28">F227+F365+F471</f>
        <v>-7</v>
      </c>
      <c r="G190" s="319">
        <f ca="1">G173</f>
        <v>9.99</v>
      </c>
      <c r="H190" s="306"/>
      <c r="I190" s="307">
        <f t="shared" ref="I190:I203" ca="1" si="29">I227+I365+I471</f>
        <v>-7</v>
      </c>
      <c r="J190" s="307"/>
      <c r="K190" s="319">
        <f ca="1">K173</f>
        <v>9.76</v>
      </c>
      <c r="L190" s="306"/>
      <c r="M190" s="2">
        <f ca="1">'Rate Design Work eff 10-14-16'!M189</f>
        <v>-7.2842133333333301</v>
      </c>
      <c r="N190" s="307"/>
      <c r="O190" s="319" t="str">
        <f>O173</f>
        <v xml:space="preserve"> </v>
      </c>
      <c r="P190" s="306"/>
      <c r="Q190" s="2">
        <f>'Rate Design Work eff 10-14-16'!Q189</f>
        <v>0</v>
      </c>
      <c r="R190" s="307"/>
      <c r="S190" s="319" t="str">
        <f>S173</f>
        <v xml:space="preserve"> </v>
      </c>
      <c r="T190" s="306"/>
      <c r="U190" s="2">
        <f>'Rate Design Work eff 10-14-16'!U189</f>
        <v>0</v>
      </c>
      <c r="AI190" s="20"/>
      <c r="AJ190" s="20"/>
      <c r="AK190" s="20"/>
      <c r="AL190" s="20"/>
      <c r="AM190" s="20"/>
      <c r="AN190" s="20"/>
      <c r="AO190" s="20"/>
      <c r="AP190" s="20"/>
      <c r="AR190" s="84"/>
    </row>
    <row r="191" spans="1:44">
      <c r="A191" s="1" t="s">
        <v>381</v>
      </c>
      <c r="B191" s="1"/>
      <c r="C191" s="304">
        <f t="shared" si="27"/>
        <v>88.799999999999983</v>
      </c>
      <c r="D191" s="319">
        <f>'Rate Design Work eff 9-15-17'!D190</f>
        <v>14.54</v>
      </c>
      <c r="E191" s="306"/>
      <c r="F191" s="307">
        <f t="shared" si="28"/>
        <v>-12</v>
      </c>
      <c r="G191" s="319">
        <f ca="1">G174</f>
        <v>14.89</v>
      </c>
      <c r="H191" s="306"/>
      <c r="I191" s="307">
        <f t="shared" ca="1" si="29"/>
        <v>-13</v>
      </c>
      <c r="J191" s="307"/>
      <c r="K191" s="319">
        <f ca="1">K174</f>
        <v>14.54</v>
      </c>
      <c r="L191" s="306"/>
      <c r="M191" s="2">
        <f ca="1">'Rate Design Work eff 10-14-16'!M190</f>
        <v>-11.602919999999997</v>
      </c>
      <c r="N191" s="307"/>
      <c r="O191" s="319" t="str">
        <f>O174</f>
        <v xml:space="preserve"> </v>
      </c>
      <c r="P191" s="306"/>
      <c r="Q191" s="2">
        <f>'Rate Design Work eff 10-14-16'!Q190</f>
        <v>0</v>
      </c>
      <c r="R191" s="307"/>
      <c r="S191" s="319" t="str">
        <f>S174</f>
        <v xml:space="preserve"> </v>
      </c>
      <c r="T191" s="306"/>
      <c r="U191" s="2">
        <f>'Rate Design Work eff 10-14-16'!U190</f>
        <v>0</v>
      </c>
      <c r="W191" s="88" t="s">
        <v>31</v>
      </c>
      <c r="AK191" s="20"/>
      <c r="AL191" s="20"/>
      <c r="AM191" s="20"/>
      <c r="AN191" s="20"/>
      <c r="AO191" s="20"/>
      <c r="AP191" s="20"/>
      <c r="AR191" s="84"/>
    </row>
    <row r="192" spans="1:44">
      <c r="A192" s="1" t="s">
        <v>392</v>
      </c>
      <c r="B192" s="1"/>
      <c r="C192" s="304">
        <f t="shared" si="27"/>
        <v>2161</v>
      </c>
      <c r="D192" s="319">
        <f>'Rate Design Work eff 9-15-17'!D191</f>
        <v>1.02</v>
      </c>
      <c r="E192" s="306"/>
      <c r="F192" s="307">
        <f t="shared" si="28"/>
        <v>-23</v>
      </c>
      <c r="G192" s="319">
        <f ca="1">G175</f>
        <v>1.04</v>
      </c>
      <c r="H192" s="306"/>
      <c r="I192" s="307">
        <f t="shared" ca="1" si="29"/>
        <v>-23</v>
      </c>
      <c r="J192" s="307"/>
      <c r="K192" s="319">
        <f ca="1">K175</f>
        <v>1.02</v>
      </c>
      <c r="L192" s="306"/>
      <c r="M192" s="2">
        <f ca="1">'Rate Design Work eff 10-14-16'!M191</f>
        <v>-22.042200000000005</v>
      </c>
      <c r="N192" s="307"/>
      <c r="O192" s="319" t="str">
        <f>O175</f>
        <v xml:space="preserve"> </v>
      </c>
      <c r="P192" s="306"/>
      <c r="Q192" s="2">
        <f>'Rate Design Work eff 10-14-16'!Q191</f>
        <v>0</v>
      </c>
      <c r="R192" s="307"/>
      <c r="S192" s="319" t="str">
        <f>S175</f>
        <v xml:space="preserve"> </v>
      </c>
      <c r="T192" s="306"/>
      <c r="U192" s="2">
        <f>'Rate Design Work eff 10-14-16'!U191</f>
        <v>0</v>
      </c>
      <c r="X192" s="88" t="s">
        <v>31</v>
      </c>
      <c r="Z192" s="4" t="s">
        <v>31</v>
      </c>
      <c r="AK192" s="20"/>
      <c r="AL192" s="20"/>
      <c r="AM192" s="20"/>
      <c r="AN192" s="20"/>
      <c r="AO192" s="20"/>
      <c r="AP192" s="20"/>
      <c r="AR192" s="84"/>
    </row>
    <row r="193" spans="1:44">
      <c r="A193" s="1" t="s">
        <v>393</v>
      </c>
      <c r="B193" s="1"/>
      <c r="C193" s="304">
        <f t="shared" si="27"/>
        <v>1487</v>
      </c>
      <c r="D193" s="319">
        <f>'Rate Design Work eff 9-15-17'!D192</f>
        <v>3.7</v>
      </c>
      <c r="E193" s="308"/>
      <c r="F193" s="307">
        <f t="shared" si="28"/>
        <v>-55</v>
      </c>
      <c r="G193" s="319">
        <f ca="1">G178</f>
        <v>3.8</v>
      </c>
      <c r="H193" s="308"/>
      <c r="I193" s="307">
        <f t="shared" ca="1" si="29"/>
        <v>-56</v>
      </c>
      <c r="J193" s="307"/>
      <c r="K193" s="319" t="e">
        <f ca="1">K178</f>
        <v>#REF!</v>
      </c>
      <c r="L193" s="308"/>
      <c r="M193" s="2" t="e">
        <f ca="1">'Rate Design Work eff 10-14-16'!M192</f>
        <v>#REF!</v>
      </c>
      <c r="N193" s="307"/>
      <c r="O193" s="319" t="e">
        <f ca="1">O178</f>
        <v>#DIV/0!</v>
      </c>
      <c r="P193" s="308"/>
      <c r="Q193" s="2" t="e">
        <f ca="1">'Rate Design Work eff 10-14-16'!Q192</f>
        <v>#DIV/0!</v>
      </c>
      <c r="R193" s="307"/>
      <c r="S193" s="319" t="e">
        <f ca="1">S178</f>
        <v>#DIV/0!</v>
      </c>
      <c r="T193" s="308"/>
      <c r="U193" s="2" t="e">
        <f ca="1">'Rate Design Work eff 10-14-16'!U192</f>
        <v>#DIV/0!</v>
      </c>
      <c r="Y193" s="88" t="s">
        <v>31</v>
      </c>
      <c r="AK193" s="20"/>
      <c r="AL193" s="20"/>
      <c r="AM193" s="20"/>
      <c r="AN193" s="20"/>
      <c r="AO193" s="20"/>
      <c r="AP193" s="20"/>
      <c r="AR193" s="84"/>
    </row>
    <row r="194" spans="1:44">
      <c r="A194" s="1" t="s">
        <v>395</v>
      </c>
      <c r="B194" s="1"/>
      <c r="C194" s="304">
        <f t="shared" si="27"/>
        <v>116452.33333333327</v>
      </c>
      <c r="D194" s="320">
        <f>'Rate Design Work eff 9-15-17'!D193</f>
        <v>10.628</v>
      </c>
      <c r="E194" s="308" t="s">
        <v>364</v>
      </c>
      <c r="F194" s="307">
        <f t="shared" si="28"/>
        <v>-123</v>
      </c>
      <c r="G194" s="320">
        <f ca="1">G179</f>
        <v>10.878</v>
      </c>
      <c r="H194" s="308" t="s">
        <v>364</v>
      </c>
      <c r="I194" s="307">
        <f t="shared" ca="1" si="29"/>
        <v>-127</v>
      </c>
      <c r="J194" s="307"/>
      <c r="K194" s="320" t="e">
        <f ca="1">K179</f>
        <v>#REF!</v>
      </c>
      <c r="L194" s="308"/>
      <c r="M194" s="2" t="e">
        <f ca="1">'Rate Design Work eff 10-14-16'!M193</f>
        <v>#REF!</v>
      </c>
      <c r="N194" s="307"/>
      <c r="O194" s="320" t="e">
        <f ca="1">O179</f>
        <v>#DIV/0!</v>
      </c>
      <c r="P194" s="308" t="s">
        <v>364</v>
      </c>
      <c r="Q194" s="2" t="e">
        <f ca="1">'Rate Design Work eff 10-14-16'!Q193</f>
        <v>#DIV/0!</v>
      </c>
      <c r="R194" s="307"/>
      <c r="S194" s="320" t="e">
        <f ca="1">S179</f>
        <v>#DIV/0!</v>
      </c>
      <c r="T194" s="308" t="s">
        <v>364</v>
      </c>
      <c r="U194" s="2" t="e">
        <f ca="1">'Rate Design Work eff 10-14-16'!U193</f>
        <v>#DIV/0!</v>
      </c>
      <c r="AK194" s="20"/>
      <c r="AL194" s="20"/>
      <c r="AM194" s="20"/>
      <c r="AN194" s="20"/>
      <c r="AO194" s="20"/>
      <c r="AP194" s="20"/>
      <c r="AR194" s="84"/>
    </row>
    <row r="195" spans="1:44">
      <c r="A195" s="1" t="s">
        <v>388</v>
      </c>
      <c r="B195" s="1"/>
      <c r="C195" s="304">
        <f t="shared" si="27"/>
        <v>524872.66666666698</v>
      </c>
      <c r="D195" s="320">
        <f>'Rate Design Work eff 9-15-17'!D194</f>
        <v>7.3410000000000002</v>
      </c>
      <c r="E195" s="308" t="s">
        <v>364</v>
      </c>
      <c r="F195" s="307">
        <f t="shared" si="28"/>
        <v>-385</v>
      </c>
      <c r="G195" s="320">
        <f ca="1">G180</f>
        <v>7.5140000000000002</v>
      </c>
      <c r="H195" s="308" t="s">
        <v>364</v>
      </c>
      <c r="I195" s="307">
        <f t="shared" ca="1" si="29"/>
        <v>-394</v>
      </c>
      <c r="J195" s="307"/>
      <c r="K195" s="320" t="e">
        <f ca="1">K180</f>
        <v>#REF!</v>
      </c>
      <c r="L195" s="308"/>
      <c r="M195" s="2" t="e">
        <f ca="1">'Rate Design Work eff 10-14-16'!M194</f>
        <v>#REF!</v>
      </c>
      <c r="N195" s="307"/>
      <c r="O195" s="320" t="e">
        <f ca="1">O180</f>
        <v>#DIV/0!</v>
      </c>
      <c r="P195" s="308" t="s">
        <v>364</v>
      </c>
      <c r="Q195" s="2" t="e">
        <f ca="1">'Rate Design Work eff 10-14-16'!Q194</f>
        <v>#DIV/0!</v>
      </c>
      <c r="R195" s="307"/>
      <c r="S195" s="320" t="e">
        <f ca="1">S180</f>
        <v>#DIV/0!</v>
      </c>
      <c r="T195" s="308" t="s">
        <v>364</v>
      </c>
      <c r="U195" s="2" t="e">
        <f ca="1">'Rate Design Work eff 10-14-16'!U194</f>
        <v>#DIV/0!</v>
      </c>
      <c r="AK195" s="20"/>
      <c r="AL195" s="20"/>
      <c r="AM195" s="20"/>
      <c r="AN195" s="20"/>
      <c r="AO195" s="20"/>
      <c r="AP195" s="20"/>
      <c r="AR195" s="84"/>
    </row>
    <row r="196" spans="1:44">
      <c r="A196" s="1" t="s">
        <v>389</v>
      </c>
      <c r="B196" s="1"/>
      <c r="C196" s="304">
        <f t="shared" si="27"/>
        <v>933865</v>
      </c>
      <c r="D196" s="320">
        <f>'Rate Design Work eff 9-15-17'!D195</f>
        <v>6.3240000000000007</v>
      </c>
      <c r="E196" s="308" t="s">
        <v>364</v>
      </c>
      <c r="F196" s="307">
        <f t="shared" si="28"/>
        <v>-591</v>
      </c>
      <c r="G196" s="320">
        <f ca="1">G181</f>
        <v>6.4720000000000004</v>
      </c>
      <c r="H196" s="308" t="s">
        <v>364</v>
      </c>
      <c r="I196" s="307">
        <f t="shared" ca="1" si="29"/>
        <v>-604</v>
      </c>
      <c r="J196" s="307"/>
      <c r="K196" s="320" t="e">
        <f ca="1">K181</f>
        <v>#REF!</v>
      </c>
      <c r="L196" s="308"/>
      <c r="M196" s="2" t="e">
        <f ca="1">'Rate Design Work eff 10-14-16'!M195</f>
        <v>#REF!</v>
      </c>
      <c r="N196" s="307"/>
      <c r="O196" s="320" t="e">
        <f ca="1">O181</f>
        <v>#DIV/0!</v>
      </c>
      <c r="P196" s="308" t="s">
        <v>364</v>
      </c>
      <c r="Q196" s="2" t="e">
        <f ca="1">'Rate Design Work eff 10-14-16'!Q195</f>
        <v>#DIV/0!</v>
      </c>
      <c r="R196" s="307"/>
      <c r="S196" s="320" t="e">
        <f ca="1">S181</f>
        <v>#DIV/0!</v>
      </c>
      <c r="T196" s="308" t="s">
        <v>364</v>
      </c>
      <c r="U196" s="2" t="e">
        <f ca="1">'Rate Design Work eff 10-14-16'!U195</f>
        <v>#DIV/0!</v>
      </c>
      <c r="AI196" s="20"/>
      <c r="AJ196" s="20"/>
      <c r="AK196" s="20"/>
      <c r="AL196" s="20"/>
      <c r="AM196" s="20"/>
      <c r="AN196" s="20"/>
      <c r="AO196" s="20"/>
      <c r="AP196" s="20"/>
      <c r="AR196" s="84"/>
    </row>
    <row r="197" spans="1:44">
      <c r="A197" s="1" t="s">
        <v>390</v>
      </c>
      <c r="B197" s="1"/>
      <c r="C197" s="304">
        <f t="shared" si="27"/>
        <v>1389.3333333333335</v>
      </c>
      <c r="D197" s="321">
        <f>'Rate Design Work eff 9-15-17'!D196</f>
        <v>57</v>
      </c>
      <c r="E197" s="308" t="s">
        <v>364</v>
      </c>
      <c r="F197" s="307">
        <f t="shared" si="28"/>
        <v>-8</v>
      </c>
      <c r="G197" s="321">
        <f ca="1">G182</f>
        <v>58</v>
      </c>
      <c r="H197" s="308" t="s">
        <v>364</v>
      </c>
      <c r="I197" s="307">
        <f t="shared" ca="1" si="29"/>
        <v>-8</v>
      </c>
      <c r="J197" s="307"/>
      <c r="K197" s="321" t="str">
        <f>K182</f>
        <v xml:space="preserve"> </v>
      </c>
      <c r="L197" s="308"/>
      <c r="M197" s="2">
        <f>'Rate Design Work eff 10-14-16'!M196</f>
        <v>0</v>
      </c>
      <c r="N197" s="307"/>
      <c r="O197" s="321" t="e">
        <f>O182</f>
        <v>#DIV/0!</v>
      </c>
      <c r="P197" s="308" t="s">
        <v>364</v>
      </c>
      <c r="Q197" s="2" t="e">
        <f>'Rate Design Work eff 10-14-16'!Q196</f>
        <v>#DIV/0!</v>
      </c>
      <c r="R197" s="307"/>
      <c r="S197" s="321" t="e">
        <f>S182</f>
        <v>#DIV/0!</v>
      </c>
      <c r="T197" s="308" t="s">
        <v>364</v>
      </c>
      <c r="U197" s="2" t="e">
        <f>'Rate Design Work eff 10-14-16'!U196</f>
        <v>#DIV/0!</v>
      </c>
      <c r="AI197" s="20"/>
      <c r="AJ197" s="20"/>
      <c r="AK197" s="20"/>
      <c r="AL197" s="20"/>
      <c r="AM197" s="20"/>
      <c r="AN197" s="20"/>
      <c r="AO197" s="20"/>
      <c r="AP197" s="20"/>
      <c r="AR197" s="84"/>
    </row>
    <row r="198" spans="1:44">
      <c r="A198" s="1" t="s">
        <v>397</v>
      </c>
      <c r="B198" s="1"/>
      <c r="C198" s="304">
        <f t="shared" si="27"/>
        <v>130.39999999999998</v>
      </c>
      <c r="D198" s="322">
        <f>'Rate Design Work eff 9-15-17'!D197</f>
        <v>60</v>
      </c>
      <c r="E198" s="308"/>
      <c r="F198" s="307">
        <f t="shared" si="28"/>
        <v>7824</v>
      </c>
      <c r="G198" s="322">
        <f>'Blocking - detail'!$I$172</f>
        <v>60</v>
      </c>
      <c r="H198" s="308"/>
      <c r="I198" s="307">
        <f t="shared" si="29"/>
        <v>7824</v>
      </c>
      <c r="J198" s="307"/>
      <c r="K198" s="311" t="s">
        <v>31</v>
      </c>
      <c r="L198" s="308"/>
      <c r="M198" s="2">
        <f>'Rate Design Work eff 10-14-16'!M197</f>
        <v>0</v>
      </c>
      <c r="N198" s="307"/>
      <c r="O198" s="286" t="e">
        <f>ROUND(Q198/$C$198,2)</f>
        <v>#DIV/0!</v>
      </c>
      <c r="P198" s="308"/>
      <c r="Q198" s="2" t="e">
        <f>'Rate Design Work eff 10-14-16'!Q197</f>
        <v>#DIV/0!</v>
      </c>
      <c r="R198" s="307"/>
      <c r="S198" s="286" t="e">
        <f>ROUND(U198/$C$198,2)</f>
        <v>#DIV/0!</v>
      </c>
      <c r="T198" s="308"/>
      <c r="U198" s="2" t="e">
        <f>'Rate Design Work eff 10-14-16'!U197</f>
        <v>#DIV/0!</v>
      </c>
      <c r="X198" s="88" t="s">
        <v>31</v>
      </c>
      <c r="AI198" s="20"/>
      <c r="AJ198" s="20"/>
      <c r="AK198" s="20"/>
      <c r="AL198" s="20"/>
      <c r="AM198" s="20"/>
      <c r="AN198" s="20"/>
      <c r="AO198" s="20"/>
      <c r="AP198" s="20"/>
      <c r="AR198" s="84"/>
    </row>
    <row r="199" spans="1:44">
      <c r="A199" s="1" t="s">
        <v>398</v>
      </c>
      <c r="B199" s="1"/>
      <c r="C199" s="304">
        <f t="shared" si="27"/>
        <v>709.3</v>
      </c>
      <c r="D199" s="324">
        <f>'Rate Design Work eff 9-15-17'!D198</f>
        <v>-30</v>
      </c>
      <c r="E199" s="308" t="s">
        <v>364</v>
      </c>
      <c r="F199" s="307">
        <f t="shared" si="28"/>
        <v>-213</v>
      </c>
      <c r="G199" s="324">
        <f>'Rate Design Work eff 9-15-17'!G198</f>
        <v>-30</v>
      </c>
      <c r="H199" s="308" t="s">
        <v>364</v>
      </c>
      <c r="I199" s="307">
        <f t="shared" si="29"/>
        <v>-213</v>
      </c>
      <c r="J199" s="307"/>
      <c r="K199" s="324">
        <f>'Rate Design Work eff 10-14-16'!K198</f>
        <v>-30</v>
      </c>
      <c r="L199" s="308" t="s">
        <v>364</v>
      </c>
      <c r="M199" s="2">
        <f>'Rate Design Work eff 10-14-16'!M198</f>
        <v>-213</v>
      </c>
      <c r="N199" s="307"/>
      <c r="O199" s="1281" t="s">
        <v>31</v>
      </c>
      <c r="P199" s="308" t="s">
        <v>31</v>
      </c>
      <c r="Q199" s="2">
        <f>'Rate Design Work eff 10-14-16'!Q198</f>
        <v>0</v>
      </c>
      <c r="R199" s="307"/>
      <c r="S199" s="1281" t="s">
        <v>31</v>
      </c>
      <c r="T199" s="308" t="s">
        <v>31</v>
      </c>
      <c r="U199" s="2">
        <f>'Rate Design Work eff 10-14-16'!U198</f>
        <v>0</v>
      </c>
      <c r="X199" s="88" t="s">
        <v>31</v>
      </c>
      <c r="Z199" s="279"/>
      <c r="AA199" s="279"/>
      <c r="AI199" s="20"/>
      <c r="AJ199" s="20"/>
      <c r="AK199" s="20"/>
      <c r="AL199" s="20"/>
      <c r="AM199" s="20"/>
      <c r="AN199" s="20"/>
      <c r="AO199" s="20"/>
      <c r="AP199" s="20"/>
      <c r="AR199" s="84"/>
    </row>
    <row r="200" spans="1:44" s="1118" customFormat="1" hidden="1">
      <c r="A200" s="968" t="s">
        <v>888</v>
      </c>
      <c r="C200" s="987">
        <f>C194</f>
        <v>116452.33333333327</v>
      </c>
      <c r="D200" s="254">
        <f>'Rate Design Work eff 9-15-17'!D199</f>
        <v>0</v>
      </c>
      <c r="E200" s="1119"/>
      <c r="F200" s="1123"/>
      <c r="G200" s="1128">
        <f>G183</f>
        <v>0</v>
      </c>
      <c r="H200" s="972" t="s">
        <v>364</v>
      </c>
      <c r="I200" s="307">
        <f t="shared" ca="1" si="29"/>
        <v>0</v>
      </c>
      <c r="J200" s="307"/>
      <c r="K200" s="1128" t="str">
        <f>K183</f>
        <v xml:space="preserve"> </v>
      </c>
      <c r="L200" s="972"/>
      <c r="M200" s="2" t="e">
        <f ca="1">'Rate Design Work eff 10-14-16'!M199</f>
        <v>#REF!</v>
      </c>
      <c r="N200" s="307"/>
      <c r="O200" s="1128" t="str">
        <f>O183</f>
        <v xml:space="preserve"> </v>
      </c>
      <c r="P200" s="972" t="s">
        <v>31</v>
      </c>
      <c r="Q200" s="2" t="e">
        <f ca="1">'Rate Design Work eff 10-14-16'!Q199</f>
        <v>#DIV/0!</v>
      </c>
      <c r="R200" s="307"/>
      <c r="S200" s="1128">
        <f>S183</f>
        <v>0</v>
      </c>
      <c r="T200" s="972" t="s">
        <v>364</v>
      </c>
      <c r="U200" s="2">
        <f ca="1">'Rate Design Work eff 10-14-16'!U199</f>
        <v>0</v>
      </c>
      <c r="W200" s="784"/>
      <c r="Z200" s="1125"/>
      <c r="AA200" s="1125"/>
      <c r="AF200" s="1119"/>
      <c r="AG200" s="1119"/>
      <c r="AH200" s="1119"/>
      <c r="AI200" s="1119"/>
      <c r="AJ200" s="1119"/>
      <c r="AK200" s="1119"/>
      <c r="AL200" s="1119"/>
      <c r="AM200" s="1119"/>
      <c r="AN200" s="1119"/>
      <c r="AO200" s="1119"/>
      <c r="AP200" s="1119"/>
      <c r="AR200" s="1124"/>
    </row>
    <row r="201" spans="1:44" s="1118" customFormat="1" hidden="1">
      <c r="A201" s="968" t="s">
        <v>889</v>
      </c>
      <c r="C201" s="987">
        <f t="shared" ref="C201:C202" si="30">C195</f>
        <v>524872.66666666698</v>
      </c>
      <c r="D201" s="254">
        <f>'Rate Design Work eff 9-15-17'!D200</f>
        <v>0</v>
      </c>
      <c r="E201" s="1119"/>
      <c r="F201" s="1123"/>
      <c r="G201" s="1128">
        <f>G184</f>
        <v>0</v>
      </c>
      <c r="H201" s="972" t="s">
        <v>364</v>
      </c>
      <c r="I201" s="307">
        <f t="shared" ca="1" si="29"/>
        <v>0</v>
      </c>
      <c r="J201" s="307"/>
      <c r="K201" s="1128" t="str">
        <f>K184</f>
        <v xml:space="preserve"> </v>
      </c>
      <c r="L201" s="972"/>
      <c r="M201" s="2" t="e">
        <f ca="1">'Rate Design Work eff 10-14-16'!M200</f>
        <v>#REF!</v>
      </c>
      <c r="N201" s="307"/>
      <c r="O201" s="1128" t="str">
        <f>O184</f>
        <v xml:space="preserve"> </v>
      </c>
      <c r="P201" s="972" t="s">
        <v>31</v>
      </c>
      <c r="Q201" s="2" t="e">
        <f ca="1">'Rate Design Work eff 10-14-16'!Q200</f>
        <v>#DIV/0!</v>
      </c>
      <c r="R201" s="307"/>
      <c r="S201" s="1128">
        <f>S184</f>
        <v>0</v>
      </c>
      <c r="T201" s="972" t="s">
        <v>364</v>
      </c>
      <c r="U201" s="2">
        <f ca="1">'Rate Design Work eff 10-14-16'!U200</f>
        <v>0</v>
      </c>
      <c r="W201" s="784"/>
      <c r="Z201" s="1125"/>
      <c r="AA201" s="1125"/>
      <c r="AF201" s="1119"/>
      <c r="AG201" s="1119"/>
      <c r="AH201" s="1119"/>
      <c r="AI201" s="1119"/>
      <c r="AJ201" s="1119"/>
      <c r="AK201" s="1119"/>
      <c r="AL201" s="1119"/>
      <c r="AM201" s="1119"/>
      <c r="AN201" s="1119"/>
      <c r="AO201" s="1119"/>
      <c r="AP201" s="1119"/>
      <c r="AR201" s="1124"/>
    </row>
    <row r="202" spans="1:44" s="1118" customFormat="1" hidden="1">
      <c r="A202" s="968" t="s">
        <v>890</v>
      </c>
      <c r="C202" s="987">
        <f t="shared" si="30"/>
        <v>933865</v>
      </c>
      <c r="D202" s="254">
        <f>'Rate Design Work eff 9-15-17'!D201</f>
        <v>0</v>
      </c>
      <c r="E202" s="1119"/>
      <c r="F202" s="1123"/>
      <c r="G202" s="1128">
        <f>G185</f>
        <v>0</v>
      </c>
      <c r="H202" s="972" t="s">
        <v>364</v>
      </c>
      <c r="I202" s="307">
        <f t="shared" ca="1" si="29"/>
        <v>0</v>
      </c>
      <c r="J202" s="307"/>
      <c r="K202" s="1128" t="str">
        <f>K185</f>
        <v xml:space="preserve"> </v>
      </c>
      <c r="L202" s="972"/>
      <c r="M202" s="2">
        <f>'Rate Design Work eff 10-14-16'!M201</f>
        <v>0</v>
      </c>
      <c r="N202" s="307"/>
      <c r="O202" s="1128" t="str">
        <f>O185</f>
        <v xml:space="preserve"> </v>
      </c>
      <c r="P202" s="972" t="s">
        <v>31</v>
      </c>
      <c r="Q202" s="2" t="e">
        <f>'Rate Design Work eff 10-14-16'!Q201</f>
        <v>#DIV/0!</v>
      </c>
      <c r="R202" s="307"/>
      <c r="S202" s="1128">
        <f>S185</f>
        <v>0</v>
      </c>
      <c r="T202" s="972" t="s">
        <v>364</v>
      </c>
      <c r="U202" s="2">
        <f ca="1">'Rate Design Work eff 10-14-16'!U201</f>
        <v>0</v>
      </c>
      <c r="W202" s="784"/>
      <c r="Z202" s="1125"/>
      <c r="AA202" s="1125"/>
      <c r="AF202" s="1119"/>
      <c r="AG202" s="1119"/>
      <c r="AH202" s="1119"/>
      <c r="AI202" s="1119"/>
      <c r="AJ202" s="1119"/>
      <c r="AK202" s="1119"/>
      <c r="AL202" s="1119"/>
      <c r="AM202" s="1119"/>
      <c r="AN202" s="1119"/>
      <c r="AO202" s="1119"/>
      <c r="AP202" s="1119"/>
      <c r="AR202" s="1124"/>
    </row>
    <row r="203" spans="1:44">
      <c r="A203" s="1" t="s">
        <v>371</v>
      </c>
      <c r="B203" s="249"/>
      <c r="C203" s="304">
        <f>C240+C378+C484</f>
        <v>532446168.97622746</v>
      </c>
      <c r="D203" s="315"/>
      <c r="E203" s="308"/>
      <c r="F203" s="307">
        <f>F240+F378+F484</f>
        <v>49032274</v>
      </c>
      <c r="G203" s="315"/>
      <c r="H203" s="308"/>
      <c r="I203" s="307">
        <f t="shared" ca="1" si="29"/>
        <v>50192314</v>
      </c>
      <c r="J203" s="307"/>
      <c r="K203" s="315"/>
      <c r="L203" s="308"/>
      <c r="M203" s="307" t="e">
        <f ca="1">SUM(M169:M202)</f>
        <v>#REF!</v>
      </c>
      <c r="N203" s="307"/>
      <c r="O203" s="315"/>
      <c r="P203" s="308"/>
      <c r="Q203" s="307" t="e">
        <f ca="1">SUM(Q169:Q202)</f>
        <v>#DIV/0!</v>
      </c>
      <c r="R203" s="307"/>
      <c r="S203" s="315"/>
      <c r="T203" s="308"/>
      <c r="U203" s="307" t="e">
        <f ca="1">SUM(U169:U202)</f>
        <v>#DIV/0!</v>
      </c>
      <c r="AI203" s="20"/>
      <c r="AJ203" s="20"/>
      <c r="AK203" s="20"/>
      <c r="AL203" s="20"/>
      <c r="AM203" s="20"/>
      <c r="AN203" s="20"/>
      <c r="AO203" s="20"/>
      <c r="AP203" s="20"/>
      <c r="AR203" s="84"/>
    </row>
    <row r="204" spans="1:44">
      <c r="A204" s="1" t="s">
        <v>353</v>
      </c>
      <c r="B204" s="25"/>
      <c r="C204" s="325">
        <f ca="1">C241+C379+C485</f>
        <v>3820431.375987567</v>
      </c>
      <c r="D204" s="294"/>
      <c r="E204" s="294"/>
      <c r="F204" s="326">
        <f ca="1">F241+F379+F485</f>
        <v>398180.89115916123</v>
      </c>
      <c r="G204" s="294"/>
      <c r="H204" s="294"/>
      <c r="I204" s="295">
        <f ca="1">F204</f>
        <v>398180.89115916123</v>
      </c>
      <c r="J204" s="51"/>
      <c r="K204" s="294"/>
      <c r="L204" s="294"/>
      <c r="M204" s="295" t="e">
        <f ca="1">$I$204*V208/($V$208+$W$208+$X$208)</f>
        <v>#DIV/0!</v>
      </c>
      <c r="N204" s="51"/>
      <c r="O204" s="294"/>
      <c r="P204" s="294"/>
      <c r="Q204" s="295" t="e">
        <f ca="1">$I$204*W208/($V$208+$W$208+$X$208)</f>
        <v>#DIV/0!</v>
      </c>
      <c r="R204" s="51"/>
      <c r="S204" s="294"/>
      <c r="T204" s="294"/>
      <c r="U204" s="295" t="e">
        <f ca="1">$I$204*X208/($V$208+$W$208+$X$208)</f>
        <v>#DIV/0!</v>
      </c>
      <c r="X204" s="770"/>
      <c r="Y204" s="770"/>
      <c r="AI204" s="20"/>
      <c r="AJ204" s="20"/>
      <c r="AK204" s="20"/>
      <c r="AL204" s="20"/>
      <c r="AM204" s="20"/>
      <c r="AN204" s="20"/>
      <c r="AO204" s="20"/>
      <c r="AP204" s="20"/>
      <c r="AR204" s="84"/>
    </row>
    <row r="205" spans="1:44" ht="16.5" thickBot="1">
      <c r="A205" s="1" t="s">
        <v>372</v>
      </c>
      <c r="B205" s="1"/>
      <c r="C205" s="296">
        <f ca="1">SUM(C203:C204)</f>
        <v>536266600.35221505</v>
      </c>
      <c r="D205" s="954"/>
      <c r="E205" s="330"/>
      <c r="F205" s="329">
        <f ca="1">F203+F204</f>
        <v>49430454.891159162</v>
      </c>
      <c r="G205" s="457"/>
      <c r="H205" s="330"/>
      <c r="I205" s="329">
        <f ca="1">I203+I204</f>
        <v>50590494.891159162</v>
      </c>
      <c r="J205" s="329"/>
      <c r="K205" s="457"/>
      <c r="L205" s="330"/>
      <c r="M205" s="329" t="e">
        <f ca="1">M203+M204</f>
        <v>#REF!</v>
      </c>
      <c r="N205" s="329"/>
      <c r="O205" s="457"/>
      <c r="P205" s="330"/>
      <c r="Q205" s="329" t="e">
        <f ca="1">Q203+Q204</f>
        <v>#DIV/0!</v>
      </c>
      <c r="R205" s="329"/>
      <c r="S205" s="457"/>
      <c r="T205" s="330"/>
      <c r="U205" s="329" t="e">
        <f ca="1">U203+U204</f>
        <v>#DIV/0!</v>
      </c>
      <c r="V205" s="757" t="s">
        <v>399</v>
      </c>
      <c r="W205" s="1082">
        <f ca="1">'Rate Spread targets'!X24*1000</f>
        <v>50590897.009019949</v>
      </c>
      <c r="X205" s="797">
        <f ca="1">'Rate Spread targets'!V24-0.071</f>
        <v>-5.4058551390443993E-2</v>
      </c>
      <c r="Y205" s="793"/>
      <c r="Z205" s="55" t="s">
        <v>31</v>
      </c>
      <c r="AI205" s="20"/>
      <c r="AJ205" s="20"/>
      <c r="AK205" s="20"/>
      <c r="AL205" s="20"/>
      <c r="AM205" s="20"/>
      <c r="AN205" s="20"/>
      <c r="AO205" s="20"/>
      <c r="AP205" s="20"/>
      <c r="AR205" s="84"/>
    </row>
    <row r="206" spans="1:44" ht="16.5" thickTop="1">
      <c r="A206" s="1"/>
      <c r="B206" s="1"/>
      <c r="C206" s="335"/>
      <c r="D206" s="1277"/>
      <c r="E206" s="23"/>
      <c r="F206" s="307"/>
      <c r="G206" s="1278"/>
      <c r="H206" s="23"/>
      <c r="I206" s="307"/>
      <c r="J206" s="307"/>
      <c r="K206" s="1278"/>
      <c r="L206" s="23"/>
      <c r="M206" s="307"/>
      <c r="N206" s="307"/>
      <c r="O206" s="1278"/>
      <c r="P206" s="23"/>
      <c r="Q206" s="307"/>
      <c r="R206" s="307"/>
      <c r="S206" s="1278"/>
      <c r="T206" s="23"/>
      <c r="U206" s="307" t="s">
        <v>31</v>
      </c>
      <c r="V206" s="112" t="s">
        <v>257</v>
      </c>
      <c r="W206" s="780">
        <f ca="1">W205-I205</f>
        <v>402.1178607866168</v>
      </c>
      <c r="X206" s="785"/>
      <c r="Y206" s="793"/>
      <c r="Z206" s="55"/>
      <c r="AI206" s="20"/>
      <c r="AJ206" s="20"/>
      <c r="AK206" s="20"/>
      <c r="AL206" s="20"/>
      <c r="AM206" s="20"/>
      <c r="AN206" s="20"/>
      <c r="AO206" s="20"/>
      <c r="AP206" s="20"/>
      <c r="AR206" s="84"/>
    </row>
    <row r="207" spans="1:44" hidden="1">
      <c r="A207" s="1"/>
      <c r="B207" s="1"/>
      <c r="C207" s="335"/>
      <c r="D207" s="1277"/>
      <c r="E207" s="23"/>
      <c r="F207" s="307"/>
      <c r="G207" s="1278"/>
      <c r="H207" s="23"/>
      <c r="I207" s="307"/>
      <c r="J207" s="307"/>
      <c r="K207" s="1278"/>
      <c r="L207" s="23"/>
      <c r="M207" s="307"/>
      <c r="N207" s="307"/>
      <c r="O207" s="1278"/>
      <c r="P207" s="23"/>
      <c r="Q207" s="307"/>
      <c r="R207" s="307"/>
      <c r="S207" s="1278"/>
      <c r="T207" s="23"/>
      <c r="U207" s="307" t="s">
        <v>31</v>
      </c>
      <c r="V207" s="1279"/>
      <c r="W207" s="1279"/>
      <c r="X207" s="719"/>
      <c r="Y207" s="793"/>
      <c r="Z207" s="55"/>
      <c r="AI207" s="20"/>
      <c r="AJ207" s="20"/>
      <c r="AK207" s="20"/>
      <c r="AL207" s="20"/>
      <c r="AM207" s="20"/>
      <c r="AN207" s="20"/>
      <c r="AO207" s="20"/>
      <c r="AP207" s="20"/>
      <c r="AR207" s="84"/>
    </row>
    <row r="208" spans="1:44" hidden="1">
      <c r="A208" s="1"/>
      <c r="B208" s="1"/>
      <c r="C208" s="21"/>
      <c r="D208" s="322"/>
      <c r="E208" s="1"/>
      <c r="F208" s="2" t="s">
        <v>31</v>
      </c>
      <c r="G208" s="322"/>
      <c r="H208" s="1"/>
      <c r="I208" s="2" t="s">
        <v>31</v>
      </c>
      <c r="J208" s="2"/>
      <c r="K208" s="322"/>
      <c r="L208" s="1"/>
      <c r="M208" s="2" t="s">
        <v>31</v>
      </c>
      <c r="N208" s="2"/>
      <c r="O208" s="322"/>
      <c r="P208" s="1"/>
      <c r="Q208" s="2" t="s">
        <v>31</v>
      </c>
      <c r="R208" s="2"/>
      <c r="S208" s="322"/>
      <c r="T208" s="1"/>
      <c r="U208" s="2" t="s">
        <v>31</v>
      </c>
      <c r="V208" s="1124"/>
      <c r="W208" s="1124"/>
      <c r="X208" s="1124"/>
      <c r="Y208" s="1129"/>
      <c r="AI208" s="20"/>
      <c r="AJ208" s="20"/>
      <c r="AK208" s="20"/>
      <c r="AL208" s="20"/>
      <c r="AM208" s="20"/>
      <c r="AN208" s="20"/>
      <c r="AO208" s="20"/>
      <c r="AP208" s="20"/>
      <c r="AR208" s="84"/>
    </row>
    <row r="209" spans="1:44" hidden="1">
      <c r="A209" s="1"/>
      <c r="B209" s="1"/>
      <c r="C209" s="21"/>
      <c r="D209" s="322"/>
      <c r="E209" s="1"/>
      <c r="F209" s="2"/>
      <c r="G209" s="322"/>
      <c r="H209" s="1"/>
      <c r="K209" s="322"/>
      <c r="L209" s="1"/>
      <c r="O209" s="322"/>
      <c r="P209" s="1"/>
      <c r="S209" s="322"/>
      <c r="T209" s="1"/>
      <c r="AI209" s="20"/>
      <c r="AJ209" s="20"/>
      <c r="AK209" s="20"/>
      <c r="AL209" s="20"/>
      <c r="AM209" s="20"/>
      <c r="AN209" s="20"/>
      <c r="AO209" s="20"/>
      <c r="AP209" s="20"/>
      <c r="AR209" s="84"/>
    </row>
    <row r="210" spans="1:44" hidden="1">
      <c r="A210" s="278" t="s">
        <v>377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331" t="s">
        <v>31</v>
      </c>
      <c r="X210" s="14"/>
      <c r="Y210" s="14"/>
      <c r="AI210" s="20"/>
      <c r="AJ210" s="20"/>
      <c r="AK210" s="20"/>
      <c r="AL210" s="20"/>
      <c r="AM210" s="20"/>
      <c r="AN210" s="20"/>
      <c r="AO210" s="20"/>
      <c r="AP210" s="20"/>
      <c r="AR210" s="84"/>
    </row>
    <row r="211" spans="1:44" hidden="1">
      <c r="A211" s="1" t="s">
        <v>400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401"/>
      <c r="W211" s="74"/>
      <c r="X211" s="74"/>
      <c r="Y211" s="74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R211" s="84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401"/>
      <c r="W212" s="74"/>
      <c r="X212" s="74"/>
      <c r="Y212" s="74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R212" s="84"/>
    </row>
    <row r="213" spans="1:44" hidden="1">
      <c r="A213" s="1" t="s">
        <v>383</v>
      </c>
      <c r="B213" s="1"/>
      <c r="C213" s="304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20"/>
      <c r="W213" s="74"/>
      <c r="X213" s="74"/>
      <c r="Y213" s="74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R213" s="84"/>
    </row>
    <row r="214" spans="1:44" hidden="1">
      <c r="A214" s="1" t="s">
        <v>380</v>
      </c>
      <c r="B214" s="1"/>
      <c r="C214" s="304">
        <f>C283+C317+C248</f>
        <v>161975.73333331931</v>
      </c>
      <c r="D214" s="283">
        <f>'Rate Design Work eff 9-15-17'!D213</f>
        <v>9.76</v>
      </c>
      <c r="E214" s="308"/>
      <c r="F214" s="2">
        <f>F283+F317+F248</f>
        <v>1580883</v>
      </c>
      <c r="G214" s="283">
        <f ca="1">$G$173</f>
        <v>9.99</v>
      </c>
      <c r="H214" s="308"/>
      <c r="I214" s="2">
        <f ca="1">I283+I317+I248</f>
        <v>1618138</v>
      </c>
      <c r="J214" s="2"/>
      <c r="K214" s="283">
        <f ca="1">$K$173</f>
        <v>9.76</v>
      </c>
      <c r="L214" s="308"/>
      <c r="M214" s="2">
        <f ca="1">M283+M317+M248</f>
        <v>1580883</v>
      </c>
      <c r="N214" s="2"/>
      <c r="O214" s="283" t="str">
        <f>$O$173</f>
        <v xml:space="preserve"> </v>
      </c>
      <c r="P214" s="308"/>
      <c r="Q214" s="2">
        <f>Q283+Q317+Q248</f>
        <v>0</v>
      </c>
      <c r="R214" s="2"/>
      <c r="S214" s="283" t="str">
        <f>$S$173</f>
        <v xml:space="preserve"> </v>
      </c>
      <c r="T214" s="308"/>
      <c r="U214" s="2">
        <f>U283+U317+U248</f>
        <v>0</v>
      </c>
      <c r="V214" s="20"/>
      <c r="W214" s="74"/>
      <c r="X214" s="74"/>
      <c r="Y214" s="74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R214" s="84"/>
    </row>
    <row r="215" spans="1:44" hidden="1">
      <c r="A215" s="1" t="s">
        <v>381</v>
      </c>
      <c r="B215" s="1"/>
      <c r="C215" s="304">
        <f>C284+C318+C249</f>
        <v>64148.300000000723</v>
      </c>
      <c r="D215" s="283">
        <f>'Rate Design Work eff 9-15-17'!D214</f>
        <v>14.54</v>
      </c>
      <c r="E215" s="310"/>
      <c r="F215" s="2">
        <f>F284+F318+F249</f>
        <v>932716</v>
      </c>
      <c r="G215" s="283">
        <f ca="1">$G$174</f>
        <v>14.89</v>
      </c>
      <c r="H215" s="310"/>
      <c r="I215" s="2">
        <f ca="1">I284+I318+I249</f>
        <v>955168</v>
      </c>
      <c r="J215" s="2"/>
      <c r="K215" s="283">
        <f ca="1">$K$174</f>
        <v>14.54</v>
      </c>
      <c r="L215" s="310"/>
      <c r="M215" s="2">
        <f ca="1">M284+M318+M249</f>
        <v>932716</v>
      </c>
      <c r="N215" s="2"/>
      <c r="O215" s="283" t="str">
        <f>$O$174</f>
        <v xml:space="preserve"> </v>
      </c>
      <c r="P215" s="310"/>
      <c r="Q215" s="2">
        <f>Q284+Q318+Q249</f>
        <v>0</v>
      </c>
      <c r="R215" s="2"/>
      <c r="S215" s="283" t="str">
        <f>$S$174</f>
        <v xml:space="preserve"> </v>
      </c>
      <c r="T215" s="310"/>
      <c r="U215" s="2">
        <f>U284+U318+U249</f>
        <v>0</v>
      </c>
      <c r="V215" s="20"/>
      <c r="W215" s="74"/>
      <c r="X215" s="74"/>
      <c r="Y215" s="74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R215" s="84"/>
    </row>
    <row r="216" spans="1:44" hidden="1">
      <c r="A216" s="1" t="s">
        <v>382</v>
      </c>
      <c r="B216" s="1"/>
      <c r="C216" s="304">
        <f>C285+C319+C250</f>
        <v>1035367</v>
      </c>
      <c r="D216" s="283">
        <f>'Rate Design Work eff 9-15-17'!D215</f>
        <v>1.02</v>
      </c>
      <c r="E216" s="310"/>
      <c r="F216" s="2">
        <f>F285+F319+F250</f>
        <v>1056074</v>
      </c>
      <c r="G216" s="283">
        <f ca="1">$G$175</f>
        <v>1.04</v>
      </c>
      <c r="H216" s="310"/>
      <c r="I216" s="2">
        <f ca="1">I285+I319+I250</f>
        <v>1076781</v>
      </c>
      <c r="J216" s="2"/>
      <c r="K216" s="283">
        <f ca="1">$K$175</f>
        <v>1.02</v>
      </c>
      <c r="L216" s="310"/>
      <c r="M216" s="2">
        <f ca="1">M285+M319+M250</f>
        <v>1056074</v>
      </c>
      <c r="N216" s="2"/>
      <c r="O216" s="283" t="str">
        <f>$O$175</f>
        <v xml:space="preserve"> </v>
      </c>
      <c r="P216" s="310"/>
      <c r="Q216" s="2">
        <f>Q285+Q319+Q250</f>
        <v>0</v>
      </c>
      <c r="R216" s="2"/>
      <c r="S216" s="283" t="str">
        <f>$S$175</f>
        <v xml:space="preserve"> </v>
      </c>
      <c r="T216" s="310"/>
      <c r="U216" s="2">
        <f>U285+U319+U250</f>
        <v>0</v>
      </c>
      <c r="V216" s="20"/>
      <c r="W216" s="74"/>
      <c r="X216" s="74"/>
      <c r="Y216" s="74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R216" s="84"/>
    </row>
    <row r="217" spans="1:44" hidden="1">
      <c r="A217" s="1" t="s">
        <v>384</v>
      </c>
      <c r="B217" s="1"/>
      <c r="C217" s="304">
        <f>SUM(C214:C215)</f>
        <v>226124.03333332003</v>
      </c>
      <c r="D217" s="283"/>
      <c r="E217" s="308"/>
      <c r="F217" s="2"/>
      <c r="G217" s="283"/>
      <c r="H217" s="308"/>
      <c r="I217" s="2"/>
      <c r="J217" s="2"/>
      <c r="K217" s="283"/>
      <c r="L217" s="308"/>
      <c r="M217" s="2"/>
      <c r="N217" s="2"/>
      <c r="O217" s="283"/>
      <c r="P217" s="308"/>
      <c r="Q217" s="2"/>
      <c r="R217" s="2"/>
      <c r="S217" s="283"/>
      <c r="T217" s="308"/>
      <c r="U217" s="2"/>
      <c r="V217" s="20"/>
      <c r="W217" s="74"/>
      <c r="X217" s="74"/>
      <c r="Y217" s="74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R217" s="84"/>
    </row>
    <row r="218" spans="1:44" hidden="1">
      <c r="A218" s="1" t="s">
        <v>385</v>
      </c>
      <c r="B218" s="1"/>
      <c r="C218" s="304">
        <f>C287+C321+C252</f>
        <v>835989</v>
      </c>
      <c r="D218" s="311">
        <f>'Rate Design Work eff 9-15-17'!D217</f>
        <v>3.7</v>
      </c>
      <c r="E218" s="308"/>
      <c r="F218" s="2">
        <f>F287+F321+F252</f>
        <v>3093159</v>
      </c>
      <c r="G218" s="311">
        <f ca="1">$G$178</f>
        <v>3.8</v>
      </c>
      <c r="H218" s="308"/>
      <c r="I218" s="2">
        <f ca="1">I287+I321+I252</f>
        <v>3176757</v>
      </c>
      <c r="J218" s="2"/>
      <c r="K218" s="311" t="e">
        <f ca="1">$K$178</f>
        <v>#REF!</v>
      </c>
      <c r="L218" s="308"/>
      <c r="M218" s="2" t="e">
        <f ca="1">M287+M321+M252</f>
        <v>#REF!</v>
      </c>
      <c r="N218" s="2"/>
      <c r="O218" s="311" t="e">
        <f ca="1">$O$178</f>
        <v>#DIV/0!</v>
      </c>
      <c r="P218" s="308"/>
      <c r="Q218" s="2" t="e">
        <f ca="1">Q287+Q321+Q252</f>
        <v>#DIV/0!</v>
      </c>
      <c r="R218" s="2"/>
      <c r="S218" s="311" t="e">
        <f ca="1">$S$178</f>
        <v>#DIV/0!</v>
      </c>
      <c r="T218" s="308"/>
      <c r="U218" s="2" t="e">
        <f ca="1">U287+U321+U252</f>
        <v>#DIV/0!</v>
      </c>
      <c r="V218" s="20"/>
      <c r="W218" s="74"/>
      <c r="X218" s="74"/>
      <c r="Y218" s="74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R218" s="84"/>
    </row>
    <row r="219" spans="1:44" hidden="1">
      <c r="A219" s="1" t="s">
        <v>387</v>
      </c>
      <c r="B219" s="1"/>
      <c r="C219" s="304">
        <f>C288+C322+C253</f>
        <v>129554839.11787954</v>
      </c>
      <c r="D219" s="284">
        <f>'Rate Design Work eff 9-15-17'!D218</f>
        <v>10.628</v>
      </c>
      <c r="E219" s="308" t="s">
        <v>364</v>
      </c>
      <c r="F219" s="2">
        <f>F288+F322+F253</f>
        <v>13769088</v>
      </c>
      <c r="G219" s="284">
        <f ca="1">$G$179</f>
        <v>10.878</v>
      </c>
      <c r="H219" s="308" t="s">
        <v>364</v>
      </c>
      <c r="I219" s="2">
        <f ca="1">I288+I322+I253</f>
        <v>14092976</v>
      </c>
      <c r="J219" s="2"/>
      <c r="K219" s="284" t="e">
        <f ca="1">$K$179</f>
        <v>#REF!</v>
      </c>
      <c r="L219" s="308" t="s">
        <v>364</v>
      </c>
      <c r="M219" s="2" t="e">
        <f ca="1">M288+M322+M253</f>
        <v>#REF!</v>
      </c>
      <c r="N219" s="2"/>
      <c r="O219" s="284" t="e">
        <f ca="1">$O$179</f>
        <v>#DIV/0!</v>
      </c>
      <c r="P219" s="308" t="s">
        <v>364</v>
      </c>
      <c r="Q219" s="2" t="e">
        <f ca="1">Q288+Q322+Q253</f>
        <v>#DIV/0!</v>
      </c>
      <c r="R219" s="2"/>
      <c r="S219" s="284" t="e">
        <f ca="1">$S$179</f>
        <v>#DIV/0!</v>
      </c>
      <c r="T219" s="308" t="s">
        <v>364</v>
      </c>
      <c r="U219" s="2" t="e">
        <f ca="1">U288+U322+U253</f>
        <v>#DIV/0!</v>
      </c>
      <c r="V219" s="20"/>
      <c r="W219" s="74"/>
      <c r="X219" s="74"/>
      <c r="Y219" s="74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R219" s="84"/>
    </row>
    <row r="220" spans="1:44" hidden="1">
      <c r="A220" s="1" t="s">
        <v>388</v>
      </c>
      <c r="B220" s="1"/>
      <c r="C220" s="304">
        <f>C289+C323+C254</f>
        <v>281305509.69846565</v>
      </c>
      <c r="D220" s="284">
        <f>'Rate Design Work eff 9-15-17'!D219</f>
        <v>7.3410000000000002</v>
      </c>
      <c r="E220" s="308" t="s">
        <v>364</v>
      </c>
      <c r="F220" s="2">
        <f>F289+F323+F254</f>
        <v>20650637</v>
      </c>
      <c r="G220" s="284">
        <f ca="1">$G$180</f>
        <v>7.5140000000000002</v>
      </c>
      <c r="H220" s="308" t="s">
        <v>364</v>
      </c>
      <c r="I220" s="2">
        <f ca="1">I289+I323+I254</f>
        <v>21137296</v>
      </c>
      <c r="J220" s="2"/>
      <c r="K220" s="284" t="e">
        <f ca="1">$K$180</f>
        <v>#REF!</v>
      </c>
      <c r="L220" s="308" t="s">
        <v>364</v>
      </c>
      <c r="M220" s="2" t="e">
        <f ca="1">M289+M323+M254</f>
        <v>#REF!</v>
      </c>
      <c r="N220" s="2"/>
      <c r="O220" s="284" t="e">
        <f ca="1">$O$180</f>
        <v>#DIV/0!</v>
      </c>
      <c r="P220" s="308" t="s">
        <v>364</v>
      </c>
      <c r="Q220" s="2" t="e">
        <f ca="1">Q289+Q323+Q254</f>
        <v>#DIV/0!</v>
      </c>
      <c r="R220" s="2"/>
      <c r="S220" s="284" t="e">
        <f ca="1">$S$180</f>
        <v>#DIV/0!</v>
      </c>
      <c r="T220" s="308" t="s">
        <v>364</v>
      </c>
      <c r="U220" s="2" t="e">
        <f ca="1">U289+U323+U254</f>
        <v>#DIV/0!</v>
      </c>
      <c r="V220" s="20"/>
      <c r="W220" s="74"/>
      <c r="X220" s="74"/>
      <c r="Y220" s="74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R220" s="84"/>
    </row>
    <row r="221" spans="1:44" hidden="1">
      <c r="A221" s="1" t="s">
        <v>389</v>
      </c>
      <c r="B221" s="1"/>
      <c r="C221" s="304">
        <f>C290+C324+C255</f>
        <v>119991272.36558694</v>
      </c>
      <c r="D221" s="284">
        <f>'Rate Design Work eff 9-15-17'!D220</f>
        <v>6.3240000000000007</v>
      </c>
      <c r="E221" s="308" t="s">
        <v>364</v>
      </c>
      <c r="F221" s="2">
        <f>F290+F324+F255</f>
        <v>7588248</v>
      </c>
      <c r="G221" s="284">
        <f ca="1">$G$181</f>
        <v>6.4720000000000004</v>
      </c>
      <c r="H221" s="308" t="s">
        <v>364</v>
      </c>
      <c r="I221" s="2">
        <f ca="1">I290+I324+I255</f>
        <v>7765836</v>
      </c>
      <c r="J221" s="2"/>
      <c r="K221" s="284" t="e">
        <f ca="1">$K$181</f>
        <v>#REF!</v>
      </c>
      <c r="L221" s="308" t="s">
        <v>364</v>
      </c>
      <c r="M221" s="2" t="e">
        <f ca="1">M290+M324+M255</f>
        <v>#REF!</v>
      </c>
      <c r="N221" s="2"/>
      <c r="O221" s="284" t="e">
        <f ca="1">$O$181</f>
        <v>#DIV/0!</v>
      </c>
      <c r="P221" s="308" t="s">
        <v>364</v>
      </c>
      <c r="Q221" s="2" t="e">
        <f ca="1">Q290+Q324+Q255</f>
        <v>#DIV/0!</v>
      </c>
      <c r="R221" s="2"/>
      <c r="S221" s="284" t="e">
        <f ca="1">$S$181</f>
        <v>#DIV/0!</v>
      </c>
      <c r="T221" s="308" t="s">
        <v>364</v>
      </c>
      <c r="U221" s="2" t="e">
        <f ca="1">U290+U324+U255</f>
        <v>#DIV/0!</v>
      </c>
      <c r="V221" s="20"/>
      <c r="W221" s="74"/>
      <c r="X221" s="74"/>
      <c r="Y221" s="74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R221" s="84"/>
    </row>
    <row r="222" spans="1:44" hidden="1">
      <c r="A222" s="1" t="s">
        <v>390</v>
      </c>
      <c r="B222" s="1"/>
      <c r="C222" s="304">
        <f>C291+C325+C256</f>
        <v>120876.56666666651</v>
      </c>
      <c r="D222" s="315">
        <f>'Rate Design Work eff 9-15-17'!D221</f>
        <v>57</v>
      </c>
      <c r="E222" s="308" t="s">
        <v>364</v>
      </c>
      <c r="F222" s="2">
        <f>F291+F325+F256</f>
        <v>68900</v>
      </c>
      <c r="G222" s="315">
        <f ca="1">$G$182</f>
        <v>58</v>
      </c>
      <c r="H222" s="308" t="s">
        <v>364</v>
      </c>
      <c r="I222" s="2">
        <f ca="1">I291+I325+I256</f>
        <v>70109</v>
      </c>
      <c r="J222" s="2"/>
      <c r="K222" s="315" t="str">
        <f>$K$182</f>
        <v xml:space="preserve"> </v>
      </c>
      <c r="L222" s="308" t="s">
        <v>364</v>
      </c>
      <c r="M222" s="2">
        <f>M291+M325+M256</f>
        <v>0</v>
      </c>
      <c r="N222" s="2"/>
      <c r="O222" s="315" t="e">
        <f>$O$182</f>
        <v>#DIV/0!</v>
      </c>
      <c r="P222" s="308" t="s">
        <v>364</v>
      </c>
      <c r="Q222" s="2" t="e">
        <f>Q291+Q325+Q256</f>
        <v>#DIV/0!</v>
      </c>
      <c r="R222" s="2"/>
      <c r="S222" s="315" t="e">
        <f>$S$182</f>
        <v>#DIV/0!</v>
      </c>
      <c r="T222" s="308" t="s">
        <v>364</v>
      </c>
      <c r="U222" s="2" t="e">
        <f>U291+U325+U256</f>
        <v>#DIV/0!</v>
      </c>
      <c r="V222" s="20"/>
      <c r="W222" s="74"/>
      <c r="X222" s="74"/>
      <c r="Y222" s="74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R222" s="84"/>
    </row>
    <row r="223" spans="1:44" s="1118" customFormat="1" hidden="1">
      <c r="A223" s="968" t="s">
        <v>888</v>
      </c>
      <c r="C223" s="987">
        <f>C219</f>
        <v>129554839.11787954</v>
      </c>
      <c r="D223" s="254">
        <f>'Rate Design Work eff 9-15-17'!D222</f>
        <v>0</v>
      </c>
      <c r="E223" s="1119"/>
      <c r="F223" s="1123"/>
      <c r="G223" s="1128">
        <f>G183</f>
        <v>0</v>
      </c>
      <c r="H223" s="972" t="s">
        <v>364</v>
      </c>
      <c r="I223" s="1123">
        <f>I257+I292+I326</f>
        <v>0</v>
      </c>
      <c r="J223" s="1123"/>
      <c r="K223" s="1128" t="str">
        <f>K183</f>
        <v xml:space="preserve"> </v>
      </c>
      <c r="L223" s="972" t="s">
        <v>364</v>
      </c>
      <c r="M223" s="1123">
        <f>M257+M292+M326</f>
        <v>0</v>
      </c>
      <c r="N223" s="1123"/>
      <c r="O223" s="1128" t="str">
        <f>O183</f>
        <v xml:space="preserve"> </v>
      </c>
      <c r="P223" s="972" t="s">
        <v>364</v>
      </c>
      <c r="Q223" s="1123">
        <f>Q257+Q292+Q326</f>
        <v>0</v>
      </c>
      <c r="R223" s="1123"/>
      <c r="S223" s="1128">
        <f>S183</f>
        <v>0</v>
      </c>
      <c r="T223" s="972" t="s">
        <v>364</v>
      </c>
      <c r="U223" s="1123">
        <f>U257+U292+U326</f>
        <v>0</v>
      </c>
      <c r="W223" s="784"/>
      <c r="Z223" s="1125"/>
      <c r="AA223" s="1125"/>
      <c r="AF223" s="1119"/>
      <c r="AG223" s="1119"/>
      <c r="AH223" s="1119"/>
      <c r="AI223" s="1119"/>
      <c r="AJ223" s="1119"/>
      <c r="AK223" s="1119"/>
      <c r="AL223" s="1119"/>
      <c r="AM223" s="1119"/>
      <c r="AN223" s="1119"/>
      <c r="AO223" s="1119"/>
      <c r="AP223" s="1119"/>
      <c r="AR223" s="1124"/>
    </row>
    <row r="224" spans="1:44" s="1118" customFormat="1" hidden="1">
      <c r="A224" s="968" t="s">
        <v>889</v>
      </c>
      <c r="C224" s="987">
        <f t="shared" ref="C224:C225" si="31">C220</f>
        <v>281305509.69846565</v>
      </c>
      <c r="D224" s="254">
        <f>'Rate Design Work eff 9-15-17'!D223</f>
        <v>0</v>
      </c>
      <c r="E224" s="1119"/>
      <c r="F224" s="1123"/>
      <c r="G224" s="1128">
        <f>G184</f>
        <v>0</v>
      </c>
      <c r="H224" s="972" t="s">
        <v>364</v>
      </c>
      <c r="I224" s="1123">
        <f t="shared" ref="I224:I225" si="32">I258+I293+I327</f>
        <v>0</v>
      </c>
      <c r="J224" s="1123"/>
      <c r="K224" s="1128" t="str">
        <f>K184</f>
        <v xml:space="preserve"> </v>
      </c>
      <c r="L224" s="972" t="s">
        <v>364</v>
      </c>
      <c r="M224" s="1123">
        <f t="shared" ref="M224:M225" si="33">M258+M293+M327</f>
        <v>0</v>
      </c>
      <c r="N224" s="1123"/>
      <c r="O224" s="1128" t="str">
        <f>O184</f>
        <v xml:space="preserve"> </v>
      </c>
      <c r="P224" s="972" t="s">
        <v>364</v>
      </c>
      <c r="Q224" s="1123">
        <f t="shared" ref="Q224:Q225" si="34">Q258+Q293+Q327</f>
        <v>0</v>
      </c>
      <c r="R224" s="1123"/>
      <c r="S224" s="1128">
        <f>S184</f>
        <v>0</v>
      </c>
      <c r="T224" s="972" t="s">
        <v>364</v>
      </c>
      <c r="U224" s="1123">
        <f t="shared" ref="U224:U225" si="35">U258+U293+U327</f>
        <v>0</v>
      </c>
      <c r="W224" s="784"/>
      <c r="Z224" s="1125"/>
      <c r="AA224" s="1125"/>
      <c r="AF224" s="1119"/>
      <c r="AG224" s="1119"/>
      <c r="AH224" s="1119"/>
      <c r="AI224" s="1119"/>
      <c r="AJ224" s="1119"/>
      <c r="AK224" s="1119"/>
      <c r="AL224" s="1119"/>
      <c r="AM224" s="1119"/>
      <c r="AN224" s="1119"/>
      <c r="AO224" s="1119"/>
      <c r="AP224" s="1119"/>
      <c r="AR224" s="1124"/>
    </row>
    <row r="225" spans="1:44" s="1118" customFormat="1" hidden="1">
      <c r="A225" s="968" t="s">
        <v>890</v>
      </c>
      <c r="C225" s="987">
        <f t="shared" si="31"/>
        <v>119991272.36558694</v>
      </c>
      <c r="D225" s="254">
        <f>'Rate Design Work eff 9-15-17'!D224</f>
        <v>0</v>
      </c>
      <c r="E225" s="1119"/>
      <c r="F225" s="1123"/>
      <c r="G225" s="1128">
        <f>G185</f>
        <v>0</v>
      </c>
      <c r="H225" s="972" t="s">
        <v>364</v>
      </c>
      <c r="I225" s="1123">
        <f t="shared" si="32"/>
        <v>0</v>
      </c>
      <c r="J225" s="1123"/>
      <c r="K225" s="1128" t="str">
        <f>K185</f>
        <v xml:space="preserve"> </v>
      </c>
      <c r="L225" s="972" t="s">
        <v>364</v>
      </c>
      <c r="M225" s="1123">
        <f t="shared" si="33"/>
        <v>0</v>
      </c>
      <c r="N225" s="1123"/>
      <c r="O225" s="1128" t="str">
        <f>O185</f>
        <v xml:space="preserve"> </v>
      </c>
      <c r="P225" s="972" t="s">
        <v>364</v>
      </c>
      <c r="Q225" s="1123">
        <f t="shared" si="34"/>
        <v>0</v>
      </c>
      <c r="R225" s="1123"/>
      <c r="S225" s="1128">
        <f>S185</f>
        <v>0</v>
      </c>
      <c r="T225" s="972" t="s">
        <v>364</v>
      </c>
      <c r="U225" s="1123">
        <f t="shared" si="35"/>
        <v>0</v>
      </c>
      <c r="W225" s="784" t="s">
        <v>31</v>
      </c>
      <c r="Z225" s="1125"/>
      <c r="AA225" s="1125"/>
      <c r="AF225" s="1119"/>
      <c r="AG225" s="1119"/>
      <c r="AH225" s="1119"/>
      <c r="AI225" s="1119"/>
      <c r="AJ225" s="1119"/>
      <c r="AK225" s="1119"/>
      <c r="AL225" s="1119"/>
      <c r="AM225" s="1119"/>
      <c r="AN225" s="1119"/>
      <c r="AO225" s="1119"/>
      <c r="AP225" s="1119"/>
      <c r="AR225" s="1124"/>
    </row>
    <row r="226" spans="1:44" hidden="1">
      <c r="A226" s="316" t="s">
        <v>391</v>
      </c>
      <c r="B226" s="1"/>
      <c r="C226" s="304"/>
      <c r="D226" s="317">
        <f>'Rate Design Work eff 9-15-17'!D225</f>
        <v>-0.01</v>
      </c>
      <c r="E226" s="308"/>
      <c r="F226" s="2"/>
      <c r="G226" s="317">
        <v>-0.01</v>
      </c>
      <c r="H226" s="308"/>
      <c r="I226" s="2"/>
      <c r="J226" s="2"/>
      <c r="K226" s="317">
        <v>-0.01</v>
      </c>
      <c r="L226" s="308"/>
      <c r="M226" s="2"/>
      <c r="N226" s="2"/>
      <c r="O226" s="317">
        <v>-0.01</v>
      </c>
      <c r="P226" s="308"/>
      <c r="Q226" s="2"/>
      <c r="R226" s="2"/>
      <c r="S226" s="317">
        <v>-0.01</v>
      </c>
      <c r="T226" s="308"/>
      <c r="U226" s="2"/>
      <c r="V226" s="20"/>
      <c r="W226" s="32" t="s">
        <v>31</v>
      </c>
      <c r="X226" s="74"/>
      <c r="Y226" s="74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R226" s="84"/>
    </row>
    <row r="227" spans="1:44" hidden="1">
      <c r="A227" s="1" t="s">
        <v>380</v>
      </c>
      <c r="B227" s="1"/>
      <c r="C227" s="304">
        <f t="shared" ref="C227:C236" si="36">C296+C330+C261</f>
        <v>74.633333333333297</v>
      </c>
      <c r="D227" s="319">
        <f>'Rate Design Work eff 9-15-17'!D226</f>
        <v>9.76</v>
      </c>
      <c r="E227" s="306"/>
      <c r="F227" s="2">
        <f t="shared" ref="F227:F236" si="37">F296+F330+F261</f>
        <v>-7</v>
      </c>
      <c r="G227" s="319">
        <f ca="1">G214</f>
        <v>9.99</v>
      </c>
      <c r="H227" s="306"/>
      <c r="I227" s="2">
        <f t="shared" ref="I227:I236" ca="1" si="38">I296+I330+I261</f>
        <v>-7</v>
      </c>
      <c r="J227" s="2"/>
      <c r="K227" s="319">
        <f ca="1">K214</f>
        <v>9.76</v>
      </c>
      <c r="L227" s="306"/>
      <c r="M227" s="2">
        <f t="shared" ref="M227:M236" ca="1" si="39">M296+M330+M261</f>
        <v>-7</v>
      </c>
      <c r="N227" s="2"/>
      <c r="O227" s="319" t="str">
        <f>O214</f>
        <v xml:space="preserve"> </v>
      </c>
      <c r="P227" s="306"/>
      <c r="Q227" s="2">
        <f t="shared" ref="Q227:Q236" si="40">Q296+Q330+Q261</f>
        <v>0</v>
      </c>
      <c r="R227" s="2"/>
      <c r="S227" s="319" t="str">
        <f>S214</f>
        <v xml:space="preserve"> </v>
      </c>
      <c r="T227" s="306"/>
      <c r="U227" s="2">
        <f t="shared" ref="U227:U236" si="41">U296+U330+U261</f>
        <v>0</v>
      </c>
      <c r="V227" s="20"/>
      <c r="W227" s="74"/>
      <c r="X227" s="74"/>
      <c r="Y227" s="74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R227" s="84"/>
    </row>
    <row r="228" spans="1:44" hidden="1">
      <c r="A228" s="1" t="s">
        <v>381</v>
      </c>
      <c r="B228" s="1"/>
      <c r="C228" s="304">
        <f t="shared" si="36"/>
        <v>88.799999999999983</v>
      </c>
      <c r="D228" s="319">
        <f>'Rate Design Work eff 9-15-17'!D227</f>
        <v>14.54</v>
      </c>
      <c r="E228" s="306"/>
      <c r="F228" s="2">
        <f t="shared" si="37"/>
        <v>-12</v>
      </c>
      <c r="G228" s="319">
        <f ca="1">G215</f>
        <v>14.89</v>
      </c>
      <c r="H228" s="306"/>
      <c r="I228" s="2">
        <f t="shared" ca="1" si="38"/>
        <v>-13</v>
      </c>
      <c r="J228" s="2"/>
      <c r="K228" s="319">
        <f ca="1">K215</f>
        <v>14.54</v>
      </c>
      <c r="L228" s="306"/>
      <c r="M228" s="2">
        <f t="shared" ca="1" si="39"/>
        <v>-12</v>
      </c>
      <c r="N228" s="2"/>
      <c r="O228" s="319" t="str">
        <f>O215</f>
        <v xml:space="preserve"> </v>
      </c>
      <c r="P228" s="306"/>
      <c r="Q228" s="2">
        <f t="shared" si="40"/>
        <v>0</v>
      </c>
      <c r="R228" s="2"/>
      <c r="S228" s="319" t="str">
        <f>S215</f>
        <v xml:space="preserve"> </v>
      </c>
      <c r="T228" s="306"/>
      <c r="U228" s="2">
        <f t="shared" si="41"/>
        <v>0</v>
      </c>
      <c r="V228" s="20"/>
      <c r="W228" s="74"/>
      <c r="X228" s="74"/>
      <c r="Y228" s="74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R228" s="84"/>
    </row>
    <row r="229" spans="1:44" hidden="1">
      <c r="A229" s="1" t="s">
        <v>392</v>
      </c>
      <c r="B229" s="1"/>
      <c r="C229" s="304">
        <f t="shared" si="36"/>
        <v>2161</v>
      </c>
      <c r="D229" s="319">
        <f>'Rate Design Work eff 9-15-17'!D228</f>
        <v>1.02</v>
      </c>
      <c r="E229" s="306"/>
      <c r="F229" s="2">
        <f t="shared" si="37"/>
        <v>-23</v>
      </c>
      <c r="G229" s="319">
        <f ca="1">G216</f>
        <v>1.04</v>
      </c>
      <c r="H229" s="306"/>
      <c r="I229" s="2">
        <f t="shared" ca="1" si="38"/>
        <v>-23</v>
      </c>
      <c r="J229" s="2"/>
      <c r="K229" s="319">
        <f ca="1">K216</f>
        <v>1.02</v>
      </c>
      <c r="L229" s="306"/>
      <c r="M229" s="2">
        <f t="shared" ca="1" si="39"/>
        <v>-23</v>
      </c>
      <c r="N229" s="2"/>
      <c r="O229" s="319" t="str">
        <f>O216</f>
        <v xml:space="preserve"> </v>
      </c>
      <c r="P229" s="306"/>
      <c r="Q229" s="2">
        <f t="shared" si="40"/>
        <v>0</v>
      </c>
      <c r="R229" s="2"/>
      <c r="S229" s="319" t="str">
        <f>S216</f>
        <v xml:space="preserve"> </v>
      </c>
      <c r="T229" s="306"/>
      <c r="U229" s="2">
        <f t="shared" si="41"/>
        <v>0</v>
      </c>
      <c r="V229" s="20"/>
      <c r="W229" s="74"/>
      <c r="X229" s="74"/>
      <c r="Y229" s="74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R229" s="84"/>
    </row>
    <row r="230" spans="1:44" hidden="1">
      <c r="A230" s="1" t="s">
        <v>393</v>
      </c>
      <c r="B230" s="1"/>
      <c r="C230" s="304">
        <f t="shared" si="36"/>
        <v>1487</v>
      </c>
      <c r="D230" s="319">
        <f>'Rate Design Work eff 9-15-17'!D229</f>
        <v>3.7</v>
      </c>
      <c r="E230" s="308"/>
      <c r="F230" s="2">
        <f t="shared" si="37"/>
        <v>-55</v>
      </c>
      <c r="G230" s="319">
        <f ca="1">G218</f>
        <v>3.8</v>
      </c>
      <c r="H230" s="308"/>
      <c r="I230" s="2">
        <f t="shared" ca="1" si="38"/>
        <v>-56</v>
      </c>
      <c r="J230" s="2"/>
      <c r="K230" s="319" t="e">
        <f ca="1">K218</f>
        <v>#REF!</v>
      </c>
      <c r="L230" s="308"/>
      <c r="M230" s="2" t="e">
        <f t="shared" ca="1" si="39"/>
        <v>#REF!</v>
      </c>
      <c r="N230" s="2"/>
      <c r="O230" s="319" t="e">
        <f ca="1">O218</f>
        <v>#DIV/0!</v>
      </c>
      <c r="P230" s="308"/>
      <c r="Q230" s="2" t="e">
        <f t="shared" ca="1" si="40"/>
        <v>#DIV/0!</v>
      </c>
      <c r="R230" s="2"/>
      <c r="S230" s="319" t="e">
        <f ca="1">S218</f>
        <v>#DIV/0!</v>
      </c>
      <c r="T230" s="308"/>
      <c r="U230" s="2" t="e">
        <f t="shared" ca="1" si="41"/>
        <v>#DIV/0!</v>
      </c>
      <c r="V230" s="20"/>
      <c r="W230" s="74"/>
      <c r="X230" s="74"/>
      <c r="Y230" s="74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R230" s="84"/>
    </row>
    <row r="231" spans="1:44" hidden="1">
      <c r="A231" s="1" t="s">
        <v>395</v>
      </c>
      <c r="B231" s="1"/>
      <c r="C231" s="304">
        <f t="shared" si="36"/>
        <v>116452.33333333327</v>
      </c>
      <c r="D231" s="320">
        <f>'Rate Design Work eff 9-15-17'!D230</f>
        <v>10.628</v>
      </c>
      <c r="E231" s="308" t="s">
        <v>364</v>
      </c>
      <c r="F231" s="2">
        <f t="shared" si="37"/>
        <v>-123</v>
      </c>
      <c r="G231" s="320">
        <f ca="1">G219</f>
        <v>10.878</v>
      </c>
      <c r="H231" s="308" t="s">
        <v>364</v>
      </c>
      <c r="I231" s="2">
        <f t="shared" ca="1" si="38"/>
        <v>-127</v>
      </c>
      <c r="J231" s="2"/>
      <c r="K231" s="320" t="e">
        <f ca="1">K219</f>
        <v>#REF!</v>
      </c>
      <c r="L231" s="308" t="s">
        <v>364</v>
      </c>
      <c r="M231" s="2" t="e">
        <f t="shared" ca="1" si="39"/>
        <v>#REF!</v>
      </c>
      <c r="N231" s="2"/>
      <c r="O231" s="320" t="e">
        <f ca="1">O219</f>
        <v>#DIV/0!</v>
      </c>
      <c r="P231" s="308" t="s">
        <v>364</v>
      </c>
      <c r="Q231" s="2" t="e">
        <f t="shared" ca="1" si="40"/>
        <v>#DIV/0!</v>
      </c>
      <c r="R231" s="2"/>
      <c r="S231" s="320" t="e">
        <f ca="1">S219</f>
        <v>#DIV/0!</v>
      </c>
      <c r="T231" s="308" t="s">
        <v>364</v>
      </c>
      <c r="U231" s="2" t="e">
        <f t="shared" ca="1" si="41"/>
        <v>#DIV/0!</v>
      </c>
      <c r="V231" s="20"/>
      <c r="W231" s="74"/>
      <c r="X231" s="74"/>
      <c r="Y231" s="74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R231" s="84"/>
    </row>
    <row r="232" spans="1:44" hidden="1">
      <c r="A232" s="1" t="s">
        <v>388</v>
      </c>
      <c r="B232" s="1"/>
      <c r="C232" s="304">
        <f t="shared" si="36"/>
        <v>524872.66666666698</v>
      </c>
      <c r="D232" s="320">
        <f>'Rate Design Work eff 9-15-17'!D231</f>
        <v>7.3410000000000002</v>
      </c>
      <c r="E232" s="308" t="s">
        <v>364</v>
      </c>
      <c r="F232" s="2">
        <f t="shared" si="37"/>
        <v>-385</v>
      </c>
      <c r="G232" s="320">
        <f ca="1">G220</f>
        <v>7.5140000000000002</v>
      </c>
      <c r="H232" s="308" t="s">
        <v>364</v>
      </c>
      <c r="I232" s="2">
        <f t="shared" ca="1" si="38"/>
        <v>-394</v>
      </c>
      <c r="J232" s="2"/>
      <c r="K232" s="320" t="e">
        <f ca="1">K220</f>
        <v>#REF!</v>
      </c>
      <c r="L232" s="308" t="s">
        <v>364</v>
      </c>
      <c r="M232" s="2" t="e">
        <f t="shared" ca="1" si="39"/>
        <v>#REF!</v>
      </c>
      <c r="N232" s="2"/>
      <c r="O232" s="320" t="e">
        <f ca="1">O220</f>
        <v>#DIV/0!</v>
      </c>
      <c r="P232" s="308" t="s">
        <v>364</v>
      </c>
      <c r="Q232" s="2" t="e">
        <f t="shared" ca="1" si="40"/>
        <v>#DIV/0!</v>
      </c>
      <c r="R232" s="2"/>
      <c r="S232" s="320" t="e">
        <f ca="1">S220</f>
        <v>#DIV/0!</v>
      </c>
      <c r="T232" s="308" t="s">
        <v>364</v>
      </c>
      <c r="U232" s="2" t="e">
        <f t="shared" ca="1" si="41"/>
        <v>#DIV/0!</v>
      </c>
      <c r="V232" s="20"/>
      <c r="W232" s="74"/>
      <c r="X232" s="74"/>
      <c r="Y232" s="74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R232" s="84"/>
    </row>
    <row r="233" spans="1:44" hidden="1">
      <c r="A233" s="1" t="s">
        <v>389</v>
      </c>
      <c r="B233" s="1"/>
      <c r="C233" s="304">
        <f t="shared" si="36"/>
        <v>933865</v>
      </c>
      <c r="D233" s="320">
        <f>'Rate Design Work eff 9-15-17'!D232</f>
        <v>6.3240000000000007</v>
      </c>
      <c r="E233" s="308" t="s">
        <v>364</v>
      </c>
      <c r="F233" s="2">
        <f t="shared" si="37"/>
        <v>-591</v>
      </c>
      <c r="G233" s="320">
        <f ca="1">G221</f>
        <v>6.4720000000000004</v>
      </c>
      <c r="H233" s="308" t="s">
        <v>364</v>
      </c>
      <c r="I233" s="2">
        <f t="shared" ca="1" si="38"/>
        <v>-604</v>
      </c>
      <c r="J233" s="2"/>
      <c r="K233" s="320" t="e">
        <f ca="1">K221</f>
        <v>#REF!</v>
      </c>
      <c r="L233" s="308" t="s">
        <v>364</v>
      </c>
      <c r="M233" s="2" t="e">
        <f t="shared" ca="1" si="39"/>
        <v>#REF!</v>
      </c>
      <c r="N233" s="2"/>
      <c r="O233" s="320" t="e">
        <f ca="1">O221</f>
        <v>#DIV/0!</v>
      </c>
      <c r="P233" s="308" t="s">
        <v>364</v>
      </c>
      <c r="Q233" s="2" t="e">
        <f t="shared" ca="1" si="40"/>
        <v>#DIV/0!</v>
      </c>
      <c r="R233" s="2"/>
      <c r="S233" s="320" t="e">
        <f ca="1">S221</f>
        <v>#DIV/0!</v>
      </c>
      <c r="T233" s="308" t="s">
        <v>364</v>
      </c>
      <c r="U233" s="2" t="e">
        <f t="shared" ca="1" si="41"/>
        <v>#DIV/0!</v>
      </c>
      <c r="V233" s="20"/>
      <c r="W233" s="74"/>
      <c r="X233" s="74"/>
      <c r="Y233" s="74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R233" s="84"/>
    </row>
    <row r="234" spans="1:44" hidden="1">
      <c r="A234" s="1" t="s">
        <v>390</v>
      </c>
      <c r="B234" s="1"/>
      <c r="C234" s="304">
        <f t="shared" si="36"/>
        <v>1389.3333333333335</v>
      </c>
      <c r="D234" s="321">
        <f>'Rate Design Work eff 9-15-17'!D233</f>
        <v>57</v>
      </c>
      <c r="E234" s="308" t="s">
        <v>364</v>
      </c>
      <c r="F234" s="2">
        <f t="shared" si="37"/>
        <v>-8</v>
      </c>
      <c r="G234" s="321">
        <f ca="1">G222</f>
        <v>58</v>
      </c>
      <c r="H234" s="308" t="s">
        <v>364</v>
      </c>
      <c r="I234" s="2">
        <f t="shared" ca="1" si="38"/>
        <v>-8</v>
      </c>
      <c r="J234" s="2"/>
      <c r="K234" s="321" t="str">
        <f>K222</f>
        <v xml:space="preserve"> </v>
      </c>
      <c r="L234" s="308" t="s">
        <v>364</v>
      </c>
      <c r="M234" s="2">
        <f t="shared" si="39"/>
        <v>0</v>
      </c>
      <c r="N234" s="2"/>
      <c r="O234" s="321" t="e">
        <f>O222</f>
        <v>#DIV/0!</v>
      </c>
      <c r="P234" s="308" t="s">
        <v>364</v>
      </c>
      <c r="Q234" s="2" t="e">
        <f t="shared" si="40"/>
        <v>#DIV/0!</v>
      </c>
      <c r="R234" s="2"/>
      <c r="S234" s="321" t="e">
        <f>S222</f>
        <v>#DIV/0!</v>
      </c>
      <c r="T234" s="308" t="s">
        <v>364</v>
      </c>
      <c r="U234" s="2" t="e">
        <f t="shared" si="41"/>
        <v>#DIV/0!</v>
      </c>
      <c r="V234" s="20"/>
      <c r="W234" s="74"/>
      <c r="X234" s="74"/>
      <c r="Y234" s="74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R234" s="84"/>
    </row>
    <row r="235" spans="1:44" hidden="1">
      <c r="A235" s="1" t="s">
        <v>397</v>
      </c>
      <c r="B235" s="1"/>
      <c r="C235" s="304">
        <f t="shared" si="36"/>
        <v>130.39999999999998</v>
      </c>
      <c r="D235" s="322">
        <f>'Rate Design Work eff 9-15-17'!D234</f>
        <v>60</v>
      </c>
      <c r="E235" s="308"/>
      <c r="F235" s="2">
        <f t="shared" si="37"/>
        <v>7824</v>
      </c>
      <c r="G235" s="322">
        <f>$G$198</f>
        <v>60</v>
      </c>
      <c r="H235" s="308"/>
      <c r="I235" s="2">
        <f t="shared" si="38"/>
        <v>7824</v>
      </c>
      <c r="J235" s="2"/>
      <c r="K235" s="322">
        <f>$G$198</f>
        <v>60</v>
      </c>
      <c r="L235" s="308"/>
      <c r="M235" s="2">
        <f t="shared" si="39"/>
        <v>0</v>
      </c>
      <c r="N235" s="2"/>
      <c r="O235" s="322" t="e">
        <f>$O$198</f>
        <v>#DIV/0!</v>
      </c>
      <c r="P235" s="308"/>
      <c r="Q235" s="2" t="e">
        <f t="shared" si="40"/>
        <v>#DIV/0!</v>
      </c>
      <c r="R235" s="2"/>
      <c r="S235" s="322" t="e">
        <f>$S$198</f>
        <v>#DIV/0!</v>
      </c>
      <c r="T235" s="308"/>
      <c r="U235" s="2" t="e">
        <f t="shared" si="41"/>
        <v>#DIV/0!</v>
      </c>
      <c r="V235" s="20"/>
      <c r="W235" s="74"/>
      <c r="X235" s="74"/>
      <c r="Y235" s="74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R235" s="84"/>
    </row>
    <row r="236" spans="1:44" hidden="1">
      <c r="A236" s="1" t="s">
        <v>398</v>
      </c>
      <c r="B236" s="1"/>
      <c r="C236" s="304">
        <f t="shared" si="36"/>
        <v>709.3</v>
      </c>
      <c r="D236" s="324">
        <f>'Rate Design Work eff 9-15-17'!D235</f>
        <v>-30</v>
      </c>
      <c r="E236" s="308" t="s">
        <v>364</v>
      </c>
      <c r="F236" s="2">
        <f t="shared" si="37"/>
        <v>-213</v>
      </c>
      <c r="G236" s="324">
        <f>$G$199</f>
        <v>-30</v>
      </c>
      <c r="H236" s="308" t="s">
        <v>364</v>
      </c>
      <c r="I236" s="2">
        <f t="shared" si="38"/>
        <v>-213</v>
      </c>
      <c r="J236" s="2"/>
      <c r="K236" s="324">
        <f>$K$199</f>
        <v>-30</v>
      </c>
      <c r="L236" s="308" t="s">
        <v>364</v>
      </c>
      <c r="M236" s="2">
        <f t="shared" si="39"/>
        <v>-213</v>
      </c>
      <c r="N236" s="2"/>
      <c r="O236" s="324" t="str">
        <f>$O$199</f>
        <v xml:space="preserve"> </v>
      </c>
      <c r="P236" s="308" t="s">
        <v>364</v>
      </c>
      <c r="Q236" s="2">
        <f t="shared" si="40"/>
        <v>0</v>
      </c>
      <c r="R236" s="2"/>
      <c r="S236" s="324" t="str">
        <f>$S$199</f>
        <v xml:space="preserve"> </v>
      </c>
      <c r="T236" s="308" t="s">
        <v>364</v>
      </c>
      <c r="U236" s="2">
        <f t="shared" si="41"/>
        <v>0</v>
      </c>
      <c r="V236" s="20"/>
      <c r="W236" s="74"/>
      <c r="X236" s="74"/>
      <c r="Y236" s="74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R236" s="84"/>
    </row>
    <row r="237" spans="1:44" s="1118" customFormat="1" hidden="1">
      <c r="A237" s="968" t="s">
        <v>888</v>
      </c>
      <c r="C237" s="987">
        <f>C231</f>
        <v>116452.33333333327</v>
      </c>
      <c r="D237" s="254">
        <f>'Rate Design Work eff 9-15-17'!D236</f>
        <v>0</v>
      </c>
      <c r="E237" s="1119"/>
      <c r="F237" s="1123"/>
      <c r="G237" s="1128">
        <f>G183</f>
        <v>0</v>
      </c>
      <c r="H237" s="972" t="s">
        <v>364</v>
      </c>
      <c r="I237" s="1123">
        <f t="shared" ref="I237:I239" si="42">I271+I306+I340</f>
        <v>0</v>
      </c>
      <c r="J237" s="1123"/>
      <c r="K237" s="1128" t="str">
        <f>K183</f>
        <v xml:space="preserve"> </v>
      </c>
      <c r="L237" s="972" t="s">
        <v>364</v>
      </c>
      <c r="M237" s="1123">
        <f t="shared" ref="M237:M239" si="43">M271+M306+M340</f>
        <v>0</v>
      </c>
      <c r="N237" s="1123"/>
      <c r="O237" s="1128" t="str">
        <f>O183</f>
        <v xml:space="preserve"> </v>
      </c>
      <c r="P237" s="972" t="s">
        <v>364</v>
      </c>
      <c r="Q237" s="1123">
        <f t="shared" ref="Q237:Q239" si="44">Q271+Q306+Q340</f>
        <v>0</v>
      </c>
      <c r="R237" s="1123"/>
      <c r="S237" s="1128">
        <f>S183</f>
        <v>0</v>
      </c>
      <c r="T237" s="972" t="s">
        <v>364</v>
      </c>
      <c r="U237" s="1123">
        <f t="shared" ref="U237:U239" si="45">U271+U306+U340</f>
        <v>0</v>
      </c>
      <c r="W237" s="784"/>
      <c r="Z237" s="1125"/>
      <c r="AA237" s="1125"/>
      <c r="AF237" s="1119"/>
      <c r="AG237" s="1119"/>
      <c r="AH237" s="1119"/>
      <c r="AI237" s="1119"/>
      <c r="AJ237" s="1119"/>
      <c r="AK237" s="1119"/>
      <c r="AL237" s="1119"/>
      <c r="AM237" s="1119"/>
      <c r="AN237" s="1119"/>
      <c r="AO237" s="1119"/>
      <c r="AP237" s="1119"/>
      <c r="AR237" s="1124"/>
    </row>
    <row r="238" spans="1:44" s="1118" customFormat="1" hidden="1">
      <c r="A238" s="968" t="s">
        <v>889</v>
      </c>
      <c r="C238" s="987">
        <f t="shared" ref="C238:C239" si="46">C232</f>
        <v>524872.66666666698</v>
      </c>
      <c r="D238" s="254">
        <f>'Rate Design Work eff 9-15-17'!D237</f>
        <v>0</v>
      </c>
      <c r="E238" s="1119"/>
      <c r="F238" s="1123"/>
      <c r="G238" s="1128">
        <f>G184</f>
        <v>0</v>
      </c>
      <c r="H238" s="972" t="s">
        <v>364</v>
      </c>
      <c r="I238" s="1123">
        <f t="shared" si="42"/>
        <v>0</v>
      </c>
      <c r="J238" s="1123"/>
      <c r="K238" s="1128" t="str">
        <f>K184</f>
        <v xml:space="preserve"> </v>
      </c>
      <c r="L238" s="972" t="s">
        <v>364</v>
      </c>
      <c r="M238" s="1123">
        <f t="shared" si="43"/>
        <v>0</v>
      </c>
      <c r="N238" s="1123"/>
      <c r="O238" s="1128" t="str">
        <f>O184</f>
        <v xml:space="preserve"> </v>
      </c>
      <c r="P238" s="972" t="s">
        <v>364</v>
      </c>
      <c r="Q238" s="1123">
        <f t="shared" si="44"/>
        <v>0</v>
      </c>
      <c r="R238" s="1123"/>
      <c r="S238" s="1128">
        <f>S184</f>
        <v>0</v>
      </c>
      <c r="T238" s="972" t="s">
        <v>364</v>
      </c>
      <c r="U238" s="1123">
        <f t="shared" si="45"/>
        <v>0</v>
      </c>
      <c r="W238" s="784"/>
      <c r="Z238" s="1125"/>
      <c r="AA238" s="1125"/>
      <c r="AF238" s="1119"/>
      <c r="AG238" s="1119"/>
      <c r="AH238" s="1119"/>
      <c r="AI238" s="1119"/>
      <c r="AJ238" s="1119"/>
      <c r="AK238" s="1119"/>
      <c r="AL238" s="1119"/>
      <c r="AM238" s="1119"/>
      <c r="AN238" s="1119"/>
      <c r="AO238" s="1119"/>
      <c r="AP238" s="1119"/>
      <c r="AR238" s="1124"/>
    </row>
    <row r="239" spans="1:44" s="1118" customFormat="1" hidden="1">
      <c r="A239" s="968" t="s">
        <v>890</v>
      </c>
      <c r="C239" s="987">
        <f t="shared" si="46"/>
        <v>933865</v>
      </c>
      <c r="D239" s="254">
        <f>'Rate Design Work eff 9-15-17'!D238</f>
        <v>0</v>
      </c>
      <c r="E239" s="1119"/>
      <c r="F239" s="1123"/>
      <c r="G239" s="1128">
        <f>G185</f>
        <v>0</v>
      </c>
      <c r="H239" s="972" t="s">
        <v>364</v>
      </c>
      <c r="I239" s="1123">
        <f t="shared" si="42"/>
        <v>0</v>
      </c>
      <c r="J239" s="1123"/>
      <c r="K239" s="1128" t="str">
        <f>K185</f>
        <v xml:space="preserve"> </v>
      </c>
      <c r="L239" s="972" t="s">
        <v>364</v>
      </c>
      <c r="M239" s="1123">
        <f t="shared" ca="1" si="43"/>
        <v>0</v>
      </c>
      <c r="N239" s="1123"/>
      <c r="O239" s="1128" t="str">
        <f>O185</f>
        <v xml:space="preserve"> </v>
      </c>
      <c r="P239" s="972" t="s">
        <v>364</v>
      </c>
      <c r="Q239" s="1123">
        <f t="shared" si="44"/>
        <v>0</v>
      </c>
      <c r="R239" s="1123"/>
      <c r="S239" s="1128">
        <f>S185</f>
        <v>0</v>
      </c>
      <c r="T239" s="972" t="s">
        <v>364</v>
      </c>
      <c r="U239" s="1123">
        <f t="shared" si="45"/>
        <v>0</v>
      </c>
      <c r="W239" s="784"/>
      <c r="Z239" s="1125"/>
      <c r="AA239" s="1125"/>
      <c r="AF239" s="1119"/>
      <c r="AG239" s="1119"/>
      <c r="AH239" s="1119"/>
      <c r="AI239" s="1119"/>
      <c r="AJ239" s="1119"/>
      <c r="AK239" s="1119"/>
      <c r="AL239" s="1119"/>
      <c r="AM239" s="1119"/>
      <c r="AN239" s="1119"/>
      <c r="AO239" s="1119"/>
      <c r="AP239" s="1119"/>
      <c r="AR239" s="1124"/>
    </row>
    <row r="240" spans="1:44" hidden="1">
      <c r="A240" s="1" t="s">
        <v>371</v>
      </c>
      <c r="B240" s="249"/>
      <c r="C240" s="304">
        <f t="shared" ref="C240" si="47">C309+C343+C274</f>
        <v>530851621.18193215</v>
      </c>
      <c r="D240" s="315"/>
      <c r="E240" s="308"/>
      <c r="F240" s="2">
        <f t="shared" ref="F240" si="48">F309+F343+F274</f>
        <v>48746112</v>
      </c>
      <c r="G240" s="315"/>
      <c r="H240" s="308"/>
      <c r="I240" s="2">
        <f t="shared" ref="I240" ca="1" si="49">I309+I343+I274</f>
        <v>49899440</v>
      </c>
      <c r="J240" s="2"/>
      <c r="K240" s="315"/>
      <c r="L240" s="308"/>
      <c r="M240" s="2" t="e">
        <f t="shared" ref="M240" ca="1" si="50">M309+M343+M274</f>
        <v>#REF!</v>
      </c>
      <c r="N240" s="2"/>
      <c r="O240" s="315"/>
      <c r="P240" s="308"/>
      <c r="Q240" s="2" t="e">
        <f t="shared" ref="Q240" ca="1" si="51">Q309+Q343+Q274</f>
        <v>#DIV/0!</v>
      </c>
      <c r="R240" s="2"/>
      <c r="S240" s="315"/>
      <c r="T240" s="308"/>
      <c r="U240" s="2" t="e">
        <f t="shared" ref="U240" ca="1" si="52">U309+U343+U274</f>
        <v>#DIV/0!</v>
      </c>
      <c r="V240" s="20"/>
      <c r="W240" s="74"/>
      <c r="X240" s="74"/>
      <c r="Y240" s="74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R240" s="84"/>
    </row>
    <row r="241" spans="1:44" hidden="1">
      <c r="A241" s="1" t="s">
        <v>353</v>
      </c>
      <c r="B241" s="332"/>
      <c r="C241" s="325">
        <f ca="1">C275+C310+C344</f>
        <v>3809581.6993984496</v>
      </c>
      <c r="D241" s="294"/>
      <c r="E241" s="294"/>
      <c r="F241" s="326">
        <f ca="1">F275+F310+F344</f>
        <v>396041.247892012</v>
      </c>
      <c r="G241" s="294"/>
      <c r="H241" s="294"/>
      <c r="I241" s="326">
        <f ca="1">F241</f>
        <v>396041.247892012</v>
      </c>
      <c r="J241" s="307"/>
      <c r="K241" s="294"/>
      <c r="L241" s="294"/>
      <c r="M241" s="326" t="e">
        <f ca="1">M204/I204*I241</f>
        <v>#DIV/0!</v>
      </c>
      <c r="N241" s="307"/>
      <c r="O241" s="294"/>
      <c r="P241" s="294"/>
      <c r="Q241" s="326" t="e">
        <f ca="1">Q204/I204*I241</f>
        <v>#DIV/0!</v>
      </c>
      <c r="R241" s="307"/>
      <c r="S241" s="294"/>
      <c r="T241" s="294"/>
      <c r="U241" s="326" t="e">
        <f ca="1">U204/I204*I241</f>
        <v>#DIV/0!</v>
      </c>
      <c r="V241" s="429"/>
      <c r="W241" s="272"/>
      <c r="X241" s="74"/>
      <c r="Y241" s="74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R241" s="84"/>
    </row>
    <row r="242" spans="1:44" ht="16.5" hidden="1" thickBot="1">
      <c r="A242" s="1" t="s">
        <v>372</v>
      </c>
      <c r="B242" s="1"/>
      <c r="C242" s="296">
        <f ca="1">SUM(C240:C241)</f>
        <v>534661202.88133061</v>
      </c>
      <c r="D242" s="327"/>
      <c r="E242" s="330"/>
      <c r="F242" s="329">
        <f ca="1">F240+F241</f>
        <v>49142153.247892015</v>
      </c>
      <c r="G242" s="327"/>
      <c r="H242" s="330"/>
      <c r="I242" s="329">
        <f ca="1">I240+I241</f>
        <v>50295481.247892015</v>
      </c>
      <c r="J242" s="307"/>
      <c r="K242" s="327"/>
      <c r="L242" s="330"/>
      <c r="M242" s="329" t="e">
        <f ca="1">M240+M241</f>
        <v>#REF!</v>
      </c>
      <c r="N242" s="329"/>
      <c r="O242" s="327"/>
      <c r="P242" s="330"/>
      <c r="Q242" s="329" t="e">
        <f ca="1">Q240+Q241</f>
        <v>#DIV/0!</v>
      </c>
      <c r="R242" s="329"/>
      <c r="S242" s="327"/>
      <c r="T242" s="330"/>
      <c r="U242" s="329" t="e">
        <f ca="1">U240+U241</f>
        <v>#DIV/0!</v>
      </c>
      <c r="V242" s="396"/>
      <c r="W242" s="455"/>
      <c r="X242" s="74"/>
      <c r="Y242" s="74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R242" s="84"/>
    </row>
    <row r="243" spans="1:44" ht="16.5" hidden="1" thickTop="1">
      <c r="A243" s="1"/>
      <c r="B243" s="1"/>
      <c r="C243" s="21"/>
      <c r="D243" s="322"/>
      <c r="E243" s="1"/>
      <c r="F243" s="2"/>
      <c r="G243" s="322"/>
      <c r="H243" s="1"/>
      <c r="I243" s="2" t="s">
        <v>31</v>
      </c>
      <c r="J243" s="2"/>
      <c r="K243" s="322"/>
      <c r="L243" s="1"/>
      <c r="M243" s="2" t="s">
        <v>31</v>
      </c>
      <c r="N243" s="2"/>
      <c r="O243" s="322"/>
      <c r="P243" s="1"/>
      <c r="Q243" s="2" t="s">
        <v>31</v>
      </c>
      <c r="R243" s="2"/>
      <c r="S243" s="322"/>
      <c r="T243" s="1"/>
      <c r="U243" s="2" t="s">
        <v>31</v>
      </c>
      <c r="V243" s="20"/>
      <c r="W243" s="74"/>
      <c r="X243" s="74"/>
      <c r="Y243" s="74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R243" s="84"/>
    </row>
    <row r="244" spans="1:44" hidden="1">
      <c r="A244" s="278" t="s">
        <v>377</v>
      </c>
      <c r="B244" s="1"/>
      <c r="C244" s="1"/>
      <c r="D244" s="2"/>
      <c r="E244" s="1"/>
      <c r="F244" s="365" t="s">
        <v>31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20"/>
      <c r="W244" s="74"/>
      <c r="X244" s="74"/>
      <c r="Y244" s="74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R244" s="84"/>
    </row>
    <row r="245" spans="1:44" hidden="1">
      <c r="A245" s="1" t="s">
        <v>759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20"/>
      <c r="W245" s="74"/>
      <c r="X245" s="74"/>
      <c r="Y245" s="74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R245" s="84"/>
    </row>
    <row r="246" spans="1:44" hidden="1">
      <c r="A246" s="333" t="s">
        <v>31</v>
      </c>
      <c r="B246" s="1"/>
      <c r="C246" s="21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20"/>
      <c r="W246" s="74"/>
      <c r="X246" s="74"/>
      <c r="Y246" s="74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R246" s="84"/>
    </row>
    <row r="247" spans="1:44" hidden="1">
      <c r="A247" s="1" t="s">
        <v>383</v>
      </c>
      <c r="B247" s="1"/>
      <c r="C247" s="304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20"/>
      <c r="W247" s="74"/>
      <c r="X247" s="74"/>
      <c r="Y247" s="74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R247" s="84"/>
    </row>
    <row r="248" spans="1:44" hidden="1">
      <c r="A248" s="1" t="s">
        <v>380</v>
      </c>
      <c r="B248" s="1"/>
      <c r="C248" s="304">
        <f>'Rate Design Work eff 10-14-16'!C247</f>
        <v>38513.06666666727</v>
      </c>
      <c r="D248" s="283">
        <f>'Rate Design Work eff 9-15-17'!D247</f>
        <v>9.76</v>
      </c>
      <c r="E248" s="308"/>
      <c r="F248" s="2">
        <f>ROUND(D248*$C248,0)</f>
        <v>375888</v>
      </c>
      <c r="G248" s="283">
        <f ca="1">$G$173</f>
        <v>9.99</v>
      </c>
      <c r="H248" s="308"/>
      <c r="I248" s="2">
        <f ca="1">ROUND(G248*$C248,0)</f>
        <v>384746</v>
      </c>
      <c r="J248" s="2"/>
      <c r="K248" s="283">
        <f ca="1">$K$173</f>
        <v>9.76</v>
      </c>
      <c r="L248" s="308"/>
      <c r="M248" s="2">
        <f ca="1">ROUND(K248*$C248,0)</f>
        <v>375888</v>
      </c>
      <c r="N248" s="2"/>
      <c r="O248" s="283" t="str">
        <f>$O$173</f>
        <v xml:space="preserve"> </v>
      </c>
      <c r="P248" s="308"/>
      <c r="Q248" s="2">
        <f>ROUND(O248*$C248,0)</f>
        <v>0</v>
      </c>
      <c r="R248" s="2"/>
      <c r="S248" s="283" t="str">
        <f>$S$173</f>
        <v xml:space="preserve"> </v>
      </c>
      <c r="T248" s="308"/>
      <c r="U248" s="2">
        <f>ROUND(S248*$C248,0)</f>
        <v>0</v>
      </c>
      <c r="V248" s="20"/>
      <c r="W248" s="74"/>
      <c r="X248" s="74"/>
      <c r="Y248" s="74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R248" s="84"/>
    </row>
    <row r="249" spans="1:44" hidden="1">
      <c r="A249" s="1" t="s">
        <v>381</v>
      </c>
      <c r="B249" s="1"/>
      <c r="C249" s="304">
        <f>'Rate Design Work eff 10-14-16'!C248</f>
        <v>2939.36666666667</v>
      </c>
      <c r="D249" s="283">
        <f>'Rate Design Work eff 9-15-17'!D248</f>
        <v>14.54</v>
      </c>
      <c r="E249" s="310"/>
      <c r="F249" s="2">
        <f t="shared" ref="F249:F250" si="53">ROUND(D249*$C249,0)</f>
        <v>42738</v>
      </c>
      <c r="G249" s="283">
        <f ca="1">$G$174</f>
        <v>14.89</v>
      </c>
      <c r="H249" s="310"/>
      <c r="I249" s="2">
        <f ca="1">ROUND(G249*$C249,0)</f>
        <v>43767</v>
      </c>
      <c r="J249" s="2"/>
      <c r="K249" s="283">
        <f ca="1">$K$174</f>
        <v>14.54</v>
      </c>
      <c r="L249" s="310"/>
      <c r="M249" s="2">
        <f ca="1">ROUND(K249*$C249,0)</f>
        <v>42738</v>
      </c>
      <c r="N249" s="2"/>
      <c r="O249" s="283" t="str">
        <f>$O$174</f>
        <v xml:space="preserve"> </v>
      </c>
      <c r="P249" s="310"/>
      <c r="Q249" s="2">
        <f>ROUND(O249*$C249,0)</f>
        <v>0</v>
      </c>
      <c r="R249" s="2"/>
      <c r="S249" s="283" t="str">
        <f>$S$174</f>
        <v xml:space="preserve"> </v>
      </c>
      <c r="T249" s="310"/>
      <c r="U249" s="2">
        <f>ROUND(S249*$C249,0)</f>
        <v>0</v>
      </c>
      <c r="V249" s="20"/>
      <c r="W249" s="74"/>
      <c r="X249" s="74"/>
      <c r="Y249" s="74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R249" s="84"/>
    </row>
    <row r="250" spans="1:44" hidden="1">
      <c r="A250" s="1" t="s">
        <v>382</v>
      </c>
      <c r="B250" s="1"/>
      <c r="C250" s="304">
        <f>'Rate Design Work eff 10-14-16'!C249</f>
        <v>21457</v>
      </c>
      <c r="D250" s="283">
        <f>'Rate Design Work eff 9-15-17'!D249</f>
        <v>1.02</v>
      </c>
      <c r="E250" s="310"/>
      <c r="F250" s="2">
        <f t="shared" si="53"/>
        <v>21886</v>
      </c>
      <c r="G250" s="283">
        <f ca="1">$G$175</f>
        <v>1.04</v>
      </c>
      <c r="H250" s="310"/>
      <c r="I250" s="2">
        <f ca="1">ROUND(G250*$C250,0)</f>
        <v>22315</v>
      </c>
      <c r="J250" s="2"/>
      <c r="K250" s="283">
        <f ca="1">$K$175</f>
        <v>1.02</v>
      </c>
      <c r="L250" s="310"/>
      <c r="M250" s="2">
        <f ca="1">ROUND(K250*$C250,0)</f>
        <v>21886</v>
      </c>
      <c r="N250" s="2"/>
      <c r="O250" s="283" t="str">
        <f>$O$175</f>
        <v xml:space="preserve"> </v>
      </c>
      <c r="P250" s="310"/>
      <c r="Q250" s="2">
        <f>ROUND(O250*$C250,0)</f>
        <v>0</v>
      </c>
      <c r="R250" s="2"/>
      <c r="S250" s="283" t="str">
        <f>$S$175</f>
        <v xml:space="preserve"> </v>
      </c>
      <c r="T250" s="310"/>
      <c r="U250" s="2">
        <f>ROUND(S250*$C250,0)</f>
        <v>0</v>
      </c>
      <c r="V250" s="20"/>
      <c r="W250" s="74"/>
      <c r="X250" s="74"/>
      <c r="Y250" s="74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R250" s="84"/>
    </row>
    <row r="251" spans="1:44" hidden="1">
      <c r="A251" s="1" t="s">
        <v>384</v>
      </c>
      <c r="B251" s="1"/>
      <c r="C251" s="304">
        <f>'Rate Design Work eff 10-14-16'!C250</f>
        <v>41452.433333333938</v>
      </c>
      <c r="D251" s="283"/>
      <c r="E251" s="308"/>
      <c r="F251" s="2"/>
      <c r="G251" s="283"/>
      <c r="H251" s="308"/>
      <c r="I251" s="2"/>
      <c r="J251" s="2"/>
      <c r="K251" s="283"/>
      <c r="L251" s="308"/>
      <c r="M251" s="2"/>
      <c r="N251" s="2"/>
      <c r="O251" s="283"/>
      <c r="P251" s="308"/>
      <c r="Q251" s="2"/>
      <c r="R251" s="2"/>
      <c r="S251" s="283"/>
      <c r="T251" s="308"/>
      <c r="U251" s="2"/>
      <c r="V251" s="20"/>
      <c r="W251" s="74"/>
      <c r="X251" s="74"/>
      <c r="Y251" s="74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R251" s="84"/>
    </row>
    <row r="252" spans="1:44" hidden="1">
      <c r="A252" s="1" t="s">
        <v>385</v>
      </c>
      <c r="B252" s="1"/>
      <c r="C252" s="304">
        <f>'Rate Design Work eff 10-14-16'!C251</f>
        <v>15663</v>
      </c>
      <c r="D252" s="311">
        <f>'Rate Design Work eff 9-15-17'!D251</f>
        <v>3.7</v>
      </c>
      <c r="E252" s="308"/>
      <c r="F252" s="2">
        <f>ROUND(D252*C252,0)</f>
        <v>57953</v>
      </c>
      <c r="G252" s="311">
        <f ca="1">$G$178</f>
        <v>3.8</v>
      </c>
      <c r="H252" s="308"/>
      <c r="I252" s="2">
        <f ca="1">ROUND(G252*$C252,0)</f>
        <v>59519</v>
      </c>
      <c r="J252" s="2"/>
      <c r="K252" s="311" t="e">
        <f ca="1">$K$178</f>
        <v>#REF!</v>
      </c>
      <c r="L252" s="308"/>
      <c r="M252" s="2" t="e">
        <f ca="1">ROUND(K252*$C252,0)</f>
        <v>#REF!</v>
      </c>
      <c r="N252" s="2"/>
      <c r="O252" s="311" t="e">
        <f ca="1">$O$178</f>
        <v>#DIV/0!</v>
      </c>
      <c r="P252" s="308"/>
      <c r="Q252" s="2" t="e">
        <f ca="1">ROUND(O252*$C252,0)</f>
        <v>#DIV/0!</v>
      </c>
      <c r="R252" s="2"/>
      <c r="S252" s="311" t="e">
        <f ca="1">$S$178</f>
        <v>#DIV/0!</v>
      </c>
      <c r="T252" s="308"/>
      <c r="U252" s="2" t="e">
        <f ca="1">ROUND(S252*$C252,0)</f>
        <v>#DIV/0!</v>
      </c>
      <c r="V252" s="20"/>
      <c r="W252" s="74"/>
      <c r="X252" s="74"/>
      <c r="Y252" s="74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R252" s="84"/>
    </row>
    <row r="253" spans="1:44" hidden="1">
      <c r="A253" s="1" t="s">
        <v>387</v>
      </c>
      <c r="B253" s="304"/>
      <c r="C253" s="304">
        <f>'Rate Design Work eff 10-14-16'!C252</f>
        <v>12838882.284157982</v>
      </c>
      <c r="D253" s="284">
        <f>'Rate Design Work eff 9-15-17'!D252</f>
        <v>10.628</v>
      </c>
      <c r="E253" s="308" t="s">
        <v>364</v>
      </c>
      <c r="F253" s="2">
        <f>ROUND(D253*C253/100,0)</f>
        <v>1364516</v>
      </c>
      <c r="G253" s="284">
        <f ca="1">$G$179</f>
        <v>10.878</v>
      </c>
      <c r="H253" s="308" t="s">
        <v>364</v>
      </c>
      <c r="I253" s="2">
        <f ca="1">ROUND(G253*$C253/100,0)</f>
        <v>1396614</v>
      </c>
      <c r="J253" s="2"/>
      <c r="K253" s="284" t="e">
        <f ca="1">$K$179</f>
        <v>#REF!</v>
      </c>
      <c r="L253" s="308" t="s">
        <v>364</v>
      </c>
      <c r="M253" s="2" t="e">
        <f ca="1">ROUND(K253*$C253/100,0)</f>
        <v>#REF!</v>
      </c>
      <c r="N253" s="2"/>
      <c r="O253" s="284" t="e">
        <f ca="1">$O$179</f>
        <v>#DIV/0!</v>
      </c>
      <c r="P253" s="308" t="s">
        <v>364</v>
      </c>
      <c r="Q253" s="2" t="e">
        <f ca="1">ROUND(O253*$C253/100,0)</f>
        <v>#DIV/0!</v>
      </c>
      <c r="R253" s="2"/>
      <c r="S253" s="284" t="e">
        <f ca="1">$S$179</f>
        <v>#DIV/0!</v>
      </c>
      <c r="T253" s="308" t="s">
        <v>364</v>
      </c>
      <c r="U253" s="2" t="e">
        <f ca="1">ROUND(S253*$C253/100,0)</f>
        <v>#DIV/0!</v>
      </c>
      <c r="V253" s="458"/>
      <c r="W253" s="74"/>
      <c r="X253" s="74"/>
      <c r="Y253" s="74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R253" s="84"/>
    </row>
    <row r="254" spans="1:44" hidden="1">
      <c r="A254" s="1" t="s">
        <v>388</v>
      </c>
      <c r="B254" s="304"/>
      <c r="C254" s="304">
        <f>'Rate Design Work eff 10-14-16'!C253</f>
        <v>6928716.389879657</v>
      </c>
      <c r="D254" s="284">
        <f>'Rate Design Work eff 9-15-17'!D253</f>
        <v>7.3410000000000002</v>
      </c>
      <c r="E254" s="308" t="s">
        <v>364</v>
      </c>
      <c r="F254" s="2">
        <f>ROUND(D254*C254/100,0)</f>
        <v>508637</v>
      </c>
      <c r="G254" s="284">
        <f ca="1">$G$180</f>
        <v>7.5140000000000002</v>
      </c>
      <c r="H254" s="308" t="s">
        <v>364</v>
      </c>
      <c r="I254" s="2">
        <f ca="1">ROUND(G254*$C254/100,0)</f>
        <v>520624</v>
      </c>
      <c r="J254" s="2"/>
      <c r="K254" s="284" t="e">
        <f ca="1">$K$180</f>
        <v>#REF!</v>
      </c>
      <c r="L254" s="308" t="s">
        <v>364</v>
      </c>
      <c r="M254" s="2" t="e">
        <f ca="1">ROUND(K254*$C254/100,0)</f>
        <v>#REF!</v>
      </c>
      <c r="N254" s="2"/>
      <c r="O254" s="284" t="e">
        <f ca="1">$O$180</f>
        <v>#DIV/0!</v>
      </c>
      <c r="P254" s="308" t="s">
        <v>364</v>
      </c>
      <c r="Q254" s="2" t="e">
        <f ca="1">ROUND(O254*$C254/100,0)</f>
        <v>#DIV/0!</v>
      </c>
      <c r="R254" s="2"/>
      <c r="S254" s="284" t="e">
        <f ca="1">$S$180</f>
        <v>#DIV/0!</v>
      </c>
      <c r="T254" s="308" t="s">
        <v>364</v>
      </c>
      <c r="U254" s="2" t="e">
        <f ca="1">ROUND(S254*$C254/100,0)</f>
        <v>#DIV/0!</v>
      </c>
      <c r="V254" s="458"/>
      <c r="W254" s="74"/>
      <c r="X254" s="74"/>
      <c r="Y254" s="74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R254" s="84"/>
    </row>
    <row r="255" spans="1:44" hidden="1">
      <c r="A255" s="1" t="s">
        <v>389</v>
      </c>
      <c r="B255" s="304"/>
      <c r="C255" s="304">
        <f>'Rate Design Work eff 10-14-16'!C254</f>
        <v>1198686.3021607364</v>
      </c>
      <c r="D255" s="284">
        <f>'Rate Design Work eff 9-15-17'!D254</f>
        <v>6.3240000000000007</v>
      </c>
      <c r="E255" s="308" t="s">
        <v>364</v>
      </c>
      <c r="F255" s="2">
        <f>ROUND(D255*C255/100,0)</f>
        <v>75805</v>
      </c>
      <c r="G255" s="284">
        <f ca="1">$G$181</f>
        <v>6.4720000000000004</v>
      </c>
      <c r="H255" s="308" t="s">
        <v>364</v>
      </c>
      <c r="I255" s="2">
        <f ca="1">ROUND(G255*$C255/100,0)</f>
        <v>77579</v>
      </c>
      <c r="J255" s="2"/>
      <c r="K255" s="284" t="e">
        <f ca="1">$K$181</f>
        <v>#REF!</v>
      </c>
      <c r="L255" s="308" t="s">
        <v>364</v>
      </c>
      <c r="M255" s="2" t="e">
        <f ca="1">ROUND(K255*$C255/100,0)</f>
        <v>#REF!</v>
      </c>
      <c r="N255" s="2"/>
      <c r="O255" s="284" t="e">
        <f ca="1">$O$181</f>
        <v>#DIV/0!</v>
      </c>
      <c r="P255" s="308" t="s">
        <v>364</v>
      </c>
      <c r="Q255" s="2" t="e">
        <f ca="1">ROUND(O255*$C255/100,0)</f>
        <v>#DIV/0!</v>
      </c>
      <c r="R255" s="2"/>
      <c r="S255" s="284" t="e">
        <f ca="1">$S$181</f>
        <v>#DIV/0!</v>
      </c>
      <c r="T255" s="308" t="s">
        <v>364</v>
      </c>
      <c r="U255" s="2" t="e">
        <f ca="1">ROUND(S255*$C255/100,0)</f>
        <v>#DIV/0!</v>
      </c>
      <c r="V255" s="458"/>
      <c r="W255" s="74"/>
      <c r="X255" s="74"/>
      <c r="Y255" s="74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R255" s="84"/>
    </row>
    <row r="256" spans="1:44" hidden="1">
      <c r="A256" s="1" t="s">
        <v>390</v>
      </c>
      <c r="B256" s="21"/>
      <c r="C256" s="304">
        <f>'Rate Design Work eff 10-14-16'!C255</f>
        <v>84.1666666666667</v>
      </c>
      <c r="D256" s="315">
        <f>'Rate Design Work eff 9-15-17'!D255</f>
        <v>57</v>
      </c>
      <c r="E256" s="308" t="s">
        <v>364</v>
      </c>
      <c r="F256" s="2">
        <f>ROUND(D256*C256/100,0)</f>
        <v>48</v>
      </c>
      <c r="G256" s="315">
        <f ca="1">$G$182</f>
        <v>58</v>
      </c>
      <c r="H256" s="308" t="s">
        <v>364</v>
      </c>
      <c r="I256" s="2">
        <f ca="1">ROUND(G256*$C256/100,0)</f>
        <v>49</v>
      </c>
      <c r="J256" s="2"/>
      <c r="K256" s="315" t="str">
        <f>$K$182</f>
        <v xml:space="preserve"> </v>
      </c>
      <c r="L256" s="308" t="s">
        <v>364</v>
      </c>
      <c r="M256" s="2">
        <f>ROUND(K256*$C256/100,0)</f>
        <v>0</v>
      </c>
      <c r="N256" s="2"/>
      <c r="O256" s="315" t="e">
        <f>$O$182</f>
        <v>#DIV/0!</v>
      </c>
      <c r="P256" s="308" t="s">
        <v>364</v>
      </c>
      <c r="Q256" s="2" t="e">
        <f>ROUND(O256*$C256/100,0)</f>
        <v>#DIV/0!</v>
      </c>
      <c r="R256" s="2"/>
      <c r="S256" s="315" t="e">
        <f>$S$182</f>
        <v>#DIV/0!</v>
      </c>
      <c r="T256" s="308" t="s">
        <v>364</v>
      </c>
      <c r="U256" s="2" t="e">
        <f>ROUND(S256*$C256/100,0)</f>
        <v>#DIV/0!</v>
      </c>
      <c r="V256" s="20"/>
      <c r="W256" s="74"/>
      <c r="X256" s="74"/>
      <c r="Y256" s="74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R256" s="84"/>
    </row>
    <row r="257" spans="1:44" s="1118" customFormat="1" hidden="1">
      <c r="A257" s="968" t="s">
        <v>888</v>
      </c>
      <c r="C257" s="1122">
        <f>C253</f>
        <v>12838882.284157982</v>
      </c>
      <c r="D257" s="254">
        <f>'Rate Design Work eff 9-15-17'!D256</f>
        <v>0</v>
      </c>
      <c r="E257" s="1119"/>
      <c r="F257" s="1123"/>
      <c r="G257" s="1128">
        <f>G183</f>
        <v>0</v>
      </c>
      <c r="H257" s="972" t="s">
        <v>364</v>
      </c>
      <c r="I257" s="1123">
        <f t="shared" ref="I257:I259" si="54">ROUND(G257*$C257/100,0)</f>
        <v>0</v>
      </c>
      <c r="J257" s="1123"/>
      <c r="K257" s="1128" t="str">
        <f>K183</f>
        <v xml:space="preserve"> </v>
      </c>
      <c r="L257" s="972" t="s">
        <v>364</v>
      </c>
      <c r="M257" s="1123">
        <f t="shared" ref="M257:M259" si="55">ROUND(K257*$C257/100,0)</f>
        <v>0</v>
      </c>
      <c r="N257" s="1123"/>
      <c r="O257" s="1128" t="str">
        <f>O183</f>
        <v xml:space="preserve"> </v>
      </c>
      <c r="P257" s="972" t="s">
        <v>364</v>
      </c>
      <c r="Q257" s="1123">
        <f t="shared" ref="Q257:Q259" si="56">ROUND(O257*$C257/100,0)</f>
        <v>0</v>
      </c>
      <c r="R257" s="1123"/>
      <c r="S257" s="1128">
        <f>S183</f>
        <v>0</v>
      </c>
      <c r="T257" s="972" t="s">
        <v>364</v>
      </c>
      <c r="U257" s="1123">
        <f t="shared" ref="U257:U259" si="57">ROUND(S257*$C257/100,0)</f>
        <v>0</v>
      </c>
      <c r="W257" s="784"/>
      <c r="Z257" s="1125"/>
      <c r="AA257" s="1125"/>
      <c r="AF257" s="1119"/>
      <c r="AG257" s="1119"/>
      <c r="AH257" s="1119"/>
      <c r="AI257" s="1119"/>
      <c r="AJ257" s="1119"/>
      <c r="AK257" s="1119"/>
      <c r="AL257" s="1119"/>
      <c r="AM257" s="1119"/>
      <c r="AN257" s="1119"/>
      <c r="AO257" s="1119"/>
      <c r="AP257" s="1119"/>
      <c r="AR257" s="1124"/>
    </row>
    <row r="258" spans="1:44" s="1118" customFormat="1" hidden="1">
      <c r="A258" s="968" t="s">
        <v>889</v>
      </c>
      <c r="C258" s="1122">
        <f>C254</f>
        <v>6928716.389879657</v>
      </c>
      <c r="D258" s="254">
        <f>'Rate Design Work eff 9-15-17'!D257</f>
        <v>0</v>
      </c>
      <c r="E258" s="1119"/>
      <c r="F258" s="1123"/>
      <c r="G258" s="1128">
        <f>G184</f>
        <v>0</v>
      </c>
      <c r="H258" s="972" t="s">
        <v>364</v>
      </c>
      <c r="I258" s="1123">
        <f t="shared" si="54"/>
        <v>0</v>
      </c>
      <c r="J258" s="1123"/>
      <c r="K258" s="1128" t="str">
        <f>K184</f>
        <v xml:space="preserve"> </v>
      </c>
      <c r="L258" s="972" t="s">
        <v>364</v>
      </c>
      <c r="M258" s="1123">
        <f t="shared" si="55"/>
        <v>0</v>
      </c>
      <c r="N258" s="1123"/>
      <c r="O258" s="1128" t="str">
        <f>O184</f>
        <v xml:space="preserve"> </v>
      </c>
      <c r="P258" s="972" t="s">
        <v>364</v>
      </c>
      <c r="Q258" s="1123">
        <f t="shared" si="56"/>
        <v>0</v>
      </c>
      <c r="R258" s="1123"/>
      <c r="S258" s="1128">
        <f>S184</f>
        <v>0</v>
      </c>
      <c r="T258" s="972" t="s">
        <v>364</v>
      </c>
      <c r="U258" s="1123">
        <f t="shared" si="57"/>
        <v>0</v>
      </c>
      <c r="W258" s="784"/>
      <c r="Z258" s="1125"/>
      <c r="AA258" s="1125"/>
      <c r="AF258" s="1119"/>
      <c r="AG258" s="1119"/>
      <c r="AH258" s="1119"/>
      <c r="AI258" s="1119"/>
      <c r="AJ258" s="1119"/>
      <c r="AK258" s="1119"/>
      <c r="AL258" s="1119"/>
      <c r="AM258" s="1119"/>
      <c r="AN258" s="1119"/>
      <c r="AO258" s="1119"/>
      <c r="AP258" s="1119"/>
      <c r="AR258" s="1124"/>
    </row>
    <row r="259" spans="1:44" s="1118" customFormat="1" hidden="1">
      <c r="A259" s="968" t="s">
        <v>890</v>
      </c>
      <c r="C259" s="1122">
        <f>C255</f>
        <v>1198686.3021607364</v>
      </c>
      <c r="D259" s="254">
        <f>'Rate Design Work eff 9-15-17'!D258</f>
        <v>0</v>
      </c>
      <c r="E259" s="1119"/>
      <c r="F259" s="1123"/>
      <c r="G259" s="1128">
        <f>G185</f>
        <v>0</v>
      </c>
      <c r="H259" s="972" t="s">
        <v>364</v>
      </c>
      <c r="I259" s="1123">
        <f t="shared" si="54"/>
        <v>0</v>
      </c>
      <c r="J259" s="1123"/>
      <c r="K259" s="1128" t="str">
        <f>K185</f>
        <v xml:space="preserve"> </v>
      </c>
      <c r="L259" s="972" t="s">
        <v>364</v>
      </c>
      <c r="M259" s="1123">
        <f t="shared" si="55"/>
        <v>0</v>
      </c>
      <c r="N259" s="1123"/>
      <c r="O259" s="1128" t="str">
        <f>O185</f>
        <v xml:space="preserve"> </v>
      </c>
      <c r="P259" s="972" t="s">
        <v>364</v>
      </c>
      <c r="Q259" s="1123">
        <f t="shared" si="56"/>
        <v>0</v>
      </c>
      <c r="R259" s="1123"/>
      <c r="S259" s="1128">
        <f>S185</f>
        <v>0</v>
      </c>
      <c r="T259" s="972" t="s">
        <v>364</v>
      </c>
      <c r="U259" s="1123">
        <f t="shared" si="57"/>
        <v>0</v>
      </c>
      <c r="W259" s="784"/>
      <c r="Z259" s="1125"/>
      <c r="AA259" s="1125"/>
      <c r="AF259" s="1119"/>
      <c r="AG259" s="1119"/>
      <c r="AH259" s="1119"/>
      <c r="AI259" s="1119"/>
      <c r="AJ259" s="1119"/>
      <c r="AK259" s="1119"/>
      <c r="AL259" s="1119"/>
      <c r="AM259" s="1119"/>
      <c r="AN259" s="1119"/>
      <c r="AO259" s="1119"/>
      <c r="AP259" s="1119"/>
      <c r="AR259" s="1124"/>
    </row>
    <row r="260" spans="1:44" hidden="1">
      <c r="A260" s="316" t="s">
        <v>391</v>
      </c>
      <c r="B260" s="21"/>
      <c r="C260" s="304"/>
      <c r="D260" s="317">
        <f>'Rate Design Work eff 9-15-17'!D259</f>
        <v>-0.01</v>
      </c>
      <c r="E260" s="308"/>
      <c r="F260" s="2"/>
      <c r="G260" s="317">
        <v>-0.01</v>
      </c>
      <c r="H260" s="308"/>
      <c r="I260" s="2"/>
      <c r="J260" s="2"/>
      <c r="K260" s="317">
        <v>-0.01</v>
      </c>
      <c r="L260" s="308"/>
      <c r="M260" s="2"/>
      <c r="N260" s="2"/>
      <c r="O260" s="317">
        <v>-0.01</v>
      </c>
      <c r="P260" s="308"/>
      <c r="Q260" s="2"/>
      <c r="R260" s="2"/>
      <c r="S260" s="317">
        <v>-0.01</v>
      </c>
      <c r="T260" s="308"/>
      <c r="U260" s="2"/>
      <c r="V260" s="20"/>
      <c r="W260" s="74"/>
      <c r="X260" s="74"/>
      <c r="Y260" s="74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R260" s="84"/>
    </row>
    <row r="261" spans="1:44" hidden="1">
      <c r="A261" s="1" t="s">
        <v>380</v>
      </c>
      <c r="B261" s="1"/>
      <c r="C261" s="304">
        <v>0</v>
      </c>
      <c r="D261" s="319">
        <f>'Rate Design Work eff 9-15-17'!D260</f>
        <v>9.76</v>
      </c>
      <c r="E261" s="306"/>
      <c r="F261" s="2">
        <f>-ROUND(D261*$C261/100,0)</f>
        <v>0</v>
      </c>
      <c r="G261" s="319">
        <f ca="1">G248</f>
        <v>9.99</v>
      </c>
      <c r="H261" s="306"/>
      <c r="I261" s="2">
        <f ca="1">-ROUND(G261*$C261/100,0)</f>
        <v>0</v>
      </c>
      <c r="J261" s="2"/>
      <c r="K261" s="319">
        <f ca="1">K248</f>
        <v>9.76</v>
      </c>
      <c r="L261" s="306"/>
      <c r="M261" s="2">
        <f ca="1">-ROUND(K261*$C261/100,0)</f>
        <v>0</v>
      </c>
      <c r="N261" s="2"/>
      <c r="O261" s="319" t="str">
        <f>O248</f>
        <v xml:space="preserve"> </v>
      </c>
      <c r="P261" s="306"/>
      <c r="Q261" s="2">
        <f>-ROUND(O261*$C261/100,0)</f>
        <v>0</v>
      </c>
      <c r="R261" s="2"/>
      <c r="S261" s="319" t="str">
        <f>S248</f>
        <v xml:space="preserve"> </v>
      </c>
      <c r="T261" s="306"/>
      <c r="U261" s="2">
        <f>-ROUND(S261*$C261/100,0)</f>
        <v>0</v>
      </c>
      <c r="V261" s="20"/>
      <c r="W261" s="74"/>
      <c r="X261" s="74"/>
      <c r="Y261" s="74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R261" s="84"/>
    </row>
    <row r="262" spans="1:44" hidden="1">
      <c r="A262" s="1" t="s">
        <v>381</v>
      </c>
      <c r="B262" s="1"/>
      <c r="C262" s="304">
        <v>9</v>
      </c>
      <c r="D262" s="319">
        <f>'Rate Design Work eff 9-15-17'!D261</f>
        <v>14.54</v>
      </c>
      <c r="E262" s="306"/>
      <c r="F262" s="2">
        <f t="shared" ref="F262:F264" si="58">-ROUND(D262*$C262/100,0)</f>
        <v>-1</v>
      </c>
      <c r="G262" s="319">
        <f ca="1">G249</f>
        <v>14.89</v>
      </c>
      <c r="H262" s="306"/>
      <c r="I262" s="2">
        <f ca="1">-ROUND(G262*$C262/100,0)</f>
        <v>-1</v>
      </c>
      <c r="J262" s="2"/>
      <c r="K262" s="319">
        <f ca="1">K249</f>
        <v>14.54</v>
      </c>
      <c r="L262" s="306"/>
      <c r="M262" s="2">
        <f ca="1">-ROUND(K262*$C262/100,0)</f>
        <v>-1</v>
      </c>
      <c r="N262" s="2"/>
      <c r="O262" s="319" t="str">
        <f>O249</f>
        <v xml:space="preserve"> </v>
      </c>
      <c r="P262" s="306"/>
      <c r="Q262" s="2">
        <f>-ROUND(O262*$C262/100,0)</f>
        <v>0</v>
      </c>
      <c r="R262" s="2"/>
      <c r="S262" s="319" t="str">
        <f>S249</f>
        <v xml:space="preserve"> </v>
      </c>
      <c r="T262" s="306"/>
      <c r="U262" s="2">
        <f>-ROUND(S262*$C262/100,0)</f>
        <v>0</v>
      </c>
      <c r="V262" s="20"/>
      <c r="W262" s="74"/>
      <c r="X262" s="74"/>
      <c r="Y262" s="74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R262" s="84"/>
    </row>
    <row r="263" spans="1:44" hidden="1">
      <c r="A263" s="1" t="s">
        <v>392</v>
      </c>
      <c r="B263" s="1"/>
      <c r="C263" s="304">
        <v>0</v>
      </c>
      <c r="D263" s="319">
        <f>'Rate Design Work eff 9-15-17'!D262</f>
        <v>1.02</v>
      </c>
      <c r="E263" s="306"/>
      <c r="F263" s="2">
        <f t="shared" si="58"/>
        <v>0</v>
      </c>
      <c r="G263" s="319">
        <f ca="1">G250</f>
        <v>1.04</v>
      </c>
      <c r="H263" s="306"/>
      <c r="I263" s="2">
        <f ca="1">-ROUND(G263*$C263/100,0)</f>
        <v>0</v>
      </c>
      <c r="J263" s="2"/>
      <c r="K263" s="319">
        <f ca="1">K250</f>
        <v>1.02</v>
      </c>
      <c r="L263" s="306"/>
      <c r="M263" s="2">
        <f ca="1">-ROUND(K263*$C263/100,0)</f>
        <v>0</v>
      </c>
      <c r="N263" s="2"/>
      <c r="O263" s="319" t="str">
        <f>O250</f>
        <v xml:space="preserve"> </v>
      </c>
      <c r="P263" s="306"/>
      <c r="Q263" s="2">
        <f>-ROUND(O263*$C263/100,0)</f>
        <v>0</v>
      </c>
      <c r="R263" s="2"/>
      <c r="S263" s="319" t="str">
        <f>S250</f>
        <v xml:space="preserve"> </v>
      </c>
      <c r="T263" s="306"/>
      <c r="U263" s="2">
        <f>-ROUND(S263*$C263/100,0)</f>
        <v>0</v>
      </c>
      <c r="V263" s="20"/>
      <c r="W263" s="74"/>
      <c r="X263" s="74"/>
      <c r="Y263" s="74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R263" s="84"/>
    </row>
    <row r="264" spans="1:44" hidden="1">
      <c r="A264" s="1" t="s">
        <v>403</v>
      </c>
      <c r="B264" s="1"/>
      <c r="C264" s="304">
        <f>0</f>
        <v>0</v>
      </c>
      <c r="D264" s="319">
        <f>'Rate Design Work eff 9-15-17'!D263</f>
        <v>3.7</v>
      </c>
      <c r="E264" s="308"/>
      <c r="F264" s="2">
        <f t="shared" si="58"/>
        <v>0</v>
      </c>
      <c r="G264" s="319">
        <f ca="1">G252</f>
        <v>3.8</v>
      </c>
      <c r="H264" s="308"/>
      <c r="I264" s="2">
        <f ca="1">-ROUND(G264*$C264/100,0)</f>
        <v>0</v>
      </c>
      <c r="J264" s="2"/>
      <c r="K264" s="319" t="e">
        <f ca="1">K252</f>
        <v>#REF!</v>
      </c>
      <c r="L264" s="308"/>
      <c r="M264" s="2" t="e">
        <f ca="1">-ROUND(K264*$C264/100,0)</f>
        <v>#REF!</v>
      </c>
      <c r="N264" s="2"/>
      <c r="O264" s="319" t="e">
        <f ca="1">O252</f>
        <v>#DIV/0!</v>
      </c>
      <c r="P264" s="308"/>
      <c r="Q264" s="2" t="e">
        <f ca="1">-ROUND(O264*$C264/100,0)</f>
        <v>#DIV/0!</v>
      </c>
      <c r="R264" s="2"/>
      <c r="S264" s="319" t="e">
        <f ca="1">S252</f>
        <v>#DIV/0!</v>
      </c>
      <c r="T264" s="308"/>
      <c r="U264" s="2" t="e">
        <f ca="1">-ROUND(S264*$C264/100,0)</f>
        <v>#DIV/0!</v>
      </c>
      <c r="V264" s="20"/>
      <c r="W264" s="74"/>
      <c r="X264" s="74"/>
      <c r="Y264" s="74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R264" s="84"/>
    </row>
    <row r="265" spans="1:44" hidden="1">
      <c r="A265" s="1" t="s">
        <v>395</v>
      </c>
      <c r="B265" s="1"/>
      <c r="C265" s="304">
        <v>0</v>
      </c>
      <c r="D265" s="320">
        <f>'Rate Design Work eff 9-15-17'!D264</f>
        <v>10.628</v>
      </c>
      <c r="E265" s="308" t="s">
        <v>364</v>
      </c>
      <c r="F265" s="2">
        <f>ROUND(D265*$C265/100*D260,0)</f>
        <v>0</v>
      </c>
      <c r="G265" s="320">
        <f ca="1">G253</f>
        <v>10.878</v>
      </c>
      <c r="H265" s="308" t="s">
        <v>364</v>
      </c>
      <c r="I265" s="2">
        <f ca="1">ROUND(G265*$C265/100*G260,0)</f>
        <v>0</v>
      </c>
      <c r="J265" s="2"/>
      <c r="K265" s="320" t="e">
        <f ca="1">K253</f>
        <v>#REF!</v>
      </c>
      <c r="L265" s="308" t="s">
        <v>364</v>
      </c>
      <c r="M265" s="2" t="e">
        <f ca="1">ROUND(K265*$C265/100*K260,0)</f>
        <v>#REF!</v>
      </c>
      <c r="N265" s="2"/>
      <c r="O265" s="320" t="e">
        <f ca="1">O253</f>
        <v>#DIV/0!</v>
      </c>
      <c r="P265" s="308" t="s">
        <v>364</v>
      </c>
      <c r="Q265" s="2" t="e">
        <f ca="1">ROUND(O265*$C265/100*O260,0)</f>
        <v>#DIV/0!</v>
      </c>
      <c r="R265" s="2"/>
      <c r="S265" s="320" t="e">
        <f ca="1">S253</f>
        <v>#DIV/0!</v>
      </c>
      <c r="T265" s="308" t="s">
        <v>364</v>
      </c>
      <c r="U265" s="2" t="e">
        <f ca="1">ROUND(S265*$C265/100*S260,0)</f>
        <v>#DIV/0!</v>
      </c>
      <c r="V265" s="20"/>
      <c r="W265" s="74"/>
      <c r="X265" s="74"/>
      <c r="Y265" s="74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R265" s="84"/>
    </row>
    <row r="266" spans="1:44" hidden="1">
      <c r="A266" s="1" t="s">
        <v>388</v>
      </c>
      <c r="B266" s="1"/>
      <c r="C266" s="304">
        <v>0</v>
      </c>
      <c r="D266" s="320">
        <f>'Rate Design Work eff 9-15-17'!D265</f>
        <v>7.3410000000000002</v>
      </c>
      <c r="E266" s="308" t="s">
        <v>364</v>
      </c>
      <c r="F266" s="2">
        <f>ROUND(D266*$C266/100*D260,0)</f>
        <v>0</v>
      </c>
      <c r="G266" s="320">
        <f ca="1">G254</f>
        <v>7.5140000000000002</v>
      </c>
      <c r="H266" s="308" t="s">
        <v>364</v>
      </c>
      <c r="I266" s="2">
        <f ca="1">ROUND(G266*$C266/100*G260,0)</f>
        <v>0</v>
      </c>
      <c r="J266" s="2"/>
      <c r="K266" s="320" t="e">
        <f ca="1">K254</f>
        <v>#REF!</v>
      </c>
      <c r="L266" s="308" t="s">
        <v>364</v>
      </c>
      <c r="M266" s="2" t="e">
        <f ca="1">ROUND(K266*$C266/100*K260,0)</f>
        <v>#REF!</v>
      </c>
      <c r="N266" s="2"/>
      <c r="O266" s="320" t="e">
        <f ca="1">O254</f>
        <v>#DIV/0!</v>
      </c>
      <c r="P266" s="308" t="s">
        <v>364</v>
      </c>
      <c r="Q266" s="2" t="e">
        <f ca="1">ROUND(O266*$C266/100*O260,0)</f>
        <v>#DIV/0!</v>
      </c>
      <c r="R266" s="2"/>
      <c r="S266" s="320" t="e">
        <f ca="1">S254</f>
        <v>#DIV/0!</v>
      </c>
      <c r="T266" s="308" t="s">
        <v>364</v>
      </c>
      <c r="U266" s="2" t="e">
        <f ca="1">ROUND(S266*$C266/100*S260,0)</f>
        <v>#DIV/0!</v>
      </c>
      <c r="V266" s="20"/>
      <c r="W266" s="74"/>
      <c r="X266" s="74"/>
      <c r="Y266" s="74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R266" s="84"/>
    </row>
    <row r="267" spans="1:44" hidden="1">
      <c r="A267" s="1" t="s">
        <v>389</v>
      </c>
      <c r="B267" s="1"/>
      <c r="C267" s="304">
        <v>0</v>
      </c>
      <c r="D267" s="320">
        <f>'Rate Design Work eff 9-15-17'!D266</f>
        <v>6.3240000000000007</v>
      </c>
      <c r="E267" s="308" t="s">
        <v>364</v>
      </c>
      <c r="F267" s="2">
        <f>ROUND(D267*$C267/100*D260,0)</f>
        <v>0</v>
      </c>
      <c r="G267" s="320">
        <f ca="1">G255</f>
        <v>6.4720000000000004</v>
      </c>
      <c r="H267" s="308" t="s">
        <v>364</v>
      </c>
      <c r="I267" s="2">
        <f ca="1">ROUND(G267*$C267/100*G260,0)</f>
        <v>0</v>
      </c>
      <c r="J267" s="2"/>
      <c r="K267" s="320" t="e">
        <f ca="1">K255</f>
        <v>#REF!</v>
      </c>
      <c r="L267" s="308" t="s">
        <v>364</v>
      </c>
      <c r="M267" s="2" t="e">
        <f ca="1">ROUND(K267*$C267/100*K260,0)</f>
        <v>#REF!</v>
      </c>
      <c r="N267" s="2"/>
      <c r="O267" s="320" t="e">
        <f ca="1">O255</f>
        <v>#DIV/0!</v>
      </c>
      <c r="P267" s="308" t="s">
        <v>364</v>
      </c>
      <c r="Q267" s="2" t="e">
        <f ca="1">ROUND(O267*$C267/100*O260,0)</f>
        <v>#DIV/0!</v>
      </c>
      <c r="R267" s="2"/>
      <c r="S267" s="320" t="e">
        <f ca="1">S255</f>
        <v>#DIV/0!</v>
      </c>
      <c r="T267" s="308" t="s">
        <v>364</v>
      </c>
      <c r="U267" s="2" t="e">
        <f ca="1">ROUND(S267*$C267/100*S260,0)</f>
        <v>#DIV/0!</v>
      </c>
      <c r="V267" s="20"/>
      <c r="W267" s="74"/>
      <c r="X267" s="74"/>
      <c r="Y267" s="74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R267" s="84"/>
    </row>
    <row r="268" spans="1:44" hidden="1">
      <c r="A268" s="1" t="s">
        <v>390</v>
      </c>
      <c r="B268" s="1"/>
      <c r="C268" s="304">
        <v>0</v>
      </c>
      <c r="D268" s="321">
        <f>'Rate Design Work eff 9-15-17'!D267</f>
        <v>57</v>
      </c>
      <c r="E268" s="308" t="s">
        <v>364</v>
      </c>
      <c r="F268" s="2">
        <f>ROUND(D268*$C268/100*D260,0)</f>
        <v>0</v>
      </c>
      <c r="G268" s="321">
        <f ca="1">G256</f>
        <v>58</v>
      </c>
      <c r="H268" s="308" t="s">
        <v>364</v>
      </c>
      <c r="I268" s="2">
        <f ca="1">ROUND(G268*$C268/100*G260,0)</f>
        <v>0</v>
      </c>
      <c r="J268" s="2"/>
      <c r="K268" s="321" t="str">
        <f>K256</f>
        <v xml:space="preserve"> </v>
      </c>
      <c r="L268" s="308" t="s">
        <v>364</v>
      </c>
      <c r="M268" s="2">
        <f>ROUND(K268*$C268/100*K260,0)</f>
        <v>0</v>
      </c>
      <c r="N268" s="2"/>
      <c r="O268" s="321" t="e">
        <f>O256</f>
        <v>#DIV/0!</v>
      </c>
      <c r="P268" s="308" t="s">
        <v>364</v>
      </c>
      <c r="Q268" s="2" t="e">
        <f>ROUND(O268*$C268/100*O260,0)</f>
        <v>#DIV/0!</v>
      </c>
      <c r="R268" s="2"/>
      <c r="S268" s="321" t="e">
        <f>S256</f>
        <v>#DIV/0!</v>
      </c>
      <c r="T268" s="308" t="s">
        <v>364</v>
      </c>
      <c r="U268" s="2" t="e">
        <f>ROUND(S268*$C268/100*S260,0)</f>
        <v>#DIV/0!</v>
      </c>
      <c r="V268" s="20"/>
      <c r="W268" s="74"/>
      <c r="X268" s="74"/>
      <c r="Y268" s="74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R268" s="84"/>
    </row>
    <row r="269" spans="1:44" hidden="1">
      <c r="A269" s="1" t="s">
        <v>397</v>
      </c>
      <c r="B269" s="1"/>
      <c r="C269" s="304">
        <v>0</v>
      </c>
      <c r="D269" s="322">
        <f>'Rate Design Work eff 9-15-17'!D268</f>
        <v>60</v>
      </c>
      <c r="E269" s="308"/>
      <c r="F269" s="2">
        <f>ROUND(D269*C269,0)</f>
        <v>0</v>
      </c>
      <c r="G269" s="322">
        <f>$G$198</f>
        <v>60</v>
      </c>
      <c r="H269" s="308"/>
      <c r="I269" s="2">
        <f>ROUND(G269*$C269,0)</f>
        <v>0</v>
      </c>
      <c r="J269" s="2"/>
      <c r="K269" s="322" t="str">
        <f>$K$198</f>
        <v xml:space="preserve"> </v>
      </c>
      <c r="L269" s="308"/>
      <c r="M269" s="2">
        <f>ROUND(K269*$C269,0)</f>
        <v>0</v>
      </c>
      <c r="N269" s="2"/>
      <c r="O269" s="322" t="e">
        <f>$O$198</f>
        <v>#DIV/0!</v>
      </c>
      <c r="P269" s="308"/>
      <c r="Q269" s="2" t="e">
        <f>ROUND(O269*$C269,0)</f>
        <v>#DIV/0!</v>
      </c>
      <c r="R269" s="2"/>
      <c r="S269" s="322" t="e">
        <f>$S$198</f>
        <v>#DIV/0!</v>
      </c>
      <c r="T269" s="308"/>
      <c r="U269" s="2" t="e">
        <f>ROUND(S269*$C269,0)</f>
        <v>#DIV/0!</v>
      </c>
      <c r="V269" s="20"/>
      <c r="W269" s="74"/>
      <c r="X269" s="74"/>
      <c r="Y269" s="74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R269" s="84"/>
    </row>
    <row r="270" spans="1:44" hidden="1">
      <c r="A270" s="1" t="s">
        <v>398</v>
      </c>
      <c r="B270" s="1"/>
      <c r="C270" s="304">
        <v>0</v>
      </c>
      <c r="D270" s="324">
        <f>'Rate Design Work eff 9-15-17'!D269</f>
        <v>-30</v>
      </c>
      <c r="E270" s="308" t="s">
        <v>364</v>
      </c>
      <c r="F270" s="2">
        <f>ROUND(D270*C270/100,0)</f>
        <v>0</v>
      </c>
      <c r="G270" s="324">
        <f>$G$199</f>
        <v>-30</v>
      </c>
      <c r="H270" s="308" t="s">
        <v>364</v>
      </c>
      <c r="I270" s="2">
        <f>ROUND(G270*$C270/100,0)</f>
        <v>0</v>
      </c>
      <c r="J270" s="2"/>
      <c r="K270" s="324">
        <f>$K$199</f>
        <v>-30</v>
      </c>
      <c r="L270" s="308" t="s">
        <v>364</v>
      </c>
      <c r="M270" s="2">
        <f>ROUND(K270*$C270/100,0)</f>
        <v>0</v>
      </c>
      <c r="N270" s="2"/>
      <c r="O270" s="324" t="str">
        <f>$O$199</f>
        <v xml:space="preserve"> </v>
      </c>
      <c r="P270" s="308" t="s">
        <v>364</v>
      </c>
      <c r="Q270" s="2">
        <f>ROUND(O270*$C270/100,0)</f>
        <v>0</v>
      </c>
      <c r="R270" s="2"/>
      <c r="S270" s="324" t="str">
        <f>$S$199</f>
        <v xml:space="preserve"> </v>
      </c>
      <c r="T270" s="308" t="s">
        <v>364</v>
      </c>
      <c r="U270" s="2">
        <f>ROUND(S270*$C270/100,0)</f>
        <v>0</v>
      </c>
      <c r="V270" s="20"/>
      <c r="W270" s="74"/>
      <c r="X270" s="74"/>
      <c r="Y270" s="74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R270" s="84"/>
    </row>
    <row r="271" spans="1:44" s="1118" customFormat="1" hidden="1">
      <c r="A271" s="968" t="s">
        <v>888</v>
      </c>
      <c r="C271" s="1122">
        <f>C253</f>
        <v>12838882.284157982</v>
      </c>
      <c r="D271" s="254">
        <f>'Rate Design Work eff 9-15-17'!D270</f>
        <v>0</v>
      </c>
      <c r="E271" s="1119"/>
      <c r="F271" s="1123"/>
      <c r="G271" s="1128">
        <f>G183</f>
        <v>0</v>
      </c>
      <c r="H271" s="972" t="s">
        <v>364</v>
      </c>
      <c r="I271" s="1123">
        <f>ROUND(G271*$C271/100*G260,0)</f>
        <v>0</v>
      </c>
      <c r="J271" s="1123"/>
      <c r="K271" s="1128" t="str">
        <f>K183</f>
        <v xml:space="preserve"> </v>
      </c>
      <c r="L271" s="972" t="s">
        <v>364</v>
      </c>
      <c r="M271" s="1123">
        <f>ROUND(K271*$C271/100*K260,0)</f>
        <v>0</v>
      </c>
      <c r="N271" s="1123"/>
      <c r="O271" s="1128" t="str">
        <f>O183</f>
        <v xml:space="preserve"> </v>
      </c>
      <c r="P271" s="972" t="s">
        <v>364</v>
      </c>
      <c r="Q271" s="1123">
        <f>ROUND(O271*$C271/100*O260,0)</f>
        <v>0</v>
      </c>
      <c r="R271" s="1123"/>
      <c r="S271" s="1128">
        <f>S183</f>
        <v>0</v>
      </c>
      <c r="T271" s="972" t="s">
        <v>364</v>
      </c>
      <c r="U271" s="1123">
        <f>ROUND(S271*$C271/100*S260,0)</f>
        <v>0</v>
      </c>
      <c r="W271" s="784"/>
      <c r="Z271" s="1125"/>
      <c r="AA271" s="1125"/>
      <c r="AF271" s="1119"/>
      <c r="AG271" s="1119"/>
      <c r="AH271" s="1119"/>
      <c r="AI271" s="1119"/>
      <c r="AJ271" s="1119"/>
      <c r="AK271" s="1119"/>
      <c r="AL271" s="1119"/>
      <c r="AM271" s="1119"/>
      <c r="AN271" s="1119"/>
      <c r="AO271" s="1119"/>
      <c r="AP271" s="1119"/>
      <c r="AR271" s="1124"/>
    </row>
    <row r="272" spans="1:44" s="1118" customFormat="1" hidden="1">
      <c r="A272" s="968" t="s">
        <v>889</v>
      </c>
      <c r="C272" s="1122">
        <f>C254</f>
        <v>6928716.389879657</v>
      </c>
      <c r="D272" s="254">
        <f>'Rate Design Work eff 9-15-17'!D271</f>
        <v>0</v>
      </c>
      <c r="E272" s="1119"/>
      <c r="F272" s="1123"/>
      <c r="G272" s="1128">
        <f>G184</f>
        <v>0</v>
      </c>
      <c r="H272" s="972" t="s">
        <v>364</v>
      </c>
      <c r="I272" s="1123">
        <f>ROUND(G272*$C272/100*G260,0)</f>
        <v>0</v>
      </c>
      <c r="J272" s="1123"/>
      <c r="K272" s="1128" t="str">
        <f>K184</f>
        <v xml:space="preserve"> </v>
      </c>
      <c r="L272" s="972" t="s">
        <v>364</v>
      </c>
      <c r="M272" s="1123">
        <f>ROUND(K272*$C272/100*K260,0)</f>
        <v>0</v>
      </c>
      <c r="N272" s="1123"/>
      <c r="O272" s="1128" t="str">
        <f>O184</f>
        <v xml:space="preserve"> </v>
      </c>
      <c r="P272" s="972" t="s">
        <v>364</v>
      </c>
      <c r="Q272" s="1123">
        <f>ROUND(O272*$C272/100*O260,0)</f>
        <v>0</v>
      </c>
      <c r="R272" s="1123"/>
      <c r="S272" s="1128">
        <f>S184</f>
        <v>0</v>
      </c>
      <c r="T272" s="972" t="s">
        <v>364</v>
      </c>
      <c r="U272" s="1123">
        <f>ROUND(S272*$C272/100*S260,0)</f>
        <v>0</v>
      </c>
      <c r="W272" s="784"/>
      <c r="Z272" s="1125"/>
      <c r="AA272" s="1125"/>
      <c r="AF272" s="1119"/>
      <c r="AG272" s="1119"/>
      <c r="AH272" s="1119"/>
      <c r="AI272" s="1119"/>
      <c r="AJ272" s="1119"/>
      <c r="AK272" s="1119"/>
      <c r="AL272" s="1119"/>
      <c r="AM272" s="1119"/>
      <c r="AN272" s="1119"/>
      <c r="AO272" s="1119"/>
      <c r="AP272" s="1119"/>
      <c r="AR272" s="1124"/>
    </row>
    <row r="273" spans="1:44" s="1118" customFormat="1" hidden="1">
      <c r="A273" s="968" t="s">
        <v>890</v>
      </c>
      <c r="C273" s="1122">
        <f>C255</f>
        <v>1198686.3021607364</v>
      </c>
      <c r="D273" s="254">
        <f>'Rate Design Work eff 9-15-17'!D272</f>
        <v>0</v>
      </c>
      <c r="E273" s="1119"/>
      <c r="F273" s="1123"/>
      <c r="G273" s="1128">
        <f>G185</f>
        <v>0</v>
      </c>
      <c r="H273" s="972" t="s">
        <v>364</v>
      </c>
      <c r="I273" s="1123">
        <f>ROUND(G273*$C273/100*G260,0)</f>
        <v>0</v>
      </c>
      <c r="J273" s="1123"/>
      <c r="K273" s="1128" t="str">
        <f>K185</f>
        <v xml:space="preserve"> </v>
      </c>
      <c r="L273" s="972" t="s">
        <v>364</v>
      </c>
      <c r="M273" s="1123">
        <f>ROUND(K273*$C273/100*K260,0)</f>
        <v>0</v>
      </c>
      <c r="N273" s="1123"/>
      <c r="O273" s="1128" t="str">
        <f>O185</f>
        <v xml:space="preserve"> </v>
      </c>
      <c r="P273" s="972" t="s">
        <v>364</v>
      </c>
      <c r="Q273" s="1123">
        <f>ROUND(O273*$C273/100*O260,0)</f>
        <v>0</v>
      </c>
      <c r="R273" s="1123"/>
      <c r="S273" s="1128">
        <f>S185</f>
        <v>0</v>
      </c>
      <c r="T273" s="972" t="s">
        <v>364</v>
      </c>
      <c r="U273" s="1123">
        <f>ROUND(S273*$C273/100*S260,0)</f>
        <v>0</v>
      </c>
      <c r="W273" s="784"/>
      <c r="Z273" s="1125"/>
      <c r="AA273" s="1125"/>
      <c r="AF273" s="1119"/>
      <c r="AG273" s="1119"/>
      <c r="AH273" s="1119"/>
      <c r="AI273" s="1119"/>
      <c r="AJ273" s="1119"/>
      <c r="AK273" s="1119"/>
      <c r="AL273" s="1119"/>
      <c r="AM273" s="1119"/>
      <c r="AN273" s="1119"/>
      <c r="AO273" s="1119"/>
      <c r="AP273" s="1119"/>
      <c r="AR273" s="1124"/>
    </row>
    <row r="274" spans="1:44" hidden="1">
      <c r="A274" s="1" t="s">
        <v>371</v>
      </c>
      <c r="B274" s="292"/>
      <c r="C274" s="304">
        <f>SUM(C253:C255)</f>
        <v>20966284.976198375</v>
      </c>
      <c r="D274" s="315"/>
      <c r="E274" s="308"/>
      <c r="F274" s="2">
        <f>SUM(F248:F270)</f>
        <v>2447470</v>
      </c>
      <c r="G274" s="315"/>
      <c r="H274" s="308"/>
      <c r="I274" s="2">
        <f ca="1">SUM(I248:I273)</f>
        <v>2505212</v>
      </c>
      <c r="J274" s="2"/>
      <c r="K274" s="315"/>
      <c r="L274" s="308"/>
      <c r="M274" s="2" t="e">
        <f ca="1">SUM(M248:M273)</f>
        <v>#REF!</v>
      </c>
      <c r="N274" s="2"/>
      <c r="O274" s="315"/>
      <c r="P274" s="308"/>
      <c r="Q274" s="2" t="e">
        <f ca="1">SUM(Q248:Q273)</f>
        <v>#DIV/0!</v>
      </c>
      <c r="R274" s="2"/>
      <c r="S274" s="315"/>
      <c r="T274" s="308"/>
      <c r="U274" s="2" t="e">
        <f ca="1">SUM(U248:U273)</f>
        <v>#DIV/0!</v>
      </c>
      <c r="V274" s="401"/>
      <c r="W274" s="74"/>
      <c r="X274" s="74"/>
      <c r="Y274" s="74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R274" s="84"/>
    </row>
    <row r="275" spans="1:44" hidden="1">
      <c r="A275" s="1" t="s">
        <v>353</v>
      </c>
      <c r="B275" s="1"/>
      <c r="C275" s="334">
        <f>'Table 2'!H18</f>
        <v>278028.18415744783</v>
      </c>
      <c r="D275" s="294"/>
      <c r="E275" s="294"/>
      <c r="F275" s="326">
        <f>'Table 3'!E18</f>
        <v>35708.181559390563</v>
      </c>
      <c r="G275" s="294"/>
      <c r="H275" s="294"/>
      <c r="I275" s="326">
        <f>F275</f>
        <v>35708.181559390563</v>
      </c>
      <c r="J275" s="307"/>
      <c r="K275" s="294"/>
      <c r="L275" s="294"/>
      <c r="M275" s="326" t="e">
        <f ca="1">M204/I204*I275</f>
        <v>#DIV/0!</v>
      </c>
      <c r="N275" s="307"/>
      <c r="O275" s="294"/>
      <c r="P275" s="294"/>
      <c r="Q275" s="326" t="e">
        <f ca="1">Q204/I204*I275</f>
        <v>#DIV/0!</v>
      </c>
      <c r="R275" s="307"/>
      <c r="S275" s="294"/>
      <c r="T275" s="294"/>
      <c r="U275" s="326" t="e">
        <f ca="1">U204/I204*I275</f>
        <v>#DIV/0!</v>
      </c>
      <c r="V275" s="429"/>
      <c r="W275" s="272"/>
      <c r="X275" s="74"/>
      <c r="Y275" s="74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R275" s="84"/>
    </row>
    <row r="276" spans="1:44" ht="16.5" hidden="1" thickBot="1">
      <c r="A276" s="1" t="s">
        <v>372</v>
      </c>
      <c r="B276" s="1"/>
      <c r="C276" s="296">
        <f>SUM(C274:C275)</f>
        <v>21244313.160355821</v>
      </c>
      <c r="D276" s="327"/>
      <c r="E276" s="330"/>
      <c r="F276" s="329">
        <f>F274+F275</f>
        <v>2483178.1815593904</v>
      </c>
      <c r="G276" s="327"/>
      <c r="H276" s="330"/>
      <c r="I276" s="329">
        <f ca="1">I274+I275</f>
        <v>2540920.1815593904</v>
      </c>
      <c r="J276" s="307"/>
      <c r="K276" s="327"/>
      <c r="L276" s="330"/>
      <c r="M276" s="329" t="e">
        <f ca="1">M274+M275</f>
        <v>#REF!</v>
      </c>
      <c r="N276" s="329"/>
      <c r="O276" s="327"/>
      <c r="P276" s="330"/>
      <c r="Q276" s="329" t="e">
        <f ca="1">Q274+Q275</f>
        <v>#DIV/0!</v>
      </c>
      <c r="R276" s="329"/>
      <c r="S276" s="327"/>
      <c r="T276" s="330"/>
      <c r="U276" s="329" t="e">
        <f ca="1">U274+U275</f>
        <v>#DIV/0!</v>
      </c>
      <c r="V276" s="396"/>
      <c r="W276" s="455"/>
      <c r="X276" s="74"/>
      <c r="Y276" s="74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R276" s="84"/>
    </row>
    <row r="277" spans="1:44" ht="16.5" hidden="1" thickTop="1">
      <c r="A277" s="1"/>
      <c r="B277" s="1"/>
      <c r="C277" s="21"/>
      <c r="D277" s="322"/>
      <c r="E277" s="1"/>
      <c r="F277" s="2"/>
      <c r="G277" s="322"/>
      <c r="H277" s="1"/>
      <c r="I277" s="2" t="s">
        <v>31</v>
      </c>
      <c r="J277" s="2"/>
      <c r="K277" s="322"/>
      <c r="L277" s="1"/>
      <c r="M277" s="2" t="s">
        <v>31</v>
      </c>
      <c r="N277" s="2"/>
      <c r="O277" s="322"/>
      <c r="P277" s="1"/>
      <c r="Q277" s="2" t="s">
        <v>31</v>
      </c>
      <c r="R277" s="2"/>
      <c r="S277" s="322"/>
      <c r="T277" s="1"/>
      <c r="U277" s="2" t="s">
        <v>31</v>
      </c>
      <c r="V277" s="20"/>
      <c r="W277" s="74"/>
      <c r="X277" s="74"/>
      <c r="Y277" s="74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R277" s="84"/>
    </row>
    <row r="278" spans="1:44" hidden="1">
      <c r="A278" s="1"/>
      <c r="B278" s="1"/>
      <c r="C278" s="21"/>
      <c r="D278" s="322"/>
      <c r="E278" s="1"/>
      <c r="F278" s="2"/>
      <c r="G278" s="322"/>
      <c r="H278" s="1"/>
      <c r="I278" s="2" t="s">
        <v>31</v>
      </c>
      <c r="J278" s="2"/>
      <c r="K278" s="322"/>
      <c r="L278" s="1"/>
      <c r="M278" s="2" t="s">
        <v>31</v>
      </c>
      <c r="N278" s="2"/>
      <c r="O278" s="322"/>
      <c r="P278" s="1"/>
      <c r="Q278" s="2" t="s">
        <v>31</v>
      </c>
      <c r="R278" s="2"/>
      <c r="S278" s="322"/>
      <c r="T278" s="1"/>
      <c r="U278" s="2" t="s">
        <v>31</v>
      </c>
      <c r="V278" s="20"/>
      <c r="W278" s="74"/>
      <c r="X278" s="74"/>
      <c r="Y278" s="74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R278" s="84"/>
    </row>
    <row r="279" spans="1:44" hidden="1">
      <c r="A279" s="278" t="s">
        <v>377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20"/>
      <c r="W279" s="74"/>
      <c r="X279" s="74"/>
      <c r="Y279" s="74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R279" s="84"/>
    </row>
    <row r="280" spans="1:44" hidden="1">
      <c r="A280" s="1" t="s">
        <v>401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20"/>
      <c r="W280" s="74"/>
      <c r="X280" s="74"/>
      <c r="Y280" s="74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R280" s="84"/>
    </row>
    <row r="281" spans="1:44" hidden="1">
      <c r="A281" s="333" t="s">
        <v>402</v>
      </c>
      <c r="B281" s="1"/>
      <c r="C281" s="21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20"/>
      <c r="W281" s="74"/>
      <c r="X281" s="74"/>
      <c r="Y281" s="74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R281" s="84"/>
    </row>
    <row r="282" spans="1:44" hidden="1">
      <c r="A282" s="1" t="s">
        <v>383</v>
      </c>
      <c r="B282" s="1"/>
      <c r="C282" s="304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20"/>
      <c r="W282" s="74"/>
      <c r="X282" s="74"/>
      <c r="Y282" s="74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R282" s="84"/>
    </row>
    <row r="283" spans="1:44" hidden="1">
      <c r="A283" s="1" t="s">
        <v>380</v>
      </c>
      <c r="B283" s="1"/>
      <c r="C283" s="304">
        <f>'Rate Design Work eff 10-14-16'!C282</f>
        <v>121803.19999998537</v>
      </c>
      <c r="D283" s="283">
        <f>'Rate Design Work eff 9-15-17'!D282</f>
        <v>9.76</v>
      </c>
      <c r="E283" s="308"/>
      <c r="F283" s="2">
        <f>ROUND(D283*$C283,0)</f>
        <v>1188799</v>
      </c>
      <c r="G283" s="283">
        <f ca="1">$G$173</f>
        <v>9.99</v>
      </c>
      <c r="H283" s="308"/>
      <c r="I283" s="2">
        <f ca="1">ROUND(G283*$C283,0)</f>
        <v>1216814</v>
      </c>
      <c r="J283" s="2"/>
      <c r="K283" s="283">
        <f ca="1">$K$173</f>
        <v>9.76</v>
      </c>
      <c r="L283" s="308"/>
      <c r="M283" s="2">
        <f ca="1">ROUND(K283*$C283,0)</f>
        <v>1188799</v>
      </c>
      <c r="N283" s="2"/>
      <c r="O283" s="283" t="str">
        <f>$O$173</f>
        <v xml:space="preserve"> </v>
      </c>
      <c r="P283" s="308"/>
      <c r="Q283" s="2">
        <f>ROUND(O283*$C283,0)</f>
        <v>0</v>
      </c>
      <c r="R283" s="2"/>
      <c r="S283" s="283" t="str">
        <f>$S$173</f>
        <v xml:space="preserve"> </v>
      </c>
      <c r="T283" s="308"/>
      <c r="U283" s="2">
        <f>ROUND(S283*$C283,0)</f>
        <v>0</v>
      </c>
      <c r="V283" s="20"/>
      <c r="W283" s="74"/>
      <c r="X283" s="74"/>
      <c r="Y283" s="74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R283" s="84"/>
    </row>
    <row r="284" spans="1:44" hidden="1">
      <c r="A284" s="1" t="s">
        <v>381</v>
      </c>
      <c r="B284" s="1"/>
      <c r="C284" s="304">
        <f>'Rate Design Work eff 10-14-16'!C283</f>
        <v>58310.700000000717</v>
      </c>
      <c r="D284" s="283">
        <f>'Rate Design Work eff 9-15-17'!D283</f>
        <v>14.54</v>
      </c>
      <c r="E284" s="310"/>
      <c r="F284" s="2">
        <f t="shared" ref="F284:F285" si="59">ROUND(D284*$C284,0)</f>
        <v>847838</v>
      </c>
      <c r="G284" s="283">
        <f ca="1">$G$174</f>
        <v>14.89</v>
      </c>
      <c r="H284" s="310"/>
      <c r="I284" s="2">
        <f ca="1">ROUND(G284*$C284,0)</f>
        <v>868246</v>
      </c>
      <c r="J284" s="2"/>
      <c r="K284" s="283">
        <f ca="1">$K$174</f>
        <v>14.54</v>
      </c>
      <c r="L284" s="310"/>
      <c r="M284" s="2">
        <f ca="1">ROUND(K284*$C284,0)</f>
        <v>847838</v>
      </c>
      <c r="N284" s="2"/>
      <c r="O284" s="283" t="str">
        <f>$O$174</f>
        <v xml:space="preserve"> </v>
      </c>
      <c r="P284" s="310"/>
      <c r="Q284" s="2">
        <f>ROUND(O284*$C284,0)</f>
        <v>0</v>
      </c>
      <c r="R284" s="2"/>
      <c r="S284" s="283" t="str">
        <f>$S$174</f>
        <v xml:space="preserve"> </v>
      </c>
      <c r="T284" s="310"/>
      <c r="U284" s="2">
        <f>ROUND(S284*$C284,0)</f>
        <v>0</v>
      </c>
      <c r="V284" s="20"/>
      <c r="W284" s="74"/>
      <c r="X284" s="74"/>
      <c r="Y284" s="74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R284" s="84"/>
    </row>
    <row r="285" spans="1:44" hidden="1">
      <c r="A285" s="1" t="s">
        <v>382</v>
      </c>
      <c r="B285" s="1"/>
      <c r="C285" s="304">
        <f>'Rate Design Work eff 10-14-16'!C284</f>
        <v>966505</v>
      </c>
      <c r="D285" s="283">
        <f>'Rate Design Work eff 9-15-17'!D284</f>
        <v>1.02</v>
      </c>
      <c r="E285" s="310"/>
      <c r="F285" s="2">
        <f t="shared" si="59"/>
        <v>985835</v>
      </c>
      <c r="G285" s="283">
        <f ca="1">$G$175</f>
        <v>1.04</v>
      </c>
      <c r="H285" s="310"/>
      <c r="I285" s="2">
        <f ca="1">ROUND(G285*$C285,0)</f>
        <v>1005165</v>
      </c>
      <c r="J285" s="2"/>
      <c r="K285" s="283">
        <f ca="1">$K$175</f>
        <v>1.02</v>
      </c>
      <c r="L285" s="310"/>
      <c r="M285" s="2">
        <f ca="1">ROUND(K285*$C285,0)</f>
        <v>985835</v>
      </c>
      <c r="N285" s="2"/>
      <c r="O285" s="283" t="str">
        <f>$O$175</f>
        <v xml:space="preserve"> </v>
      </c>
      <c r="P285" s="310"/>
      <c r="Q285" s="2">
        <f>ROUND(O285*$C285,0)</f>
        <v>0</v>
      </c>
      <c r="R285" s="2"/>
      <c r="S285" s="283" t="str">
        <f>$S$175</f>
        <v xml:space="preserve"> </v>
      </c>
      <c r="T285" s="310"/>
      <c r="U285" s="2">
        <f>ROUND(S285*$C285,0)</f>
        <v>0</v>
      </c>
      <c r="V285" s="20"/>
      <c r="W285" s="74"/>
      <c r="X285" s="74"/>
      <c r="Y285" s="74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R285" s="84"/>
    </row>
    <row r="286" spans="1:44" hidden="1">
      <c r="A286" s="1" t="s">
        <v>384</v>
      </c>
      <c r="B286" s="1"/>
      <c r="C286" s="304">
        <f>SUM(C283:C284)</f>
        <v>180113.89999998608</v>
      </c>
      <c r="D286" s="283"/>
      <c r="E286" s="308"/>
      <c r="F286" s="2"/>
      <c r="G286" s="283"/>
      <c r="H286" s="308"/>
      <c r="I286" s="2"/>
      <c r="J286" s="2"/>
      <c r="K286" s="283"/>
      <c r="L286" s="308"/>
      <c r="M286" s="2"/>
      <c r="N286" s="2"/>
      <c r="O286" s="283"/>
      <c r="P286" s="308"/>
      <c r="Q286" s="2"/>
      <c r="R286" s="2"/>
      <c r="S286" s="283"/>
      <c r="T286" s="308"/>
      <c r="U286" s="2"/>
      <c r="V286" s="20"/>
      <c r="W286" s="74"/>
      <c r="X286" s="74"/>
      <c r="Y286" s="74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R286" s="84"/>
    </row>
    <row r="287" spans="1:44" hidden="1">
      <c r="A287" s="1" t="s">
        <v>385</v>
      </c>
      <c r="B287" s="1"/>
      <c r="C287" s="304">
        <f>'Rate Design Work eff 10-14-16'!C286</f>
        <v>782383</v>
      </c>
      <c r="D287" s="311">
        <f>'Rate Design Work eff 9-15-17'!D286</f>
        <v>3.7</v>
      </c>
      <c r="E287" s="308"/>
      <c r="F287" s="2">
        <f>ROUND(D287*C287,0)</f>
        <v>2894817</v>
      </c>
      <c r="G287" s="311">
        <f ca="1">$G$178</f>
        <v>3.8</v>
      </c>
      <c r="H287" s="308"/>
      <c r="I287" s="2">
        <f ca="1">ROUND(G287*$C287,0)</f>
        <v>2973055</v>
      </c>
      <c r="J287" s="2"/>
      <c r="K287" s="311" t="e">
        <f ca="1">$K$178</f>
        <v>#REF!</v>
      </c>
      <c r="L287" s="308"/>
      <c r="M287" s="2" t="e">
        <f ca="1">ROUND(K287*$C287,0)</f>
        <v>#REF!</v>
      </c>
      <c r="N287" s="2"/>
      <c r="O287" s="311" t="e">
        <f ca="1">$O$178</f>
        <v>#DIV/0!</v>
      </c>
      <c r="P287" s="308"/>
      <c r="Q287" s="2" t="e">
        <f ca="1">ROUND(O287*$C287,0)</f>
        <v>#DIV/0!</v>
      </c>
      <c r="R287" s="2"/>
      <c r="S287" s="311" t="e">
        <f ca="1">$S$178</f>
        <v>#DIV/0!</v>
      </c>
      <c r="T287" s="308"/>
      <c r="U287" s="2" t="e">
        <f ca="1">ROUND(S287*$C287,0)</f>
        <v>#DIV/0!</v>
      </c>
      <c r="V287" s="20"/>
      <c r="W287" s="74"/>
      <c r="X287" s="74"/>
      <c r="Y287" s="74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R287" s="84"/>
    </row>
    <row r="288" spans="1:44" hidden="1">
      <c r="A288" s="1" t="s">
        <v>387</v>
      </c>
      <c r="B288" s="304"/>
      <c r="C288" s="304">
        <f>'Rate Design Work eff 10-14-16'!C287</f>
        <v>113594338.50038823</v>
      </c>
      <c r="D288" s="284">
        <f>'Rate Design Work eff 9-15-17'!D287</f>
        <v>10.628</v>
      </c>
      <c r="E288" s="308" t="s">
        <v>364</v>
      </c>
      <c r="F288" s="2">
        <f>ROUND(D288*C288/100,0)</f>
        <v>12072806</v>
      </c>
      <c r="G288" s="284">
        <f ca="1">$G$179</f>
        <v>10.878</v>
      </c>
      <c r="H288" s="308" t="s">
        <v>364</v>
      </c>
      <c r="I288" s="2">
        <f ca="1">ROUND(G288*$C288/100,0)</f>
        <v>12356792</v>
      </c>
      <c r="J288" s="2"/>
      <c r="K288" s="284" t="e">
        <f ca="1">$K$179</f>
        <v>#REF!</v>
      </c>
      <c r="L288" s="308" t="s">
        <v>364</v>
      </c>
      <c r="M288" s="2" t="e">
        <f ca="1">ROUND(K288*$C288/100,0)</f>
        <v>#REF!</v>
      </c>
      <c r="N288" s="2"/>
      <c r="O288" s="284" t="e">
        <f ca="1">$O$179</f>
        <v>#DIV/0!</v>
      </c>
      <c r="P288" s="308" t="s">
        <v>364</v>
      </c>
      <c r="Q288" s="2" t="e">
        <f ca="1">ROUND(O288*$C288/100,0)</f>
        <v>#DIV/0!</v>
      </c>
      <c r="R288" s="2"/>
      <c r="S288" s="284" t="e">
        <f ca="1">$S$179</f>
        <v>#DIV/0!</v>
      </c>
      <c r="T288" s="308" t="s">
        <v>364</v>
      </c>
      <c r="U288" s="2" t="e">
        <f ca="1">ROUND(S288*$C288/100,0)</f>
        <v>#DIV/0!</v>
      </c>
      <c r="V288" s="458"/>
      <c r="W288" s="74"/>
      <c r="X288" s="74"/>
      <c r="Y288" s="74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R288" s="84"/>
    </row>
    <row r="289" spans="1:44" hidden="1">
      <c r="A289" s="1" t="s">
        <v>388</v>
      </c>
      <c r="B289" s="304"/>
      <c r="C289" s="304">
        <f>'Rate Design Work eff 10-14-16'!C288</f>
        <v>264972441.64191934</v>
      </c>
      <c r="D289" s="284">
        <f>'Rate Design Work eff 9-15-17'!D288</f>
        <v>7.3410000000000002</v>
      </c>
      <c r="E289" s="308" t="s">
        <v>364</v>
      </c>
      <c r="F289" s="2">
        <f>ROUND(D289*C289/100,0)</f>
        <v>19451627</v>
      </c>
      <c r="G289" s="284">
        <f ca="1">$G$180</f>
        <v>7.5140000000000002</v>
      </c>
      <c r="H289" s="308" t="s">
        <v>364</v>
      </c>
      <c r="I289" s="2">
        <f ca="1">ROUND(G289*$C289/100,0)</f>
        <v>19910029</v>
      </c>
      <c r="J289" s="2"/>
      <c r="K289" s="284" t="e">
        <f ca="1">$K$180</f>
        <v>#REF!</v>
      </c>
      <c r="L289" s="308" t="s">
        <v>364</v>
      </c>
      <c r="M289" s="2" t="e">
        <f ca="1">ROUND(K289*$C289/100,0)</f>
        <v>#REF!</v>
      </c>
      <c r="N289" s="2"/>
      <c r="O289" s="284" t="e">
        <f ca="1">$O$180</f>
        <v>#DIV/0!</v>
      </c>
      <c r="P289" s="308" t="s">
        <v>364</v>
      </c>
      <c r="Q289" s="2" t="e">
        <f ca="1">ROUND(O289*$C289/100,0)</f>
        <v>#DIV/0!</v>
      </c>
      <c r="R289" s="2"/>
      <c r="S289" s="284" t="e">
        <f ca="1">$S$180</f>
        <v>#DIV/0!</v>
      </c>
      <c r="T289" s="308" t="s">
        <v>364</v>
      </c>
      <c r="U289" s="2" t="e">
        <f ca="1">ROUND(S289*$C289/100,0)</f>
        <v>#DIV/0!</v>
      </c>
      <c r="V289" s="458"/>
      <c r="W289" s="74"/>
      <c r="X289" s="74"/>
      <c r="Y289" s="74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R289" s="84"/>
    </row>
    <row r="290" spans="1:44" hidden="1">
      <c r="A290" s="1" t="s">
        <v>389</v>
      </c>
      <c r="B290" s="304"/>
      <c r="C290" s="304">
        <f>'Rate Design Work eff 10-14-16'!C289</f>
        <v>114038405.0634262</v>
      </c>
      <c r="D290" s="284">
        <f>'Rate Design Work eff 9-15-17'!D289</f>
        <v>6.3240000000000007</v>
      </c>
      <c r="E290" s="308" t="s">
        <v>364</v>
      </c>
      <c r="F290" s="2">
        <f>ROUND(D290*C290/100,0)</f>
        <v>7211789</v>
      </c>
      <c r="G290" s="284">
        <f ca="1">$G$181</f>
        <v>6.4720000000000004</v>
      </c>
      <c r="H290" s="308" t="s">
        <v>364</v>
      </c>
      <c r="I290" s="2">
        <f ca="1">ROUND(G290*$C290/100,0)</f>
        <v>7380566</v>
      </c>
      <c r="J290" s="2"/>
      <c r="K290" s="284" t="e">
        <f ca="1">$K$181</f>
        <v>#REF!</v>
      </c>
      <c r="L290" s="308" t="s">
        <v>364</v>
      </c>
      <c r="M290" s="2" t="e">
        <f ca="1">ROUND(K290*$C290/100,0)</f>
        <v>#REF!</v>
      </c>
      <c r="N290" s="2"/>
      <c r="O290" s="284" t="e">
        <f ca="1">$O$181</f>
        <v>#DIV/0!</v>
      </c>
      <c r="P290" s="308" t="s">
        <v>364</v>
      </c>
      <c r="Q290" s="2" t="e">
        <f ca="1">ROUND(O290*$C290/100,0)</f>
        <v>#DIV/0!</v>
      </c>
      <c r="R290" s="2"/>
      <c r="S290" s="284" t="e">
        <f ca="1">$S$181</f>
        <v>#DIV/0!</v>
      </c>
      <c r="T290" s="308" t="s">
        <v>364</v>
      </c>
      <c r="U290" s="2" t="e">
        <f ca="1">ROUND(S290*$C290/100,0)</f>
        <v>#DIV/0!</v>
      </c>
      <c r="V290" s="458"/>
      <c r="W290" s="74"/>
      <c r="X290" s="74"/>
      <c r="Y290" s="74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R290" s="84"/>
    </row>
    <row r="291" spans="1:44" hidden="1">
      <c r="A291" s="1" t="s">
        <v>390</v>
      </c>
      <c r="B291" s="21"/>
      <c r="C291" s="304">
        <f>'Rate Design Work eff 10-14-16'!C290</f>
        <v>107329.06666666651</v>
      </c>
      <c r="D291" s="315">
        <f>'Rate Design Work eff 9-15-17'!D290</f>
        <v>57</v>
      </c>
      <c r="E291" s="308" t="s">
        <v>364</v>
      </c>
      <c r="F291" s="2">
        <f>ROUND(D291*C291/100,0)</f>
        <v>61178</v>
      </c>
      <c r="G291" s="315">
        <f ca="1">$G$182</f>
        <v>58</v>
      </c>
      <c r="H291" s="308" t="s">
        <v>364</v>
      </c>
      <c r="I291" s="2">
        <f ca="1">ROUND(G291*$C291/100,0)</f>
        <v>62251</v>
      </c>
      <c r="J291" s="2"/>
      <c r="K291" s="315" t="str">
        <f>$K$182</f>
        <v xml:space="preserve"> </v>
      </c>
      <c r="L291" s="308" t="s">
        <v>364</v>
      </c>
      <c r="M291" s="2">
        <f>ROUND(K291*$C291/100,0)</f>
        <v>0</v>
      </c>
      <c r="N291" s="2"/>
      <c r="O291" s="315" t="e">
        <f>$O$182</f>
        <v>#DIV/0!</v>
      </c>
      <c r="P291" s="308" t="s">
        <v>364</v>
      </c>
      <c r="Q291" s="2" t="e">
        <f>ROUND(O291*$C291/100,0)</f>
        <v>#DIV/0!</v>
      </c>
      <c r="R291" s="2"/>
      <c r="S291" s="315" t="e">
        <f>$S$182</f>
        <v>#DIV/0!</v>
      </c>
      <c r="T291" s="308" t="s">
        <v>364</v>
      </c>
      <c r="U291" s="2" t="e">
        <f>ROUND(S291*$C291/100,0)</f>
        <v>#DIV/0!</v>
      </c>
      <c r="V291" s="20"/>
      <c r="W291" s="74"/>
      <c r="X291" s="74"/>
      <c r="Y291" s="74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R291" s="84"/>
    </row>
    <row r="292" spans="1:44" s="1118" customFormat="1" hidden="1">
      <c r="A292" s="968" t="s">
        <v>888</v>
      </c>
      <c r="C292" s="1122">
        <f>C288</f>
        <v>113594338.50038823</v>
      </c>
      <c r="D292" s="254">
        <f>'Rate Design Work eff 9-15-17'!D291</f>
        <v>0</v>
      </c>
      <c r="E292" s="1119"/>
      <c r="F292" s="1123"/>
      <c r="G292" s="1128">
        <f>G183</f>
        <v>0</v>
      </c>
      <c r="H292" s="972" t="s">
        <v>364</v>
      </c>
      <c r="I292" s="1123">
        <f t="shared" ref="I292:I294" si="60">ROUND(G292*$C292/100,0)</f>
        <v>0</v>
      </c>
      <c r="J292" s="1123"/>
      <c r="K292" s="1128" t="str">
        <f>K183</f>
        <v xml:space="preserve"> </v>
      </c>
      <c r="L292" s="972" t="s">
        <v>364</v>
      </c>
      <c r="M292" s="1123">
        <f t="shared" ref="M292:M294" si="61">ROUND(K292*$C292/100,0)</f>
        <v>0</v>
      </c>
      <c r="N292" s="1123"/>
      <c r="O292" s="1128" t="str">
        <f>O183</f>
        <v xml:space="preserve"> </v>
      </c>
      <c r="P292" s="972" t="s">
        <v>364</v>
      </c>
      <c r="Q292" s="1123">
        <f t="shared" ref="Q292:Q294" si="62">ROUND(O292*$C292/100,0)</f>
        <v>0</v>
      </c>
      <c r="R292" s="1123"/>
      <c r="S292" s="1128">
        <f>S183</f>
        <v>0</v>
      </c>
      <c r="T292" s="972" t="s">
        <v>364</v>
      </c>
      <c r="U292" s="1123">
        <f t="shared" ref="U292:U294" si="63">ROUND(S292*$C292/100,0)</f>
        <v>0</v>
      </c>
      <c r="W292" s="784"/>
      <c r="Z292" s="1125"/>
      <c r="AA292" s="1125"/>
      <c r="AF292" s="1119"/>
      <c r="AG292" s="1119"/>
      <c r="AH292" s="1119"/>
      <c r="AI292" s="1119"/>
      <c r="AJ292" s="1119"/>
      <c r="AK292" s="1119"/>
      <c r="AL292" s="1119"/>
      <c r="AM292" s="1119"/>
      <c r="AN292" s="1119"/>
      <c r="AO292" s="1119"/>
      <c r="AP292" s="1119"/>
      <c r="AR292" s="1124"/>
    </row>
    <row r="293" spans="1:44" s="1118" customFormat="1" hidden="1">
      <c r="A293" s="968" t="s">
        <v>889</v>
      </c>
      <c r="C293" s="1122">
        <f>C289</f>
        <v>264972441.64191934</v>
      </c>
      <c r="D293" s="254">
        <f>'Rate Design Work eff 9-15-17'!D292</f>
        <v>0</v>
      </c>
      <c r="E293" s="1119"/>
      <c r="F293" s="1123"/>
      <c r="G293" s="1128">
        <f>G184</f>
        <v>0</v>
      </c>
      <c r="H293" s="972" t="s">
        <v>364</v>
      </c>
      <c r="I293" s="1123">
        <f t="shared" si="60"/>
        <v>0</v>
      </c>
      <c r="J293" s="1123"/>
      <c r="K293" s="1128" t="str">
        <f>K184</f>
        <v xml:space="preserve"> </v>
      </c>
      <c r="L293" s="972" t="s">
        <v>364</v>
      </c>
      <c r="M293" s="1123">
        <f t="shared" si="61"/>
        <v>0</v>
      </c>
      <c r="N293" s="1123"/>
      <c r="O293" s="1128" t="str">
        <f>O184</f>
        <v xml:space="preserve"> </v>
      </c>
      <c r="P293" s="972" t="s">
        <v>364</v>
      </c>
      <c r="Q293" s="1123">
        <f t="shared" si="62"/>
        <v>0</v>
      </c>
      <c r="R293" s="1123"/>
      <c r="S293" s="1128">
        <f>S184</f>
        <v>0</v>
      </c>
      <c r="T293" s="972" t="s">
        <v>364</v>
      </c>
      <c r="U293" s="1123">
        <f t="shared" si="63"/>
        <v>0</v>
      </c>
      <c r="W293" s="784"/>
      <c r="Z293" s="1125"/>
      <c r="AA293" s="1125"/>
      <c r="AF293" s="1119"/>
      <c r="AG293" s="1119"/>
      <c r="AH293" s="1119"/>
      <c r="AI293" s="1119"/>
      <c r="AJ293" s="1119"/>
      <c r="AK293" s="1119"/>
      <c r="AL293" s="1119"/>
      <c r="AM293" s="1119"/>
      <c r="AN293" s="1119"/>
      <c r="AO293" s="1119"/>
      <c r="AP293" s="1119"/>
      <c r="AR293" s="1124"/>
    </row>
    <row r="294" spans="1:44" s="1118" customFormat="1" hidden="1">
      <c r="A294" s="968" t="s">
        <v>890</v>
      </c>
      <c r="C294" s="1122">
        <f>C290</f>
        <v>114038405.0634262</v>
      </c>
      <c r="D294" s="254">
        <f>'Rate Design Work eff 9-15-17'!D293</f>
        <v>0</v>
      </c>
      <c r="E294" s="1119"/>
      <c r="F294" s="1123"/>
      <c r="G294" s="1128">
        <f>G185</f>
        <v>0</v>
      </c>
      <c r="H294" s="972" t="s">
        <v>364</v>
      </c>
      <c r="I294" s="1123">
        <f t="shared" si="60"/>
        <v>0</v>
      </c>
      <c r="J294" s="1123"/>
      <c r="K294" s="1128" t="str">
        <f>K185</f>
        <v xml:space="preserve"> </v>
      </c>
      <c r="L294" s="972" t="s">
        <v>364</v>
      </c>
      <c r="M294" s="1123">
        <f t="shared" si="61"/>
        <v>0</v>
      </c>
      <c r="N294" s="1123"/>
      <c r="O294" s="1128" t="str">
        <f>O185</f>
        <v xml:space="preserve"> </v>
      </c>
      <c r="P294" s="972" t="s">
        <v>364</v>
      </c>
      <c r="Q294" s="1123">
        <f t="shared" si="62"/>
        <v>0</v>
      </c>
      <c r="R294" s="1123"/>
      <c r="S294" s="1128">
        <f>S185</f>
        <v>0</v>
      </c>
      <c r="T294" s="972" t="s">
        <v>364</v>
      </c>
      <c r="U294" s="1123">
        <f t="shared" si="63"/>
        <v>0</v>
      </c>
      <c r="W294" s="784"/>
      <c r="Z294" s="1125"/>
      <c r="AA294" s="1125"/>
      <c r="AF294" s="1119"/>
      <c r="AG294" s="1119"/>
      <c r="AH294" s="1119"/>
      <c r="AI294" s="1119"/>
      <c r="AJ294" s="1119"/>
      <c r="AK294" s="1119"/>
      <c r="AL294" s="1119"/>
      <c r="AM294" s="1119"/>
      <c r="AN294" s="1119"/>
      <c r="AO294" s="1119"/>
      <c r="AP294" s="1119"/>
      <c r="AR294" s="1124"/>
    </row>
    <row r="295" spans="1:44" hidden="1">
      <c r="A295" s="316" t="s">
        <v>391</v>
      </c>
      <c r="B295" s="21"/>
      <c r="C295" s="304"/>
      <c r="D295" s="317">
        <f>'Rate Design Work eff 9-15-17'!D294</f>
        <v>-0.01</v>
      </c>
      <c r="E295" s="308"/>
      <c r="F295" s="2"/>
      <c r="G295" s="317">
        <v>-0.01</v>
      </c>
      <c r="H295" s="308"/>
      <c r="I295" s="2"/>
      <c r="J295" s="2"/>
      <c r="K295" s="317">
        <v>-0.01</v>
      </c>
      <c r="L295" s="308"/>
      <c r="M295" s="2"/>
      <c r="N295" s="2"/>
      <c r="O295" s="317">
        <v>-0.01</v>
      </c>
      <c r="P295" s="308"/>
      <c r="Q295" s="2"/>
      <c r="R295" s="2"/>
      <c r="S295" s="317">
        <v>-0.01</v>
      </c>
      <c r="T295" s="308"/>
      <c r="U295" s="2"/>
      <c r="V295" s="20"/>
      <c r="W295" s="74"/>
      <c r="X295" s="74"/>
      <c r="Y295" s="74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R295" s="84"/>
    </row>
    <row r="296" spans="1:44" hidden="1">
      <c r="A296" s="1" t="s">
        <v>380</v>
      </c>
      <c r="B296" s="1"/>
      <c r="C296" s="304">
        <f>'Rate Design Work eff 10-14-16'!C295</f>
        <v>74.633333333333297</v>
      </c>
      <c r="D296" s="319">
        <f>'Rate Design Work eff 9-15-17'!D295</f>
        <v>9.76</v>
      </c>
      <c r="E296" s="306"/>
      <c r="F296" s="2">
        <f>-ROUND(D296*$C296/100,0)</f>
        <v>-7</v>
      </c>
      <c r="G296" s="319">
        <f ca="1">G283</f>
        <v>9.99</v>
      </c>
      <c r="H296" s="306"/>
      <c r="I296" s="2">
        <f ca="1">-ROUND(G296*$C296/100,0)</f>
        <v>-7</v>
      </c>
      <c r="J296" s="2"/>
      <c r="K296" s="319">
        <f ca="1">K283</f>
        <v>9.76</v>
      </c>
      <c r="L296" s="306"/>
      <c r="M296" s="2">
        <f ca="1">-ROUND(K296*$C296/100,0)</f>
        <v>-7</v>
      </c>
      <c r="N296" s="2"/>
      <c r="O296" s="319" t="str">
        <f>O283</f>
        <v xml:space="preserve"> </v>
      </c>
      <c r="P296" s="306"/>
      <c r="Q296" s="2">
        <f>-ROUND(O296*$C296/100,0)</f>
        <v>0</v>
      </c>
      <c r="R296" s="2"/>
      <c r="S296" s="319" t="str">
        <f>S283</f>
        <v xml:space="preserve"> </v>
      </c>
      <c r="T296" s="306"/>
      <c r="U296" s="2">
        <f>-ROUND(S296*$C296/100,0)</f>
        <v>0</v>
      </c>
      <c r="V296" s="20"/>
      <c r="W296" s="74"/>
      <c r="X296" s="74"/>
      <c r="Y296" s="74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R296" s="84"/>
    </row>
    <row r="297" spans="1:44" hidden="1">
      <c r="A297" s="1" t="s">
        <v>381</v>
      </c>
      <c r="B297" s="1"/>
      <c r="C297" s="304">
        <f>'Rate Design Work eff 10-14-16'!C296</f>
        <v>71.933333333333309</v>
      </c>
      <c r="D297" s="319">
        <f>'Rate Design Work eff 9-15-17'!D296</f>
        <v>14.54</v>
      </c>
      <c r="E297" s="306"/>
      <c r="F297" s="2">
        <f t="shared" ref="F297:F299" si="64">-ROUND(D297*$C297/100,0)</f>
        <v>-10</v>
      </c>
      <c r="G297" s="319">
        <f ca="1">G284</f>
        <v>14.89</v>
      </c>
      <c r="H297" s="306"/>
      <c r="I297" s="2">
        <f ca="1">-ROUND(G297*$C297/100,0)</f>
        <v>-11</v>
      </c>
      <c r="J297" s="2"/>
      <c r="K297" s="319">
        <f ca="1">K284</f>
        <v>14.54</v>
      </c>
      <c r="L297" s="306"/>
      <c r="M297" s="2">
        <f ca="1">-ROUND(K297*$C297/100,0)</f>
        <v>-10</v>
      </c>
      <c r="N297" s="2"/>
      <c r="O297" s="319" t="str">
        <f>O284</f>
        <v xml:space="preserve"> </v>
      </c>
      <c r="P297" s="306"/>
      <c r="Q297" s="2">
        <f>-ROUND(O297*$C297/100,0)</f>
        <v>0</v>
      </c>
      <c r="R297" s="2"/>
      <c r="S297" s="319" t="str">
        <f>S284</f>
        <v xml:space="preserve"> </v>
      </c>
      <c r="T297" s="306"/>
      <c r="U297" s="2">
        <f>-ROUND(S297*$C297/100,0)</f>
        <v>0</v>
      </c>
      <c r="V297" s="20"/>
      <c r="W297" s="74"/>
      <c r="X297" s="74"/>
      <c r="Y297" s="74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R297" s="84"/>
    </row>
    <row r="298" spans="1:44" hidden="1">
      <c r="A298" s="1" t="s">
        <v>392</v>
      </c>
      <c r="B298" s="1"/>
      <c r="C298" s="304">
        <f>'Rate Design Work eff 10-14-16'!C297</f>
        <v>1618</v>
      </c>
      <c r="D298" s="319">
        <f>'Rate Design Work eff 9-15-17'!D297</f>
        <v>1.02</v>
      </c>
      <c r="E298" s="306"/>
      <c r="F298" s="2">
        <f t="shared" si="64"/>
        <v>-17</v>
      </c>
      <c r="G298" s="319">
        <f ca="1">G285</f>
        <v>1.04</v>
      </c>
      <c r="H298" s="306"/>
      <c r="I298" s="2">
        <f ca="1">-ROUND(G298*$C298/100,0)</f>
        <v>-17</v>
      </c>
      <c r="J298" s="2"/>
      <c r="K298" s="319">
        <f ca="1">K285</f>
        <v>1.02</v>
      </c>
      <c r="L298" s="306"/>
      <c r="M298" s="2">
        <f ca="1">-ROUND(K298*$C298/100,0)</f>
        <v>-17</v>
      </c>
      <c r="N298" s="2"/>
      <c r="O298" s="319" t="str">
        <f>O285</f>
        <v xml:space="preserve"> </v>
      </c>
      <c r="P298" s="306"/>
      <c r="Q298" s="2">
        <f>-ROUND(O298*$C298/100,0)</f>
        <v>0</v>
      </c>
      <c r="R298" s="2"/>
      <c r="S298" s="319" t="str">
        <f>S285</f>
        <v xml:space="preserve"> </v>
      </c>
      <c r="T298" s="306"/>
      <c r="U298" s="2">
        <f>-ROUND(S298*$C298/100,0)</f>
        <v>0</v>
      </c>
      <c r="V298" s="20"/>
      <c r="W298" s="74"/>
      <c r="X298" s="74"/>
      <c r="Y298" s="74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R298" s="84"/>
    </row>
    <row r="299" spans="1:44" hidden="1">
      <c r="A299" s="1" t="s">
        <v>403</v>
      </c>
      <c r="B299" s="1"/>
      <c r="C299" s="304">
        <f>'Rate Design Work eff 10-14-16'!C298</f>
        <v>765</v>
      </c>
      <c r="D299" s="319">
        <f>'Rate Design Work eff 9-15-17'!D298</f>
        <v>3.7</v>
      </c>
      <c r="E299" s="308"/>
      <c r="F299" s="2">
        <f t="shared" si="64"/>
        <v>-28</v>
      </c>
      <c r="G299" s="319">
        <f ca="1">G287</f>
        <v>3.8</v>
      </c>
      <c r="H299" s="308"/>
      <c r="I299" s="2">
        <f ca="1">-ROUND(G299*$C299/100,0)</f>
        <v>-29</v>
      </c>
      <c r="J299" s="2"/>
      <c r="K299" s="319" t="e">
        <f ca="1">K287</f>
        <v>#REF!</v>
      </c>
      <c r="L299" s="308"/>
      <c r="M299" s="2" t="e">
        <f ca="1">-ROUND(K299*$C299/100,0)</f>
        <v>#REF!</v>
      </c>
      <c r="N299" s="2"/>
      <c r="O299" s="319" t="e">
        <f ca="1">O287</f>
        <v>#DIV/0!</v>
      </c>
      <c r="P299" s="308"/>
      <c r="Q299" s="2" t="e">
        <f ca="1">-ROUND(O299*$C299/100,0)</f>
        <v>#DIV/0!</v>
      </c>
      <c r="R299" s="2"/>
      <c r="S299" s="319" t="e">
        <f ca="1">S287</f>
        <v>#DIV/0!</v>
      </c>
      <c r="T299" s="308"/>
      <c r="U299" s="2" t="e">
        <f ca="1">-ROUND(S299*$C299/100,0)</f>
        <v>#DIV/0!</v>
      </c>
      <c r="V299" s="20"/>
      <c r="W299" s="74"/>
      <c r="X299" s="74"/>
      <c r="Y299" s="74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R299" s="84"/>
    </row>
    <row r="300" spans="1:44" hidden="1">
      <c r="A300" s="1" t="s">
        <v>395</v>
      </c>
      <c r="B300" s="1"/>
      <c r="C300" s="304">
        <f>'Rate Design Work eff 10-14-16'!C299</f>
        <v>108585.6666666666</v>
      </c>
      <c r="D300" s="320">
        <f>'Rate Design Work eff 9-15-17'!D299</f>
        <v>10.628</v>
      </c>
      <c r="E300" s="308" t="s">
        <v>364</v>
      </c>
      <c r="F300" s="2">
        <f>ROUND(D300*$C300/100*D295,0)</f>
        <v>-115</v>
      </c>
      <c r="G300" s="320">
        <f ca="1">G288</f>
        <v>10.878</v>
      </c>
      <c r="H300" s="308" t="s">
        <v>364</v>
      </c>
      <c r="I300" s="2">
        <f ca="1">ROUND(G300*$C300/100*G295,0)</f>
        <v>-118</v>
      </c>
      <c r="J300" s="2"/>
      <c r="K300" s="320" t="e">
        <f ca="1">K288</f>
        <v>#REF!</v>
      </c>
      <c r="L300" s="308" t="s">
        <v>364</v>
      </c>
      <c r="M300" s="2" t="e">
        <f ca="1">ROUND(K300*$C300/100*K295,0)</f>
        <v>#REF!</v>
      </c>
      <c r="N300" s="2"/>
      <c r="O300" s="320" t="e">
        <f ca="1">O288</f>
        <v>#DIV/0!</v>
      </c>
      <c r="P300" s="308" t="s">
        <v>364</v>
      </c>
      <c r="Q300" s="2" t="e">
        <f ca="1">ROUND(O300*$C300/100*O295,0)</f>
        <v>#DIV/0!</v>
      </c>
      <c r="R300" s="2"/>
      <c r="S300" s="320" t="e">
        <f ca="1">S288</f>
        <v>#DIV/0!</v>
      </c>
      <c r="T300" s="308" t="s">
        <v>364</v>
      </c>
      <c r="U300" s="2" t="e">
        <f ca="1">ROUND(S300*$C300/100*S295,0)</f>
        <v>#DIV/0!</v>
      </c>
      <c r="V300" s="20"/>
      <c r="W300" s="74"/>
      <c r="X300" s="74"/>
      <c r="Y300" s="74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R300" s="84"/>
    </row>
    <row r="301" spans="1:44" hidden="1">
      <c r="A301" s="1" t="s">
        <v>388</v>
      </c>
      <c r="B301" s="1"/>
      <c r="C301" s="304">
        <f>'Rate Design Work eff 10-14-16'!C300</f>
        <v>461939.33333333366</v>
      </c>
      <c r="D301" s="320">
        <f>'Rate Design Work eff 9-15-17'!D300</f>
        <v>7.3410000000000002</v>
      </c>
      <c r="E301" s="308" t="s">
        <v>364</v>
      </c>
      <c r="F301" s="2">
        <f>ROUND(D301*$C301/100*D295,0)</f>
        <v>-339</v>
      </c>
      <c r="G301" s="320">
        <f ca="1">G289</f>
        <v>7.5140000000000002</v>
      </c>
      <c r="H301" s="308" t="s">
        <v>364</v>
      </c>
      <c r="I301" s="2">
        <f ca="1">ROUND(G301*$C301/100*G295,0)</f>
        <v>-347</v>
      </c>
      <c r="J301" s="2"/>
      <c r="K301" s="320" t="e">
        <f ca="1">K289</f>
        <v>#REF!</v>
      </c>
      <c r="L301" s="308" t="s">
        <v>364</v>
      </c>
      <c r="M301" s="2" t="e">
        <f ca="1">ROUND(K301*$C301/100*K295,0)</f>
        <v>#REF!</v>
      </c>
      <c r="N301" s="2"/>
      <c r="O301" s="320" t="e">
        <f ca="1">O289</f>
        <v>#DIV/0!</v>
      </c>
      <c r="P301" s="308" t="s">
        <v>364</v>
      </c>
      <c r="Q301" s="2" t="e">
        <f ca="1">ROUND(O301*$C301/100*O295,0)</f>
        <v>#DIV/0!</v>
      </c>
      <c r="R301" s="2"/>
      <c r="S301" s="320" t="e">
        <f ca="1">S289</f>
        <v>#DIV/0!</v>
      </c>
      <c r="T301" s="308" t="s">
        <v>364</v>
      </c>
      <c r="U301" s="2" t="e">
        <f ca="1">ROUND(S301*$C301/100*S295,0)</f>
        <v>#DIV/0!</v>
      </c>
      <c r="V301" s="20"/>
      <c r="W301" s="74"/>
      <c r="X301" s="74"/>
      <c r="Y301" s="74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R301" s="84"/>
    </row>
    <row r="302" spans="1:44" hidden="1">
      <c r="A302" s="1" t="s">
        <v>389</v>
      </c>
      <c r="B302" s="1"/>
      <c r="C302" s="304">
        <f>'Rate Design Work eff 10-14-16'!C301</f>
        <v>701665</v>
      </c>
      <c r="D302" s="320">
        <f>'Rate Design Work eff 9-15-17'!D301</f>
        <v>6.3240000000000007</v>
      </c>
      <c r="E302" s="308" t="s">
        <v>364</v>
      </c>
      <c r="F302" s="2">
        <f>ROUND(D302*$C302/100*D295,0)</f>
        <v>-444</v>
      </c>
      <c r="G302" s="320">
        <f ca="1">G290</f>
        <v>6.4720000000000004</v>
      </c>
      <c r="H302" s="308" t="s">
        <v>364</v>
      </c>
      <c r="I302" s="2">
        <f ca="1">ROUND(G302*$C302/100*G295,0)</f>
        <v>-454</v>
      </c>
      <c r="J302" s="2"/>
      <c r="K302" s="320" t="e">
        <f ca="1">K290</f>
        <v>#REF!</v>
      </c>
      <c r="L302" s="308" t="s">
        <v>364</v>
      </c>
      <c r="M302" s="2" t="e">
        <f ca="1">ROUND(K302*$C302/100*K295,0)</f>
        <v>#REF!</v>
      </c>
      <c r="N302" s="2"/>
      <c r="O302" s="320" t="e">
        <f ca="1">O290</f>
        <v>#DIV/0!</v>
      </c>
      <c r="P302" s="308" t="s">
        <v>364</v>
      </c>
      <c r="Q302" s="2" t="e">
        <f ca="1">ROUND(O302*$C302/100*O295,0)</f>
        <v>#DIV/0!</v>
      </c>
      <c r="R302" s="2"/>
      <c r="S302" s="320" t="e">
        <f ca="1">S290</f>
        <v>#DIV/0!</v>
      </c>
      <c r="T302" s="308" t="s">
        <v>364</v>
      </c>
      <c r="U302" s="2" t="e">
        <f ca="1">ROUND(S302*$C302/100*S295,0)</f>
        <v>#DIV/0!</v>
      </c>
      <c r="V302" s="20"/>
      <c r="W302" s="74"/>
      <c r="X302" s="74"/>
      <c r="Y302" s="74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R302" s="84"/>
    </row>
    <row r="303" spans="1:44" hidden="1">
      <c r="A303" s="1" t="s">
        <v>390</v>
      </c>
      <c r="B303" s="1"/>
      <c r="C303" s="304">
        <f>'Rate Design Work eff 10-14-16'!C302</f>
        <v>913.93333333333339</v>
      </c>
      <c r="D303" s="321">
        <f>'Rate Design Work eff 9-15-17'!D302</f>
        <v>57</v>
      </c>
      <c r="E303" s="308" t="s">
        <v>364</v>
      </c>
      <c r="F303" s="2">
        <f>ROUND(D303*$C303/100*D295,0)</f>
        <v>-5</v>
      </c>
      <c r="G303" s="321">
        <f ca="1">G291</f>
        <v>58</v>
      </c>
      <c r="H303" s="308" t="s">
        <v>364</v>
      </c>
      <c r="I303" s="2">
        <f ca="1">ROUND(G303*$C303/100*G295,0)</f>
        <v>-5</v>
      </c>
      <c r="J303" s="2"/>
      <c r="K303" s="321" t="str">
        <f>K291</f>
        <v xml:space="preserve"> </v>
      </c>
      <c r="L303" s="308" t="s">
        <v>364</v>
      </c>
      <c r="M303" s="2">
        <f>ROUND(K303*$C303/100*K295,0)</f>
        <v>0</v>
      </c>
      <c r="N303" s="2"/>
      <c r="O303" s="321" t="e">
        <f>O291</f>
        <v>#DIV/0!</v>
      </c>
      <c r="P303" s="308" t="s">
        <v>364</v>
      </c>
      <c r="Q303" s="2" t="e">
        <f>ROUND(O303*$C303/100*O295,0)</f>
        <v>#DIV/0!</v>
      </c>
      <c r="R303" s="2"/>
      <c r="S303" s="321" t="e">
        <f>S291</f>
        <v>#DIV/0!</v>
      </c>
      <c r="T303" s="308" t="s">
        <v>364</v>
      </c>
      <c r="U303" s="2" t="e">
        <f>ROUND(S303*$C303/100*S295,0)</f>
        <v>#DIV/0!</v>
      </c>
      <c r="V303" s="20"/>
      <c r="W303" s="74"/>
      <c r="X303" s="74"/>
      <c r="Y303" s="74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R303" s="84"/>
    </row>
    <row r="304" spans="1:44" hidden="1">
      <c r="A304" s="1" t="s">
        <v>397</v>
      </c>
      <c r="B304" s="1"/>
      <c r="C304" s="304">
        <f>'Rate Design Work eff 10-14-16'!C303</f>
        <v>122.5333333333333</v>
      </c>
      <c r="D304" s="322">
        <f>'Rate Design Work eff 9-15-17'!D303</f>
        <v>60</v>
      </c>
      <c r="E304" s="308"/>
      <c r="F304" s="2">
        <f>ROUND(D304*C304,0)</f>
        <v>7352</v>
      </c>
      <c r="G304" s="322">
        <f>$G$198</f>
        <v>60</v>
      </c>
      <c r="H304" s="308"/>
      <c r="I304" s="2">
        <f>ROUND(G304*$C304,0)</f>
        <v>7352</v>
      </c>
      <c r="J304" s="2"/>
      <c r="K304" s="322" t="str">
        <f>$K$198</f>
        <v xml:space="preserve"> </v>
      </c>
      <c r="L304" s="308"/>
      <c r="M304" s="2">
        <f>ROUND(K304*$C304,0)</f>
        <v>0</v>
      </c>
      <c r="N304" s="2"/>
      <c r="O304" s="322" t="e">
        <f>$O$198</f>
        <v>#DIV/0!</v>
      </c>
      <c r="P304" s="308"/>
      <c r="Q304" s="2" t="e">
        <f>ROUND(O304*$C304,0)</f>
        <v>#DIV/0!</v>
      </c>
      <c r="R304" s="2"/>
      <c r="S304" s="322" t="e">
        <f>$S$198</f>
        <v>#DIV/0!</v>
      </c>
      <c r="T304" s="308"/>
      <c r="U304" s="2" t="e">
        <f>ROUND(S304*$C304,0)</f>
        <v>#DIV/0!</v>
      </c>
      <c r="V304" s="20"/>
      <c r="W304" s="74"/>
      <c r="X304" s="74"/>
      <c r="Y304" s="74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R304" s="84"/>
    </row>
    <row r="305" spans="1:44" hidden="1">
      <c r="A305" s="1" t="s">
        <v>398</v>
      </c>
      <c r="B305" s="1"/>
      <c r="C305" s="304">
        <f>'Rate Design Work eff 10-14-16'!C304</f>
        <v>166.29999999999998</v>
      </c>
      <c r="D305" s="324">
        <f>'Rate Design Work eff 9-15-17'!D304</f>
        <v>-30</v>
      </c>
      <c r="E305" s="308" t="s">
        <v>364</v>
      </c>
      <c r="F305" s="2">
        <f>ROUND(D305*C305/100,0)</f>
        <v>-50</v>
      </c>
      <c r="G305" s="324">
        <f>$G$199</f>
        <v>-30</v>
      </c>
      <c r="H305" s="308" t="s">
        <v>364</v>
      </c>
      <c r="I305" s="2">
        <f>ROUND(G305*$C305/100,0)</f>
        <v>-50</v>
      </c>
      <c r="J305" s="2"/>
      <c r="K305" s="324">
        <f>$K$199</f>
        <v>-30</v>
      </c>
      <c r="L305" s="308" t="s">
        <v>364</v>
      </c>
      <c r="M305" s="2">
        <f>ROUND(K305*$C305/100,0)</f>
        <v>-50</v>
      </c>
      <c r="N305" s="2"/>
      <c r="O305" s="324" t="str">
        <f>$O$199</f>
        <v xml:space="preserve"> </v>
      </c>
      <c r="P305" s="308" t="s">
        <v>364</v>
      </c>
      <c r="Q305" s="2">
        <f>ROUND(O305*$C305/100,0)</f>
        <v>0</v>
      </c>
      <c r="R305" s="2"/>
      <c r="S305" s="324" t="str">
        <f>$S$199</f>
        <v xml:space="preserve"> </v>
      </c>
      <c r="T305" s="308" t="s">
        <v>364</v>
      </c>
      <c r="U305" s="2">
        <f>ROUND(S305*$C305/100,0)</f>
        <v>0</v>
      </c>
      <c r="V305" s="20"/>
      <c r="W305" s="74"/>
      <c r="X305" s="74"/>
      <c r="Y305" s="74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R305" s="84"/>
    </row>
    <row r="306" spans="1:44" s="1118" customFormat="1" hidden="1">
      <c r="A306" s="968" t="s">
        <v>888</v>
      </c>
      <c r="C306" s="1122">
        <f>C300</f>
        <v>108585.6666666666</v>
      </c>
      <c r="D306" s="254">
        <f>'Rate Design Work eff 9-15-17'!D305</f>
        <v>0</v>
      </c>
      <c r="E306" s="1119"/>
      <c r="F306" s="1123"/>
      <c r="G306" s="1128">
        <f>G183</f>
        <v>0</v>
      </c>
      <c r="H306" s="972" t="s">
        <v>364</v>
      </c>
      <c r="I306" s="1123">
        <f>ROUND(G306*$C306/100*G295,0)</f>
        <v>0</v>
      </c>
      <c r="J306" s="1123"/>
      <c r="K306" s="1128" t="str">
        <f>K183</f>
        <v xml:space="preserve"> </v>
      </c>
      <c r="L306" s="972" t="s">
        <v>364</v>
      </c>
      <c r="M306" s="1123">
        <f>ROUND(K306*$C306/100*K295,0)</f>
        <v>0</v>
      </c>
      <c r="N306" s="1123"/>
      <c r="O306" s="1128" t="str">
        <f>O183</f>
        <v xml:space="preserve"> </v>
      </c>
      <c r="P306" s="972" t="s">
        <v>364</v>
      </c>
      <c r="Q306" s="1123">
        <f>ROUND(O306*$C306/100*O295,0)</f>
        <v>0</v>
      </c>
      <c r="R306" s="1123"/>
      <c r="S306" s="1128">
        <f>S183</f>
        <v>0</v>
      </c>
      <c r="T306" s="972" t="s">
        <v>364</v>
      </c>
      <c r="U306" s="1123">
        <f>ROUND(S306*$C306/100*S295,0)</f>
        <v>0</v>
      </c>
      <c r="W306" s="784"/>
      <c r="Z306" s="1125"/>
      <c r="AA306" s="1125"/>
      <c r="AF306" s="1119"/>
      <c r="AG306" s="1119"/>
      <c r="AH306" s="1119"/>
      <c r="AI306" s="1119"/>
      <c r="AJ306" s="1119"/>
      <c r="AK306" s="1119"/>
      <c r="AL306" s="1119"/>
      <c r="AM306" s="1119"/>
      <c r="AN306" s="1119"/>
      <c r="AO306" s="1119"/>
      <c r="AP306" s="1119"/>
      <c r="AR306" s="1124"/>
    </row>
    <row r="307" spans="1:44" s="1118" customFormat="1" hidden="1">
      <c r="A307" s="968" t="s">
        <v>889</v>
      </c>
      <c r="C307" s="1122">
        <f>C301</f>
        <v>461939.33333333366</v>
      </c>
      <c r="D307" s="254">
        <f>'Rate Design Work eff 9-15-17'!D306</f>
        <v>0</v>
      </c>
      <c r="E307" s="1119"/>
      <c r="F307" s="1123"/>
      <c r="G307" s="1128">
        <f>G184</f>
        <v>0</v>
      </c>
      <c r="H307" s="972" t="s">
        <v>364</v>
      </c>
      <c r="I307" s="1123">
        <f>ROUND(G307*$C307/100*G295,0)</f>
        <v>0</v>
      </c>
      <c r="J307" s="1123"/>
      <c r="K307" s="1128" t="str">
        <f>K184</f>
        <v xml:space="preserve"> </v>
      </c>
      <c r="L307" s="972" t="s">
        <v>364</v>
      </c>
      <c r="M307" s="1123">
        <f>ROUND(K307*$C307/100*K295,0)</f>
        <v>0</v>
      </c>
      <c r="N307" s="1123"/>
      <c r="O307" s="1128" t="str">
        <f>O184</f>
        <v xml:space="preserve"> </v>
      </c>
      <c r="P307" s="972" t="s">
        <v>364</v>
      </c>
      <c r="Q307" s="1123">
        <f>ROUND(O307*$C307/100*O295,0)</f>
        <v>0</v>
      </c>
      <c r="R307" s="1123"/>
      <c r="S307" s="1128">
        <f>S184</f>
        <v>0</v>
      </c>
      <c r="T307" s="972" t="s">
        <v>364</v>
      </c>
      <c r="U307" s="1123">
        <f>ROUND(S307*$C307/100*S295,0)</f>
        <v>0</v>
      </c>
      <c r="W307" s="784"/>
      <c r="Z307" s="1125"/>
      <c r="AA307" s="1125"/>
      <c r="AF307" s="1119"/>
      <c r="AG307" s="1119"/>
      <c r="AH307" s="1119"/>
      <c r="AI307" s="1119"/>
      <c r="AJ307" s="1119"/>
      <c r="AK307" s="1119"/>
      <c r="AL307" s="1119"/>
      <c r="AM307" s="1119"/>
      <c r="AN307" s="1119"/>
      <c r="AO307" s="1119"/>
      <c r="AP307" s="1119"/>
      <c r="AR307" s="1124"/>
    </row>
    <row r="308" spans="1:44" s="1118" customFormat="1" hidden="1">
      <c r="A308" s="968" t="s">
        <v>890</v>
      </c>
      <c r="C308" s="1122">
        <f>C302</f>
        <v>701665</v>
      </c>
      <c r="D308" s="254">
        <f>'Rate Design Work eff 9-15-17'!D307</f>
        <v>0</v>
      </c>
      <c r="E308" s="1119"/>
      <c r="F308" s="1123"/>
      <c r="G308" s="1128">
        <f>G185</f>
        <v>0</v>
      </c>
      <c r="H308" s="972" t="s">
        <v>364</v>
      </c>
      <c r="I308" s="1123">
        <f>ROUND(G308*$C308/100*G295,0)</f>
        <v>0</v>
      </c>
      <c r="J308" s="1123"/>
      <c r="K308" s="1128" t="str">
        <f>K185</f>
        <v xml:space="preserve"> </v>
      </c>
      <c r="L308" s="972" t="s">
        <v>364</v>
      </c>
      <c r="M308" s="1123">
        <f ca="1">ROUND(K308*$C308/100*K297*K295,0)</f>
        <v>0</v>
      </c>
      <c r="N308" s="1123"/>
      <c r="O308" s="1128" t="str">
        <f>O185</f>
        <v xml:space="preserve"> </v>
      </c>
      <c r="P308" s="972" t="s">
        <v>364</v>
      </c>
      <c r="Q308" s="1123">
        <f>ROUND(O308*$C308/100*O297*O295,0)</f>
        <v>0</v>
      </c>
      <c r="R308" s="1123"/>
      <c r="S308" s="1128">
        <f>S185</f>
        <v>0</v>
      </c>
      <c r="T308" s="972" t="s">
        <v>364</v>
      </c>
      <c r="U308" s="1123">
        <f>ROUND(S308*$C308/100*S295,0)</f>
        <v>0</v>
      </c>
      <c r="W308" s="784"/>
      <c r="Z308" s="1125"/>
      <c r="AA308" s="1125"/>
      <c r="AF308" s="1119"/>
      <c r="AG308" s="1119"/>
      <c r="AH308" s="1119"/>
      <c r="AI308" s="1119"/>
      <c r="AJ308" s="1119"/>
      <c r="AK308" s="1119"/>
      <c r="AL308" s="1119"/>
      <c r="AM308" s="1119"/>
      <c r="AN308" s="1119"/>
      <c r="AO308" s="1119"/>
      <c r="AP308" s="1119"/>
      <c r="AR308" s="1124"/>
    </row>
    <row r="309" spans="1:44" hidden="1">
      <c r="A309" s="1" t="s">
        <v>371</v>
      </c>
      <c r="B309" s="292"/>
      <c r="C309" s="304">
        <f>SUM(C288:C290)</f>
        <v>492605185.20573378</v>
      </c>
      <c r="D309" s="315"/>
      <c r="E309" s="308"/>
      <c r="F309" s="2">
        <f>SUM(F283:F305)</f>
        <v>44721026</v>
      </c>
      <c r="G309" s="315"/>
      <c r="H309" s="308"/>
      <c r="I309" s="2">
        <f ca="1">SUM(I283:I308)</f>
        <v>45779232</v>
      </c>
      <c r="J309" s="2"/>
      <c r="K309" s="315"/>
      <c r="L309" s="308"/>
      <c r="M309" s="2" t="e">
        <f ca="1">SUM(M283:M308)</f>
        <v>#REF!</v>
      </c>
      <c r="N309" s="2"/>
      <c r="O309" s="315"/>
      <c r="P309" s="308"/>
      <c r="Q309" s="2" t="e">
        <f ca="1">SUM(Q283:Q308)</f>
        <v>#DIV/0!</v>
      </c>
      <c r="R309" s="2"/>
      <c r="S309" s="315"/>
      <c r="T309" s="308"/>
      <c r="U309" s="2" t="e">
        <f ca="1">SUM(U283:U308)</f>
        <v>#DIV/0!</v>
      </c>
      <c r="V309" s="401"/>
      <c r="W309" s="74"/>
      <c r="X309" s="74"/>
      <c r="Y309" s="74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R309" s="84"/>
    </row>
    <row r="310" spans="1:44" hidden="1">
      <c r="A310" s="1" t="s">
        <v>353</v>
      </c>
      <c r="B310" s="1"/>
      <c r="C310" s="334">
        <f>'Table 2'!H41</f>
        <v>3477825.992467748</v>
      </c>
      <c r="D310" s="294"/>
      <c r="E310" s="294"/>
      <c r="F310" s="326">
        <f>'Table 3'!E41</f>
        <v>355356.90214655403</v>
      </c>
      <c r="G310" s="294"/>
      <c r="H310" s="294"/>
      <c r="I310" s="326">
        <f>F310</f>
        <v>355356.90214655403</v>
      </c>
      <c r="J310" s="307"/>
      <c r="K310" s="294"/>
      <c r="L310" s="294"/>
      <c r="M310" s="326" t="e">
        <f ca="1">M204/I204*I310</f>
        <v>#DIV/0!</v>
      </c>
      <c r="N310" s="307"/>
      <c r="O310" s="294"/>
      <c r="P310" s="294"/>
      <c r="Q310" s="326" t="e">
        <f ca="1">Q204/I204*I310</f>
        <v>#DIV/0!</v>
      </c>
      <c r="R310" s="307"/>
      <c r="S310" s="294"/>
      <c r="T310" s="294"/>
      <c r="U310" s="326" t="e">
        <f ca="1">U204/I204*I310</f>
        <v>#DIV/0!</v>
      </c>
      <c r="V310" s="429"/>
      <c r="W310" s="272"/>
      <c r="X310" s="74"/>
      <c r="Y310" s="74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R310" s="84"/>
    </row>
    <row r="311" spans="1:44" ht="16.5" hidden="1" thickBot="1">
      <c r="A311" s="1" t="s">
        <v>372</v>
      </c>
      <c r="B311" s="1"/>
      <c r="C311" s="296">
        <f>SUM(C309:C310)</f>
        <v>496083011.19820154</v>
      </c>
      <c r="D311" s="327"/>
      <c r="E311" s="330"/>
      <c r="F311" s="329">
        <f>F309+F310</f>
        <v>45076382.902146555</v>
      </c>
      <c r="G311" s="327"/>
      <c r="H311" s="330"/>
      <c r="I311" s="329">
        <f ca="1">I309+I310</f>
        <v>46134588.902146555</v>
      </c>
      <c r="J311" s="307"/>
      <c r="K311" s="327"/>
      <c r="L311" s="330"/>
      <c r="M311" s="329" t="e">
        <f ca="1">M309+M310</f>
        <v>#REF!</v>
      </c>
      <c r="N311" s="329"/>
      <c r="O311" s="327"/>
      <c r="P311" s="330"/>
      <c r="Q311" s="329" t="e">
        <f ca="1">Q309+Q310</f>
        <v>#DIV/0!</v>
      </c>
      <c r="R311" s="329"/>
      <c r="S311" s="327"/>
      <c r="T311" s="330"/>
      <c r="U311" s="329" t="e">
        <f ca="1">U309+U310</f>
        <v>#DIV/0!</v>
      </c>
      <c r="V311" s="396"/>
      <c r="W311" s="455"/>
      <c r="X311" s="74"/>
      <c r="Y311" s="74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R311" s="84"/>
    </row>
    <row r="312" spans="1:44" ht="16.5" hidden="1" thickTop="1">
      <c r="A312" s="1"/>
      <c r="B312" s="1"/>
      <c r="C312" s="21"/>
      <c r="D312" s="322"/>
      <c r="E312" s="1"/>
      <c r="F312" s="2"/>
      <c r="G312" s="322"/>
      <c r="H312" s="1"/>
      <c r="I312" s="2" t="s">
        <v>31</v>
      </c>
      <c r="J312" s="2"/>
      <c r="K312" s="322"/>
      <c r="L312" s="1"/>
      <c r="M312" s="2" t="s">
        <v>31</v>
      </c>
      <c r="N312" s="2"/>
      <c r="O312" s="322"/>
      <c r="P312" s="1"/>
      <c r="Q312" s="2" t="s">
        <v>31</v>
      </c>
      <c r="R312" s="2"/>
      <c r="S312" s="322"/>
      <c r="T312" s="1"/>
      <c r="U312" s="2" t="s">
        <v>31</v>
      </c>
      <c r="V312" s="20"/>
      <c r="W312" s="74"/>
      <c r="X312" s="74"/>
      <c r="Y312" s="74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R312" s="84"/>
    </row>
    <row r="313" spans="1:44" hidden="1">
      <c r="A313" s="278" t="s">
        <v>377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20"/>
      <c r="W313" s="74"/>
      <c r="X313" s="74"/>
      <c r="Y313" s="74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R313" s="84"/>
    </row>
    <row r="314" spans="1:44" hidden="1">
      <c r="A314" s="1" t="s">
        <v>404</v>
      </c>
      <c r="B314" s="1"/>
      <c r="C314" s="21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20"/>
      <c r="W314" s="74"/>
      <c r="X314" s="74"/>
      <c r="Y314" s="74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R314" s="84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20"/>
      <c r="W315" s="74"/>
      <c r="X315" s="74"/>
      <c r="Y315" s="74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R315" s="84"/>
    </row>
    <row r="316" spans="1:44" hidden="1">
      <c r="A316" s="1" t="s">
        <v>383</v>
      </c>
      <c r="B316" s="1"/>
      <c r="C316" s="304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20"/>
      <c r="W316" s="74"/>
      <c r="X316" s="74"/>
      <c r="Y316" s="74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R316" s="84"/>
    </row>
    <row r="317" spans="1:44" hidden="1">
      <c r="A317" s="1" t="s">
        <v>380</v>
      </c>
      <c r="B317" s="1"/>
      <c r="C317" s="304">
        <f>'Rate Design Work eff 10-14-16'!C316</f>
        <v>1659.4666666666701</v>
      </c>
      <c r="D317" s="283">
        <f>'Rate Design Work eff 9-15-17'!D316</f>
        <v>9.76</v>
      </c>
      <c r="E317" s="308"/>
      <c r="F317" s="2">
        <f>ROUND(D317*$C317,0)</f>
        <v>16196</v>
      </c>
      <c r="G317" s="283">
        <f ca="1">$G$173</f>
        <v>9.99</v>
      </c>
      <c r="H317" s="308"/>
      <c r="I317" s="2">
        <f ca="1">ROUND(G317*$C317,0)</f>
        <v>16578</v>
      </c>
      <c r="J317" s="2"/>
      <c r="K317" s="283">
        <f ca="1">$K$173</f>
        <v>9.76</v>
      </c>
      <c r="L317" s="308"/>
      <c r="M317" s="2">
        <f ca="1">ROUND(K317*$C317,0)</f>
        <v>16196</v>
      </c>
      <c r="N317" s="2"/>
      <c r="O317" s="283" t="str">
        <f>$O$173</f>
        <v xml:space="preserve"> </v>
      </c>
      <c r="P317" s="308"/>
      <c r="Q317" s="2">
        <f>ROUND(O317*$C317,0)</f>
        <v>0</v>
      </c>
      <c r="R317" s="2"/>
      <c r="S317" s="283" t="str">
        <f>$S$173</f>
        <v xml:space="preserve"> </v>
      </c>
      <c r="T317" s="308"/>
      <c r="U317" s="2">
        <f>ROUND(S317*$C317,0)</f>
        <v>0</v>
      </c>
      <c r="V317" s="20"/>
      <c r="W317" s="74"/>
      <c r="X317" s="74"/>
      <c r="Y317" s="74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R317" s="84"/>
    </row>
    <row r="318" spans="1:44" hidden="1">
      <c r="A318" s="1" t="s">
        <v>381</v>
      </c>
      <c r="B318" s="1"/>
      <c r="C318" s="304">
        <f>'Rate Design Work eff 10-14-16'!C317</f>
        <v>2898.2333333333399</v>
      </c>
      <c r="D318" s="283">
        <f>'Rate Design Work eff 9-15-17'!D317</f>
        <v>14.54</v>
      </c>
      <c r="E318" s="310"/>
      <c r="F318" s="2">
        <f t="shared" ref="F318:F319" si="65">ROUND(D318*$C318,0)</f>
        <v>42140</v>
      </c>
      <c r="G318" s="283">
        <f ca="1">$G$174</f>
        <v>14.89</v>
      </c>
      <c r="H318" s="310"/>
      <c r="I318" s="2">
        <f ca="1">ROUND(G318*$C318,0)</f>
        <v>43155</v>
      </c>
      <c r="J318" s="2"/>
      <c r="K318" s="283">
        <f ca="1">$K$174</f>
        <v>14.54</v>
      </c>
      <c r="L318" s="310"/>
      <c r="M318" s="2">
        <f ca="1">ROUND(K318*$C318,0)</f>
        <v>42140</v>
      </c>
      <c r="N318" s="2"/>
      <c r="O318" s="283" t="str">
        <f>$O$174</f>
        <v xml:space="preserve"> </v>
      </c>
      <c r="P318" s="310"/>
      <c r="Q318" s="2">
        <f>ROUND(O318*$C318,0)</f>
        <v>0</v>
      </c>
      <c r="R318" s="2"/>
      <c r="S318" s="283" t="str">
        <f>$S$174</f>
        <v xml:space="preserve"> </v>
      </c>
      <c r="T318" s="310"/>
      <c r="U318" s="2">
        <f>ROUND(S318*$C318,0)</f>
        <v>0</v>
      </c>
      <c r="V318" s="20"/>
      <c r="W318" s="74"/>
      <c r="X318" s="74"/>
      <c r="Y318" s="74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R318" s="84"/>
    </row>
    <row r="319" spans="1:44" hidden="1">
      <c r="A319" s="1" t="s">
        <v>382</v>
      </c>
      <c r="B319" s="1"/>
      <c r="C319" s="304">
        <f>'Rate Design Work eff 10-14-16'!C318</f>
        <v>47405</v>
      </c>
      <c r="D319" s="283">
        <f>'Rate Design Work eff 9-15-17'!D318</f>
        <v>1.02</v>
      </c>
      <c r="E319" s="310"/>
      <c r="F319" s="2">
        <f t="shared" si="65"/>
        <v>48353</v>
      </c>
      <c r="G319" s="283">
        <f ca="1">$G$175</f>
        <v>1.04</v>
      </c>
      <c r="H319" s="310"/>
      <c r="I319" s="2">
        <f ca="1">ROUND(G319*$C319,0)</f>
        <v>49301</v>
      </c>
      <c r="J319" s="2"/>
      <c r="K319" s="283">
        <f ca="1">$K$175</f>
        <v>1.02</v>
      </c>
      <c r="L319" s="310"/>
      <c r="M319" s="2">
        <f ca="1">ROUND(K319*$C319,0)</f>
        <v>48353</v>
      </c>
      <c r="N319" s="2"/>
      <c r="O319" s="283" t="str">
        <f>$O$175</f>
        <v xml:space="preserve"> </v>
      </c>
      <c r="P319" s="310"/>
      <c r="Q319" s="2">
        <f>ROUND(O319*$C319,0)</f>
        <v>0</v>
      </c>
      <c r="R319" s="2"/>
      <c r="S319" s="283" t="str">
        <f>$S$175</f>
        <v xml:space="preserve"> </v>
      </c>
      <c r="T319" s="310"/>
      <c r="U319" s="2">
        <f>ROUND(S319*$C319,0)</f>
        <v>0</v>
      </c>
      <c r="V319" s="20"/>
      <c r="W319" s="74"/>
      <c r="X319" s="74"/>
      <c r="Y319" s="74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R319" s="84"/>
    </row>
    <row r="320" spans="1:44" hidden="1">
      <c r="A320" s="1" t="s">
        <v>384</v>
      </c>
      <c r="B320" s="1"/>
      <c r="C320" s="304">
        <f>SUM(C317:C318)</f>
        <v>4557.7000000000098</v>
      </c>
      <c r="D320" s="283"/>
      <c r="E320" s="308"/>
      <c r="F320" s="2"/>
      <c r="G320" s="283"/>
      <c r="H320" s="308"/>
      <c r="I320" s="2"/>
      <c r="J320" s="2"/>
      <c r="K320" s="283"/>
      <c r="L320" s="308"/>
      <c r="M320" s="2"/>
      <c r="N320" s="2"/>
      <c r="O320" s="283"/>
      <c r="P320" s="308"/>
      <c r="Q320" s="2"/>
      <c r="R320" s="2"/>
      <c r="S320" s="283"/>
      <c r="T320" s="308"/>
      <c r="U320" s="2"/>
      <c r="V320" s="20"/>
      <c r="W320" s="74"/>
      <c r="X320" s="74"/>
      <c r="Y320" s="74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R320" s="84"/>
    </row>
    <row r="321" spans="1:44" hidden="1">
      <c r="A321" s="1" t="s">
        <v>385</v>
      </c>
      <c r="B321" s="1"/>
      <c r="C321" s="304">
        <f>'Rate Design Work eff 10-14-16'!C320</f>
        <v>37943</v>
      </c>
      <c r="D321" s="311">
        <f>'Rate Design Work eff 9-15-17'!D320</f>
        <v>3.7</v>
      </c>
      <c r="E321" s="308"/>
      <c r="F321" s="2">
        <f>ROUND(D321*C321,0)</f>
        <v>140389</v>
      </c>
      <c r="G321" s="311">
        <f ca="1">$G$178</f>
        <v>3.8</v>
      </c>
      <c r="H321" s="308"/>
      <c r="I321" s="2">
        <f ca="1">ROUND(G321*$C321,0)</f>
        <v>144183</v>
      </c>
      <c r="J321" s="2"/>
      <c r="K321" s="311" t="e">
        <f ca="1">$K$178</f>
        <v>#REF!</v>
      </c>
      <c r="L321" s="308"/>
      <c r="M321" s="2" t="e">
        <f ca="1">ROUND(K321*$C321,0)</f>
        <v>#REF!</v>
      </c>
      <c r="N321" s="2"/>
      <c r="O321" s="311" t="e">
        <f ca="1">$O$178</f>
        <v>#DIV/0!</v>
      </c>
      <c r="P321" s="308"/>
      <c r="Q321" s="2" t="e">
        <f ca="1">ROUND(O321*$C321,0)</f>
        <v>#DIV/0!</v>
      </c>
      <c r="R321" s="2"/>
      <c r="S321" s="311" t="e">
        <f ca="1">$S$178</f>
        <v>#DIV/0!</v>
      </c>
      <c r="T321" s="308"/>
      <c r="U321" s="2" t="e">
        <f ca="1">ROUND(S321*$C321,0)</f>
        <v>#DIV/0!</v>
      </c>
      <c r="V321" s="20"/>
      <c r="W321" s="74"/>
      <c r="X321" s="74"/>
      <c r="Y321" s="74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R321" s="84"/>
    </row>
    <row r="322" spans="1:44" hidden="1">
      <c r="A322" s="1" t="s">
        <v>387</v>
      </c>
      <c r="B322" s="1"/>
      <c r="C322" s="304">
        <f>'Rate Design Work eff 10-14-16'!C321</f>
        <v>3121618.3333333335</v>
      </c>
      <c r="D322" s="284">
        <f>'Rate Design Work eff 9-15-17'!D321</f>
        <v>10.628</v>
      </c>
      <c r="E322" s="308" t="s">
        <v>364</v>
      </c>
      <c r="F322" s="2">
        <f>ROUND(D322*C322/100,0)</f>
        <v>331766</v>
      </c>
      <c r="G322" s="284">
        <f ca="1">$G$179</f>
        <v>10.878</v>
      </c>
      <c r="H322" s="308" t="s">
        <v>364</v>
      </c>
      <c r="I322" s="2">
        <f ca="1">ROUND(G322*$C322/100,0)</f>
        <v>339570</v>
      </c>
      <c r="J322" s="2"/>
      <c r="K322" s="284" t="e">
        <f ca="1">$K$179</f>
        <v>#REF!</v>
      </c>
      <c r="L322" s="308" t="s">
        <v>364</v>
      </c>
      <c r="M322" s="2" t="e">
        <f ca="1">ROUND(K322*$C322/100,0)</f>
        <v>#REF!</v>
      </c>
      <c r="N322" s="2"/>
      <c r="O322" s="284" t="e">
        <f ca="1">$O$179</f>
        <v>#DIV/0!</v>
      </c>
      <c r="P322" s="308" t="s">
        <v>364</v>
      </c>
      <c r="Q322" s="2" t="e">
        <f ca="1">ROUND(O322*$C322/100,0)</f>
        <v>#DIV/0!</v>
      </c>
      <c r="R322" s="2"/>
      <c r="S322" s="284" t="e">
        <f ca="1">$S$179</f>
        <v>#DIV/0!</v>
      </c>
      <c r="T322" s="308" t="s">
        <v>364</v>
      </c>
      <c r="U322" s="2" t="e">
        <f ca="1">ROUND(S322*$C322/100,0)</f>
        <v>#DIV/0!</v>
      </c>
      <c r="V322" s="20"/>
      <c r="W322" s="74"/>
      <c r="X322" s="74"/>
      <c r="Y322" s="74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R322" s="84"/>
    </row>
    <row r="323" spans="1:44" hidden="1">
      <c r="A323" s="1" t="s">
        <v>388</v>
      </c>
      <c r="B323" s="1"/>
      <c r="C323" s="304">
        <f>'Rate Design Work eff 10-14-16'!C322</f>
        <v>9404351.6666666642</v>
      </c>
      <c r="D323" s="284">
        <f>'Rate Design Work eff 9-15-17'!D322</f>
        <v>7.3410000000000002</v>
      </c>
      <c r="E323" s="308" t="s">
        <v>364</v>
      </c>
      <c r="F323" s="2">
        <f>ROUND(D323*C323/100,0)</f>
        <v>690373</v>
      </c>
      <c r="G323" s="284">
        <f ca="1">$G$180</f>
        <v>7.5140000000000002</v>
      </c>
      <c r="H323" s="308" t="s">
        <v>364</v>
      </c>
      <c r="I323" s="2">
        <f ca="1">ROUND(G323*$C323/100,0)</f>
        <v>706643</v>
      </c>
      <c r="J323" s="2"/>
      <c r="K323" s="284" t="e">
        <f ca="1">$K$180</f>
        <v>#REF!</v>
      </c>
      <c r="L323" s="308" t="s">
        <v>364</v>
      </c>
      <c r="M323" s="2" t="e">
        <f ca="1">ROUND(K323*$C323/100,0)</f>
        <v>#REF!</v>
      </c>
      <c r="N323" s="2"/>
      <c r="O323" s="284" t="e">
        <f ca="1">$O$180</f>
        <v>#DIV/0!</v>
      </c>
      <c r="P323" s="308" t="s">
        <v>364</v>
      </c>
      <c r="Q323" s="2" t="e">
        <f ca="1">ROUND(O323*$C323/100,0)</f>
        <v>#DIV/0!</v>
      </c>
      <c r="R323" s="2"/>
      <c r="S323" s="284" t="e">
        <f ca="1">$S$180</f>
        <v>#DIV/0!</v>
      </c>
      <c r="T323" s="308" t="s">
        <v>364</v>
      </c>
      <c r="U323" s="2" t="e">
        <f ca="1">ROUND(S323*$C323/100,0)</f>
        <v>#DIV/0!</v>
      </c>
      <c r="V323" s="20"/>
      <c r="W323" s="74"/>
      <c r="X323" s="74"/>
      <c r="Y323" s="74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R323" s="84"/>
    </row>
    <row r="324" spans="1:44" hidden="1">
      <c r="A324" s="1" t="s">
        <v>389</v>
      </c>
      <c r="B324" s="1"/>
      <c r="C324" s="304">
        <f>'Rate Design Work eff 10-14-16'!C323</f>
        <v>4754181.0000000019</v>
      </c>
      <c r="D324" s="284">
        <f>'Rate Design Work eff 9-15-17'!D323</f>
        <v>6.3240000000000007</v>
      </c>
      <c r="E324" s="308" t="s">
        <v>364</v>
      </c>
      <c r="F324" s="2">
        <f>ROUND(D324*C324/100,0)</f>
        <v>300654</v>
      </c>
      <c r="G324" s="284">
        <f ca="1">$G$181</f>
        <v>6.4720000000000004</v>
      </c>
      <c r="H324" s="308" t="s">
        <v>364</v>
      </c>
      <c r="I324" s="2">
        <f ca="1">ROUND(G324*$C324/100,0)</f>
        <v>307691</v>
      </c>
      <c r="J324" s="2"/>
      <c r="K324" s="284" t="e">
        <f ca="1">$K$181</f>
        <v>#REF!</v>
      </c>
      <c r="L324" s="308" t="s">
        <v>364</v>
      </c>
      <c r="M324" s="2" t="e">
        <f ca="1">ROUND(K324*$C324/100,0)</f>
        <v>#REF!</v>
      </c>
      <c r="N324" s="2"/>
      <c r="O324" s="284" t="e">
        <f ca="1">$O$181</f>
        <v>#DIV/0!</v>
      </c>
      <c r="P324" s="308" t="s">
        <v>364</v>
      </c>
      <c r="Q324" s="2" t="e">
        <f ca="1">ROUND(O324*$C324/100,0)</f>
        <v>#DIV/0!</v>
      </c>
      <c r="R324" s="2"/>
      <c r="S324" s="284" t="e">
        <f ca="1">$S$181</f>
        <v>#DIV/0!</v>
      </c>
      <c r="T324" s="308" t="s">
        <v>364</v>
      </c>
      <c r="U324" s="2" t="e">
        <f ca="1">ROUND(S324*$C324/100,0)</f>
        <v>#DIV/0!</v>
      </c>
      <c r="V324" s="20"/>
      <c r="W324" s="74"/>
      <c r="X324" s="74"/>
      <c r="Y324" s="74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R324" s="84"/>
    </row>
    <row r="325" spans="1:44" hidden="1">
      <c r="A325" s="1" t="s">
        <v>390</v>
      </c>
      <c r="B325" s="1"/>
      <c r="C325" s="304">
        <f>'Rate Design Work eff 10-14-16'!C324</f>
        <v>13463.333333333332</v>
      </c>
      <c r="D325" s="315">
        <f>'Rate Design Work eff 9-15-17'!D324</f>
        <v>57</v>
      </c>
      <c r="E325" s="308" t="s">
        <v>364</v>
      </c>
      <c r="F325" s="2">
        <f>ROUND(D325*C325/100,0)</f>
        <v>7674</v>
      </c>
      <c r="G325" s="315">
        <f ca="1">$G$182</f>
        <v>58</v>
      </c>
      <c r="H325" s="308" t="s">
        <v>364</v>
      </c>
      <c r="I325" s="2">
        <f ca="1">ROUND(G325*$C325/100,0)</f>
        <v>7809</v>
      </c>
      <c r="J325" s="2"/>
      <c r="K325" s="315" t="str">
        <f>$K$182</f>
        <v xml:space="preserve"> </v>
      </c>
      <c r="L325" s="308" t="s">
        <v>364</v>
      </c>
      <c r="M325" s="2">
        <f>ROUND(K325*$C325/100,0)</f>
        <v>0</v>
      </c>
      <c r="N325" s="2"/>
      <c r="O325" s="315" t="e">
        <f>$O$182</f>
        <v>#DIV/0!</v>
      </c>
      <c r="P325" s="308" t="s">
        <v>364</v>
      </c>
      <c r="Q325" s="2" t="e">
        <f>ROUND(O325*$C325/100,0)</f>
        <v>#DIV/0!</v>
      </c>
      <c r="R325" s="2"/>
      <c r="S325" s="315" t="e">
        <f>$S$182</f>
        <v>#DIV/0!</v>
      </c>
      <c r="T325" s="308" t="s">
        <v>364</v>
      </c>
      <c r="U325" s="2" t="e">
        <f>ROUND(S325*$C325/100,0)</f>
        <v>#DIV/0!</v>
      </c>
      <c r="V325" s="20"/>
      <c r="W325" s="74"/>
      <c r="X325" s="74"/>
      <c r="Y325" s="74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R325" s="84"/>
    </row>
    <row r="326" spans="1:44" s="1118" customFormat="1" hidden="1">
      <c r="A326" s="968" t="s">
        <v>888</v>
      </c>
      <c r="C326" s="1122">
        <f>C322</f>
        <v>3121618.3333333335</v>
      </c>
      <c r="D326" s="254">
        <f>'Rate Design Work eff 9-15-17'!D325</f>
        <v>0</v>
      </c>
      <c r="E326" s="1119"/>
      <c r="F326" s="1123"/>
      <c r="G326" s="1128">
        <f>G183</f>
        <v>0</v>
      </c>
      <c r="H326" s="972" t="s">
        <v>364</v>
      </c>
      <c r="I326" s="1123">
        <f t="shared" ref="I326:I328" si="66">ROUND(G326*$C326/100,0)</f>
        <v>0</v>
      </c>
      <c r="J326" s="1123"/>
      <c r="K326" s="1128" t="str">
        <f>K183</f>
        <v xml:space="preserve"> </v>
      </c>
      <c r="L326" s="972" t="s">
        <v>364</v>
      </c>
      <c r="M326" s="1123">
        <f t="shared" ref="M326:M328" si="67">ROUND(K326*$C326/100,0)</f>
        <v>0</v>
      </c>
      <c r="N326" s="1123"/>
      <c r="O326" s="1128" t="str">
        <f>O183</f>
        <v xml:space="preserve"> </v>
      </c>
      <c r="P326" s="972" t="s">
        <v>364</v>
      </c>
      <c r="Q326" s="1123">
        <f t="shared" ref="Q326:Q328" si="68">ROUND(O326*$C326/100,0)</f>
        <v>0</v>
      </c>
      <c r="R326" s="1123"/>
      <c r="S326" s="1128">
        <f>S183</f>
        <v>0</v>
      </c>
      <c r="T326" s="972" t="s">
        <v>364</v>
      </c>
      <c r="U326" s="1123">
        <f t="shared" ref="U326:U328" si="69">ROUND(S326*$C326/100,0)</f>
        <v>0</v>
      </c>
      <c r="W326" s="784"/>
      <c r="Z326" s="1125"/>
      <c r="AA326" s="1125"/>
      <c r="AF326" s="1119"/>
      <c r="AG326" s="1119"/>
      <c r="AH326" s="1119"/>
      <c r="AI326" s="1119"/>
      <c r="AJ326" s="1119"/>
      <c r="AK326" s="1119"/>
      <c r="AL326" s="1119"/>
      <c r="AM326" s="1119"/>
      <c r="AN326" s="1119"/>
      <c r="AO326" s="1119"/>
      <c r="AP326" s="1119"/>
      <c r="AR326" s="1124"/>
    </row>
    <row r="327" spans="1:44" s="1118" customFormat="1" hidden="1">
      <c r="A327" s="968" t="s">
        <v>889</v>
      </c>
      <c r="C327" s="1122">
        <f>C323</f>
        <v>9404351.6666666642</v>
      </c>
      <c r="D327" s="254">
        <f>'Rate Design Work eff 9-15-17'!D326</f>
        <v>0</v>
      </c>
      <c r="E327" s="1119"/>
      <c r="F327" s="1123"/>
      <c r="G327" s="1128">
        <f>G184</f>
        <v>0</v>
      </c>
      <c r="H327" s="972" t="s">
        <v>364</v>
      </c>
      <c r="I327" s="1123">
        <f t="shared" si="66"/>
        <v>0</v>
      </c>
      <c r="J327" s="1123"/>
      <c r="K327" s="1128" t="str">
        <f>K184</f>
        <v xml:space="preserve"> </v>
      </c>
      <c r="L327" s="972" t="s">
        <v>364</v>
      </c>
      <c r="M327" s="1123">
        <f t="shared" si="67"/>
        <v>0</v>
      </c>
      <c r="N327" s="1123"/>
      <c r="O327" s="1128" t="str">
        <f>O184</f>
        <v xml:space="preserve"> </v>
      </c>
      <c r="P327" s="972" t="s">
        <v>364</v>
      </c>
      <c r="Q327" s="1123">
        <f t="shared" si="68"/>
        <v>0</v>
      </c>
      <c r="R327" s="1123"/>
      <c r="S327" s="1128">
        <f>S184</f>
        <v>0</v>
      </c>
      <c r="T327" s="972" t="s">
        <v>364</v>
      </c>
      <c r="U327" s="1123">
        <f t="shared" si="69"/>
        <v>0</v>
      </c>
      <c r="W327" s="784"/>
      <c r="Z327" s="1125"/>
      <c r="AA327" s="1125"/>
      <c r="AF327" s="1119"/>
      <c r="AG327" s="1119"/>
      <c r="AH327" s="1119"/>
      <c r="AI327" s="1119"/>
      <c r="AJ327" s="1119"/>
      <c r="AK327" s="1119"/>
      <c r="AL327" s="1119"/>
      <c r="AM327" s="1119"/>
      <c r="AN327" s="1119"/>
      <c r="AO327" s="1119"/>
      <c r="AP327" s="1119"/>
      <c r="AR327" s="1124"/>
    </row>
    <row r="328" spans="1:44" s="1118" customFormat="1" hidden="1">
      <c r="A328" s="968" t="s">
        <v>890</v>
      </c>
      <c r="C328" s="1122">
        <f>C324</f>
        <v>4754181.0000000019</v>
      </c>
      <c r="D328" s="254">
        <f>'Rate Design Work eff 9-15-17'!D327</f>
        <v>0</v>
      </c>
      <c r="E328" s="1119"/>
      <c r="F328" s="1123"/>
      <c r="G328" s="1128">
        <f>G185</f>
        <v>0</v>
      </c>
      <c r="H328" s="972" t="s">
        <v>364</v>
      </c>
      <c r="I328" s="1123">
        <f t="shared" si="66"/>
        <v>0</v>
      </c>
      <c r="J328" s="1123"/>
      <c r="K328" s="1128" t="str">
        <f>K185</f>
        <v xml:space="preserve"> </v>
      </c>
      <c r="L328" s="972" t="s">
        <v>364</v>
      </c>
      <c r="M328" s="1123">
        <f t="shared" si="67"/>
        <v>0</v>
      </c>
      <c r="N328" s="1123"/>
      <c r="O328" s="1128" t="str">
        <f>O185</f>
        <v xml:space="preserve"> </v>
      </c>
      <c r="P328" s="972" t="s">
        <v>364</v>
      </c>
      <c r="Q328" s="1123">
        <f t="shared" si="68"/>
        <v>0</v>
      </c>
      <c r="R328" s="1123"/>
      <c r="S328" s="1128">
        <f>S185</f>
        <v>0</v>
      </c>
      <c r="T328" s="972" t="s">
        <v>364</v>
      </c>
      <c r="U328" s="1123">
        <f t="shared" si="69"/>
        <v>0</v>
      </c>
      <c r="W328" s="784"/>
      <c r="Z328" s="1125"/>
      <c r="AA328" s="1125"/>
      <c r="AF328" s="1119"/>
      <c r="AG328" s="1119"/>
      <c r="AH328" s="1119"/>
      <c r="AI328" s="1119"/>
      <c r="AJ328" s="1119"/>
      <c r="AK328" s="1119"/>
      <c r="AL328" s="1119"/>
      <c r="AM328" s="1119"/>
      <c r="AN328" s="1119"/>
      <c r="AO328" s="1119"/>
      <c r="AP328" s="1119"/>
      <c r="AR328" s="1124"/>
    </row>
    <row r="329" spans="1:44" hidden="1">
      <c r="A329" s="316" t="s">
        <v>391</v>
      </c>
      <c r="B329" s="1"/>
      <c r="C329" s="304"/>
      <c r="D329" s="317">
        <f>'Rate Design Work eff 9-15-17'!D328</f>
        <v>-0.01</v>
      </c>
      <c r="E329" s="308"/>
      <c r="F329" s="2"/>
      <c r="G329" s="317">
        <v>-0.01</v>
      </c>
      <c r="H329" s="308"/>
      <c r="I329" s="2"/>
      <c r="J329" s="2"/>
      <c r="K329" s="317">
        <v>-0.01</v>
      </c>
      <c r="L329" s="308"/>
      <c r="M329" s="2"/>
      <c r="N329" s="2"/>
      <c r="O329" s="317">
        <v>-0.01</v>
      </c>
      <c r="P329" s="308"/>
      <c r="Q329" s="2"/>
      <c r="R329" s="2"/>
      <c r="S329" s="317">
        <v>-0.01</v>
      </c>
      <c r="T329" s="308"/>
      <c r="U329" s="2"/>
      <c r="V329" s="20"/>
      <c r="W329" s="74"/>
      <c r="X329" s="74"/>
      <c r="Y329" s="74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R329" s="84"/>
    </row>
    <row r="330" spans="1:44" hidden="1">
      <c r="A330" s="1" t="s">
        <v>380</v>
      </c>
      <c r="B330" s="1"/>
      <c r="C330" s="304">
        <f>'Rate Design Work eff 10-14-16'!C329</f>
        <v>0</v>
      </c>
      <c r="D330" s="319">
        <f>'Rate Design Work eff 9-15-17'!D329</f>
        <v>9.76</v>
      </c>
      <c r="E330" s="306"/>
      <c r="F330" s="2">
        <f>-ROUND(D330*$C330/100,0)</f>
        <v>0</v>
      </c>
      <c r="G330" s="319">
        <f ca="1">G317</f>
        <v>9.99</v>
      </c>
      <c r="H330" s="306"/>
      <c r="I330" s="2">
        <f ca="1">-ROUND(G330*$C330/100,0)</f>
        <v>0</v>
      </c>
      <c r="J330" s="2"/>
      <c r="K330" s="319">
        <f ca="1">K317</f>
        <v>9.76</v>
      </c>
      <c r="L330" s="306"/>
      <c r="M330" s="2">
        <f ca="1">-ROUND(K330*$C330/100,0)</f>
        <v>0</v>
      </c>
      <c r="N330" s="2"/>
      <c r="O330" s="319" t="str">
        <f>O317</f>
        <v xml:space="preserve"> </v>
      </c>
      <c r="P330" s="306"/>
      <c r="Q330" s="2">
        <f>-ROUND(O330*$C330/100,0)</f>
        <v>0</v>
      </c>
      <c r="R330" s="2"/>
      <c r="S330" s="319" t="str">
        <f>S317</f>
        <v xml:space="preserve"> </v>
      </c>
      <c r="T330" s="306"/>
      <c r="U330" s="2">
        <f>-ROUND(S330*$C330/100,0)</f>
        <v>0</v>
      </c>
      <c r="V330" s="20"/>
      <c r="W330" s="74"/>
      <c r="X330" s="74"/>
      <c r="Y330" s="74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R330" s="84"/>
    </row>
    <row r="331" spans="1:44" hidden="1">
      <c r="A331" s="1" t="s">
        <v>381</v>
      </c>
      <c r="B331" s="1"/>
      <c r="C331" s="304">
        <f>'Rate Design Work eff 10-14-16'!C330</f>
        <v>7.8666666666666698</v>
      </c>
      <c r="D331" s="319">
        <f>'Rate Design Work eff 9-15-17'!D330</f>
        <v>14.54</v>
      </c>
      <c r="E331" s="306"/>
      <c r="F331" s="2">
        <f t="shared" ref="F331:F333" si="70">-ROUND(D331*$C331/100,0)</f>
        <v>-1</v>
      </c>
      <c r="G331" s="319">
        <f ca="1">G318</f>
        <v>14.89</v>
      </c>
      <c r="H331" s="306"/>
      <c r="I331" s="2">
        <f ca="1">-ROUND(G331*$C331/100,0)</f>
        <v>-1</v>
      </c>
      <c r="J331" s="2"/>
      <c r="K331" s="319">
        <f ca="1">K318</f>
        <v>14.54</v>
      </c>
      <c r="L331" s="306"/>
      <c r="M331" s="2">
        <f ca="1">-ROUND(K331*$C331/100,0)</f>
        <v>-1</v>
      </c>
      <c r="N331" s="2"/>
      <c r="O331" s="319" t="str">
        <f>O318</f>
        <v xml:space="preserve"> </v>
      </c>
      <c r="P331" s="306"/>
      <c r="Q331" s="2">
        <f>-ROUND(O331*$C331/100,0)</f>
        <v>0</v>
      </c>
      <c r="R331" s="2"/>
      <c r="S331" s="319" t="str">
        <f>S318</f>
        <v xml:space="preserve"> </v>
      </c>
      <c r="T331" s="306"/>
      <c r="U331" s="2">
        <f>-ROUND(S331*$C331/100,0)</f>
        <v>0</v>
      </c>
      <c r="V331" s="20"/>
      <c r="W331" s="74"/>
      <c r="X331" s="74"/>
      <c r="Y331" s="74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R331" s="84"/>
    </row>
    <row r="332" spans="1:44" hidden="1">
      <c r="A332" s="1" t="s">
        <v>392</v>
      </c>
      <c r="B332" s="1"/>
      <c r="C332" s="304">
        <f>'Rate Design Work eff 10-14-16'!C331</f>
        <v>543</v>
      </c>
      <c r="D332" s="319">
        <f>'Rate Design Work eff 9-15-17'!D331</f>
        <v>1.02</v>
      </c>
      <c r="E332" s="306"/>
      <c r="F332" s="2">
        <f t="shared" si="70"/>
        <v>-6</v>
      </c>
      <c r="G332" s="319">
        <f ca="1">G319</f>
        <v>1.04</v>
      </c>
      <c r="H332" s="306"/>
      <c r="I332" s="2">
        <f ca="1">-ROUND(G332*$C332/100,0)</f>
        <v>-6</v>
      </c>
      <c r="J332" s="2"/>
      <c r="K332" s="319">
        <f ca="1">K319</f>
        <v>1.02</v>
      </c>
      <c r="L332" s="306"/>
      <c r="M332" s="2">
        <f ca="1">-ROUND(K332*$C332/100,0)</f>
        <v>-6</v>
      </c>
      <c r="N332" s="2"/>
      <c r="O332" s="319" t="str">
        <f>O319</f>
        <v xml:space="preserve"> </v>
      </c>
      <c r="P332" s="306"/>
      <c r="Q332" s="2">
        <f>-ROUND(O332*$C332/100,0)</f>
        <v>0</v>
      </c>
      <c r="R332" s="2"/>
      <c r="S332" s="319" t="str">
        <f>S319</f>
        <v xml:space="preserve"> </v>
      </c>
      <c r="T332" s="306"/>
      <c r="U332" s="2">
        <f>-ROUND(S332*$C332/100,0)</f>
        <v>0</v>
      </c>
      <c r="V332" s="20"/>
      <c r="W332" s="74"/>
      <c r="X332" s="74"/>
      <c r="Y332" s="74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R332" s="84"/>
    </row>
    <row r="333" spans="1:44" hidden="1">
      <c r="A333" s="1" t="s">
        <v>393</v>
      </c>
      <c r="B333" s="1"/>
      <c r="C333" s="304">
        <f>'Rate Design Work eff 10-14-16'!C332</f>
        <v>722</v>
      </c>
      <c r="D333" s="319">
        <f>'Rate Design Work eff 9-15-17'!D332</f>
        <v>3.7</v>
      </c>
      <c r="E333" s="308"/>
      <c r="F333" s="2">
        <f t="shared" si="70"/>
        <v>-27</v>
      </c>
      <c r="G333" s="319">
        <f ca="1">G321</f>
        <v>3.8</v>
      </c>
      <c r="H333" s="308"/>
      <c r="I333" s="2">
        <f ca="1">-ROUND(G333*$C333/100,0)</f>
        <v>-27</v>
      </c>
      <c r="J333" s="2"/>
      <c r="K333" s="319" t="e">
        <f ca="1">K321</f>
        <v>#REF!</v>
      </c>
      <c r="L333" s="308"/>
      <c r="M333" s="2" t="e">
        <f ca="1">-ROUND(K333*$C333/100,0)</f>
        <v>#REF!</v>
      </c>
      <c r="N333" s="2"/>
      <c r="O333" s="319" t="e">
        <f ca="1">O321</f>
        <v>#DIV/0!</v>
      </c>
      <c r="P333" s="308"/>
      <c r="Q333" s="2" t="e">
        <f ca="1">-ROUND(O333*$C333/100,0)</f>
        <v>#DIV/0!</v>
      </c>
      <c r="R333" s="2"/>
      <c r="S333" s="319" t="e">
        <f ca="1">S321</f>
        <v>#DIV/0!</v>
      </c>
      <c r="T333" s="308"/>
      <c r="U333" s="2" t="e">
        <f ca="1">-ROUND(S333*$C333/100,0)</f>
        <v>#DIV/0!</v>
      </c>
      <c r="V333" s="20"/>
      <c r="W333" s="74"/>
      <c r="X333" s="74"/>
      <c r="Y333" s="74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R333" s="84"/>
    </row>
    <row r="334" spans="1:44" hidden="1">
      <c r="A334" s="1" t="s">
        <v>395</v>
      </c>
      <c r="B334" s="1"/>
      <c r="C334" s="304">
        <f>'Rate Design Work eff 10-14-16'!C333</f>
        <v>7866.6666666666697</v>
      </c>
      <c r="D334" s="320">
        <f>'Rate Design Work eff 9-15-17'!D333</f>
        <v>10.628</v>
      </c>
      <c r="E334" s="308" t="s">
        <v>364</v>
      </c>
      <c r="F334" s="2">
        <f>ROUND(D334*$C334/100*D329,0)</f>
        <v>-8</v>
      </c>
      <c r="G334" s="320">
        <f ca="1">G322</f>
        <v>10.878</v>
      </c>
      <c r="H334" s="308" t="s">
        <v>364</v>
      </c>
      <c r="I334" s="2">
        <f ca="1">ROUND(G334*$C334/100*G329,0)</f>
        <v>-9</v>
      </c>
      <c r="J334" s="2"/>
      <c r="K334" s="320" t="e">
        <f ca="1">K322</f>
        <v>#REF!</v>
      </c>
      <c r="L334" s="308" t="s">
        <v>364</v>
      </c>
      <c r="M334" s="2" t="e">
        <f ca="1">ROUND(K334*$C334/100*K329,0)</f>
        <v>#REF!</v>
      </c>
      <c r="N334" s="2"/>
      <c r="O334" s="320" t="e">
        <f ca="1">O322</f>
        <v>#DIV/0!</v>
      </c>
      <c r="P334" s="308" t="s">
        <v>364</v>
      </c>
      <c r="Q334" s="2" t="e">
        <f ca="1">ROUND(O334*$C334/100*O329,0)</f>
        <v>#DIV/0!</v>
      </c>
      <c r="R334" s="2"/>
      <c r="S334" s="320" t="e">
        <f ca="1">S322</f>
        <v>#DIV/0!</v>
      </c>
      <c r="T334" s="308" t="s">
        <v>364</v>
      </c>
      <c r="U334" s="2" t="e">
        <f ca="1">ROUND(S334*$C334/100*S329,0)</f>
        <v>#DIV/0!</v>
      </c>
      <c r="V334" s="20"/>
      <c r="W334" s="74"/>
      <c r="X334" s="74"/>
      <c r="Y334" s="74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R334" s="84"/>
    </row>
    <row r="335" spans="1:44" hidden="1">
      <c r="A335" s="1" t="s">
        <v>388</v>
      </c>
      <c r="B335" s="1"/>
      <c r="C335" s="304">
        <f>'Rate Design Work eff 10-14-16'!C334</f>
        <v>62933.333333333299</v>
      </c>
      <c r="D335" s="320">
        <f>'Rate Design Work eff 9-15-17'!D334</f>
        <v>7.3410000000000002</v>
      </c>
      <c r="E335" s="308" t="s">
        <v>364</v>
      </c>
      <c r="F335" s="2">
        <f>ROUND(D335*$C335/100*D329,0)</f>
        <v>-46</v>
      </c>
      <c r="G335" s="320">
        <f ca="1">G323</f>
        <v>7.5140000000000002</v>
      </c>
      <c r="H335" s="308" t="s">
        <v>364</v>
      </c>
      <c r="I335" s="2">
        <f ca="1">ROUND(G335*$C335/100*G329,0)</f>
        <v>-47</v>
      </c>
      <c r="J335" s="2"/>
      <c r="K335" s="320" t="e">
        <f ca="1">K323</f>
        <v>#REF!</v>
      </c>
      <c r="L335" s="308" t="s">
        <v>364</v>
      </c>
      <c r="M335" s="2" t="e">
        <f ca="1">ROUND(K335*$C335/100*K329,0)</f>
        <v>#REF!</v>
      </c>
      <c r="N335" s="2"/>
      <c r="O335" s="320" t="e">
        <f ca="1">O323</f>
        <v>#DIV/0!</v>
      </c>
      <c r="P335" s="308" t="s">
        <v>364</v>
      </c>
      <c r="Q335" s="2" t="e">
        <f ca="1">ROUND(O335*$C335/100*O329,0)</f>
        <v>#DIV/0!</v>
      </c>
      <c r="R335" s="2"/>
      <c r="S335" s="320" t="e">
        <f ca="1">S323</f>
        <v>#DIV/0!</v>
      </c>
      <c r="T335" s="308" t="s">
        <v>364</v>
      </c>
      <c r="U335" s="2" t="e">
        <f ca="1">ROUND(S335*$C335/100*S329,0)</f>
        <v>#DIV/0!</v>
      </c>
      <c r="V335" s="20"/>
      <c r="W335" s="74"/>
      <c r="X335" s="74"/>
      <c r="Y335" s="74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R335" s="84"/>
    </row>
    <row r="336" spans="1:44" hidden="1">
      <c r="A336" s="1" t="s">
        <v>389</v>
      </c>
      <c r="B336" s="1"/>
      <c r="C336" s="304">
        <f>'Rate Design Work eff 10-14-16'!C335</f>
        <v>232200.00000000003</v>
      </c>
      <c r="D336" s="320">
        <f>'Rate Design Work eff 9-15-17'!D335</f>
        <v>6.3240000000000007</v>
      </c>
      <c r="E336" s="308" t="s">
        <v>364</v>
      </c>
      <c r="F336" s="2">
        <f>ROUND(D336*$C336/100*D329,0)</f>
        <v>-147</v>
      </c>
      <c r="G336" s="320">
        <f ca="1">G324</f>
        <v>6.4720000000000004</v>
      </c>
      <c r="H336" s="308" t="s">
        <v>364</v>
      </c>
      <c r="I336" s="2">
        <f ca="1">ROUND(G336*$C336/100*G329,0)</f>
        <v>-150</v>
      </c>
      <c r="J336" s="2"/>
      <c r="K336" s="320" t="e">
        <f ca="1">K324</f>
        <v>#REF!</v>
      </c>
      <c r="L336" s="308" t="s">
        <v>364</v>
      </c>
      <c r="M336" s="2" t="e">
        <f ca="1">ROUND(K336*$C336/100*K329,0)</f>
        <v>#REF!</v>
      </c>
      <c r="N336" s="2"/>
      <c r="O336" s="320" t="e">
        <f ca="1">O324</f>
        <v>#DIV/0!</v>
      </c>
      <c r="P336" s="308" t="s">
        <v>364</v>
      </c>
      <c r="Q336" s="2" t="e">
        <f ca="1">ROUND(O336*$C336/100*O329,0)</f>
        <v>#DIV/0!</v>
      </c>
      <c r="R336" s="2"/>
      <c r="S336" s="320" t="e">
        <f ca="1">S324</f>
        <v>#DIV/0!</v>
      </c>
      <c r="T336" s="308" t="s">
        <v>364</v>
      </c>
      <c r="U336" s="2" t="e">
        <f ca="1">ROUND(S336*$C336/100*S329,0)</f>
        <v>#DIV/0!</v>
      </c>
      <c r="V336" s="20"/>
      <c r="W336" s="74"/>
      <c r="X336" s="74"/>
      <c r="Y336" s="74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R336" s="84"/>
    </row>
    <row r="337" spans="1:44" hidden="1">
      <c r="A337" s="1" t="s">
        <v>390</v>
      </c>
      <c r="B337" s="1"/>
      <c r="C337" s="304">
        <f>'Rate Design Work eff 10-14-16'!C336</f>
        <v>475.4</v>
      </c>
      <c r="D337" s="321">
        <f>'Rate Design Work eff 9-15-17'!D336</f>
        <v>57</v>
      </c>
      <c r="E337" s="308" t="s">
        <v>364</v>
      </c>
      <c r="F337" s="2">
        <f>ROUND(D337*$C337/100*D329,0)</f>
        <v>-3</v>
      </c>
      <c r="G337" s="321">
        <f ca="1">G325</f>
        <v>58</v>
      </c>
      <c r="H337" s="308" t="s">
        <v>364</v>
      </c>
      <c r="I337" s="2">
        <f ca="1">ROUND(G337*$C337/100*G329,0)</f>
        <v>-3</v>
      </c>
      <c r="J337" s="2"/>
      <c r="K337" s="321" t="str">
        <f>K325</f>
        <v xml:space="preserve"> </v>
      </c>
      <c r="L337" s="308" t="s">
        <v>364</v>
      </c>
      <c r="M337" s="2">
        <f>ROUND(K337*$C337/100*K329,0)</f>
        <v>0</v>
      </c>
      <c r="N337" s="2"/>
      <c r="O337" s="321" t="e">
        <f>O325</f>
        <v>#DIV/0!</v>
      </c>
      <c r="P337" s="308" t="s">
        <v>364</v>
      </c>
      <c r="Q337" s="2" t="e">
        <f>ROUND(O337*$C337/100*O329,0)</f>
        <v>#DIV/0!</v>
      </c>
      <c r="R337" s="2"/>
      <c r="S337" s="321" t="e">
        <f>S325</f>
        <v>#DIV/0!</v>
      </c>
      <c r="T337" s="308" t="s">
        <v>364</v>
      </c>
      <c r="U337" s="2" t="e">
        <f>ROUND(S337*$C337/100*S329,0)</f>
        <v>#DIV/0!</v>
      </c>
      <c r="V337" s="20"/>
      <c r="W337" s="74"/>
      <c r="X337" s="74"/>
      <c r="Y337" s="74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R337" s="84"/>
    </row>
    <row r="338" spans="1:44" hidden="1">
      <c r="A338" s="1" t="s">
        <v>397</v>
      </c>
      <c r="B338" s="1"/>
      <c r="C338" s="304">
        <f>'Rate Design Work eff 10-14-16'!C337</f>
        <v>7.8666666666666698</v>
      </c>
      <c r="D338" s="322">
        <f>'Rate Design Work eff 9-15-17'!D337</f>
        <v>60</v>
      </c>
      <c r="E338" s="308"/>
      <c r="F338" s="2">
        <f>ROUND(D338*C338,0)</f>
        <v>472</v>
      </c>
      <c r="G338" s="322">
        <f>$G$198</f>
        <v>60</v>
      </c>
      <c r="H338" s="308"/>
      <c r="I338" s="2">
        <f>ROUND(G338*$C338,0)</f>
        <v>472</v>
      </c>
      <c r="J338" s="2"/>
      <c r="K338" s="322" t="str">
        <f>$K$198</f>
        <v xml:space="preserve"> </v>
      </c>
      <c r="L338" s="308"/>
      <c r="M338" s="2">
        <f>ROUND(K338*$C338,0)</f>
        <v>0</v>
      </c>
      <c r="N338" s="2"/>
      <c r="O338" s="322" t="e">
        <f>$O$198</f>
        <v>#DIV/0!</v>
      </c>
      <c r="P338" s="308"/>
      <c r="Q338" s="2" t="e">
        <f>ROUND(O338*$C338,0)</f>
        <v>#DIV/0!</v>
      </c>
      <c r="R338" s="2"/>
      <c r="S338" s="322" t="e">
        <f>$S$198</f>
        <v>#DIV/0!</v>
      </c>
      <c r="T338" s="308"/>
      <c r="U338" s="2" t="e">
        <f>ROUND(S338*$C338,0)</f>
        <v>#DIV/0!</v>
      </c>
      <c r="V338" s="20"/>
      <c r="W338" s="74"/>
      <c r="X338" s="74"/>
      <c r="Y338" s="74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R338" s="84"/>
    </row>
    <row r="339" spans="1:44" hidden="1">
      <c r="A339" s="1" t="s">
        <v>398</v>
      </c>
      <c r="B339" s="1"/>
      <c r="C339" s="304">
        <f>'Rate Design Work eff 10-14-16'!C338</f>
        <v>543</v>
      </c>
      <c r="D339" s="324">
        <f>'Rate Design Work eff 9-15-17'!D338</f>
        <v>-30</v>
      </c>
      <c r="E339" s="308" t="s">
        <v>364</v>
      </c>
      <c r="F339" s="2">
        <f>ROUND(D339*C339/100,0)</f>
        <v>-163</v>
      </c>
      <c r="G339" s="324">
        <f>$G$199</f>
        <v>-30</v>
      </c>
      <c r="H339" s="308" t="s">
        <v>364</v>
      </c>
      <c r="I339" s="2">
        <f>ROUND(G339*$C339/100,0)</f>
        <v>-163</v>
      </c>
      <c r="J339" s="2"/>
      <c r="K339" s="324">
        <f>$K$199</f>
        <v>-30</v>
      </c>
      <c r="L339" s="308" t="s">
        <v>364</v>
      </c>
      <c r="M339" s="2">
        <f>ROUND(K339*$C339/100,0)</f>
        <v>-163</v>
      </c>
      <c r="N339" s="2"/>
      <c r="O339" s="324" t="str">
        <f>$O$199</f>
        <v xml:space="preserve"> </v>
      </c>
      <c r="P339" s="308" t="s">
        <v>364</v>
      </c>
      <c r="Q339" s="2">
        <f>ROUND(O339*$C339/100,0)</f>
        <v>0</v>
      </c>
      <c r="R339" s="2"/>
      <c r="S339" s="324" t="str">
        <f>$S$199</f>
        <v xml:space="preserve"> </v>
      </c>
      <c r="T339" s="308" t="s">
        <v>364</v>
      </c>
      <c r="U339" s="2">
        <f>ROUND(S339*$C339/100,0)</f>
        <v>0</v>
      </c>
      <c r="V339" s="20"/>
      <c r="W339" s="74"/>
      <c r="X339" s="74"/>
      <c r="Y339" s="74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R339" s="84"/>
    </row>
    <row r="340" spans="1:44" s="1118" customFormat="1" hidden="1">
      <c r="A340" s="968" t="s">
        <v>888</v>
      </c>
      <c r="C340" s="1122">
        <f>C334</f>
        <v>7866.6666666666697</v>
      </c>
      <c r="D340" s="254">
        <f>'Rate Design Work eff 9-15-17'!D339</f>
        <v>0</v>
      </c>
      <c r="E340" s="1119"/>
      <c r="F340" s="1123"/>
      <c r="G340" s="1128">
        <f>G183</f>
        <v>0</v>
      </c>
      <c r="H340" s="972" t="s">
        <v>364</v>
      </c>
      <c r="I340" s="1123">
        <f>ROUND(G340*$C340/100*G329,0)</f>
        <v>0</v>
      </c>
      <c r="J340" s="1123"/>
      <c r="K340" s="1128" t="str">
        <f>K183</f>
        <v xml:space="preserve"> </v>
      </c>
      <c r="L340" s="972" t="s">
        <v>364</v>
      </c>
      <c r="M340" s="1123">
        <f>ROUND(K340*$C340/100*K329,0)</f>
        <v>0</v>
      </c>
      <c r="N340" s="1123"/>
      <c r="O340" s="1128" t="str">
        <f>O183</f>
        <v xml:space="preserve"> </v>
      </c>
      <c r="P340" s="972" t="s">
        <v>364</v>
      </c>
      <c r="Q340" s="1123">
        <f>ROUND(O340*$C340/100*O329,0)</f>
        <v>0</v>
      </c>
      <c r="R340" s="1123"/>
      <c r="S340" s="1128">
        <f>S183</f>
        <v>0</v>
      </c>
      <c r="T340" s="972" t="s">
        <v>364</v>
      </c>
      <c r="U340" s="1123">
        <f>ROUND(S340*$C340/100*S329,0)</f>
        <v>0</v>
      </c>
      <c r="W340" s="784"/>
      <c r="Z340" s="1125"/>
      <c r="AA340" s="1125"/>
      <c r="AF340" s="1119"/>
      <c r="AG340" s="1119"/>
      <c r="AH340" s="1119"/>
      <c r="AI340" s="1119"/>
      <c r="AJ340" s="1119"/>
      <c r="AK340" s="1119"/>
      <c r="AL340" s="1119"/>
      <c r="AM340" s="1119"/>
      <c r="AN340" s="1119"/>
      <c r="AO340" s="1119"/>
      <c r="AP340" s="1119"/>
      <c r="AR340" s="1124"/>
    </row>
    <row r="341" spans="1:44" s="1118" customFormat="1" hidden="1">
      <c r="A341" s="968" t="s">
        <v>889</v>
      </c>
      <c r="C341" s="1122">
        <f>C335</f>
        <v>62933.333333333299</v>
      </c>
      <c r="D341" s="254">
        <f>'Rate Design Work eff 9-15-17'!D340</f>
        <v>0</v>
      </c>
      <c r="E341" s="1119"/>
      <c r="F341" s="1123"/>
      <c r="G341" s="1128">
        <f>G184</f>
        <v>0</v>
      </c>
      <c r="H341" s="972" t="s">
        <v>364</v>
      </c>
      <c r="I341" s="1123">
        <f>ROUND(G341*$C341/100*G329,0)</f>
        <v>0</v>
      </c>
      <c r="J341" s="1123"/>
      <c r="K341" s="1128" t="str">
        <f>K184</f>
        <v xml:space="preserve"> </v>
      </c>
      <c r="L341" s="972" t="s">
        <v>364</v>
      </c>
      <c r="M341" s="1123">
        <f>ROUND(K341*$C341/100*K329,0)</f>
        <v>0</v>
      </c>
      <c r="N341" s="1123"/>
      <c r="O341" s="1128" t="str">
        <f>O184</f>
        <v xml:space="preserve"> </v>
      </c>
      <c r="P341" s="972" t="s">
        <v>364</v>
      </c>
      <c r="Q341" s="1123">
        <f>ROUND(O341*$C341/100*O329,0)</f>
        <v>0</v>
      </c>
      <c r="R341" s="1123"/>
      <c r="S341" s="1128">
        <f>S184</f>
        <v>0</v>
      </c>
      <c r="T341" s="972" t="s">
        <v>364</v>
      </c>
      <c r="U341" s="1123">
        <f>ROUND(S341*$C341/100*S329,0)</f>
        <v>0</v>
      </c>
      <c r="W341" s="784"/>
      <c r="Z341" s="1125"/>
      <c r="AA341" s="1125"/>
      <c r="AF341" s="1119"/>
      <c r="AG341" s="1119"/>
      <c r="AH341" s="1119"/>
      <c r="AI341" s="1119"/>
      <c r="AJ341" s="1119"/>
      <c r="AK341" s="1119"/>
      <c r="AL341" s="1119"/>
      <c r="AM341" s="1119"/>
      <c r="AN341" s="1119"/>
      <c r="AO341" s="1119"/>
      <c r="AP341" s="1119"/>
      <c r="AR341" s="1124"/>
    </row>
    <row r="342" spans="1:44" s="1118" customFormat="1" hidden="1">
      <c r="A342" s="968" t="s">
        <v>890</v>
      </c>
      <c r="C342" s="1122">
        <f>C336</f>
        <v>232200.00000000003</v>
      </c>
      <c r="D342" s="254">
        <f>'Rate Design Work eff 9-15-17'!D341</f>
        <v>0</v>
      </c>
      <c r="E342" s="1119"/>
      <c r="F342" s="1123"/>
      <c r="G342" s="1128">
        <f>G185</f>
        <v>0</v>
      </c>
      <c r="H342" s="972" t="s">
        <v>364</v>
      </c>
      <c r="I342" s="1123">
        <f>ROUND(G342*$C342/100*G329,0)</f>
        <v>0</v>
      </c>
      <c r="J342" s="1123"/>
      <c r="K342" s="1128" t="str">
        <f>K185</f>
        <v xml:space="preserve"> </v>
      </c>
      <c r="L342" s="972" t="s">
        <v>364</v>
      </c>
      <c r="M342" s="1123">
        <f>ROUND(K342*$C342/100*K329,0)</f>
        <v>0</v>
      </c>
      <c r="N342" s="1123"/>
      <c r="O342" s="1128" t="str">
        <f>O185</f>
        <v xml:space="preserve"> </v>
      </c>
      <c r="P342" s="972" t="s">
        <v>364</v>
      </c>
      <c r="Q342" s="1123">
        <f>ROUND(O342*$C342/100*O329,0)</f>
        <v>0</v>
      </c>
      <c r="R342" s="1123"/>
      <c r="S342" s="1128">
        <f>S185</f>
        <v>0</v>
      </c>
      <c r="T342" s="972" t="s">
        <v>364</v>
      </c>
      <c r="U342" s="1123">
        <f>ROUND(S342*$C342/100*S329,0)</f>
        <v>0</v>
      </c>
      <c r="W342" s="784"/>
      <c r="Z342" s="1125"/>
      <c r="AA342" s="1125"/>
      <c r="AF342" s="1119"/>
      <c r="AG342" s="1119"/>
      <c r="AH342" s="1119"/>
      <c r="AI342" s="1119"/>
      <c r="AJ342" s="1119"/>
      <c r="AK342" s="1119"/>
      <c r="AL342" s="1119"/>
      <c r="AM342" s="1119"/>
      <c r="AN342" s="1119"/>
      <c r="AO342" s="1119"/>
      <c r="AP342" s="1119"/>
      <c r="AR342" s="1124"/>
    </row>
    <row r="343" spans="1:44" hidden="1">
      <c r="A343" s="1" t="s">
        <v>371</v>
      </c>
      <c r="B343" s="1"/>
      <c r="C343" s="304">
        <f>SUM(C322:C324)</f>
        <v>17280151</v>
      </c>
      <c r="D343" s="315"/>
      <c r="E343" s="308"/>
      <c r="F343" s="2">
        <f>SUM(F317:F339)</f>
        <v>1577616</v>
      </c>
      <c r="G343" s="315"/>
      <c r="H343" s="308"/>
      <c r="I343" s="2">
        <f ca="1">SUM(I317:I342)</f>
        <v>1614996</v>
      </c>
      <c r="J343" s="2"/>
      <c r="K343" s="315"/>
      <c r="L343" s="308"/>
      <c r="M343" s="2" t="e">
        <f ca="1">SUM(M317:M342)</f>
        <v>#REF!</v>
      </c>
      <c r="N343" s="2"/>
      <c r="O343" s="315"/>
      <c r="P343" s="308"/>
      <c r="Q343" s="2" t="e">
        <f ca="1">SUM(Q317:Q342)</f>
        <v>#DIV/0!</v>
      </c>
      <c r="R343" s="2"/>
      <c r="S343" s="315"/>
      <c r="T343" s="308"/>
      <c r="U343" s="2" t="e">
        <f ca="1">SUM(U317:U342)</f>
        <v>#DIV/0!</v>
      </c>
      <c r="V343" s="20"/>
      <c r="W343" s="74"/>
      <c r="X343" s="74"/>
      <c r="Y343" s="74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R343" s="84"/>
    </row>
    <row r="344" spans="1:44" hidden="1">
      <c r="A344" s="1" t="s">
        <v>353</v>
      </c>
      <c r="B344" s="1"/>
      <c r="C344" s="334">
        <f ca="1">'Table 2'!H71</f>
        <v>53727.522773253761</v>
      </c>
      <c r="D344" s="294"/>
      <c r="E344" s="294"/>
      <c r="F344" s="326">
        <f ca="1">'Table 3'!E71</f>
        <v>4976.1641860674354</v>
      </c>
      <c r="G344" s="294"/>
      <c r="H344" s="294"/>
      <c r="I344" s="326">
        <f ca="1">F344</f>
        <v>4976.1641860674354</v>
      </c>
      <c r="J344" s="307"/>
      <c r="K344" s="294"/>
      <c r="L344" s="294"/>
      <c r="M344" s="326" t="e">
        <f ca="1">M204/I204*I344</f>
        <v>#DIV/0!</v>
      </c>
      <c r="N344" s="307"/>
      <c r="O344" s="294"/>
      <c r="P344" s="294"/>
      <c r="Q344" s="326" t="e">
        <f ca="1">Q204/I204*I344</f>
        <v>#DIV/0!</v>
      </c>
      <c r="R344" s="307"/>
      <c r="S344" s="294"/>
      <c r="T344" s="294"/>
      <c r="U344" s="326" t="e">
        <f ca="1">U204/I204*I344</f>
        <v>#DIV/0!</v>
      </c>
      <c r="V344" s="429"/>
      <c r="W344" s="272"/>
      <c r="X344" s="74"/>
      <c r="Y344" s="74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R344" s="84"/>
    </row>
    <row r="345" spans="1:44" ht="16.5" hidden="1" thickBot="1">
      <c r="A345" s="1" t="s">
        <v>372</v>
      </c>
      <c r="B345" s="1"/>
      <c r="C345" s="296">
        <f ca="1">SUM(C343:C344)</f>
        <v>17333878.522773255</v>
      </c>
      <c r="D345" s="327"/>
      <c r="E345" s="330"/>
      <c r="F345" s="329">
        <f ca="1">F343+F344</f>
        <v>1582592.1641860674</v>
      </c>
      <c r="G345" s="327"/>
      <c r="H345" s="330"/>
      <c r="I345" s="329">
        <f ca="1">I343+I344</f>
        <v>1619972.1641860674</v>
      </c>
      <c r="J345" s="307"/>
      <c r="K345" s="327"/>
      <c r="L345" s="330"/>
      <c r="M345" s="329" t="e">
        <f ca="1">M343+M344</f>
        <v>#REF!</v>
      </c>
      <c r="N345" s="329"/>
      <c r="O345" s="327"/>
      <c r="P345" s="330"/>
      <c r="Q345" s="329" t="e">
        <f ca="1">Q343+Q344</f>
        <v>#DIV/0!</v>
      </c>
      <c r="R345" s="329"/>
      <c r="S345" s="327"/>
      <c r="T345" s="330"/>
      <c r="U345" s="329" t="e">
        <f ca="1">U343+U344</f>
        <v>#DIV/0!</v>
      </c>
      <c r="V345" s="396"/>
      <c r="W345" s="455"/>
      <c r="X345" s="74"/>
      <c r="Y345" s="74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R345" s="84"/>
    </row>
    <row r="346" spans="1:44" ht="16.5" hidden="1" thickTop="1">
      <c r="A346" s="1"/>
      <c r="B346" s="1"/>
      <c r="C346" s="335"/>
      <c r="D346" s="336"/>
      <c r="E346" s="23"/>
      <c r="F346" s="307"/>
      <c r="G346" s="336"/>
      <c r="H346" s="23"/>
      <c r="I346" s="307"/>
      <c r="J346" s="307"/>
      <c r="K346" s="336"/>
      <c r="L346" s="23"/>
      <c r="M346" s="307"/>
      <c r="N346" s="307"/>
      <c r="O346" s="336"/>
      <c r="P346" s="23"/>
      <c r="Q346" s="307"/>
      <c r="R346" s="307"/>
      <c r="S346" s="336"/>
      <c r="T346" s="23"/>
      <c r="U346" s="307"/>
      <c r="V346" s="20"/>
      <c r="W346" s="74"/>
      <c r="X346" s="74"/>
      <c r="Y346" s="74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R346" s="84"/>
    </row>
    <row r="347" spans="1:44" hidden="1">
      <c r="A347" s="278" t="s">
        <v>405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20"/>
      <c r="W347" s="74"/>
      <c r="X347" s="74"/>
      <c r="Y347" s="74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R347" s="84"/>
    </row>
    <row r="348" spans="1:44" hidden="1">
      <c r="A348" s="1" t="s">
        <v>400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20"/>
      <c r="W348" s="74"/>
      <c r="X348" s="74"/>
      <c r="Y348" s="74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R348" s="84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20"/>
      <c r="W349" s="74"/>
      <c r="X349" s="74"/>
      <c r="Y349" s="74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R349" s="84"/>
    </row>
    <row r="350" spans="1:44" hidden="1">
      <c r="A350" s="1" t="s">
        <v>383</v>
      </c>
      <c r="B350" s="1"/>
      <c r="C350" s="304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20"/>
      <c r="W350" s="74"/>
      <c r="X350" s="74"/>
      <c r="Y350" s="74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R350" s="84"/>
    </row>
    <row r="351" spans="1:44" hidden="1">
      <c r="A351" s="1" t="s">
        <v>406</v>
      </c>
      <c r="B351" s="1"/>
      <c r="C351" s="304">
        <f>C386+C421</f>
        <v>4499.0963483023515</v>
      </c>
      <c r="D351" s="283">
        <f>'Rate Design Work eff 9-15-17'!D350</f>
        <v>9.76</v>
      </c>
      <c r="E351" s="308"/>
      <c r="F351" s="2">
        <f>ROUND(D351*$C351,0)</f>
        <v>43911</v>
      </c>
      <c r="G351" s="283">
        <f ca="1">$G$173</f>
        <v>9.99</v>
      </c>
      <c r="H351" s="308"/>
      <c r="I351" s="2">
        <f ca="1">I386+I421</f>
        <v>44946</v>
      </c>
      <c r="J351" s="2"/>
      <c r="K351" s="283">
        <f ca="1">$K$173</f>
        <v>9.76</v>
      </c>
      <c r="L351" s="308"/>
      <c r="M351" s="2">
        <f ca="1">M386+M421</f>
        <v>43912</v>
      </c>
      <c r="N351" s="2"/>
      <c r="O351" s="283" t="str">
        <f>$O$173</f>
        <v xml:space="preserve"> </v>
      </c>
      <c r="P351" s="308"/>
      <c r="Q351" s="2">
        <f>Q386+Q421</f>
        <v>0</v>
      </c>
      <c r="R351" s="2"/>
      <c r="S351" s="283" t="str">
        <f>$S$173</f>
        <v xml:space="preserve"> </v>
      </c>
      <c r="T351" s="308"/>
      <c r="U351" s="2">
        <f>U386+U421</f>
        <v>0</v>
      </c>
      <c r="V351" s="20"/>
      <c r="W351" s="74"/>
      <c r="X351" s="74"/>
      <c r="Y351" s="74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R351" s="84"/>
    </row>
    <row r="352" spans="1:44" hidden="1">
      <c r="A352" s="1" t="s">
        <v>381</v>
      </c>
      <c r="B352" s="1"/>
      <c r="C352" s="304">
        <f>C387+C422</f>
        <v>0</v>
      </c>
      <c r="D352" s="283">
        <f>'Rate Design Work eff 9-15-17'!D351</f>
        <v>14.54</v>
      </c>
      <c r="E352" s="310"/>
      <c r="F352" s="2">
        <f t="shared" ref="F352:F353" si="71">ROUND(D352*$C352,0)</f>
        <v>0</v>
      </c>
      <c r="G352" s="283">
        <f ca="1">$G$174</f>
        <v>14.89</v>
      </c>
      <c r="H352" s="310"/>
      <c r="I352" s="2">
        <f ca="1">I387+I422</f>
        <v>0</v>
      </c>
      <c r="J352" s="2"/>
      <c r="K352" s="283">
        <f ca="1">$K$174</f>
        <v>14.54</v>
      </c>
      <c r="L352" s="310"/>
      <c r="M352" s="2">
        <f ca="1">M387+M422</f>
        <v>0</v>
      </c>
      <c r="N352" s="2"/>
      <c r="O352" s="283" t="str">
        <f>$O$174</f>
        <v xml:space="preserve"> </v>
      </c>
      <c r="P352" s="310"/>
      <c r="Q352" s="2">
        <f>Q387+Q422</f>
        <v>0</v>
      </c>
      <c r="R352" s="2"/>
      <c r="S352" s="283" t="str">
        <f>$S$174</f>
        <v xml:space="preserve"> </v>
      </c>
      <c r="T352" s="310"/>
      <c r="U352" s="2">
        <f>U387+U422</f>
        <v>0</v>
      </c>
      <c r="V352" s="20"/>
      <c r="W352" s="74"/>
      <c r="X352" s="74"/>
      <c r="Y352" s="74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R352" s="84"/>
    </row>
    <row r="353" spans="1:44" hidden="1">
      <c r="A353" s="1" t="s">
        <v>382</v>
      </c>
      <c r="B353" s="1"/>
      <c r="C353" s="304">
        <f>C388+C423</f>
        <v>0</v>
      </c>
      <c r="D353" s="283">
        <f>'Rate Design Work eff 9-15-17'!D352</f>
        <v>1.02</v>
      </c>
      <c r="E353" s="310"/>
      <c r="F353" s="2">
        <f t="shared" si="71"/>
        <v>0</v>
      </c>
      <c r="G353" s="283">
        <f ca="1">$G$175</f>
        <v>1.04</v>
      </c>
      <c r="H353" s="310"/>
      <c r="I353" s="2">
        <f ca="1">I388+I423</f>
        <v>0</v>
      </c>
      <c r="J353" s="2"/>
      <c r="K353" s="283">
        <f ca="1">$K$175</f>
        <v>1.02</v>
      </c>
      <c r="L353" s="310"/>
      <c r="M353" s="2">
        <f ca="1">M388+M423</f>
        <v>0</v>
      </c>
      <c r="N353" s="2"/>
      <c r="O353" s="283" t="str">
        <f>$O$175</f>
        <v xml:space="preserve"> </v>
      </c>
      <c r="P353" s="310"/>
      <c r="Q353" s="2">
        <f>Q388+Q423</f>
        <v>0</v>
      </c>
      <c r="R353" s="2"/>
      <c r="S353" s="283" t="str">
        <f>$S$175</f>
        <v xml:space="preserve"> </v>
      </c>
      <c r="T353" s="310"/>
      <c r="U353" s="2">
        <f>U388+U423</f>
        <v>0</v>
      </c>
      <c r="V353" s="20"/>
      <c r="W353" s="74"/>
      <c r="X353" s="74"/>
      <c r="Y353" s="74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R353" s="84"/>
    </row>
    <row r="354" spans="1:44" hidden="1">
      <c r="A354" s="1" t="s">
        <v>384</v>
      </c>
      <c r="B354" s="1"/>
      <c r="C354" s="304">
        <f>SUM(C351:C352)</f>
        <v>4499.0963483023515</v>
      </c>
      <c r="D354" s="283"/>
      <c r="E354" s="308"/>
      <c r="F354" s="2"/>
      <c r="G354" s="283"/>
      <c r="H354" s="308"/>
      <c r="I354" s="2"/>
      <c r="J354" s="2"/>
      <c r="K354" s="283"/>
      <c r="L354" s="308"/>
      <c r="M354" s="2"/>
      <c r="N354" s="2"/>
      <c r="O354" s="283"/>
      <c r="P354" s="308"/>
      <c r="Q354" s="2"/>
      <c r="R354" s="2"/>
      <c r="S354" s="283"/>
      <c r="T354" s="308"/>
      <c r="U354" s="2"/>
      <c r="V354" s="20"/>
      <c r="W354" s="74"/>
      <c r="X354" s="74"/>
      <c r="Y354" s="74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R354" s="84"/>
    </row>
    <row r="355" spans="1:44" hidden="1">
      <c r="A355" s="1" t="s">
        <v>352</v>
      </c>
      <c r="B355" s="1"/>
      <c r="C355" s="304">
        <f t="shared" ref="C355:C360" si="72">C390+C425</f>
        <v>1449.1000000000033</v>
      </c>
      <c r="D355" s="283"/>
      <c r="E355" s="308"/>
      <c r="F355" s="2"/>
      <c r="G355" s="283"/>
      <c r="H355" s="308"/>
      <c r="I355" s="2"/>
      <c r="J355" s="2"/>
      <c r="K355" s="283"/>
      <c r="L355" s="308"/>
      <c r="M355" s="2"/>
      <c r="N355" s="2"/>
      <c r="O355" s="283"/>
      <c r="P355" s="308"/>
      <c r="Q355" s="2"/>
      <c r="R355" s="2"/>
      <c r="S355" s="283"/>
      <c r="T355" s="308"/>
      <c r="U355" s="2"/>
      <c r="V355" s="20"/>
      <c r="W355" s="74"/>
      <c r="X355" s="74"/>
      <c r="Y355" s="74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R355" s="84"/>
    </row>
    <row r="356" spans="1:44" hidden="1">
      <c r="A356" s="1" t="s">
        <v>385</v>
      </c>
      <c r="B356" s="1"/>
      <c r="C356" s="304">
        <f t="shared" si="72"/>
        <v>0</v>
      </c>
      <c r="D356" s="311">
        <f>'Rate Design Work eff 9-15-17'!D355</f>
        <v>3.7</v>
      </c>
      <c r="E356" s="308"/>
      <c r="F356" s="2">
        <f>ROUND(D356*C356,0)</f>
        <v>0</v>
      </c>
      <c r="G356" s="311">
        <f ca="1">$G$178</f>
        <v>3.8</v>
      </c>
      <c r="H356" s="308"/>
      <c r="I356" s="2">
        <f ca="1">I391+I426</f>
        <v>0</v>
      </c>
      <c r="J356" s="2"/>
      <c r="K356" s="311" t="e">
        <f ca="1">$K$178</f>
        <v>#REF!</v>
      </c>
      <c r="L356" s="308"/>
      <c r="M356" s="2" t="e">
        <f ca="1">M391+M426</f>
        <v>#REF!</v>
      </c>
      <c r="N356" s="2"/>
      <c r="O356" s="311" t="e">
        <f ca="1">$O$178</f>
        <v>#DIV/0!</v>
      </c>
      <c r="P356" s="308"/>
      <c r="Q356" s="2" t="e">
        <f ca="1">Q391+Q426</f>
        <v>#DIV/0!</v>
      </c>
      <c r="R356" s="2"/>
      <c r="S356" s="311" t="e">
        <f ca="1">$S$178</f>
        <v>#DIV/0!</v>
      </c>
      <c r="T356" s="308"/>
      <c r="U356" s="2" t="e">
        <f ca="1">U391+U426</f>
        <v>#DIV/0!</v>
      </c>
      <c r="V356" s="20"/>
      <c r="W356" s="74"/>
      <c r="X356" s="74"/>
      <c r="Y356" s="74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R356" s="84"/>
    </row>
    <row r="357" spans="1:44" hidden="1">
      <c r="A357" s="1" t="s">
        <v>387</v>
      </c>
      <c r="B357" s="1"/>
      <c r="C357" s="304">
        <f t="shared" si="72"/>
        <v>1238906.7942953119</v>
      </c>
      <c r="D357" s="284">
        <f>'Rate Design Work eff 9-15-17'!D356</f>
        <v>10.628</v>
      </c>
      <c r="E357" s="308" t="s">
        <v>364</v>
      </c>
      <c r="F357" s="2">
        <f>ROUND(D357*C357/100,0)</f>
        <v>131671</v>
      </c>
      <c r="G357" s="284">
        <f ca="1">$G$179</f>
        <v>10.878</v>
      </c>
      <c r="H357" s="308" t="s">
        <v>364</v>
      </c>
      <c r="I357" s="2">
        <f ca="1">I392+I427</f>
        <v>134769</v>
      </c>
      <c r="J357" s="2"/>
      <c r="K357" s="284" t="e">
        <f ca="1">$K$179</f>
        <v>#REF!</v>
      </c>
      <c r="L357" s="308" t="s">
        <v>364</v>
      </c>
      <c r="M357" s="2" t="e">
        <f ca="1">M392+M427</f>
        <v>#REF!</v>
      </c>
      <c r="N357" s="2"/>
      <c r="O357" s="284" t="e">
        <f ca="1">$O$179</f>
        <v>#DIV/0!</v>
      </c>
      <c r="P357" s="308" t="s">
        <v>364</v>
      </c>
      <c r="Q357" s="2" t="e">
        <f ca="1">Q392+Q427</f>
        <v>#DIV/0!</v>
      </c>
      <c r="R357" s="2"/>
      <c r="S357" s="284" t="e">
        <f ca="1">$S$179</f>
        <v>#DIV/0!</v>
      </c>
      <c r="T357" s="308" t="s">
        <v>364</v>
      </c>
      <c r="U357" s="2" t="e">
        <f ca="1">U392+U427</f>
        <v>#DIV/0!</v>
      </c>
      <c r="V357" s="20"/>
      <c r="W357" s="74"/>
      <c r="X357" s="74"/>
      <c r="Y357" s="74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R357" s="84"/>
    </row>
    <row r="358" spans="1:44" hidden="1">
      <c r="A358" s="1" t="s">
        <v>388</v>
      </c>
      <c r="B358" s="1"/>
      <c r="C358" s="304">
        <f t="shared" si="72"/>
        <v>64875</v>
      </c>
      <c r="D358" s="284">
        <f>'Rate Design Work eff 9-15-17'!D357</f>
        <v>7.3410000000000002</v>
      </c>
      <c r="E358" s="308" t="s">
        <v>364</v>
      </c>
      <c r="F358" s="2">
        <f>ROUND(D358*C358/100,0)</f>
        <v>4762</v>
      </c>
      <c r="G358" s="284">
        <f ca="1">$G$180</f>
        <v>7.5140000000000002</v>
      </c>
      <c r="H358" s="308" t="s">
        <v>364</v>
      </c>
      <c r="I358" s="2">
        <f ca="1">I393+I428</f>
        <v>4875</v>
      </c>
      <c r="J358" s="2"/>
      <c r="K358" s="284" t="e">
        <f ca="1">$K$180</f>
        <v>#REF!</v>
      </c>
      <c r="L358" s="308" t="s">
        <v>364</v>
      </c>
      <c r="M358" s="2" t="e">
        <f ca="1">M393+M428</f>
        <v>#REF!</v>
      </c>
      <c r="N358" s="2"/>
      <c r="O358" s="284" t="e">
        <f ca="1">$O$180</f>
        <v>#DIV/0!</v>
      </c>
      <c r="P358" s="308" t="s">
        <v>364</v>
      </c>
      <c r="Q358" s="2" t="e">
        <f ca="1">Q393+Q428</f>
        <v>#DIV/0!</v>
      </c>
      <c r="R358" s="2"/>
      <c r="S358" s="284" t="e">
        <f ca="1">$S$180</f>
        <v>#DIV/0!</v>
      </c>
      <c r="T358" s="308" t="s">
        <v>364</v>
      </c>
      <c r="U358" s="2" t="e">
        <f ca="1">U393+U428</f>
        <v>#DIV/0!</v>
      </c>
      <c r="V358" s="20"/>
      <c r="W358" s="74"/>
      <c r="X358" s="74"/>
      <c r="Y358" s="74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R358" s="84"/>
    </row>
    <row r="359" spans="1:44" hidden="1">
      <c r="A359" s="1" t="s">
        <v>389</v>
      </c>
      <c r="B359" s="1"/>
      <c r="C359" s="304">
        <f t="shared" si="72"/>
        <v>0</v>
      </c>
      <c r="D359" s="284">
        <f>'Rate Design Work eff 9-15-17'!D358</f>
        <v>6.3240000000000007</v>
      </c>
      <c r="E359" s="308" t="s">
        <v>364</v>
      </c>
      <c r="F359" s="2">
        <f>ROUND(D359*C359/100,0)</f>
        <v>0</v>
      </c>
      <c r="G359" s="284">
        <f ca="1">$G$181</f>
        <v>6.4720000000000004</v>
      </c>
      <c r="H359" s="308" t="s">
        <v>364</v>
      </c>
      <c r="I359" s="2">
        <f t="shared" ref="I359:I362" ca="1" si="73">I394+I429</f>
        <v>0</v>
      </c>
      <c r="J359" s="2"/>
      <c r="K359" s="284" t="e">
        <f ca="1">$K$181</f>
        <v>#REF!</v>
      </c>
      <c r="L359" s="308" t="s">
        <v>364</v>
      </c>
      <c r="M359" s="2" t="e">
        <f t="shared" ref="M359:M363" ca="1" si="74">M394+M429</f>
        <v>#REF!</v>
      </c>
      <c r="N359" s="2"/>
      <c r="O359" s="284" t="e">
        <f ca="1">$O$181</f>
        <v>#DIV/0!</v>
      </c>
      <c r="P359" s="308" t="s">
        <v>364</v>
      </c>
      <c r="Q359" s="2" t="e">
        <f t="shared" ref="Q359:Q363" ca="1" si="75">Q394+Q429</f>
        <v>#DIV/0!</v>
      </c>
      <c r="R359" s="2"/>
      <c r="S359" s="284" t="e">
        <f ca="1">$S$181</f>
        <v>#DIV/0!</v>
      </c>
      <c r="T359" s="308" t="s">
        <v>364</v>
      </c>
      <c r="U359" s="2" t="e">
        <f t="shared" ref="U359:U362" ca="1" si="76">U394+U429</f>
        <v>#DIV/0!</v>
      </c>
      <c r="V359" s="20"/>
      <c r="W359" s="74"/>
      <c r="X359" s="74"/>
      <c r="Y359" s="74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R359" s="84"/>
    </row>
    <row r="360" spans="1:44" hidden="1">
      <c r="A360" s="1" t="s">
        <v>390</v>
      </c>
      <c r="B360" s="1"/>
      <c r="C360" s="304">
        <f t="shared" si="72"/>
        <v>0</v>
      </c>
      <c r="D360" s="315">
        <f>'Rate Design Work eff 9-15-17'!D359</f>
        <v>57</v>
      </c>
      <c r="E360" s="308" t="s">
        <v>364</v>
      </c>
      <c r="F360" s="2">
        <f>ROUND(D360*C360/100,0)</f>
        <v>0</v>
      </c>
      <c r="G360" s="315">
        <f ca="1">$G$182</f>
        <v>58</v>
      </c>
      <c r="H360" s="308" t="s">
        <v>364</v>
      </c>
      <c r="I360" s="2">
        <f t="shared" ca="1" si="73"/>
        <v>0</v>
      </c>
      <c r="J360" s="2"/>
      <c r="K360" s="315" t="str">
        <f>$K$182</f>
        <v xml:space="preserve"> </v>
      </c>
      <c r="L360" s="308" t="s">
        <v>364</v>
      </c>
      <c r="M360" s="2">
        <f t="shared" si="74"/>
        <v>0</v>
      </c>
      <c r="N360" s="2"/>
      <c r="O360" s="315" t="e">
        <f>$O$182</f>
        <v>#DIV/0!</v>
      </c>
      <c r="P360" s="308" t="s">
        <v>364</v>
      </c>
      <c r="Q360" s="2" t="e">
        <f t="shared" si="75"/>
        <v>#DIV/0!</v>
      </c>
      <c r="R360" s="2"/>
      <c r="S360" s="315" t="e">
        <f>$S$182</f>
        <v>#DIV/0!</v>
      </c>
      <c r="T360" s="308" t="s">
        <v>364</v>
      </c>
      <c r="U360" s="2" t="e">
        <f t="shared" si="76"/>
        <v>#DIV/0!</v>
      </c>
      <c r="V360" s="20"/>
      <c r="W360" s="74"/>
      <c r="X360" s="74"/>
      <c r="Y360" s="74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R360" s="84"/>
    </row>
    <row r="361" spans="1:44" s="1118" customFormat="1" hidden="1">
      <c r="A361" s="968" t="s">
        <v>888</v>
      </c>
      <c r="C361" s="987">
        <f>C402+C443</f>
        <v>0</v>
      </c>
      <c r="D361" s="254">
        <f>'Rate Design Work eff 9-15-17'!D360</f>
        <v>0</v>
      </c>
      <c r="E361" s="1119"/>
      <c r="F361" s="1123"/>
      <c r="G361" s="1128">
        <f>G183</f>
        <v>0</v>
      </c>
      <c r="H361" s="972" t="s">
        <v>364</v>
      </c>
      <c r="I361" s="2">
        <f t="shared" si="73"/>
        <v>0</v>
      </c>
      <c r="J361" s="2"/>
      <c r="K361" s="1128" t="str">
        <f>K183</f>
        <v xml:space="preserve"> </v>
      </c>
      <c r="L361" s="972" t="s">
        <v>364</v>
      </c>
      <c r="M361" s="2">
        <f t="shared" si="74"/>
        <v>0</v>
      </c>
      <c r="N361" s="2"/>
      <c r="O361" s="1128" t="str">
        <f>O183</f>
        <v xml:space="preserve"> </v>
      </c>
      <c r="P361" s="972" t="s">
        <v>364</v>
      </c>
      <c r="Q361" s="2">
        <f t="shared" si="75"/>
        <v>0</v>
      </c>
      <c r="R361" s="2"/>
      <c r="S361" s="1128">
        <f>S183</f>
        <v>0</v>
      </c>
      <c r="T361" s="972" t="s">
        <v>364</v>
      </c>
      <c r="U361" s="2">
        <f t="shared" si="76"/>
        <v>0</v>
      </c>
      <c r="W361" s="784"/>
      <c r="Z361" s="1125"/>
      <c r="AA361" s="1125"/>
      <c r="AF361" s="1119"/>
      <c r="AG361" s="1119"/>
      <c r="AH361" s="1119"/>
      <c r="AI361" s="1119"/>
      <c r="AJ361" s="1119"/>
      <c r="AK361" s="1119"/>
      <c r="AL361" s="1119"/>
      <c r="AM361" s="1119"/>
      <c r="AN361" s="1119"/>
      <c r="AO361" s="1119"/>
      <c r="AP361" s="1119"/>
      <c r="AR361" s="1124"/>
    </row>
    <row r="362" spans="1:44" s="1118" customFormat="1" hidden="1">
      <c r="A362" s="968" t="s">
        <v>889</v>
      </c>
      <c r="C362" s="987">
        <f>C403+C444</f>
        <v>0</v>
      </c>
      <c r="D362" s="254">
        <f>'Rate Design Work eff 9-15-17'!D361</f>
        <v>0</v>
      </c>
      <c r="E362" s="1119"/>
      <c r="F362" s="1123"/>
      <c r="G362" s="1128">
        <f>G184</f>
        <v>0</v>
      </c>
      <c r="H362" s="972" t="s">
        <v>364</v>
      </c>
      <c r="I362" s="2">
        <f t="shared" si="73"/>
        <v>0</v>
      </c>
      <c r="J362" s="2"/>
      <c r="K362" s="1128" t="str">
        <f>K184</f>
        <v xml:space="preserve"> </v>
      </c>
      <c r="L362" s="972" t="s">
        <v>364</v>
      </c>
      <c r="M362" s="2">
        <f t="shared" si="74"/>
        <v>0</v>
      </c>
      <c r="N362" s="2"/>
      <c r="O362" s="1128" t="str">
        <f>O184</f>
        <v xml:space="preserve"> </v>
      </c>
      <c r="P362" s="972" t="s">
        <v>364</v>
      </c>
      <c r="Q362" s="2">
        <f t="shared" si="75"/>
        <v>0</v>
      </c>
      <c r="R362" s="2"/>
      <c r="S362" s="1128">
        <f>S184</f>
        <v>0</v>
      </c>
      <c r="T362" s="972" t="s">
        <v>364</v>
      </c>
      <c r="U362" s="2">
        <f t="shared" si="76"/>
        <v>0</v>
      </c>
      <c r="W362" s="784"/>
      <c r="Z362" s="1125"/>
      <c r="AA362" s="1125"/>
      <c r="AF362" s="1119"/>
      <c r="AG362" s="1119"/>
      <c r="AH362" s="1119"/>
      <c r="AI362" s="1119"/>
      <c r="AJ362" s="1119"/>
      <c r="AK362" s="1119"/>
      <c r="AL362" s="1119"/>
      <c r="AM362" s="1119"/>
      <c r="AN362" s="1119"/>
      <c r="AO362" s="1119"/>
      <c r="AP362" s="1119"/>
      <c r="AR362" s="1124"/>
    </row>
    <row r="363" spans="1:44" s="1118" customFormat="1" hidden="1">
      <c r="A363" s="968" t="s">
        <v>890</v>
      </c>
      <c r="C363" s="987">
        <f>C404+C448</f>
        <v>33312</v>
      </c>
      <c r="D363" s="254">
        <f>'Rate Design Work eff 9-15-17'!D362</f>
        <v>0</v>
      </c>
      <c r="E363" s="1119"/>
      <c r="F363" s="1123"/>
      <c r="G363" s="1128">
        <f>G185</f>
        <v>0</v>
      </c>
      <c r="H363" s="972" t="s">
        <v>364</v>
      </c>
      <c r="I363" s="1123">
        <f ca="1">I404+I448</f>
        <v>8774</v>
      </c>
      <c r="J363" s="1123"/>
      <c r="K363" s="1128" t="str">
        <f>K185</f>
        <v xml:space="preserve"> </v>
      </c>
      <c r="L363" s="972" t="s">
        <v>364</v>
      </c>
      <c r="M363" s="2">
        <f t="shared" si="74"/>
        <v>0</v>
      </c>
      <c r="N363" s="1123"/>
      <c r="O363" s="1128" t="str">
        <f>O185</f>
        <v xml:space="preserve"> </v>
      </c>
      <c r="P363" s="972" t="s">
        <v>364</v>
      </c>
      <c r="Q363" s="2">
        <f t="shared" si="75"/>
        <v>0</v>
      </c>
      <c r="R363" s="1123"/>
      <c r="S363" s="1128">
        <f>S185</f>
        <v>0</v>
      </c>
      <c r="T363" s="972" t="s">
        <v>364</v>
      </c>
      <c r="U363" s="1123" t="e">
        <f ca="1">U404+U448</f>
        <v>#DIV/0!</v>
      </c>
      <c r="W363" s="784"/>
      <c r="Z363" s="1125"/>
      <c r="AA363" s="1125"/>
      <c r="AF363" s="1119"/>
      <c r="AG363" s="1119"/>
      <c r="AH363" s="1119"/>
      <c r="AI363" s="1119"/>
      <c r="AJ363" s="1119"/>
      <c r="AK363" s="1119"/>
      <c r="AL363" s="1119"/>
      <c r="AM363" s="1119"/>
      <c r="AN363" s="1119"/>
      <c r="AO363" s="1119"/>
      <c r="AP363" s="1119"/>
      <c r="AR363" s="1124"/>
    </row>
    <row r="364" spans="1:44" hidden="1">
      <c r="A364" s="316" t="s">
        <v>391</v>
      </c>
      <c r="B364" s="1"/>
      <c r="C364" s="304"/>
      <c r="D364" s="317">
        <f>'Rate Design Work eff 9-15-17'!D363</f>
        <v>-0.01</v>
      </c>
      <c r="E364" s="308"/>
      <c r="F364" s="2"/>
      <c r="G364" s="317">
        <v>-0.01</v>
      </c>
      <c r="H364" s="308"/>
      <c r="I364" s="2"/>
      <c r="J364" s="2"/>
      <c r="K364" s="317">
        <v>-0.01</v>
      </c>
      <c r="L364" s="308"/>
      <c r="M364" s="2"/>
      <c r="N364" s="2"/>
      <c r="O364" s="317">
        <v>-0.01</v>
      </c>
      <c r="P364" s="308"/>
      <c r="Q364" s="2"/>
      <c r="R364" s="2"/>
      <c r="S364" s="317">
        <v>-0.01</v>
      </c>
      <c r="T364" s="308"/>
      <c r="U364" s="2"/>
      <c r="V364" s="20"/>
      <c r="W364" s="74"/>
      <c r="X364" s="74"/>
      <c r="Y364" s="74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R364" s="84"/>
    </row>
    <row r="365" spans="1:44" hidden="1">
      <c r="A365" s="1" t="s">
        <v>380</v>
      </c>
      <c r="B365" s="1"/>
      <c r="C365" s="304">
        <v>0</v>
      </c>
      <c r="D365" s="319">
        <f>'Rate Design Work eff 9-15-17'!D364</f>
        <v>9.76</v>
      </c>
      <c r="E365" s="306"/>
      <c r="F365" s="2">
        <f>-ROUND(D365*$C365/100,0)</f>
        <v>0</v>
      </c>
      <c r="G365" s="319">
        <f ca="1">G351</f>
        <v>9.99</v>
      </c>
      <c r="H365" s="306"/>
      <c r="I365" s="2">
        <f t="shared" ref="I365:I378" ca="1" si="77">I400+I435</f>
        <v>0</v>
      </c>
      <c r="J365" s="2"/>
      <c r="K365" s="319">
        <f ca="1">K351</f>
        <v>9.76</v>
      </c>
      <c r="L365" s="306"/>
      <c r="M365" s="2">
        <f t="shared" ref="M365:M378" ca="1" si="78">M400+M435</f>
        <v>0</v>
      </c>
      <c r="N365" s="2"/>
      <c r="O365" s="319" t="str">
        <f>O351</f>
        <v xml:space="preserve"> </v>
      </c>
      <c r="P365" s="306"/>
      <c r="Q365" s="2">
        <f t="shared" ref="Q365:Q378" si="79">Q400+Q435</f>
        <v>0</v>
      </c>
      <c r="R365" s="2"/>
      <c r="S365" s="319" t="str">
        <f>S351</f>
        <v xml:space="preserve"> </v>
      </c>
      <c r="T365" s="306"/>
      <c r="U365" s="2">
        <f t="shared" ref="U365:U378" si="80">U400+U435</f>
        <v>0</v>
      </c>
      <c r="V365" s="20"/>
      <c r="W365" s="74"/>
      <c r="X365" s="74"/>
      <c r="Y365" s="74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R365" s="84"/>
    </row>
    <row r="366" spans="1:44" hidden="1">
      <c r="A366" s="1" t="s">
        <v>381</v>
      </c>
      <c r="B366" s="1"/>
      <c r="C366" s="304">
        <v>0</v>
      </c>
      <c r="D366" s="319">
        <f>'Rate Design Work eff 9-15-17'!D365</f>
        <v>14.54</v>
      </c>
      <c r="E366" s="306"/>
      <c r="F366" s="2">
        <f t="shared" ref="F366:F368" si="81">-ROUND(D366*$C366/100,0)</f>
        <v>0</v>
      </c>
      <c r="G366" s="319">
        <f ca="1">G352</f>
        <v>14.89</v>
      </c>
      <c r="H366" s="306"/>
      <c r="I366" s="2">
        <f t="shared" ca="1" si="77"/>
        <v>0</v>
      </c>
      <c r="J366" s="2"/>
      <c r="K366" s="319">
        <f ca="1">K352</f>
        <v>14.54</v>
      </c>
      <c r="L366" s="306"/>
      <c r="M366" s="2">
        <f t="shared" ca="1" si="78"/>
        <v>0</v>
      </c>
      <c r="N366" s="2"/>
      <c r="O366" s="319" t="str">
        <f>O352</f>
        <v xml:space="preserve"> </v>
      </c>
      <c r="P366" s="306"/>
      <c r="Q366" s="2">
        <f t="shared" si="79"/>
        <v>0</v>
      </c>
      <c r="R366" s="2"/>
      <c r="S366" s="319" t="str">
        <f>S352</f>
        <v xml:space="preserve"> </v>
      </c>
      <c r="T366" s="306"/>
      <c r="U366" s="2">
        <f t="shared" si="80"/>
        <v>0</v>
      </c>
      <c r="V366" s="20"/>
      <c r="W366" s="74"/>
      <c r="X366" s="74"/>
      <c r="Y366" s="74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R366" s="84"/>
    </row>
    <row r="367" spans="1:44" hidden="1">
      <c r="A367" s="1" t="s">
        <v>392</v>
      </c>
      <c r="B367" s="1"/>
      <c r="C367" s="304">
        <v>0</v>
      </c>
      <c r="D367" s="319">
        <f>'Rate Design Work eff 9-15-17'!D366</f>
        <v>1.02</v>
      </c>
      <c r="E367" s="306"/>
      <c r="F367" s="2">
        <f t="shared" si="81"/>
        <v>0</v>
      </c>
      <c r="G367" s="319">
        <f ca="1">G353</f>
        <v>1.04</v>
      </c>
      <c r="H367" s="306"/>
      <c r="I367" s="2">
        <f t="shared" ca="1" si="77"/>
        <v>0</v>
      </c>
      <c r="J367" s="2"/>
      <c r="K367" s="319">
        <f ca="1">K353</f>
        <v>1.02</v>
      </c>
      <c r="L367" s="306"/>
      <c r="M367" s="2">
        <f t="shared" ca="1" si="78"/>
        <v>0</v>
      </c>
      <c r="N367" s="2"/>
      <c r="O367" s="319" t="str">
        <f>O353</f>
        <v xml:space="preserve"> </v>
      </c>
      <c r="P367" s="306"/>
      <c r="Q367" s="2">
        <f t="shared" si="79"/>
        <v>0</v>
      </c>
      <c r="R367" s="2"/>
      <c r="S367" s="319" t="str">
        <f>S353</f>
        <v xml:space="preserve"> </v>
      </c>
      <c r="T367" s="306"/>
      <c r="U367" s="2">
        <f t="shared" si="80"/>
        <v>0</v>
      </c>
      <c r="V367" s="20"/>
      <c r="W367" s="74"/>
      <c r="X367" s="74"/>
      <c r="Y367" s="74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R367" s="84"/>
    </row>
    <row r="368" spans="1:44" hidden="1">
      <c r="A368" s="1" t="s">
        <v>393</v>
      </c>
      <c r="B368" s="1"/>
      <c r="C368" s="304">
        <v>0</v>
      </c>
      <c r="D368" s="319">
        <f>'Rate Design Work eff 9-15-17'!D367</f>
        <v>3.7</v>
      </c>
      <c r="E368" s="308"/>
      <c r="F368" s="2">
        <f t="shared" si="81"/>
        <v>0</v>
      </c>
      <c r="G368" s="319">
        <f ca="1">G356</f>
        <v>3.8</v>
      </c>
      <c r="H368" s="308"/>
      <c r="I368" s="2">
        <f t="shared" ca="1" si="77"/>
        <v>0</v>
      </c>
      <c r="J368" s="2"/>
      <c r="K368" s="319" t="e">
        <f ca="1">K356</f>
        <v>#REF!</v>
      </c>
      <c r="L368" s="308"/>
      <c r="M368" s="2" t="e">
        <f t="shared" ca="1" si="78"/>
        <v>#REF!</v>
      </c>
      <c r="N368" s="2"/>
      <c r="O368" s="319" t="e">
        <f ca="1">O356</f>
        <v>#DIV/0!</v>
      </c>
      <c r="P368" s="308"/>
      <c r="Q368" s="2" t="e">
        <f t="shared" ca="1" si="79"/>
        <v>#DIV/0!</v>
      </c>
      <c r="R368" s="2"/>
      <c r="S368" s="319" t="e">
        <f ca="1">S356</f>
        <v>#DIV/0!</v>
      </c>
      <c r="T368" s="308"/>
      <c r="U368" s="2" t="e">
        <f t="shared" ca="1" si="80"/>
        <v>#DIV/0!</v>
      </c>
      <c r="V368" s="20"/>
      <c r="W368" s="74"/>
      <c r="X368" s="74"/>
      <c r="Y368" s="74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R368" s="84"/>
    </row>
    <row r="369" spans="1:44" hidden="1">
      <c r="A369" s="1" t="s">
        <v>395</v>
      </c>
      <c r="B369" s="1"/>
      <c r="C369" s="304">
        <v>0</v>
      </c>
      <c r="D369" s="320">
        <f>'Rate Design Work eff 9-15-17'!D368</f>
        <v>10.628</v>
      </c>
      <c r="E369" s="308" t="s">
        <v>364</v>
      </c>
      <c r="F369" s="2">
        <f>ROUND(D369*$C369/100*D364,0)</f>
        <v>0</v>
      </c>
      <c r="G369" s="320">
        <f ca="1">G357</f>
        <v>10.878</v>
      </c>
      <c r="H369" s="308" t="s">
        <v>364</v>
      </c>
      <c r="I369" s="2">
        <f t="shared" ca="1" si="77"/>
        <v>0</v>
      </c>
      <c r="J369" s="2"/>
      <c r="K369" s="320" t="e">
        <f ca="1">K357</f>
        <v>#REF!</v>
      </c>
      <c r="L369" s="308" t="s">
        <v>364</v>
      </c>
      <c r="M369" s="2" t="e">
        <f t="shared" ca="1" si="78"/>
        <v>#REF!</v>
      </c>
      <c r="N369" s="2"/>
      <c r="O369" s="320" t="e">
        <f ca="1">O357</f>
        <v>#DIV/0!</v>
      </c>
      <c r="P369" s="308" t="s">
        <v>364</v>
      </c>
      <c r="Q369" s="2" t="e">
        <f t="shared" ca="1" si="79"/>
        <v>#DIV/0!</v>
      </c>
      <c r="R369" s="2"/>
      <c r="S369" s="320" t="e">
        <f ca="1">S357</f>
        <v>#DIV/0!</v>
      </c>
      <c r="T369" s="308" t="s">
        <v>364</v>
      </c>
      <c r="U369" s="2" t="e">
        <f t="shared" ca="1" si="80"/>
        <v>#DIV/0!</v>
      </c>
      <c r="V369" s="20"/>
      <c r="W369" s="74"/>
      <c r="X369" s="74"/>
      <c r="Y369" s="74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R369" s="84"/>
    </row>
    <row r="370" spans="1:44" hidden="1">
      <c r="A370" s="1" t="s">
        <v>388</v>
      </c>
      <c r="B370" s="1"/>
      <c r="C370" s="304">
        <v>0</v>
      </c>
      <c r="D370" s="320">
        <f>'Rate Design Work eff 9-15-17'!D369</f>
        <v>7.3410000000000002</v>
      </c>
      <c r="E370" s="308" t="s">
        <v>364</v>
      </c>
      <c r="F370" s="2">
        <f>ROUND(D370*$C370/100*D364,0)</f>
        <v>0</v>
      </c>
      <c r="G370" s="320">
        <f ca="1">G358</f>
        <v>7.5140000000000002</v>
      </c>
      <c r="H370" s="308" t="s">
        <v>364</v>
      </c>
      <c r="I370" s="2">
        <f t="shared" ca="1" si="77"/>
        <v>0</v>
      </c>
      <c r="J370" s="2"/>
      <c r="K370" s="320" t="e">
        <f ca="1">K358</f>
        <v>#REF!</v>
      </c>
      <c r="L370" s="308" t="s">
        <v>364</v>
      </c>
      <c r="M370" s="2" t="e">
        <f t="shared" ca="1" si="78"/>
        <v>#REF!</v>
      </c>
      <c r="N370" s="2"/>
      <c r="O370" s="320" t="e">
        <f ca="1">O358</f>
        <v>#DIV/0!</v>
      </c>
      <c r="P370" s="308" t="s">
        <v>364</v>
      </c>
      <c r="Q370" s="2" t="e">
        <f t="shared" ca="1" si="79"/>
        <v>#DIV/0!</v>
      </c>
      <c r="R370" s="2"/>
      <c r="S370" s="320" t="e">
        <f ca="1">S358</f>
        <v>#DIV/0!</v>
      </c>
      <c r="T370" s="308" t="s">
        <v>364</v>
      </c>
      <c r="U370" s="2" t="e">
        <f t="shared" ca="1" si="80"/>
        <v>#DIV/0!</v>
      </c>
      <c r="V370" s="20"/>
      <c r="W370" s="74"/>
      <c r="X370" s="74"/>
      <c r="Y370" s="74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R370" s="84"/>
    </row>
    <row r="371" spans="1:44" hidden="1">
      <c r="A371" s="1" t="s">
        <v>389</v>
      </c>
      <c r="B371" s="1"/>
      <c r="C371" s="304">
        <v>0</v>
      </c>
      <c r="D371" s="320">
        <f>'Rate Design Work eff 9-15-17'!D370</f>
        <v>6.3240000000000007</v>
      </c>
      <c r="E371" s="308" t="s">
        <v>364</v>
      </c>
      <c r="F371" s="2">
        <f>ROUND(D371*$C371/100*D364,0)</f>
        <v>0</v>
      </c>
      <c r="G371" s="320">
        <f ca="1">G359</f>
        <v>6.4720000000000004</v>
      </c>
      <c r="H371" s="308" t="s">
        <v>364</v>
      </c>
      <c r="I371" s="2">
        <f t="shared" ca="1" si="77"/>
        <v>0</v>
      </c>
      <c r="J371" s="2"/>
      <c r="K371" s="320" t="e">
        <f ca="1">K359</f>
        <v>#REF!</v>
      </c>
      <c r="L371" s="308" t="s">
        <v>364</v>
      </c>
      <c r="M371" s="2" t="e">
        <f t="shared" ca="1" si="78"/>
        <v>#REF!</v>
      </c>
      <c r="N371" s="2"/>
      <c r="O371" s="320" t="e">
        <f ca="1">O359</f>
        <v>#DIV/0!</v>
      </c>
      <c r="P371" s="308" t="s">
        <v>364</v>
      </c>
      <c r="Q371" s="2" t="e">
        <f t="shared" ca="1" si="79"/>
        <v>#DIV/0!</v>
      </c>
      <c r="R371" s="2"/>
      <c r="S371" s="320" t="e">
        <f ca="1">S359</f>
        <v>#DIV/0!</v>
      </c>
      <c r="T371" s="308" t="s">
        <v>364</v>
      </c>
      <c r="U371" s="2" t="e">
        <f t="shared" ca="1" si="80"/>
        <v>#DIV/0!</v>
      </c>
      <c r="V371" s="20"/>
      <c r="W371" s="74"/>
      <c r="X371" s="74"/>
      <c r="Y371" s="74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R371" s="84"/>
    </row>
    <row r="372" spans="1:44" hidden="1">
      <c r="A372" s="1" t="s">
        <v>390</v>
      </c>
      <c r="B372" s="1"/>
      <c r="C372" s="304">
        <v>0</v>
      </c>
      <c r="D372" s="321">
        <f>'Rate Design Work eff 9-15-17'!D371</f>
        <v>57</v>
      </c>
      <c r="E372" s="308" t="s">
        <v>364</v>
      </c>
      <c r="F372" s="2">
        <f>ROUND(D372*$C372/100*D364,0)</f>
        <v>0</v>
      </c>
      <c r="G372" s="321">
        <f ca="1">G360</f>
        <v>58</v>
      </c>
      <c r="H372" s="308" t="s">
        <v>364</v>
      </c>
      <c r="I372" s="2">
        <f t="shared" ca="1" si="77"/>
        <v>0</v>
      </c>
      <c r="J372" s="2"/>
      <c r="K372" s="321" t="str">
        <f>K360</f>
        <v xml:space="preserve"> </v>
      </c>
      <c r="L372" s="308" t="s">
        <v>364</v>
      </c>
      <c r="M372" s="2">
        <f t="shared" si="78"/>
        <v>0</v>
      </c>
      <c r="N372" s="2"/>
      <c r="O372" s="321" t="e">
        <f>O360</f>
        <v>#DIV/0!</v>
      </c>
      <c r="P372" s="308" t="s">
        <v>364</v>
      </c>
      <c r="Q372" s="2" t="e">
        <f t="shared" si="79"/>
        <v>#DIV/0!</v>
      </c>
      <c r="R372" s="2"/>
      <c r="S372" s="321" t="e">
        <f>S360</f>
        <v>#DIV/0!</v>
      </c>
      <c r="T372" s="308" t="s">
        <v>364</v>
      </c>
      <c r="U372" s="2" t="e">
        <f t="shared" si="80"/>
        <v>#DIV/0!</v>
      </c>
      <c r="V372" s="20"/>
      <c r="W372" s="74"/>
      <c r="X372" s="74"/>
      <c r="Y372" s="74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R372" s="84"/>
    </row>
    <row r="373" spans="1:44" hidden="1">
      <c r="A373" s="1" t="s">
        <v>397</v>
      </c>
      <c r="B373" s="1"/>
      <c r="C373" s="304">
        <v>0</v>
      </c>
      <c r="D373" s="322">
        <f>'Rate Design Work eff 9-15-17'!D372</f>
        <v>60</v>
      </c>
      <c r="E373" s="308"/>
      <c r="F373" s="2">
        <f>ROUND(D373*C373,0)</f>
        <v>0</v>
      </c>
      <c r="G373" s="322">
        <f>$G$198</f>
        <v>60</v>
      </c>
      <c r="H373" s="308"/>
      <c r="I373" s="2">
        <f t="shared" si="77"/>
        <v>0</v>
      </c>
      <c r="J373" s="2"/>
      <c r="K373" s="322" t="str">
        <f>$K$198</f>
        <v xml:space="preserve"> </v>
      </c>
      <c r="L373" s="308"/>
      <c r="M373" s="2">
        <f t="shared" si="78"/>
        <v>0</v>
      </c>
      <c r="N373" s="2"/>
      <c r="O373" s="322" t="e">
        <f>$O$198</f>
        <v>#DIV/0!</v>
      </c>
      <c r="P373" s="308"/>
      <c r="Q373" s="2" t="e">
        <f t="shared" si="79"/>
        <v>#DIV/0!</v>
      </c>
      <c r="R373" s="2"/>
      <c r="S373" s="322" t="e">
        <f>$S$198</f>
        <v>#DIV/0!</v>
      </c>
      <c r="T373" s="308"/>
      <c r="U373" s="2" t="e">
        <f t="shared" si="80"/>
        <v>#DIV/0!</v>
      </c>
      <c r="V373" s="20"/>
      <c r="W373" s="74"/>
      <c r="X373" s="74"/>
      <c r="Y373" s="74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R373" s="84"/>
    </row>
    <row r="374" spans="1:44" hidden="1">
      <c r="A374" s="1" t="s">
        <v>398</v>
      </c>
      <c r="B374" s="1"/>
      <c r="C374" s="304">
        <v>0</v>
      </c>
      <c r="D374" s="324">
        <f>'Rate Design Work eff 9-15-17'!D373</f>
        <v>-30</v>
      </c>
      <c r="E374" s="308" t="s">
        <v>364</v>
      </c>
      <c r="F374" s="2">
        <f>ROUND(D374*C374/100,0)</f>
        <v>0</v>
      </c>
      <c r="G374" s="324">
        <f>$G$199</f>
        <v>-30</v>
      </c>
      <c r="H374" s="308" t="s">
        <v>364</v>
      </c>
      <c r="I374" s="2">
        <f t="shared" si="77"/>
        <v>0</v>
      </c>
      <c r="J374" s="2"/>
      <c r="K374" s="324">
        <f>$K$199</f>
        <v>-30</v>
      </c>
      <c r="L374" s="308" t="s">
        <v>364</v>
      </c>
      <c r="M374" s="2">
        <f t="shared" si="78"/>
        <v>0</v>
      </c>
      <c r="N374" s="2"/>
      <c r="O374" s="324" t="str">
        <f>$O$199</f>
        <v xml:space="preserve"> </v>
      </c>
      <c r="P374" s="308" t="s">
        <v>364</v>
      </c>
      <c r="Q374" s="2">
        <f t="shared" si="79"/>
        <v>0</v>
      </c>
      <c r="R374" s="2"/>
      <c r="S374" s="324" t="str">
        <f>$S$199</f>
        <v xml:space="preserve"> </v>
      </c>
      <c r="T374" s="308" t="s">
        <v>364</v>
      </c>
      <c r="U374" s="2">
        <f t="shared" si="80"/>
        <v>0</v>
      </c>
      <c r="V374" s="20"/>
      <c r="W374" s="74"/>
      <c r="X374" s="74"/>
      <c r="Y374" s="74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R374" s="84"/>
    </row>
    <row r="375" spans="1:44" s="1118" customFormat="1" hidden="1">
      <c r="A375" s="968" t="s">
        <v>888</v>
      </c>
      <c r="C375" s="987">
        <v>0</v>
      </c>
      <c r="D375" s="254">
        <f>'Rate Design Work eff 9-15-17'!D374</f>
        <v>0</v>
      </c>
      <c r="E375" s="1119"/>
      <c r="F375" s="1123"/>
      <c r="G375" s="1128">
        <f>G183</f>
        <v>0</v>
      </c>
      <c r="H375" s="972" t="s">
        <v>364</v>
      </c>
      <c r="I375" s="2">
        <f t="shared" si="77"/>
        <v>0</v>
      </c>
      <c r="J375" s="2"/>
      <c r="K375" s="1128" t="str">
        <f>K183</f>
        <v xml:space="preserve"> </v>
      </c>
      <c r="L375" s="972" t="s">
        <v>364</v>
      </c>
      <c r="M375" s="2">
        <f t="shared" si="78"/>
        <v>0</v>
      </c>
      <c r="N375" s="2"/>
      <c r="O375" s="1128" t="str">
        <f>O183</f>
        <v xml:space="preserve"> </v>
      </c>
      <c r="P375" s="972" t="s">
        <v>364</v>
      </c>
      <c r="Q375" s="2">
        <f t="shared" si="79"/>
        <v>0</v>
      </c>
      <c r="R375" s="2"/>
      <c r="S375" s="1128">
        <f>S183</f>
        <v>0</v>
      </c>
      <c r="T375" s="972" t="s">
        <v>364</v>
      </c>
      <c r="U375" s="2">
        <f t="shared" si="80"/>
        <v>0</v>
      </c>
      <c r="W375" s="784"/>
      <c r="Z375" s="1125"/>
      <c r="AA375" s="1125"/>
      <c r="AF375" s="1119"/>
      <c r="AG375" s="1119"/>
      <c r="AH375" s="1119"/>
      <c r="AI375" s="1119"/>
      <c r="AJ375" s="1119"/>
      <c r="AK375" s="1119"/>
      <c r="AL375" s="1119"/>
      <c r="AM375" s="1119"/>
      <c r="AN375" s="1119"/>
      <c r="AO375" s="1119"/>
      <c r="AP375" s="1119"/>
      <c r="AR375" s="1124"/>
    </row>
    <row r="376" spans="1:44" s="1118" customFormat="1" hidden="1">
      <c r="A376" s="968" t="s">
        <v>889</v>
      </c>
      <c r="C376" s="987">
        <v>0</v>
      </c>
      <c r="D376" s="254">
        <f>'Rate Design Work eff 9-15-17'!D375</f>
        <v>0</v>
      </c>
      <c r="E376" s="1119"/>
      <c r="F376" s="1123"/>
      <c r="G376" s="1128">
        <f>G184</f>
        <v>0</v>
      </c>
      <c r="H376" s="972" t="s">
        <v>364</v>
      </c>
      <c r="I376" s="2">
        <f t="shared" si="77"/>
        <v>0</v>
      </c>
      <c r="J376" s="2"/>
      <c r="K376" s="1128" t="str">
        <f>K184</f>
        <v xml:space="preserve"> </v>
      </c>
      <c r="L376" s="972" t="s">
        <v>364</v>
      </c>
      <c r="M376" s="2">
        <f t="shared" si="78"/>
        <v>0</v>
      </c>
      <c r="N376" s="2"/>
      <c r="O376" s="1128" t="str">
        <f>O184</f>
        <v xml:space="preserve"> </v>
      </c>
      <c r="P376" s="972" t="s">
        <v>364</v>
      </c>
      <c r="Q376" s="2">
        <f t="shared" si="79"/>
        <v>0</v>
      </c>
      <c r="R376" s="2"/>
      <c r="S376" s="1128">
        <f>S184</f>
        <v>0</v>
      </c>
      <c r="T376" s="972" t="s">
        <v>364</v>
      </c>
      <c r="U376" s="2">
        <f t="shared" si="80"/>
        <v>0</v>
      </c>
      <c r="W376" s="784"/>
      <c r="Z376" s="1125"/>
      <c r="AA376" s="1125"/>
      <c r="AF376" s="1119"/>
      <c r="AG376" s="1119"/>
      <c r="AH376" s="1119"/>
      <c r="AI376" s="1119"/>
      <c r="AJ376" s="1119"/>
      <c r="AK376" s="1119"/>
      <c r="AL376" s="1119"/>
      <c r="AM376" s="1119"/>
      <c r="AN376" s="1119"/>
      <c r="AO376" s="1119"/>
      <c r="AP376" s="1119"/>
      <c r="AR376" s="1124"/>
    </row>
    <row r="377" spans="1:44" s="1118" customFormat="1" hidden="1">
      <c r="A377" s="968" t="s">
        <v>890</v>
      </c>
      <c r="C377" s="987">
        <v>0</v>
      </c>
      <c r="D377" s="254">
        <f>'Rate Design Work eff 9-15-17'!D376</f>
        <v>0</v>
      </c>
      <c r="E377" s="1119"/>
      <c r="F377" s="1123"/>
      <c r="G377" s="1128">
        <f>G185</f>
        <v>0</v>
      </c>
      <c r="H377" s="972" t="s">
        <v>364</v>
      </c>
      <c r="I377" s="2">
        <f t="shared" si="77"/>
        <v>0</v>
      </c>
      <c r="J377" s="2"/>
      <c r="K377" s="1128" t="str">
        <f>K185</f>
        <v xml:space="preserve"> </v>
      </c>
      <c r="L377" s="972" t="s">
        <v>364</v>
      </c>
      <c r="M377" s="2">
        <f t="shared" si="78"/>
        <v>0</v>
      </c>
      <c r="N377" s="2"/>
      <c r="O377" s="1128" t="str">
        <f>O185</f>
        <v xml:space="preserve"> </v>
      </c>
      <c r="P377" s="972" t="s">
        <v>364</v>
      </c>
      <c r="Q377" s="2">
        <f t="shared" si="79"/>
        <v>0</v>
      </c>
      <c r="R377" s="2"/>
      <c r="S377" s="1128">
        <f>S185</f>
        <v>0</v>
      </c>
      <c r="T377" s="972" t="s">
        <v>364</v>
      </c>
      <c r="U377" s="2">
        <f t="shared" si="80"/>
        <v>0</v>
      </c>
      <c r="W377" s="784"/>
      <c r="Z377" s="1125"/>
      <c r="AA377" s="1125"/>
      <c r="AF377" s="1119"/>
      <c r="AG377" s="1119"/>
      <c r="AH377" s="1119"/>
      <c r="AI377" s="1119"/>
      <c r="AJ377" s="1119"/>
      <c r="AK377" s="1119"/>
      <c r="AL377" s="1119"/>
      <c r="AM377" s="1119"/>
      <c r="AN377" s="1119"/>
      <c r="AO377" s="1119"/>
      <c r="AP377" s="1119"/>
      <c r="AR377" s="1124"/>
    </row>
    <row r="378" spans="1:44" hidden="1">
      <c r="A378" s="1" t="s">
        <v>371</v>
      </c>
      <c r="B378" s="1"/>
      <c r="C378" s="304">
        <f>C413+C448</f>
        <v>1303781.7942953119</v>
      </c>
      <c r="D378" s="315"/>
      <c r="E378" s="308"/>
      <c r="F378" s="2">
        <f>F413+F448</f>
        <v>180345</v>
      </c>
      <c r="G378" s="315"/>
      <c r="H378" s="308"/>
      <c r="I378" s="2">
        <f t="shared" ca="1" si="77"/>
        <v>184590</v>
      </c>
      <c r="J378" s="2"/>
      <c r="K378" s="315"/>
      <c r="L378" s="308"/>
      <c r="M378" s="2" t="e">
        <f t="shared" ca="1" si="78"/>
        <v>#REF!</v>
      </c>
      <c r="N378" s="2"/>
      <c r="O378" s="315"/>
      <c r="P378" s="308"/>
      <c r="Q378" s="2" t="e">
        <f t="shared" ca="1" si="79"/>
        <v>#DIV/0!</v>
      </c>
      <c r="R378" s="2"/>
      <c r="S378" s="315"/>
      <c r="T378" s="308"/>
      <c r="U378" s="2" t="e">
        <f t="shared" ca="1" si="80"/>
        <v>#DIV/0!</v>
      </c>
      <c r="V378" s="20"/>
      <c r="W378" s="74"/>
      <c r="X378" s="74"/>
      <c r="Y378" s="74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R378" s="84"/>
    </row>
    <row r="379" spans="1:44" hidden="1">
      <c r="A379" s="1" t="s">
        <v>353</v>
      </c>
      <c r="B379" s="1"/>
      <c r="C379" s="325">
        <f ca="1">C414+C449</f>
        <v>8866.1474847682257</v>
      </c>
      <c r="D379" s="294"/>
      <c r="E379" s="294"/>
      <c r="F379" s="326">
        <f ca="1">F414+F449</f>
        <v>1349.4416224178776</v>
      </c>
      <c r="G379" s="294"/>
      <c r="H379" s="294"/>
      <c r="I379" s="326">
        <f ca="1">F379</f>
        <v>1349.4416224178776</v>
      </c>
      <c r="J379" s="307"/>
      <c r="K379" s="294"/>
      <c r="L379" s="294"/>
      <c r="M379" s="326" t="e">
        <f ca="1">M204/I204*I379</f>
        <v>#DIV/0!</v>
      </c>
      <c r="N379" s="307"/>
      <c r="O379" s="294"/>
      <c r="P379" s="294"/>
      <c r="Q379" s="326" t="e">
        <f ca="1">Q204/I204*I379</f>
        <v>#DIV/0!</v>
      </c>
      <c r="R379" s="307"/>
      <c r="S379" s="294"/>
      <c r="T379" s="294"/>
      <c r="U379" s="326" t="e">
        <f ca="1">U204/I204*I379</f>
        <v>#DIV/0!</v>
      </c>
      <c r="V379" s="429"/>
      <c r="W379" s="272"/>
      <c r="X379" s="74"/>
      <c r="Y379" s="74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R379" s="84"/>
    </row>
    <row r="380" spans="1:44" ht="16.5" hidden="1" thickBot="1">
      <c r="A380" s="1" t="s">
        <v>372</v>
      </c>
      <c r="B380" s="1"/>
      <c r="C380" s="296">
        <f ca="1">SUM(C378:C379)</f>
        <v>1312647.9417800801</v>
      </c>
      <c r="D380" s="327"/>
      <c r="E380" s="330"/>
      <c r="F380" s="329">
        <f ca="1">F378+F379</f>
        <v>181694.44162241789</v>
      </c>
      <c r="G380" s="327"/>
      <c r="H380" s="330"/>
      <c r="I380" s="329">
        <f ca="1">I378+I379</f>
        <v>185939.44162241789</v>
      </c>
      <c r="J380" s="307"/>
      <c r="K380" s="327"/>
      <c r="L380" s="330"/>
      <c r="M380" s="329" t="e">
        <f ca="1">M378+M379</f>
        <v>#REF!</v>
      </c>
      <c r="N380" s="329"/>
      <c r="O380" s="327"/>
      <c r="P380" s="330"/>
      <c r="Q380" s="329" t="e">
        <f ca="1">Q378+Q379</f>
        <v>#DIV/0!</v>
      </c>
      <c r="R380" s="329"/>
      <c r="S380" s="327"/>
      <c r="T380" s="330"/>
      <c r="U380" s="329" t="e">
        <f ca="1">U378+U379</f>
        <v>#DIV/0!</v>
      </c>
      <c r="V380" s="396"/>
      <c r="W380" s="455"/>
      <c r="X380" s="74"/>
      <c r="Y380" s="74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R380" s="84"/>
    </row>
    <row r="381" spans="1:44" ht="16.5" hidden="1" thickTop="1">
      <c r="A381" s="1"/>
      <c r="B381" s="1"/>
      <c r="C381" s="21"/>
      <c r="D381" s="322"/>
      <c r="E381" s="1"/>
      <c r="F381" s="2"/>
      <c r="G381" s="322"/>
      <c r="H381" s="1"/>
      <c r="I381" s="2" t="s">
        <v>31</v>
      </c>
      <c r="J381" s="2"/>
      <c r="K381" s="322"/>
      <c r="L381" s="1"/>
      <c r="M381" s="2" t="s">
        <v>31</v>
      </c>
      <c r="N381" s="2"/>
      <c r="O381" s="322"/>
      <c r="P381" s="1"/>
      <c r="Q381" s="2" t="s">
        <v>31</v>
      </c>
      <c r="R381" s="2"/>
      <c r="S381" s="322"/>
      <c r="T381" s="1"/>
      <c r="U381" s="2" t="s">
        <v>31</v>
      </c>
      <c r="V381" s="20"/>
      <c r="W381" s="74"/>
      <c r="X381" s="74"/>
      <c r="Y381" s="74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R381" s="84"/>
    </row>
    <row r="382" spans="1:44" hidden="1">
      <c r="A382" s="278" t="s">
        <v>405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20"/>
      <c r="W382" s="74"/>
      <c r="X382" s="74"/>
      <c r="Y382" s="74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R382" s="84"/>
    </row>
    <row r="383" spans="1:44" hidden="1">
      <c r="A383" s="1" t="s">
        <v>401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20"/>
      <c r="W383" s="74"/>
      <c r="X383" s="74"/>
      <c r="Y383" s="74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R383" s="84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20"/>
      <c r="W384" s="74"/>
      <c r="X384" s="74"/>
      <c r="Y384" s="74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R384" s="84"/>
    </row>
    <row r="385" spans="1:44" hidden="1">
      <c r="A385" s="1" t="s">
        <v>383</v>
      </c>
      <c r="B385" s="1"/>
      <c r="C385" s="304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20"/>
      <c r="W385" s="74"/>
      <c r="X385" s="74"/>
      <c r="Y385" s="74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R385" s="84"/>
    </row>
    <row r="386" spans="1:44" hidden="1">
      <c r="A386" s="1" t="s">
        <v>406</v>
      </c>
      <c r="B386" s="1"/>
      <c r="C386" s="304">
        <f>'Rate Design Work eff 10-14-16'!C385</f>
        <v>3983.5574873188079</v>
      </c>
      <c r="D386" s="283">
        <f>'Rate Design Work eff 9-15-17'!D385</f>
        <v>9.76</v>
      </c>
      <c r="E386" s="308"/>
      <c r="F386" s="2">
        <f>ROUND(D386*$C386,0)</f>
        <v>38880</v>
      </c>
      <c r="G386" s="283">
        <f ca="1">$G$173</f>
        <v>9.99</v>
      </c>
      <c r="H386" s="308"/>
      <c r="I386" s="2">
        <f ca="1">ROUND(G386*$C386,0)</f>
        <v>39796</v>
      </c>
      <c r="J386" s="2"/>
      <c r="K386" s="283">
        <f ca="1">$K$173</f>
        <v>9.76</v>
      </c>
      <c r="L386" s="308"/>
      <c r="M386" s="2">
        <f ca="1">ROUND(K386*$C386,0)</f>
        <v>38880</v>
      </c>
      <c r="N386" s="2"/>
      <c r="O386" s="283" t="str">
        <f>$O$173</f>
        <v xml:space="preserve"> </v>
      </c>
      <c r="P386" s="308"/>
      <c r="Q386" s="2">
        <f>ROUND(O386*$C386,0)</f>
        <v>0</v>
      </c>
      <c r="R386" s="2"/>
      <c r="S386" s="283" t="str">
        <f>$S$173</f>
        <v xml:space="preserve"> </v>
      </c>
      <c r="T386" s="308"/>
      <c r="U386" s="2">
        <f>ROUND(S386*$C386,0)</f>
        <v>0</v>
      </c>
      <c r="V386" s="20"/>
      <c r="W386" s="74"/>
      <c r="X386" s="74"/>
      <c r="Y386" s="74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R386" s="84"/>
    </row>
    <row r="387" spans="1:44" hidden="1">
      <c r="A387" s="1" t="s">
        <v>381</v>
      </c>
      <c r="B387" s="1"/>
      <c r="C387" s="304">
        <f>'Rate Design Work eff 10-14-16'!C386</f>
        <v>0</v>
      </c>
      <c r="D387" s="283">
        <f>'Rate Design Work eff 9-15-17'!D386</f>
        <v>14.54</v>
      </c>
      <c r="E387" s="310"/>
      <c r="F387" s="2">
        <f t="shared" ref="F387:F388" si="82">ROUND(D387*$C387,0)</f>
        <v>0</v>
      </c>
      <c r="G387" s="283">
        <f ca="1">$G$174</f>
        <v>14.89</v>
      </c>
      <c r="H387" s="310"/>
      <c r="I387" s="2">
        <f ca="1">ROUND(G387*$C387,0)</f>
        <v>0</v>
      </c>
      <c r="J387" s="2"/>
      <c r="K387" s="283">
        <f ca="1">$K$174</f>
        <v>14.54</v>
      </c>
      <c r="L387" s="310"/>
      <c r="M387" s="2">
        <f ca="1">ROUND(K387*$C387,0)</f>
        <v>0</v>
      </c>
      <c r="N387" s="2"/>
      <c r="O387" s="283" t="str">
        <f>$O$174</f>
        <v xml:space="preserve"> </v>
      </c>
      <c r="P387" s="310"/>
      <c r="Q387" s="2">
        <f>ROUND(O387*$C387,0)</f>
        <v>0</v>
      </c>
      <c r="R387" s="2"/>
      <c r="S387" s="283" t="str">
        <f>$S$174</f>
        <v xml:space="preserve"> </v>
      </c>
      <c r="T387" s="310"/>
      <c r="U387" s="2">
        <f>ROUND(S387*$C387,0)</f>
        <v>0</v>
      </c>
      <c r="V387" s="20"/>
      <c r="W387" s="74"/>
      <c r="X387" s="74"/>
      <c r="Y387" s="74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R387" s="84"/>
    </row>
    <row r="388" spans="1:44" hidden="1">
      <c r="A388" s="1" t="s">
        <v>382</v>
      </c>
      <c r="B388" s="1"/>
      <c r="C388" s="304">
        <f>'Rate Design Work eff 10-14-16'!C387</f>
        <v>0</v>
      </c>
      <c r="D388" s="283">
        <f>'Rate Design Work eff 9-15-17'!D387</f>
        <v>1.02</v>
      </c>
      <c r="E388" s="310"/>
      <c r="F388" s="2">
        <f t="shared" si="82"/>
        <v>0</v>
      </c>
      <c r="G388" s="283">
        <f ca="1">$G$175</f>
        <v>1.04</v>
      </c>
      <c r="H388" s="310"/>
      <c r="I388" s="2">
        <f ca="1">ROUND(G388*$C388,0)</f>
        <v>0</v>
      </c>
      <c r="J388" s="2"/>
      <c r="K388" s="283">
        <f ca="1">$K$175</f>
        <v>1.02</v>
      </c>
      <c r="L388" s="310"/>
      <c r="M388" s="2">
        <f ca="1">ROUND(K388*$C388,0)</f>
        <v>0</v>
      </c>
      <c r="N388" s="2"/>
      <c r="O388" s="283" t="str">
        <f>$O$175</f>
        <v xml:space="preserve"> </v>
      </c>
      <c r="P388" s="310"/>
      <c r="Q388" s="2">
        <f>ROUND(O388*$C388,0)</f>
        <v>0</v>
      </c>
      <c r="R388" s="2"/>
      <c r="S388" s="283" t="str">
        <f>$S$175</f>
        <v xml:space="preserve"> </v>
      </c>
      <c r="T388" s="310"/>
      <c r="U388" s="2">
        <f>ROUND(S388*$C388,0)</f>
        <v>0</v>
      </c>
      <c r="V388" s="20"/>
      <c r="W388" s="74"/>
      <c r="X388" s="74"/>
      <c r="Y388" s="74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R388" s="84"/>
    </row>
    <row r="389" spans="1:44" hidden="1">
      <c r="A389" s="1" t="s">
        <v>384</v>
      </c>
      <c r="B389" s="1"/>
      <c r="C389" s="304">
        <f>SUM(C386:C387)</f>
        <v>3983.5574873188079</v>
      </c>
      <c r="D389" s="283"/>
      <c r="E389" s="308"/>
      <c r="F389" s="2"/>
      <c r="G389" s="283"/>
      <c r="H389" s="308"/>
      <c r="I389" s="2"/>
      <c r="J389" s="2"/>
      <c r="K389" s="283"/>
      <c r="L389" s="308"/>
      <c r="M389" s="2"/>
      <c r="N389" s="2"/>
      <c r="O389" s="283"/>
      <c r="P389" s="308"/>
      <c r="Q389" s="2"/>
      <c r="R389" s="2"/>
      <c r="S389" s="283"/>
      <c r="T389" s="308"/>
      <c r="U389" s="2"/>
      <c r="V389" s="20"/>
      <c r="W389" s="74"/>
      <c r="X389" s="74"/>
      <c r="Y389" s="74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R389" s="84"/>
    </row>
    <row r="390" spans="1:44" hidden="1">
      <c r="A390" s="1" t="s">
        <v>352</v>
      </c>
      <c r="B390" s="1"/>
      <c r="C390" s="304">
        <f>'Rate Design Work eff 10-14-16'!C389</f>
        <v>1401.1000000000033</v>
      </c>
      <c r="D390" s="283"/>
      <c r="E390" s="308"/>
      <c r="F390" s="2"/>
      <c r="G390" s="283"/>
      <c r="H390" s="308"/>
      <c r="I390" s="2"/>
      <c r="J390" s="2"/>
      <c r="K390" s="283"/>
      <c r="L390" s="308"/>
      <c r="M390" s="2"/>
      <c r="N390" s="2"/>
      <c r="O390" s="283"/>
      <c r="P390" s="308"/>
      <c r="Q390" s="2"/>
      <c r="R390" s="2"/>
      <c r="S390" s="283"/>
      <c r="T390" s="308"/>
      <c r="U390" s="2"/>
      <c r="V390" s="20"/>
      <c r="W390" s="74"/>
      <c r="X390" s="74"/>
      <c r="Y390" s="74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R390" s="84"/>
    </row>
    <row r="391" spans="1:44" hidden="1">
      <c r="A391" s="1" t="s">
        <v>385</v>
      </c>
      <c r="B391" s="1"/>
      <c r="C391" s="304">
        <f>'Rate Design Work eff 10-14-16'!C390</f>
        <v>0</v>
      </c>
      <c r="D391" s="311">
        <f>'Rate Design Work eff 9-15-17'!D390</f>
        <v>3.7</v>
      </c>
      <c r="E391" s="308"/>
      <c r="F391" s="2">
        <f>ROUND(D391*C391,0)</f>
        <v>0</v>
      </c>
      <c r="G391" s="311">
        <f ca="1">$G$178</f>
        <v>3.8</v>
      </c>
      <c r="H391" s="308"/>
      <c r="I391" s="2">
        <f ca="1">ROUND(G391*$C391,0)</f>
        <v>0</v>
      </c>
      <c r="J391" s="2"/>
      <c r="K391" s="311" t="e">
        <f ca="1">$K$178</f>
        <v>#REF!</v>
      </c>
      <c r="L391" s="308"/>
      <c r="M391" s="2" t="e">
        <f ca="1">ROUND(K391*$C391,0)</f>
        <v>#REF!</v>
      </c>
      <c r="N391" s="2"/>
      <c r="O391" s="311" t="e">
        <f ca="1">$O$178</f>
        <v>#DIV/0!</v>
      </c>
      <c r="P391" s="308"/>
      <c r="Q391" s="2" t="e">
        <f ca="1">ROUND(O391*$C391,0)</f>
        <v>#DIV/0!</v>
      </c>
      <c r="R391" s="2"/>
      <c r="S391" s="311" t="e">
        <f ca="1">$S$178</f>
        <v>#DIV/0!</v>
      </c>
      <c r="T391" s="308"/>
      <c r="U391" s="2" t="e">
        <f ca="1">ROUND(S391*$C391,0)</f>
        <v>#DIV/0!</v>
      </c>
      <c r="V391" s="20"/>
      <c r="W391" s="74"/>
      <c r="X391" s="74"/>
      <c r="Y391" s="74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R391" s="84"/>
    </row>
    <row r="392" spans="1:44" hidden="1">
      <c r="A392" s="1" t="s">
        <v>387</v>
      </c>
      <c r="B392" s="1"/>
      <c r="C392" s="304">
        <f>'Rate Design Work eff 10-14-16'!C391</f>
        <v>1205594.7942953119</v>
      </c>
      <c r="D392" s="284">
        <f>'Rate Design Work eff 9-15-17'!D391</f>
        <v>10.628</v>
      </c>
      <c r="E392" s="308" t="s">
        <v>364</v>
      </c>
      <c r="F392" s="2">
        <f>ROUND(D392*C392/100,0)</f>
        <v>128131</v>
      </c>
      <c r="G392" s="284">
        <f ca="1">$G$179</f>
        <v>10.878</v>
      </c>
      <c r="H392" s="308" t="s">
        <v>364</v>
      </c>
      <c r="I392" s="2">
        <f ca="1">ROUND(G392*$C392/100,0)</f>
        <v>131145</v>
      </c>
      <c r="J392" s="2"/>
      <c r="K392" s="284" t="e">
        <f ca="1">$K$179</f>
        <v>#REF!</v>
      </c>
      <c r="L392" s="308" t="s">
        <v>364</v>
      </c>
      <c r="M392" s="2" t="e">
        <f ca="1">ROUND(K392*$C392/100,0)</f>
        <v>#REF!</v>
      </c>
      <c r="N392" s="2"/>
      <c r="O392" s="284" t="e">
        <f ca="1">$O$179</f>
        <v>#DIV/0!</v>
      </c>
      <c r="P392" s="308" t="s">
        <v>364</v>
      </c>
      <c r="Q392" s="2" t="e">
        <f ca="1">ROUND(O392*$C392/100,0)</f>
        <v>#DIV/0!</v>
      </c>
      <c r="R392" s="2"/>
      <c r="S392" s="284" t="e">
        <f ca="1">$S$179</f>
        <v>#DIV/0!</v>
      </c>
      <c r="T392" s="308" t="s">
        <v>364</v>
      </c>
      <c r="U392" s="2" t="e">
        <f ca="1">ROUND(S392*$C392/100,0)</f>
        <v>#DIV/0!</v>
      </c>
      <c r="V392" s="20"/>
      <c r="W392" s="74"/>
      <c r="X392" s="74"/>
      <c r="Y392" s="74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R392" s="84"/>
    </row>
    <row r="393" spans="1:44" hidden="1">
      <c r="A393" s="1" t="s">
        <v>388</v>
      </c>
      <c r="B393" s="21"/>
      <c r="C393" s="304">
        <f>'Rate Design Work eff 10-14-16'!C392</f>
        <v>64875</v>
      </c>
      <c r="D393" s="284">
        <f>'Rate Design Work eff 9-15-17'!D392</f>
        <v>7.3410000000000002</v>
      </c>
      <c r="E393" s="308" t="s">
        <v>364</v>
      </c>
      <c r="F393" s="2">
        <f>ROUND(D393*C393/100,0)</f>
        <v>4762</v>
      </c>
      <c r="G393" s="284">
        <f ca="1">$G$180</f>
        <v>7.5140000000000002</v>
      </c>
      <c r="H393" s="308" t="s">
        <v>364</v>
      </c>
      <c r="I393" s="2">
        <f ca="1">ROUND(G393*$C393/100,0)</f>
        <v>4875</v>
      </c>
      <c r="J393" s="2"/>
      <c r="K393" s="284" t="e">
        <f ca="1">$K$180</f>
        <v>#REF!</v>
      </c>
      <c r="L393" s="308" t="s">
        <v>364</v>
      </c>
      <c r="M393" s="2" t="e">
        <f ca="1">ROUND(K393*$C393/100,0)</f>
        <v>#REF!</v>
      </c>
      <c r="N393" s="2"/>
      <c r="O393" s="284" t="e">
        <f ca="1">$O$180</f>
        <v>#DIV/0!</v>
      </c>
      <c r="P393" s="308" t="s">
        <v>364</v>
      </c>
      <c r="Q393" s="2" t="e">
        <f ca="1">ROUND(O393*$C393/100,0)</f>
        <v>#DIV/0!</v>
      </c>
      <c r="R393" s="2"/>
      <c r="S393" s="284" t="e">
        <f ca="1">$S$180</f>
        <v>#DIV/0!</v>
      </c>
      <c r="T393" s="308" t="s">
        <v>364</v>
      </c>
      <c r="U393" s="2" t="e">
        <f ca="1">ROUND(S393*$C393/100,0)</f>
        <v>#DIV/0!</v>
      </c>
      <c r="V393" s="20"/>
      <c r="W393" s="74"/>
      <c r="X393" s="74"/>
      <c r="Y393" s="74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R393" s="84"/>
    </row>
    <row r="394" spans="1:44" hidden="1">
      <c r="A394" s="1" t="s">
        <v>389</v>
      </c>
      <c r="B394" s="1"/>
      <c r="C394" s="304">
        <f>'Rate Design Work eff 10-14-16'!C393</f>
        <v>0</v>
      </c>
      <c r="D394" s="284">
        <f>'Rate Design Work eff 9-15-17'!D393</f>
        <v>6.3240000000000007</v>
      </c>
      <c r="E394" s="308" t="s">
        <v>364</v>
      </c>
      <c r="F394" s="2">
        <f>ROUND(D394*C394/100,0)</f>
        <v>0</v>
      </c>
      <c r="G394" s="284">
        <f ca="1">$G$181</f>
        <v>6.4720000000000004</v>
      </c>
      <c r="H394" s="308" t="s">
        <v>364</v>
      </c>
      <c r="I394" s="2">
        <f ca="1">ROUND(G394*$C394/100,0)</f>
        <v>0</v>
      </c>
      <c r="J394" s="2"/>
      <c r="K394" s="284" t="e">
        <f ca="1">$K$181</f>
        <v>#REF!</v>
      </c>
      <c r="L394" s="308" t="s">
        <v>364</v>
      </c>
      <c r="M394" s="2" t="e">
        <f ca="1">ROUND(K394*$C394/100,0)</f>
        <v>#REF!</v>
      </c>
      <c r="N394" s="2"/>
      <c r="O394" s="284" t="e">
        <f ca="1">$O$181</f>
        <v>#DIV/0!</v>
      </c>
      <c r="P394" s="308" t="s">
        <v>364</v>
      </c>
      <c r="Q394" s="2" t="e">
        <f ca="1">ROUND(O394*$C394/100,0)</f>
        <v>#DIV/0!</v>
      </c>
      <c r="R394" s="2"/>
      <c r="S394" s="284" t="e">
        <f ca="1">$S$181</f>
        <v>#DIV/0!</v>
      </c>
      <c r="T394" s="308" t="s">
        <v>364</v>
      </c>
      <c r="U394" s="2" t="e">
        <f ca="1">ROUND(S394*$C394/100,0)</f>
        <v>#DIV/0!</v>
      </c>
      <c r="V394" s="20"/>
      <c r="W394" s="74"/>
      <c r="X394" s="74"/>
      <c r="Y394" s="74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R394" s="84"/>
    </row>
    <row r="395" spans="1:44" hidden="1">
      <c r="A395" s="1" t="s">
        <v>390</v>
      </c>
      <c r="B395" s="1"/>
      <c r="C395" s="304">
        <f>'Rate Design Work eff 10-14-16'!C394</f>
        <v>0</v>
      </c>
      <c r="D395" s="315">
        <f>'Rate Design Work eff 9-15-17'!D394</f>
        <v>57</v>
      </c>
      <c r="E395" s="308" t="s">
        <v>364</v>
      </c>
      <c r="F395" s="2">
        <f>ROUND(D395*C395/100,0)</f>
        <v>0</v>
      </c>
      <c r="G395" s="315">
        <f ca="1">$G$182</f>
        <v>58</v>
      </c>
      <c r="H395" s="308" t="s">
        <v>364</v>
      </c>
      <c r="I395" s="2">
        <f ca="1">ROUND(G395*$C395/100,0)</f>
        <v>0</v>
      </c>
      <c r="J395" s="2"/>
      <c r="K395" s="315" t="str">
        <f>$K$182</f>
        <v xml:space="preserve"> </v>
      </c>
      <c r="L395" s="308" t="s">
        <v>364</v>
      </c>
      <c r="M395" s="2">
        <f>ROUND(K395*$C395/100,0)</f>
        <v>0</v>
      </c>
      <c r="N395" s="2"/>
      <c r="O395" s="315" t="e">
        <f>$O$182</f>
        <v>#DIV/0!</v>
      </c>
      <c r="P395" s="308" t="s">
        <v>364</v>
      </c>
      <c r="Q395" s="2" t="e">
        <f>ROUND(O395*$C395/100,0)</f>
        <v>#DIV/0!</v>
      </c>
      <c r="R395" s="2"/>
      <c r="S395" s="315" t="e">
        <f>$S$182</f>
        <v>#DIV/0!</v>
      </c>
      <c r="T395" s="308" t="s">
        <v>364</v>
      </c>
      <c r="U395" s="2" t="e">
        <f>ROUND(S395*$C395/100,0)</f>
        <v>#DIV/0!</v>
      </c>
      <c r="V395" s="20"/>
      <c r="W395" s="74"/>
      <c r="X395" s="74"/>
      <c r="Y395" s="74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R395" s="84"/>
    </row>
    <row r="396" spans="1:44" s="1118" customFormat="1" hidden="1">
      <c r="A396" s="968" t="s">
        <v>888</v>
      </c>
      <c r="C396" s="1122">
        <f>C392</f>
        <v>1205594.7942953119</v>
      </c>
      <c r="D396" s="254">
        <f>'Rate Design Work eff 9-15-17'!D395</f>
        <v>0</v>
      </c>
      <c r="E396" s="1119"/>
      <c r="F396" s="1123"/>
      <c r="G396" s="1128">
        <f>G183</f>
        <v>0</v>
      </c>
      <c r="H396" s="972" t="s">
        <v>364</v>
      </c>
      <c r="I396" s="1123">
        <f t="shared" ref="I396:I398" si="83">ROUND(G396*$C396/100,0)</f>
        <v>0</v>
      </c>
      <c r="J396" s="1123"/>
      <c r="K396" s="1128" t="str">
        <f>K183</f>
        <v xml:space="preserve"> </v>
      </c>
      <c r="L396" s="972" t="s">
        <v>364</v>
      </c>
      <c r="M396" s="1123">
        <f t="shared" ref="M396:M398" si="84">ROUND(K396*$C396/100,0)</f>
        <v>0</v>
      </c>
      <c r="N396" s="1123"/>
      <c r="O396" s="1128" t="str">
        <f>O183</f>
        <v xml:space="preserve"> </v>
      </c>
      <c r="P396" s="972" t="s">
        <v>364</v>
      </c>
      <c r="Q396" s="1123">
        <f t="shared" ref="Q396:Q398" si="85">ROUND(O396*$C396/100,0)</f>
        <v>0</v>
      </c>
      <c r="R396" s="1123"/>
      <c r="S396" s="1128">
        <f>S183</f>
        <v>0</v>
      </c>
      <c r="T396" s="972" t="s">
        <v>364</v>
      </c>
      <c r="U396" s="1123">
        <f t="shared" ref="U396:U398" si="86">ROUND(S396*$C396/100,0)</f>
        <v>0</v>
      </c>
      <c r="W396" s="784"/>
      <c r="Z396" s="1125"/>
      <c r="AA396" s="1125"/>
      <c r="AF396" s="1119"/>
      <c r="AG396" s="1119"/>
      <c r="AH396" s="1119"/>
      <c r="AI396" s="1119"/>
      <c r="AJ396" s="1119"/>
      <c r="AK396" s="1119"/>
      <c r="AL396" s="1119"/>
      <c r="AM396" s="1119"/>
      <c r="AN396" s="1119"/>
      <c r="AO396" s="1119"/>
      <c r="AP396" s="1119"/>
      <c r="AR396" s="1124"/>
    </row>
    <row r="397" spans="1:44" s="1118" customFormat="1" hidden="1">
      <c r="A397" s="968" t="s">
        <v>889</v>
      </c>
      <c r="C397" s="1122">
        <f>C393</f>
        <v>64875</v>
      </c>
      <c r="D397" s="254">
        <f>'Rate Design Work eff 9-15-17'!D396</f>
        <v>0</v>
      </c>
      <c r="E397" s="1119"/>
      <c r="F397" s="1123"/>
      <c r="G397" s="1128">
        <f>G184</f>
        <v>0</v>
      </c>
      <c r="H397" s="972" t="s">
        <v>364</v>
      </c>
      <c r="I397" s="1123">
        <f t="shared" si="83"/>
        <v>0</v>
      </c>
      <c r="J397" s="1123"/>
      <c r="K397" s="1128" t="str">
        <f>K184</f>
        <v xml:space="preserve"> </v>
      </c>
      <c r="L397" s="972" t="s">
        <v>364</v>
      </c>
      <c r="M397" s="1123">
        <f t="shared" si="84"/>
        <v>0</v>
      </c>
      <c r="N397" s="1123"/>
      <c r="O397" s="1128" t="str">
        <f>O184</f>
        <v xml:space="preserve"> </v>
      </c>
      <c r="P397" s="972" t="s">
        <v>364</v>
      </c>
      <c r="Q397" s="1123">
        <f t="shared" si="85"/>
        <v>0</v>
      </c>
      <c r="R397" s="1123"/>
      <c r="S397" s="1128">
        <f>S184</f>
        <v>0</v>
      </c>
      <c r="T397" s="972" t="s">
        <v>364</v>
      </c>
      <c r="U397" s="1123">
        <f t="shared" si="86"/>
        <v>0</v>
      </c>
      <c r="W397" s="784"/>
      <c r="Z397" s="1125"/>
      <c r="AA397" s="1125"/>
      <c r="AF397" s="1119"/>
      <c r="AG397" s="1119"/>
      <c r="AH397" s="1119"/>
      <c r="AI397" s="1119"/>
      <c r="AJ397" s="1119"/>
      <c r="AK397" s="1119"/>
      <c r="AL397" s="1119"/>
      <c r="AM397" s="1119"/>
      <c r="AN397" s="1119"/>
      <c r="AO397" s="1119"/>
      <c r="AP397" s="1119"/>
      <c r="AR397" s="1124"/>
    </row>
    <row r="398" spans="1:44" s="1118" customFormat="1" hidden="1">
      <c r="A398" s="968" t="s">
        <v>890</v>
      </c>
      <c r="C398" s="1122">
        <f>C394</f>
        <v>0</v>
      </c>
      <c r="D398" s="254">
        <f>'Rate Design Work eff 9-15-17'!D397</f>
        <v>0</v>
      </c>
      <c r="E398" s="1119"/>
      <c r="F398" s="1123"/>
      <c r="G398" s="1128">
        <f>G185</f>
        <v>0</v>
      </c>
      <c r="H398" s="972" t="s">
        <v>364</v>
      </c>
      <c r="I398" s="1123">
        <f t="shared" si="83"/>
        <v>0</v>
      </c>
      <c r="J398" s="1123"/>
      <c r="K398" s="1128" t="str">
        <f>K185</f>
        <v xml:space="preserve"> </v>
      </c>
      <c r="L398" s="972" t="s">
        <v>364</v>
      </c>
      <c r="M398" s="1123">
        <f t="shared" si="84"/>
        <v>0</v>
      </c>
      <c r="N398" s="1123"/>
      <c r="O398" s="1128" t="str">
        <f>O185</f>
        <v xml:space="preserve"> </v>
      </c>
      <c r="P398" s="972" t="s">
        <v>364</v>
      </c>
      <c r="Q398" s="1123">
        <f t="shared" si="85"/>
        <v>0</v>
      </c>
      <c r="R398" s="1123"/>
      <c r="S398" s="1128">
        <f>S185</f>
        <v>0</v>
      </c>
      <c r="T398" s="972" t="s">
        <v>364</v>
      </c>
      <c r="U398" s="1123">
        <f t="shared" si="86"/>
        <v>0</v>
      </c>
      <c r="W398" s="784"/>
      <c r="Z398" s="1125"/>
      <c r="AA398" s="1125"/>
      <c r="AF398" s="1119"/>
      <c r="AG398" s="1119"/>
      <c r="AH398" s="1119"/>
      <c r="AI398" s="1119"/>
      <c r="AJ398" s="1119"/>
      <c r="AK398" s="1119"/>
      <c r="AL398" s="1119"/>
      <c r="AM398" s="1119"/>
      <c r="AN398" s="1119"/>
      <c r="AO398" s="1119"/>
      <c r="AP398" s="1119"/>
      <c r="AR398" s="1124"/>
    </row>
    <row r="399" spans="1:44" hidden="1">
      <c r="A399" s="316" t="s">
        <v>391</v>
      </c>
      <c r="B399" s="1"/>
      <c r="C399" s="304"/>
      <c r="D399" s="317">
        <f>'Rate Design Work eff 9-15-17'!D398</f>
        <v>-0.01</v>
      </c>
      <c r="E399" s="308"/>
      <c r="F399" s="2"/>
      <c r="G399" s="317">
        <v>-0.01</v>
      </c>
      <c r="H399" s="308"/>
      <c r="I399" s="2"/>
      <c r="J399" s="2"/>
      <c r="K399" s="317">
        <v>-0.01</v>
      </c>
      <c r="L399" s="308"/>
      <c r="M399" s="2"/>
      <c r="N399" s="2"/>
      <c r="O399" s="317">
        <v>-0.01</v>
      </c>
      <c r="P399" s="308"/>
      <c r="Q399" s="2"/>
      <c r="R399" s="2"/>
      <c r="S399" s="317">
        <v>-0.01</v>
      </c>
      <c r="T399" s="308"/>
      <c r="U399" s="2"/>
      <c r="V399" s="20"/>
      <c r="W399" s="74"/>
      <c r="X399" s="74"/>
      <c r="Y399" s="74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R399" s="84"/>
    </row>
    <row r="400" spans="1:44" hidden="1">
      <c r="A400" s="1" t="s">
        <v>380</v>
      </c>
      <c r="B400" s="1"/>
      <c r="C400" s="304">
        <f>'Rate Design Work eff 10-14-16'!C399</f>
        <v>0</v>
      </c>
      <c r="D400" s="319">
        <f>'Rate Design Work eff 9-15-17'!D399</f>
        <v>9.76</v>
      </c>
      <c r="E400" s="306"/>
      <c r="F400" s="2">
        <f>-ROUND(D400*$C400/100,0)</f>
        <v>0</v>
      </c>
      <c r="G400" s="319">
        <f ca="1">G386</f>
        <v>9.99</v>
      </c>
      <c r="H400" s="306"/>
      <c r="I400" s="2">
        <f ca="1">-ROUND(G400*$C400/100,0)</f>
        <v>0</v>
      </c>
      <c r="J400" s="2"/>
      <c r="K400" s="319">
        <f ca="1">K386</f>
        <v>9.76</v>
      </c>
      <c r="L400" s="306"/>
      <c r="M400" s="2">
        <f ca="1">-ROUND(K400*$C400/100,0)</f>
        <v>0</v>
      </c>
      <c r="N400" s="2"/>
      <c r="O400" s="319" t="str">
        <f>O386</f>
        <v xml:space="preserve"> </v>
      </c>
      <c r="P400" s="306"/>
      <c r="Q400" s="2">
        <f>-ROUND(O400*$C400/100,0)</f>
        <v>0</v>
      </c>
      <c r="R400" s="2"/>
      <c r="S400" s="319" t="str">
        <f>S386</f>
        <v xml:space="preserve"> </v>
      </c>
      <c r="T400" s="306"/>
      <c r="U400" s="2">
        <f>-ROUND(S400*$C400/100,0)</f>
        <v>0</v>
      </c>
      <c r="V400" s="20"/>
      <c r="W400" s="74"/>
      <c r="X400" s="74"/>
      <c r="Y400" s="74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R400" s="84"/>
    </row>
    <row r="401" spans="1:44" hidden="1">
      <c r="A401" s="1" t="s">
        <v>381</v>
      </c>
      <c r="B401" s="1"/>
      <c r="C401" s="304">
        <f>'Rate Design Work eff 10-14-16'!C400</f>
        <v>0</v>
      </c>
      <c r="D401" s="319">
        <f>'Rate Design Work eff 9-15-17'!D400</f>
        <v>14.54</v>
      </c>
      <c r="E401" s="306"/>
      <c r="F401" s="2">
        <f t="shared" ref="F401:F403" si="87">-ROUND(D401*$C401/100,0)</f>
        <v>0</v>
      </c>
      <c r="G401" s="319">
        <f ca="1">G387</f>
        <v>14.89</v>
      </c>
      <c r="H401" s="306"/>
      <c r="I401" s="2">
        <f ca="1">-ROUND(G401*$C401/100,0)</f>
        <v>0</v>
      </c>
      <c r="J401" s="2"/>
      <c r="K401" s="319">
        <f ca="1">K387</f>
        <v>14.54</v>
      </c>
      <c r="L401" s="306"/>
      <c r="M401" s="2">
        <f ca="1">-ROUND(K401*$C401/100,0)</f>
        <v>0</v>
      </c>
      <c r="N401" s="2"/>
      <c r="O401" s="319" t="str">
        <f>O387</f>
        <v xml:space="preserve"> </v>
      </c>
      <c r="P401" s="306"/>
      <c r="Q401" s="2">
        <f>-ROUND(O401*$C401/100,0)</f>
        <v>0</v>
      </c>
      <c r="R401" s="2"/>
      <c r="S401" s="319" t="str">
        <f>S387</f>
        <v xml:space="preserve"> </v>
      </c>
      <c r="T401" s="306"/>
      <c r="U401" s="2">
        <f>-ROUND(S401*$C401/100,0)</f>
        <v>0</v>
      </c>
      <c r="V401" s="20"/>
      <c r="W401" s="74"/>
      <c r="X401" s="74"/>
      <c r="Y401" s="74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R401" s="84"/>
    </row>
    <row r="402" spans="1:44" hidden="1">
      <c r="A402" s="1" t="s">
        <v>392</v>
      </c>
      <c r="B402" s="1"/>
      <c r="C402" s="304">
        <f>'Rate Design Work eff 10-14-16'!C401</f>
        <v>0</v>
      </c>
      <c r="D402" s="319">
        <f>'Rate Design Work eff 9-15-17'!D401</f>
        <v>1.02</v>
      </c>
      <c r="E402" s="306"/>
      <c r="F402" s="2">
        <f t="shared" si="87"/>
        <v>0</v>
      </c>
      <c r="G402" s="319">
        <f ca="1">G388</f>
        <v>1.04</v>
      </c>
      <c r="H402" s="306"/>
      <c r="I402" s="2">
        <f ca="1">-ROUND(G402*$C402/100,0)</f>
        <v>0</v>
      </c>
      <c r="J402" s="2"/>
      <c r="K402" s="319">
        <f ca="1">K388</f>
        <v>1.02</v>
      </c>
      <c r="L402" s="306"/>
      <c r="M402" s="2">
        <f ca="1">-ROUND(K402*$C402/100,0)</f>
        <v>0</v>
      </c>
      <c r="N402" s="2"/>
      <c r="O402" s="319" t="str">
        <f>O388</f>
        <v xml:space="preserve"> </v>
      </c>
      <c r="P402" s="306"/>
      <c r="Q402" s="2">
        <f>-ROUND(O402*$C402/100,0)</f>
        <v>0</v>
      </c>
      <c r="R402" s="2"/>
      <c r="S402" s="319" t="str">
        <f>S388</f>
        <v xml:space="preserve"> </v>
      </c>
      <c r="T402" s="306"/>
      <c r="U402" s="2">
        <f>-ROUND(S402*$C402/100,0)</f>
        <v>0</v>
      </c>
      <c r="V402" s="20"/>
      <c r="W402" s="74"/>
      <c r="X402" s="74"/>
      <c r="Y402" s="74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R402" s="84"/>
    </row>
    <row r="403" spans="1:44" hidden="1">
      <c r="A403" s="1" t="s">
        <v>393</v>
      </c>
      <c r="B403" s="1"/>
      <c r="C403" s="304">
        <f>'Rate Design Work eff 10-14-16'!C402</f>
        <v>0</v>
      </c>
      <c r="D403" s="319">
        <f>'Rate Design Work eff 9-15-17'!D402</f>
        <v>3.7</v>
      </c>
      <c r="E403" s="308"/>
      <c r="F403" s="2">
        <f t="shared" si="87"/>
        <v>0</v>
      </c>
      <c r="G403" s="319">
        <f ca="1">G391</f>
        <v>3.8</v>
      </c>
      <c r="H403" s="308"/>
      <c r="I403" s="2">
        <f ca="1">-ROUND(G403*$C403/100,0)</f>
        <v>0</v>
      </c>
      <c r="J403" s="2"/>
      <c r="K403" s="319" t="e">
        <f ca="1">K391</f>
        <v>#REF!</v>
      </c>
      <c r="L403" s="308"/>
      <c r="M403" s="2" t="e">
        <f ca="1">-ROUND(K403*$C403/100,0)</f>
        <v>#REF!</v>
      </c>
      <c r="N403" s="2"/>
      <c r="O403" s="319" t="e">
        <f ca="1">O391</f>
        <v>#DIV/0!</v>
      </c>
      <c r="P403" s="308"/>
      <c r="Q403" s="2" t="e">
        <f ca="1">-ROUND(O403*$C403/100,0)</f>
        <v>#DIV/0!</v>
      </c>
      <c r="R403" s="2"/>
      <c r="S403" s="319" t="e">
        <f ca="1">S391</f>
        <v>#DIV/0!</v>
      </c>
      <c r="T403" s="308"/>
      <c r="U403" s="2" t="e">
        <f ca="1">-ROUND(S403*$C403/100,0)</f>
        <v>#DIV/0!</v>
      </c>
      <c r="V403" s="20"/>
      <c r="W403" s="74"/>
      <c r="X403" s="74"/>
      <c r="Y403" s="74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R403" s="84"/>
    </row>
    <row r="404" spans="1:44" hidden="1">
      <c r="A404" s="1" t="s">
        <v>395</v>
      </c>
      <c r="B404" s="1"/>
      <c r="C404" s="304">
        <f>'Rate Design Work eff 10-14-16'!C403</f>
        <v>0</v>
      </c>
      <c r="D404" s="320">
        <f>'Rate Design Work eff 9-15-17'!D403</f>
        <v>10.628</v>
      </c>
      <c r="E404" s="308" t="s">
        <v>364</v>
      </c>
      <c r="F404" s="2">
        <f>ROUND(D404*$C404/100*D399,0)</f>
        <v>0</v>
      </c>
      <c r="G404" s="320">
        <f ca="1">G392</f>
        <v>10.878</v>
      </c>
      <c r="H404" s="308" t="s">
        <v>364</v>
      </c>
      <c r="I404" s="2">
        <f ca="1">ROUND(G404*$C404/100*G399,0)</f>
        <v>0</v>
      </c>
      <c r="J404" s="2"/>
      <c r="K404" s="320" t="e">
        <f ca="1">K392</f>
        <v>#REF!</v>
      </c>
      <c r="L404" s="308" t="s">
        <v>364</v>
      </c>
      <c r="M404" s="2" t="e">
        <f ca="1">ROUND(K404*$C404/100*K399,0)</f>
        <v>#REF!</v>
      </c>
      <c r="N404" s="2"/>
      <c r="O404" s="320" t="e">
        <f ca="1">O392</f>
        <v>#DIV/0!</v>
      </c>
      <c r="P404" s="308" t="s">
        <v>364</v>
      </c>
      <c r="Q404" s="2" t="e">
        <f ca="1">ROUND(O404*$C404/100*O399,0)</f>
        <v>#DIV/0!</v>
      </c>
      <c r="R404" s="2"/>
      <c r="S404" s="320" t="e">
        <f ca="1">S392</f>
        <v>#DIV/0!</v>
      </c>
      <c r="T404" s="308" t="s">
        <v>364</v>
      </c>
      <c r="U404" s="2" t="e">
        <f ca="1">ROUND(S404*$C404/100*S399,0)</f>
        <v>#DIV/0!</v>
      </c>
      <c r="V404" s="20"/>
      <c r="W404" s="74"/>
      <c r="X404" s="74"/>
      <c r="Y404" s="74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R404" s="84"/>
    </row>
    <row r="405" spans="1:44" hidden="1">
      <c r="A405" s="1" t="s">
        <v>388</v>
      </c>
      <c r="B405" s="1"/>
      <c r="C405" s="304">
        <f>'Rate Design Work eff 10-14-16'!C404</f>
        <v>0</v>
      </c>
      <c r="D405" s="320">
        <f>'Rate Design Work eff 9-15-17'!D404</f>
        <v>7.3410000000000002</v>
      </c>
      <c r="E405" s="308" t="s">
        <v>364</v>
      </c>
      <c r="F405" s="2">
        <f>ROUND(D405*$C405/100*D399,0)</f>
        <v>0</v>
      </c>
      <c r="G405" s="320">
        <f ca="1">G393</f>
        <v>7.5140000000000002</v>
      </c>
      <c r="H405" s="308" t="s">
        <v>364</v>
      </c>
      <c r="I405" s="2">
        <f ca="1">ROUND(G405*$C405/100*G399,0)</f>
        <v>0</v>
      </c>
      <c r="J405" s="2"/>
      <c r="K405" s="320" t="e">
        <f ca="1">K393</f>
        <v>#REF!</v>
      </c>
      <c r="L405" s="308" t="s">
        <v>364</v>
      </c>
      <c r="M405" s="2" t="e">
        <f ca="1">ROUND(K405*$C405/100*K399,0)</f>
        <v>#REF!</v>
      </c>
      <c r="N405" s="2"/>
      <c r="O405" s="320" t="e">
        <f ca="1">O393</f>
        <v>#DIV/0!</v>
      </c>
      <c r="P405" s="308" t="s">
        <v>364</v>
      </c>
      <c r="Q405" s="2" t="e">
        <f ca="1">ROUND(O405*$C405/100*O399,0)</f>
        <v>#DIV/0!</v>
      </c>
      <c r="R405" s="2"/>
      <c r="S405" s="320" t="e">
        <f ca="1">S393</f>
        <v>#DIV/0!</v>
      </c>
      <c r="T405" s="308" t="s">
        <v>364</v>
      </c>
      <c r="U405" s="2" t="e">
        <f ca="1">ROUND(S405*$C405/100*S399,0)</f>
        <v>#DIV/0!</v>
      </c>
      <c r="V405" s="20"/>
      <c r="W405" s="74"/>
      <c r="X405" s="74"/>
      <c r="Y405" s="74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R405" s="84"/>
    </row>
    <row r="406" spans="1:44" hidden="1">
      <c r="A406" s="1" t="s">
        <v>389</v>
      </c>
      <c r="B406" s="1"/>
      <c r="C406" s="304">
        <f>'Rate Design Work eff 10-14-16'!C405</f>
        <v>0</v>
      </c>
      <c r="D406" s="320">
        <f>'Rate Design Work eff 9-15-17'!D405</f>
        <v>6.3240000000000007</v>
      </c>
      <c r="E406" s="308" t="s">
        <v>364</v>
      </c>
      <c r="F406" s="2">
        <f>ROUND(D406*$C406/100*D399,0)</f>
        <v>0</v>
      </c>
      <c r="G406" s="320">
        <f ca="1">G394</f>
        <v>6.4720000000000004</v>
      </c>
      <c r="H406" s="308" t="s">
        <v>364</v>
      </c>
      <c r="I406" s="2">
        <f ca="1">ROUND(G406*$C406/100*G399,0)</f>
        <v>0</v>
      </c>
      <c r="J406" s="2"/>
      <c r="K406" s="320" t="e">
        <f ca="1">K394</f>
        <v>#REF!</v>
      </c>
      <c r="L406" s="308" t="s">
        <v>364</v>
      </c>
      <c r="M406" s="2" t="e">
        <f ca="1">ROUND(K406*$C406/100*K399,0)</f>
        <v>#REF!</v>
      </c>
      <c r="N406" s="2"/>
      <c r="O406" s="320" t="e">
        <f ca="1">O394</f>
        <v>#DIV/0!</v>
      </c>
      <c r="P406" s="308" t="s">
        <v>364</v>
      </c>
      <c r="Q406" s="2" t="e">
        <f ca="1">ROUND(O406*$C406/100*O399,0)</f>
        <v>#DIV/0!</v>
      </c>
      <c r="R406" s="2"/>
      <c r="S406" s="320" t="e">
        <f ca="1">S394</f>
        <v>#DIV/0!</v>
      </c>
      <c r="T406" s="308" t="s">
        <v>364</v>
      </c>
      <c r="U406" s="2" t="e">
        <f ca="1">ROUND(S406*$C406/100*S399,0)</f>
        <v>#DIV/0!</v>
      </c>
      <c r="V406" s="20"/>
      <c r="W406" s="74"/>
      <c r="X406" s="74"/>
      <c r="Y406" s="74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R406" s="84"/>
    </row>
    <row r="407" spans="1:44" hidden="1">
      <c r="A407" s="1" t="s">
        <v>390</v>
      </c>
      <c r="B407" s="1"/>
      <c r="C407" s="304">
        <f>'Rate Design Work eff 10-14-16'!C406</f>
        <v>0</v>
      </c>
      <c r="D407" s="321">
        <f>'Rate Design Work eff 9-15-17'!D406</f>
        <v>57</v>
      </c>
      <c r="E407" s="308" t="s">
        <v>364</v>
      </c>
      <c r="F407" s="2">
        <f>ROUND(D407*$C407/100*D399,0)</f>
        <v>0</v>
      </c>
      <c r="G407" s="321">
        <f ca="1">G395</f>
        <v>58</v>
      </c>
      <c r="H407" s="308" t="s">
        <v>364</v>
      </c>
      <c r="I407" s="2">
        <f ca="1">ROUND(G407*$C407/100*G399,0)</f>
        <v>0</v>
      </c>
      <c r="J407" s="2"/>
      <c r="K407" s="321" t="str">
        <f>K395</f>
        <v xml:space="preserve"> </v>
      </c>
      <c r="L407" s="308" t="s">
        <v>364</v>
      </c>
      <c r="M407" s="2">
        <f>ROUND(K407*$C407/100*K399,0)</f>
        <v>0</v>
      </c>
      <c r="N407" s="2"/>
      <c r="O407" s="321" t="e">
        <f>O395</f>
        <v>#DIV/0!</v>
      </c>
      <c r="P407" s="308" t="s">
        <v>364</v>
      </c>
      <c r="Q407" s="2" t="e">
        <f>ROUND(O407*$C407/100*O399,0)</f>
        <v>#DIV/0!</v>
      </c>
      <c r="R407" s="2"/>
      <c r="S407" s="321" t="e">
        <f>S395</f>
        <v>#DIV/0!</v>
      </c>
      <c r="T407" s="308" t="s">
        <v>364</v>
      </c>
      <c r="U407" s="2" t="e">
        <f>ROUND(S407*$C407/100*S399,0)</f>
        <v>#DIV/0!</v>
      </c>
      <c r="V407" s="20"/>
      <c r="W407" s="74"/>
      <c r="X407" s="74"/>
      <c r="Y407" s="74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R407" s="84"/>
    </row>
    <row r="408" spans="1:44" hidden="1">
      <c r="A408" s="1" t="s">
        <v>397</v>
      </c>
      <c r="B408" s="1"/>
      <c r="C408" s="304">
        <f>'Rate Design Work eff 10-14-16'!C407</f>
        <v>0</v>
      </c>
      <c r="D408" s="322">
        <f>'Rate Design Work eff 9-15-17'!D407</f>
        <v>60</v>
      </c>
      <c r="E408" s="308"/>
      <c r="F408" s="2">
        <f>ROUND(D408*C408,0)</f>
        <v>0</v>
      </c>
      <c r="G408" s="322">
        <f>$G$198</f>
        <v>60</v>
      </c>
      <c r="H408" s="308"/>
      <c r="I408" s="2">
        <f>ROUND(G408*$C408,0)</f>
        <v>0</v>
      </c>
      <c r="J408" s="2"/>
      <c r="K408" s="322" t="str">
        <f>$K$198</f>
        <v xml:space="preserve"> </v>
      </c>
      <c r="L408" s="308"/>
      <c r="M408" s="2">
        <f>ROUND(K408*$C408,0)</f>
        <v>0</v>
      </c>
      <c r="N408" s="2"/>
      <c r="O408" s="322" t="e">
        <f>$O$198</f>
        <v>#DIV/0!</v>
      </c>
      <c r="P408" s="308"/>
      <c r="Q408" s="2" t="e">
        <f>ROUND(O408*$C408,0)</f>
        <v>#DIV/0!</v>
      </c>
      <c r="R408" s="2"/>
      <c r="S408" s="322" t="e">
        <f>$S$198</f>
        <v>#DIV/0!</v>
      </c>
      <c r="T408" s="308"/>
      <c r="U408" s="2" t="e">
        <f>ROUND(S408*$C408,0)</f>
        <v>#DIV/0!</v>
      </c>
      <c r="V408" s="20"/>
      <c r="W408" s="74"/>
      <c r="X408" s="74"/>
      <c r="Y408" s="74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R408" s="84"/>
    </row>
    <row r="409" spans="1:44" hidden="1">
      <c r="A409" s="1" t="s">
        <v>398</v>
      </c>
      <c r="B409" s="1"/>
      <c r="C409" s="304">
        <f>'Rate Design Work eff 10-14-16'!C408</f>
        <v>0</v>
      </c>
      <c r="D409" s="324">
        <f>'Rate Design Work eff 9-15-17'!D408</f>
        <v>-30</v>
      </c>
      <c r="E409" s="308" t="s">
        <v>364</v>
      </c>
      <c r="F409" s="2">
        <f>ROUND(D409*C409/100,0)</f>
        <v>0</v>
      </c>
      <c r="G409" s="324">
        <f>$G$199</f>
        <v>-30</v>
      </c>
      <c r="H409" s="308" t="s">
        <v>364</v>
      </c>
      <c r="I409" s="2">
        <f>ROUND(G409*$C409/100,0)</f>
        <v>0</v>
      </c>
      <c r="J409" s="2"/>
      <c r="K409" s="324">
        <f>$K$199</f>
        <v>-30</v>
      </c>
      <c r="L409" s="308" t="s">
        <v>364</v>
      </c>
      <c r="M409" s="2">
        <f>ROUND(K409*$C409/100,0)</f>
        <v>0</v>
      </c>
      <c r="N409" s="2"/>
      <c r="O409" s="324" t="str">
        <f>$O$199</f>
        <v xml:space="preserve"> </v>
      </c>
      <c r="P409" s="308" t="s">
        <v>364</v>
      </c>
      <c r="Q409" s="2">
        <f>ROUND(O409*$C409/100,0)</f>
        <v>0</v>
      </c>
      <c r="R409" s="2"/>
      <c r="S409" s="324" t="str">
        <f>$S$199</f>
        <v xml:space="preserve"> </v>
      </c>
      <c r="T409" s="308" t="s">
        <v>364</v>
      </c>
      <c r="U409" s="2">
        <f>ROUND(S409*$C409/100,0)</f>
        <v>0</v>
      </c>
      <c r="V409" s="20"/>
      <c r="W409" s="74"/>
      <c r="X409" s="74"/>
      <c r="Y409" s="74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R409" s="84"/>
    </row>
    <row r="410" spans="1:44" s="1118" customFormat="1" hidden="1">
      <c r="A410" s="968" t="s">
        <v>888</v>
      </c>
      <c r="C410" s="1122">
        <f>C404</f>
        <v>0</v>
      </c>
      <c r="D410" s="254">
        <f>'Rate Design Work eff 9-15-17'!D409</f>
        <v>0</v>
      </c>
      <c r="E410" s="1119"/>
      <c r="F410" s="1123"/>
      <c r="G410" s="1128">
        <f>G183</f>
        <v>0</v>
      </c>
      <c r="H410" s="972" t="s">
        <v>364</v>
      </c>
      <c r="I410" s="2">
        <f>ROUND(G410*$C410/100*G399,0)</f>
        <v>0</v>
      </c>
      <c r="J410" s="2"/>
      <c r="K410" s="1128" t="str">
        <f>K183</f>
        <v xml:space="preserve"> </v>
      </c>
      <c r="L410" s="972" t="s">
        <v>364</v>
      </c>
      <c r="M410" s="2">
        <f>ROUND(K410*$C410/100*K399,0)</f>
        <v>0</v>
      </c>
      <c r="N410" s="2"/>
      <c r="O410" s="1128" t="str">
        <f>O183</f>
        <v xml:space="preserve"> </v>
      </c>
      <c r="P410" s="972" t="s">
        <v>364</v>
      </c>
      <c r="Q410" s="2">
        <f>ROUND(O410*$C410/100*O399,0)</f>
        <v>0</v>
      </c>
      <c r="R410" s="2"/>
      <c r="S410" s="1128">
        <f>S183</f>
        <v>0</v>
      </c>
      <c r="T410" s="972" t="s">
        <v>364</v>
      </c>
      <c r="U410" s="2">
        <f>ROUND(S410*$C410/100*S399,0)</f>
        <v>0</v>
      </c>
      <c r="W410" s="784"/>
      <c r="Z410" s="1125"/>
      <c r="AA410" s="1125"/>
      <c r="AF410" s="1119"/>
      <c r="AG410" s="1119"/>
      <c r="AH410" s="1119"/>
      <c r="AI410" s="1119"/>
      <c r="AJ410" s="1119"/>
      <c r="AK410" s="1119"/>
      <c r="AL410" s="1119"/>
      <c r="AM410" s="1119"/>
      <c r="AN410" s="1119"/>
      <c r="AO410" s="1119"/>
      <c r="AP410" s="1119"/>
      <c r="AR410" s="1124"/>
    </row>
    <row r="411" spans="1:44" s="1118" customFormat="1" hidden="1">
      <c r="A411" s="968" t="s">
        <v>889</v>
      </c>
      <c r="C411" s="1122">
        <f>C405</f>
        <v>0</v>
      </c>
      <c r="D411" s="254">
        <f>'Rate Design Work eff 9-15-17'!D410</f>
        <v>0</v>
      </c>
      <c r="E411" s="1119"/>
      <c r="F411" s="1123"/>
      <c r="G411" s="1128">
        <f>G184</f>
        <v>0</v>
      </c>
      <c r="H411" s="972" t="s">
        <v>364</v>
      </c>
      <c r="I411" s="2">
        <f>ROUND(G411*$C411/100*G399,0)</f>
        <v>0</v>
      </c>
      <c r="J411" s="2"/>
      <c r="K411" s="1128" t="str">
        <f>K184</f>
        <v xml:space="preserve"> </v>
      </c>
      <c r="L411" s="972" t="s">
        <v>364</v>
      </c>
      <c r="M411" s="2">
        <f>ROUND(K411*$C411/100*K399,0)</f>
        <v>0</v>
      </c>
      <c r="N411" s="2"/>
      <c r="O411" s="1128" t="str">
        <f>O184</f>
        <v xml:space="preserve"> </v>
      </c>
      <c r="P411" s="972" t="s">
        <v>364</v>
      </c>
      <c r="Q411" s="2">
        <f>ROUND(O411*$C411/100*O399,0)</f>
        <v>0</v>
      </c>
      <c r="R411" s="2"/>
      <c r="S411" s="1128">
        <f>S184</f>
        <v>0</v>
      </c>
      <c r="T411" s="972" t="s">
        <v>364</v>
      </c>
      <c r="U411" s="2">
        <f>ROUND(S411*$C411/100*S399,0)</f>
        <v>0</v>
      </c>
      <c r="W411" s="784"/>
      <c r="Z411" s="1125"/>
      <c r="AA411" s="1125"/>
      <c r="AF411" s="1119"/>
      <c r="AG411" s="1119"/>
      <c r="AH411" s="1119"/>
      <c r="AI411" s="1119"/>
      <c r="AJ411" s="1119"/>
      <c r="AK411" s="1119"/>
      <c r="AL411" s="1119"/>
      <c r="AM411" s="1119"/>
      <c r="AN411" s="1119"/>
      <c r="AO411" s="1119"/>
      <c r="AP411" s="1119"/>
      <c r="AR411" s="1124"/>
    </row>
    <row r="412" spans="1:44" s="1118" customFormat="1" hidden="1">
      <c r="A412" s="968" t="s">
        <v>890</v>
      </c>
      <c r="C412" s="1122">
        <f>C406</f>
        <v>0</v>
      </c>
      <c r="D412" s="254">
        <f>'Rate Design Work eff 9-15-17'!D411</f>
        <v>0</v>
      </c>
      <c r="E412" s="1119"/>
      <c r="F412" s="1123"/>
      <c r="G412" s="1128">
        <f>G185</f>
        <v>0</v>
      </c>
      <c r="H412" s="972" t="s">
        <v>364</v>
      </c>
      <c r="I412" s="2">
        <f>ROUND(G412*$C412/100*G399,0)</f>
        <v>0</v>
      </c>
      <c r="J412" s="2"/>
      <c r="K412" s="1128" t="str">
        <f>K185</f>
        <v xml:space="preserve"> </v>
      </c>
      <c r="L412" s="972" t="s">
        <v>364</v>
      </c>
      <c r="M412" s="2">
        <f>ROUND(K412*$C412/100*K399,0)</f>
        <v>0</v>
      </c>
      <c r="N412" s="2"/>
      <c r="O412" s="1128" t="str">
        <f>O185</f>
        <v xml:space="preserve"> </v>
      </c>
      <c r="P412" s="972" t="s">
        <v>364</v>
      </c>
      <c r="Q412" s="2">
        <f>ROUND(O412*$C412/100*O399,0)</f>
        <v>0</v>
      </c>
      <c r="R412" s="2"/>
      <c r="S412" s="1128">
        <f>S185</f>
        <v>0</v>
      </c>
      <c r="T412" s="972" t="s">
        <v>364</v>
      </c>
      <c r="U412" s="2">
        <f>ROUND(S412*$C412/100*S399,0)</f>
        <v>0</v>
      </c>
      <c r="W412" s="784"/>
      <c r="Z412" s="1125"/>
      <c r="AA412" s="1125"/>
      <c r="AF412" s="1119"/>
      <c r="AG412" s="1119"/>
      <c r="AH412" s="1119"/>
      <c r="AI412" s="1119"/>
      <c r="AJ412" s="1119"/>
      <c r="AK412" s="1119"/>
      <c r="AL412" s="1119"/>
      <c r="AM412" s="1119"/>
      <c r="AN412" s="1119"/>
      <c r="AO412" s="1119"/>
      <c r="AP412" s="1119"/>
      <c r="AR412" s="1124"/>
    </row>
    <row r="413" spans="1:44" hidden="1">
      <c r="A413" s="1" t="s">
        <v>371</v>
      </c>
      <c r="B413" s="1"/>
      <c r="C413" s="304">
        <f>SUM(C392:C394)</f>
        <v>1270469.7942953119</v>
      </c>
      <c r="D413" s="315"/>
      <c r="E413" s="308"/>
      <c r="F413" s="2">
        <f>SUM(F386:F409)</f>
        <v>171773</v>
      </c>
      <c r="G413" s="315"/>
      <c r="H413" s="308"/>
      <c r="I413" s="2">
        <f ca="1">SUM(I386:I412)</f>
        <v>175816</v>
      </c>
      <c r="J413" s="2"/>
      <c r="K413" s="315"/>
      <c r="L413" s="308"/>
      <c r="M413" s="2" t="e">
        <f ca="1">SUM(M386:M412)</f>
        <v>#REF!</v>
      </c>
      <c r="N413" s="2"/>
      <c r="O413" s="315"/>
      <c r="P413" s="308"/>
      <c r="Q413" s="2" t="e">
        <f ca="1">SUM(Q386:Q412)</f>
        <v>#DIV/0!</v>
      </c>
      <c r="R413" s="2"/>
      <c r="S413" s="315"/>
      <c r="T413" s="308"/>
      <c r="U413" s="2" t="e">
        <f ca="1">SUM(U386:U412)</f>
        <v>#DIV/0!</v>
      </c>
      <c r="V413" s="20"/>
      <c r="W413" s="74"/>
      <c r="X413" s="74"/>
      <c r="Y413" s="74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R413" s="84"/>
    </row>
    <row r="414" spans="1:44" hidden="1">
      <c r="A414" s="1" t="s">
        <v>353</v>
      </c>
      <c r="B414" s="1"/>
      <c r="C414" s="334">
        <f>'Table 2'!H42</f>
        <v>8762.5736653830463</v>
      </c>
      <c r="D414" s="294"/>
      <c r="E414" s="294"/>
      <c r="F414" s="326">
        <f>'Table 3'!E42</f>
        <v>1323.3384329358348</v>
      </c>
      <c r="G414" s="294"/>
      <c r="H414" s="294"/>
      <c r="I414" s="326">
        <f>F414</f>
        <v>1323.3384329358348</v>
      </c>
      <c r="J414" s="307"/>
      <c r="K414" s="294"/>
      <c r="L414" s="294"/>
      <c r="M414" s="326" t="e">
        <f ca="1">M204/I204*I414</f>
        <v>#DIV/0!</v>
      </c>
      <c r="N414" s="307"/>
      <c r="O414" s="294"/>
      <c r="P414" s="294"/>
      <c r="Q414" s="326" t="e">
        <f ca="1">Q204/I204*I414</f>
        <v>#DIV/0!</v>
      </c>
      <c r="R414" s="307"/>
      <c r="S414" s="294"/>
      <c r="T414" s="294"/>
      <c r="U414" s="326" t="e">
        <f ca="1">U204/I204*I414</f>
        <v>#DIV/0!</v>
      </c>
      <c r="V414" s="429"/>
      <c r="W414" s="272"/>
      <c r="X414" s="74"/>
      <c r="Y414" s="74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R414" s="84"/>
    </row>
    <row r="415" spans="1:44" ht="16.5" hidden="1" thickBot="1">
      <c r="A415" s="1" t="s">
        <v>372</v>
      </c>
      <c r="B415" s="1"/>
      <c r="C415" s="296">
        <f>SUM(C413:C414)</f>
        <v>1279232.3679606949</v>
      </c>
      <c r="D415" s="327"/>
      <c r="E415" s="330"/>
      <c r="F415" s="329">
        <f>F413+F414</f>
        <v>173096.33843293582</v>
      </c>
      <c r="G415" s="327"/>
      <c r="H415" s="330"/>
      <c r="I415" s="329">
        <f ca="1">I413+I414</f>
        <v>177139.33843293582</v>
      </c>
      <c r="J415" s="307"/>
      <c r="K415" s="327"/>
      <c r="L415" s="330"/>
      <c r="M415" s="329" t="e">
        <f ca="1">M413+M414</f>
        <v>#REF!</v>
      </c>
      <c r="N415" s="329"/>
      <c r="O415" s="327"/>
      <c r="P415" s="330"/>
      <c r="Q415" s="329" t="e">
        <f ca="1">Q413+Q414</f>
        <v>#DIV/0!</v>
      </c>
      <c r="R415" s="329"/>
      <c r="S415" s="327"/>
      <c r="T415" s="330"/>
      <c r="U415" s="329" t="e">
        <f ca="1">U413+U414</f>
        <v>#DIV/0!</v>
      </c>
      <c r="V415" s="396"/>
      <c r="W415" s="455"/>
      <c r="X415" s="74"/>
      <c r="Y415" s="74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R415" s="84"/>
    </row>
    <row r="416" spans="1:44" ht="16.5" hidden="1" thickTop="1">
      <c r="A416" s="1"/>
      <c r="B416" s="1"/>
      <c r="C416" s="21"/>
      <c r="D416" s="322"/>
      <c r="E416" s="1"/>
      <c r="F416" s="2"/>
      <c r="G416" s="322"/>
      <c r="H416" s="1"/>
      <c r="I416" s="2" t="s">
        <v>31</v>
      </c>
      <c r="J416" s="2"/>
      <c r="K416" s="322"/>
      <c r="L416" s="1"/>
      <c r="M416" s="2" t="s">
        <v>31</v>
      </c>
      <c r="N416" s="2"/>
      <c r="O416" s="322"/>
      <c r="P416" s="1"/>
      <c r="Q416" s="2" t="s">
        <v>31</v>
      </c>
      <c r="R416" s="2"/>
      <c r="S416" s="322"/>
      <c r="T416" s="1"/>
      <c r="U416" s="2" t="s">
        <v>31</v>
      </c>
      <c r="V416" s="20"/>
      <c r="W416" s="74"/>
      <c r="X416" s="74"/>
      <c r="Y416" s="74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R416" s="84"/>
    </row>
    <row r="417" spans="1:44" hidden="1">
      <c r="A417" s="278" t="s">
        <v>405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20"/>
      <c r="W417" s="74"/>
      <c r="X417" s="74"/>
      <c r="Y417" s="74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R417" s="84"/>
    </row>
    <row r="418" spans="1:44" hidden="1">
      <c r="A418" s="1" t="s">
        <v>404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20"/>
      <c r="W418" s="74"/>
      <c r="X418" s="74"/>
      <c r="Y418" s="74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R418" s="84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20"/>
      <c r="W419" s="74"/>
      <c r="X419" s="74"/>
      <c r="Y419" s="74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R419" s="84"/>
    </row>
    <row r="420" spans="1:44" hidden="1">
      <c r="A420" s="1" t="s">
        <v>383</v>
      </c>
      <c r="B420" s="1"/>
      <c r="C420" s="304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20"/>
      <c r="W420" s="74"/>
      <c r="X420" s="74"/>
      <c r="Y420" s="74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R420" s="84"/>
    </row>
    <row r="421" spans="1:44" hidden="1">
      <c r="A421" s="1" t="s">
        <v>406</v>
      </c>
      <c r="B421" s="1"/>
      <c r="C421" s="304">
        <f>'Rate Design Work eff 10-14-16'!C420</f>
        <v>515.53886098354405</v>
      </c>
      <c r="D421" s="283">
        <f>'Rate Design Work eff 9-15-17'!D420</f>
        <v>9.76</v>
      </c>
      <c r="E421" s="308"/>
      <c r="F421" s="2">
        <f>ROUND(D421*$C421,0)</f>
        <v>5032</v>
      </c>
      <c r="G421" s="283">
        <f ca="1">$G$173</f>
        <v>9.99</v>
      </c>
      <c r="H421" s="308"/>
      <c r="I421" s="2">
        <f ca="1">ROUND(G421*$C421,0)</f>
        <v>5150</v>
      </c>
      <c r="J421" s="2"/>
      <c r="K421" s="283">
        <f ca="1">$K$173</f>
        <v>9.76</v>
      </c>
      <c r="L421" s="308"/>
      <c r="M421" s="2">
        <f ca="1">ROUND(K421*$C421,0)</f>
        <v>5032</v>
      </c>
      <c r="N421" s="2"/>
      <c r="O421" s="283" t="str">
        <f>$O$173</f>
        <v xml:space="preserve"> </v>
      </c>
      <c r="P421" s="308"/>
      <c r="Q421" s="2">
        <f>ROUND(O421*$C421,0)</f>
        <v>0</v>
      </c>
      <c r="R421" s="2"/>
      <c r="S421" s="283" t="str">
        <f>$S$173</f>
        <v xml:space="preserve"> </v>
      </c>
      <c r="T421" s="308"/>
      <c r="U421" s="2">
        <f>ROUND(S421*$C421,0)</f>
        <v>0</v>
      </c>
      <c r="V421" s="20"/>
      <c r="W421" s="74"/>
      <c r="X421" s="74"/>
      <c r="Y421" s="74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R421" s="84"/>
    </row>
    <row r="422" spans="1:44" hidden="1">
      <c r="A422" s="1" t="s">
        <v>381</v>
      </c>
      <c r="B422" s="1"/>
      <c r="C422" s="304">
        <f>'Rate Design Work eff 10-14-16'!C421</f>
        <v>0</v>
      </c>
      <c r="D422" s="283">
        <f>'Rate Design Work eff 9-15-17'!D421</f>
        <v>14.54</v>
      </c>
      <c r="E422" s="310"/>
      <c r="F422" s="2">
        <f t="shared" ref="F422:F423" si="88">ROUND(D422*$C422,0)</f>
        <v>0</v>
      </c>
      <c r="G422" s="283">
        <f ca="1">$G$174</f>
        <v>14.89</v>
      </c>
      <c r="H422" s="310"/>
      <c r="I422" s="2">
        <f ca="1">ROUND(G422*$C422,0)</f>
        <v>0</v>
      </c>
      <c r="J422" s="2"/>
      <c r="K422" s="283">
        <f ca="1">$K$174</f>
        <v>14.54</v>
      </c>
      <c r="L422" s="310"/>
      <c r="M422" s="2">
        <f ca="1">ROUND(K422*$C422,0)</f>
        <v>0</v>
      </c>
      <c r="N422" s="2"/>
      <c r="O422" s="283" t="str">
        <f>$O$174</f>
        <v xml:space="preserve"> </v>
      </c>
      <c r="P422" s="310"/>
      <c r="Q422" s="2">
        <f>ROUND(O422*$C422,0)</f>
        <v>0</v>
      </c>
      <c r="R422" s="2"/>
      <c r="S422" s="283" t="str">
        <f>$S$174</f>
        <v xml:space="preserve"> </v>
      </c>
      <c r="T422" s="310"/>
      <c r="U422" s="2">
        <f>ROUND(S422*$C422,0)</f>
        <v>0</v>
      </c>
      <c r="V422" s="20"/>
      <c r="W422" s="74"/>
      <c r="X422" s="74"/>
      <c r="Y422" s="74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R422" s="84"/>
    </row>
    <row r="423" spans="1:44" hidden="1">
      <c r="A423" s="1" t="s">
        <v>382</v>
      </c>
      <c r="B423" s="1"/>
      <c r="C423" s="304">
        <f>'Rate Design Work eff 10-14-16'!C422</f>
        <v>0</v>
      </c>
      <c r="D423" s="283">
        <f>'Rate Design Work eff 9-15-17'!D422</f>
        <v>1.02</v>
      </c>
      <c r="E423" s="310"/>
      <c r="F423" s="2">
        <f t="shared" si="88"/>
        <v>0</v>
      </c>
      <c r="G423" s="283">
        <f ca="1">$G$175</f>
        <v>1.04</v>
      </c>
      <c r="H423" s="310"/>
      <c r="I423" s="2">
        <f ca="1">ROUND(G423*$C423,0)</f>
        <v>0</v>
      </c>
      <c r="J423" s="2"/>
      <c r="K423" s="283">
        <f ca="1">$K$175</f>
        <v>1.02</v>
      </c>
      <c r="L423" s="310"/>
      <c r="M423" s="2">
        <f ca="1">ROUND(K423*$C423,0)</f>
        <v>0</v>
      </c>
      <c r="N423" s="2"/>
      <c r="O423" s="283" t="str">
        <f>$O$175</f>
        <v xml:space="preserve"> </v>
      </c>
      <c r="P423" s="310"/>
      <c r="Q423" s="2">
        <f>ROUND(O423*$C423,0)</f>
        <v>0</v>
      </c>
      <c r="R423" s="2"/>
      <c r="S423" s="283" t="str">
        <f>$S$175</f>
        <v xml:space="preserve"> </v>
      </c>
      <c r="T423" s="310"/>
      <c r="U423" s="2">
        <f>ROUND(S423*$C423,0)</f>
        <v>0</v>
      </c>
      <c r="V423" s="20"/>
      <c r="W423" s="74"/>
      <c r="X423" s="74"/>
      <c r="Y423" s="74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R423" s="84"/>
    </row>
    <row r="424" spans="1:44" hidden="1">
      <c r="A424" s="1" t="s">
        <v>384</v>
      </c>
      <c r="B424" s="1"/>
      <c r="C424" s="304">
        <f>SUM(C421:C422)</f>
        <v>515.53886098354405</v>
      </c>
      <c r="D424" s="283"/>
      <c r="E424" s="308"/>
      <c r="F424" s="2"/>
      <c r="G424" s="283"/>
      <c r="H424" s="308"/>
      <c r="I424" s="2"/>
      <c r="J424" s="2"/>
      <c r="K424" s="283"/>
      <c r="L424" s="308"/>
      <c r="M424" s="2"/>
      <c r="N424" s="2"/>
      <c r="O424" s="283"/>
      <c r="P424" s="308"/>
      <c r="Q424" s="2"/>
      <c r="R424" s="2"/>
      <c r="S424" s="283"/>
      <c r="T424" s="308"/>
      <c r="U424" s="2"/>
      <c r="V424" s="20"/>
      <c r="W424" s="74"/>
      <c r="X424" s="74"/>
      <c r="Y424" s="74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R424" s="84"/>
    </row>
    <row r="425" spans="1:44" hidden="1">
      <c r="A425" s="1" t="s">
        <v>352</v>
      </c>
      <c r="B425" s="1"/>
      <c r="C425" s="304">
        <f>'Rate Design Work eff 10-14-16'!C424</f>
        <v>48</v>
      </c>
      <c r="D425" s="283"/>
      <c r="E425" s="308"/>
      <c r="F425" s="2"/>
      <c r="G425" s="283"/>
      <c r="H425" s="308"/>
      <c r="I425" s="2"/>
      <c r="J425" s="2"/>
      <c r="K425" s="283"/>
      <c r="L425" s="308"/>
      <c r="M425" s="2"/>
      <c r="N425" s="2"/>
      <c r="O425" s="283"/>
      <c r="P425" s="308"/>
      <c r="Q425" s="2"/>
      <c r="R425" s="2"/>
      <c r="S425" s="283"/>
      <c r="T425" s="308"/>
      <c r="U425" s="2"/>
      <c r="V425" s="20"/>
      <c r="W425" s="74"/>
      <c r="X425" s="74"/>
      <c r="Y425" s="74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R425" s="84"/>
    </row>
    <row r="426" spans="1:44" hidden="1">
      <c r="A426" s="1" t="s">
        <v>385</v>
      </c>
      <c r="B426" s="1"/>
      <c r="C426" s="304">
        <f>'Rate Design Work eff 10-14-16'!C425</f>
        <v>0</v>
      </c>
      <c r="D426" s="311">
        <f>'Rate Design Work eff 9-15-17'!D425</f>
        <v>3.7</v>
      </c>
      <c r="E426" s="308"/>
      <c r="F426" s="2">
        <f>ROUND(D426*C426,0)</f>
        <v>0</v>
      </c>
      <c r="G426" s="311">
        <f ca="1">$G$178</f>
        <v>3.8</v>
      </c>
      <c r="H426" s="308"/>
      <c r="I426" s="2">
        <f ca="1">ROUND(G426*$C426,0)</f>
        <v>0</v>
      </c>
      <c r="J426" s="2"/>
      <c r="K426" s="311" t="e">
        <f ca="1">$K$178</f>
        <v>#REF!</v>
      </c>
      <c r="L426" s="308"/>
      <c r="M426" s="2" t="e">
        <f ca="1">ROUND(K426*$C426,0)</f>
        <v>#REF!</v>
      </c>
      <c r="N426" s="2"/>
      <c r="O426" s="311" t="e">
        <f ca="1">$O$178</f>
        <v>#DIV/0!</v>
      </c>
      <c r="P426" s="308"/>
      <c r="Q426" s="2" t="e">
        <f ca="1">ROUND(O426*$C426,0)</f>
        <v>#DIV/0!</v>
      </c>
      <c r="R426" s="2"/>
      <c r="S426" s="311" t="e">
        <f ca="1">$S$178</f>
        <v>#DIV/0!</v>
      </c>
      <c r="T426" s="308"/>
      <c r="U426" s="2" t="e">
        <f ca="1">ROUND(S426*$C426,0)</f>
        <v>#DIV/0!</v>
      </c>
      <c r="V426" s="20"/>
      <c r="W426" s="74"/>
      <c r="X426" s="74"/>
      <c r="Y426" s="74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R426" s="84"/>
    </row>
    <row r="427" spans="1:44" hidden="1">
      <c r="A427" s="1" t="s">
        <v>387</v>
      </c>
      <c r="B427" s="1"/>
      <c r="C427" s="304">
        <f>'Rate Design Work eff 10-14-16'!C426</f>
        <v>33312</v>
      </c>
      <c r="D427" s="284">
        <f>'Rate Design Work eff 9-15-17'!D426</f>
        <v>10.628</v>
      </c>
      <c r="E427" s="308" t="s">
        <v>364</v>
      </c>
      <c r="F427" s="2">
        <f>ROUND(D427*C427/100,0)</f>
        <v>3540</v>
      </c>
      <c r="G427" s="284">
        <f ca="1">$G$179</f>
        <v>10.878</v>
      </c>
      <c r="H427" s="308" t="s">
        <v>364</v>
      </c>
      <c r="I427" s="2">
        <f ca="1">ROUND(G427*$C427/100,0)</f>
        <v>3624</v>
      </c>
      <c r="J427" s="2"/>
      <c r="K427" s="284" t="e">
        <f ca="1">$K$179</f>
        <v>#REF!</v>
      </c>
      <c r="L427" s="308" t="s">
        <v>364</v>
      </c>
      <c r="M427" s="2" t="e">
        <f ca="1">ROUND(K427*$C427/100,0)</f>
        <v>#REF!</v>
      </c>
      <c r="N427" s="2"/>
      <c r="O427" s="284" t="e">
        <f ca="1">$O$179</f>
        <v>#DIV/0!</v>
      </c>
      <c r="P427" s="308" t="s">
        <v>364</v>
      </c>
      <c r="Q427" s="2" t="e">
        <f ca="1">ROUND(O427*$C427/100,0)</f>
        <v>#DIV/0!</v>
      </c>
      <c r="R427" s="2"/>
      <c r="S427" s="284" t="e">
        <f ca="1">$S$179</f>
        <v>#DIV/0!</v>
      </c>
      <c r="T427" s="308" t="s">
        <v>364</v>
      </c>
      <c r="U427" s="2" t="e">
        <f ca="1">ROUND(S427*$C427/100,0)</f>
        <v>#DIV/0!</v>
      </c>
      <c r="V427" s="20"/>
      <c r="W427" s="74"/>
      <c r="X427" s="74"/>
      <c r="Y427" s="74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R427" s="84"/>
    </row>
    <row r="428" spans="1:44" hidden="1">
      <c r="A428" s="1" t="s">
        <v>388</v>
      </c>
      <c r="B428" s="1"/>
      <c r="C428" s="304">
        <f>'Rate Design Work eff 10-14-16'!C427</f>
        <v>0</v>
      </c>
      <c r="D428" s="284">
        <f>'Rate Design Work eff 9-15-17'!D427</f>
        <v>7.3410000000000002</v>
      </c>
      <c r="E428" s="308" t="s">
        <v>364</v>
      </c>
      <c r="F428" s="2">
        <f>ROUND(D428*C428/100,0)</f>
        <v>0</v>
      </c>
      <c r="G428" s="284">
        <f ca="1">$G$180</f>
        <v>7.5140000000000002</v>
      </c>
      <c r="H428" s="308" t="s">
        <v>364</v>
      </c>
      <c r="I428" s="2">
        <f ca="1">ROUND(G428*$C428/100,0)</f>
        <v>0</v>
      </c>
      <c r="J428" s="2"/>
      <c r="K428" s="284" t="e">
        <f ca="1">$K$180</f>
        <v>#REF!</v>
      </c>
      <c r="L428" s="308" t="s">
        <v>364</v>
      </c>
      <c r="M428" s="2" t="e">
        <f ca="1">ROUND(K428*$C428/100,0)</f>
        <v>#REF!</v>
      </c>
      <c r="N428" s="2"/>
      <c r="O428" s="284" t="e">
        <f ca="1">$O$180</f>
        <v>#DIV/0!</v>
      </c>
      <c r="P428" s="308" t="s">
        <v>364</v>
      </c>
      <c r="Q428" s="2" t="e">
        <f ca="1">ROUND(O428*$C428/100,0)</f>
        <v>#DIV/0!</v>
      </c>
      <c r="R428" s="2"/>
      <c r="S428" s="284" t="e">
        <f ca="1">$S$180</f>
        <v>#DIV/0!</v>
      </c>
      <c r="T428" s="308" t="s">
        <v>364</v>
      </c>
      <c r="U428" s="2" t="e">
        <f ca="1">ROUND(S428*$C428/100,0)</f>
        <v>#DIV/0!</v>
      </c>
      <c r="V428" s="20"/>
      <c r="W428" s="74"/>
      <c r="X428" s="74"/>
      <c r="Y428" s="74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R428" s="84"/>
    </row>
    <row r="429" spans="1:44" hidden="1">
      <c r="A429" s="1" t="s">
        <v>389</v>
      </c>
      <c r="B429" s="1"/>
      <c r="C429" s="304">
        <f>'Rate Design Work eff 10-14-16'!C428</f>
        <v>0</v>
      </c>
      <c r="D429" s="284">
        <f>'Rate Design Work eff 9-15-17'!D428</f>
        <v>6.3240000000000007</v>
      </c>
      <c r="E429" s="308" t="s">
        <v>364</v>
      </c>
      <c r="F429" s="2">
        <f>ROUND(D429*C429/100,0)</f>
        <v>0</v>
      </c>
      <c r="G429" s="284">
        <f ca="1">$G$181</f>
        <v>6.4720000000000004</v>
      </c>
      <c r="H429" s="308" t="s">
        <v>364</v>
      </c>
      <c r="I429" s="2">
        <f ca="1">ROUND(G429*$C429/100,0)</f>
        <v>0</v>
      </c>
      <c r="J429" s="2"/>
      <c r="K429" s="284" t="e">
        <f ca="1">$K$181</f>
        <v>#REF!</v>
      </c>
      <c r="L429" s="308" t="s">
        <v>364</v>
      </c>
      <c r="M429" s="2" t="e">
        <f ca="1">ROUND(K429*$C429/100,0)</f>
        <v>#REF!</v>
      </c>
      <c r="N429" s="2"/>
      <c r="O429" s="284" t="e">
        <f ca="1">$O$181</f>
        <v>#DIV/0!</v>
      </c>
      <c r="P429" s="308" t="s">
        <v>364</v>
      </c>
      <c r="Q429" s="2" t="e">
        <f ca="1">ROUND(O429*$C429/100,0)</f>
        <v>#DIV/0!</v>
      </c>
      <c r="R429" s="2"/>
      <c r="S429" s="284" t="e">
        <f ca="1">$S$181</f>
        <v>#DIV/0!</v>
      </c>
      <c r="T429" s="308" t="s">
        <v>364</v>
      </c>
      <c r="U429" s="2" t="e">
        <f ca="1">ROUND(S429*$C429/100,0)</f>
        <v>#DIV/0!</v>
      </c>
      <c r="V429" s="20"/>
      <c r="W429" s="74"/>
      <c r="X429" s="74"/>
      <c r="Y429" s="74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R429" s="84"/>
    </row>
    <row r="430" spans="1:44" hidden="1">
      <c r="A430" s="1" t="s">
        <v>390</v>
      </c>
      <c r="B430" s="1"/>
      <c r="C430" s="304">
        <f>'Rate Design Work eff 10-14-16'!C429</f>
        <v>0</v>
      </c>
      <c r="D430" s="315">
        <f>'Rate Design Work eff 9-15-17'!D429</f>
        <v>57</v>
      </c>
      <c r="E430" s="308" t="s">
        <v>364</v>
      </c>
      <c r="F430" s="2">
        <f>ROUND(D430*C430/100,0)</f>
        <v>0</v>
      </c>
      <c r="G430" s="315">
        <f ca="1">$G$182</f>
        <v>58</v>
      </c>
      <c r="H430" s="308" t="s">
        <v>364</v>
      </c>
      <c r="I430" s="2">
        <f ca="1">ROUND(G430*$C430/100,0)</f>
        <v>0</v>
      </c>
      <c r="J430" s="2"/>
      <c r="K430" s="315" t="str">
        <f>$K$182</f>
        <v xml:space="preserve"> </v>
      </c>
      <c r="L430" s="308" t="s">
        <v>364</v>
      </c>
      <c r="M430" s="2">
        <f>ROUND(K430*$C430/100,0)</f>
        <v>0</v>
      </c>
      <c r="N430" s="2"/>
      <c r="O430" s="315" t="e">
        <f>$O$182</f>
        <v>#DIV/0!</v>
      </c>
      <c r="P430" s="308" t="s">
        <v>364</v>
      </c>
      <c r="Q430" s="2" t="e">
        <f>ROUND(O430*$C430/100,0)</f>
        <v>#DIV/0!</v>
      </c>
      <c r="R430" s="2"/>
      <c r="S430" s="315" t="e">
        <f>$S$182</f>
        <v>#DIV/0!</v>
      </c>
      <c r="T430" s="308" t="s">
        <v>364</v>
      </c>
      <c r="U430" s="2" t="e">
        <f>ROUND(S430*$C430/100,0)</f>
        <v>#DIV/0!</v>
      </c>
      <c r="V430" s="20"/>
      <c r="W430" s="74"/>
      <c r="X430" s="74"/>
      <c r="Y430" s="74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R430" s="84"/>
    </row>
    <row r="431" spans="1:44" s="1118" customFormat="1" hidden="1">
      <c r="A431" s="968" t="s">
        <v>888</v>
      </c>
      <c r="C431" s="1122">
        <f>C427</f>
        <v>33312</v>
      </c>
      <c r="D431" s="254">
        <f>'Rate Design Work eff 9-15-17'!D430</f>
        <v>0</v>
      </c>
      <c r="E431" s="1119"/>
      <c r="F431" s="1123"/>
      <c r="G431" s="1128">
        <f>G183</f>
        <v>0</v>
      </c>
      <c r="H431" s="972" t="s">
        <v>364</v>
      </c>
      <c r="I431" s="1123">
        <f t="shared" ref="I431:I433" si="89">ROUND(G431*$C431/100,0)</f>
        <v>0</v>
      </c>
      <c r="J431" s="1123"/>
      <c r="K431" s="1128" t="str">
        <f>K183</f>
        <v xml:space="preserve"> </v>
      </c>
      <c r="L431" s="972" t="s">
        <v>364</v>
      </c>
      <c r="M431" s="1123">
        <f t="shared" ref="M431:M433" si="90">ROUND(K431*$C431/100,0)</f>
        <v>0</v>
      </c>
      <c r="N431" s="1123"/>
      <c r="O431" s="1128" t="str">
        <f>O183</f>
        <v xml:space="preserve"> </v>
      </c>
      <c r="P431" s="972" t="s">
        <v>364</v>
      </c>
      <c r="Q431" s="1123">
        <f t="shared" ref="Q431:Q433" si="91">ROUND(O431*$C431/100,0)</f>
        <v>0</v>
      </c>
      <c r="R431" s="1123"/>
      <c r="S431" s="1128">
        <f>S183</f>
        <v>0</v>
      </c>
      <c r="T431" s="972" t="s">
        <v>364</v>
      </c>
      <c r="U431" s="1123">
        <f t="shared" ref="U431:U433" si="92">ROUND(S431*$C431/100,0)</f>
        <v>0</v>
      </c>
      <c r="W431" s="784"/>
      <c r="Z431" s="1125"/>
      <c r="AA431" s="1125"/>
      <c r="AF431" s="1119"/>
      <c r="AG431" s="1119"/>
      <c r="AH431" s="1119"/>
      <c r="AI431" s="1119"/>
      <c r="AJ431" s="1119"/>
      <c r="AK431" s="1119"/>
      <c r="AL431" s="1119"/>
      <c r="AM431" s="1119"/>
      <c r="AN431" s="1119"/>
      <c r="AO431" s="1119"/>
      <c r="AP431" s="1119"/>
      <c r="AR431" s="1124"/>
    </row>
    <row r="432" spans="1:44" s="1118" customFormat="1" hidden="1">
      <c r="A432" s="968" t="s">
        <v>889</v>
      </c>
      <c r="C432" s="1122">
        <f>C428</f>
        <v>0</v>
      </c>
      <c r="D432" s="254">
        <f>'Rate Design Work eff 9-15-17'!D431</f>
        <v>0</v>
      </c>
      <c r="E432" s="1119"/>
      <c r="F432" s="1123"/>
      <c r="G432" s="1128">
        <f>G184</f>
        <v>0</v>
      </c>
      <c r="H432" s="972" t="s">
        <v>364</v>
      </c>
      <c r="I432" s="1123">
        <f t="shared" si="89"/>
        <v>0</v>
      </c>
      <c r="J432" s="1123"/>
      <c r="K432" s="1128" t="str">
        <f>K184</f>
        <v xml:space="preserve"> </v>
      </c>
      <c r="L432" s="972" t="s">
        <v>364</v>
      </c>
      <c r="M432" s="1123">
        <f t="shared" si="90"/>
        <v>0</v>
      </c>
      <c r="N432" s="1123"/>
      <c r="O432" s="1128" t="str">
        <f>O184</f>
        <v xml:space="preserve"> </v>
      </c>
      <c r="P432" s="972" t="s">
        <v>364</v>
      </c>
      <c r="Q432" s="1123">
        <f t="shared" si="91"/>
        <v>0</v>
      </c>
      <c r="R432" s="1123"/>
      <c r="S432" s="1128">
        <f>S184</f>
        <v>0</v>
      </c>
      <c r="T432" s="972" t="s">
        <v>364</v>
      </c>
      <c r="U432" s="1123">
        <f t="shared" si="92"/>
        <v>0</v>
      </c>
      <c r="W432" s="784"/>
      <c r="Z432" s="1125"/>
      <c r="AA432" s="1125"/>
      <c r="AF432" s="1119"/>
      <c r="AG432" s="1119"/>
      <c r="AH432" s="1119"/>
      <c r="AI432" s="1119"/>
      <c r="AJ432" s="1119"/>
      <c r="AK432" s="1119"/>
      <c r="AL432" s="1119"/>
      <c r="AM432" s="1119"/>
      <c r="AN432" s="1119"/>
      <c r="AO432" s="1119"/>
      <c r="AP432" s="1119"/>
      <c r="AR432" s="1124"/>
    </row>
    <row r="433" spans="1:44" s="1118" customFormat="1" hidden="1">
      <c r="A433" s="968" t="s">
        <v>890</v>
      </c>
      <c r="C433" s="1122">
        <f>C429</f>
        <v>0</v>
      </c>
      <c r="D433" s="254">
        <f>'Rate Design Work eff 9-15-17'!D432</f>
        <v>0</v>
      </c>
      <c r="E433" s="1119"/>
      <c r="F433" s="1123"/>
      <c r="G433" s="1128">
        <f>G185</f>
        <v>0</v>
      </c>
      <c r="H433" s="972" t="s">
        <v>364</v>
      </c>
      <c r="I433" s="1123">
        <f t="shared" si="89"/>
        <v>0</v>
      </c>
      <c r="J433" s="1123"/>
      <c r="K433" s="1128" t="str">
        <f>K185</f>
        <v xml:space="preserve"> </v>
      </c>
      <c r="L433" s="972" t="s">
        <v>364</v>
      </c>
      <c r="M433" s="1123">
        <f t="shared" si="90"/>
        <v>0</v>
      </c>
      <c r="N433" s="1123"/>
      <c r="O433" s="1128" t="str">
        <f>O185</f>
        <v xml:space="preserve"> </v>
      </c>
      <c r="P433" s="972" t="s">
        <v>364</v>
      </c>
      <c r="Q433" s="1123">
        <f t="shared" si="91"/>
        <v>0</v>
      </c>
      <c r="R433" s="1123"/>
      <c r="S433" s="1128">
        <f>S185</f>
        <v>0</v>
      </c>
      <c r="T433" s="972" t="s">
        <v>364</v>
      </c>
      <c r="U433" s="1123">
        <f t="shared" si="92"/>
        <v>0</v>
      </c>
      <c r="W433" s="784"/>
      <c r="Z433" s="1125"/>
      <c r="AA433" s="1125"/>
      <c r="AF433" s="1119"/>
      <c r="AG433" s="1119"/>
      <c r="AH433" s="1119"/>
      <c r="AI433" s="1119"/>
      <c r="AJ433" s="1119"/>
      <c r="AK433" s="1119"/>
      <c r="AL433" s="1119"/>
      <c r="AM433" s="1119"/>
      <c r="AN433" s="1119"/>
      <c r="AO433" s="1119"/>
      <c r="AP433" s="1119"/>
      <c r="AR433" s="1124"/>
    </row>
    <row r="434" spans="1:44" hidden="1">
      <c r="A434" s="316" t="s">
        <v>391</v>
      </c>
      <c r="B434" s="1"/>
      <c r="C434" s="304"/>
      <c r="D434" s="317">
        <f>'Rate Design Work eff 9-15-17'!D433</f>
        <v>-0.01</v>
      </c>
      <c r="E434" s="308"/>
      <c r="F434" s="2"/>
      <c r="G434" s="317">
        <v>-0.01</v>
      </c>
      <c r="H434" s="308"/>
      <c r="I434" s="2"/>
      <c r="J434" s="2"/>
      <c r="K434" s="317">
        <v>-0.01</v>
      </c>
      <c r="L434" s="308"/>
      <c r="M434" s="2"/>
      <c r="N434" s="2"/>
      <c r="O434" s="317">
        <v>-0.01</v>
      </c>
      <c r="P434" s="308"/>
      <c r="Q434" s="2"/>
      <c r="R434" s="2"/>
      <c r="S434" s="317">
        <v>-0.01</v>
      </c>
      <c r="T434" s="308"/>
      <c r="U434" s="2"/>
      <c r="V434" s="20"/>
      <c r="W434" s="74"/>
      <c r="X434" s="74"/>
      <c r="Y434" s="74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R434" s="84"/>
    </row>
    <row r="435" spans="1:44" hidden="1">
      <c r="A435" s="1" t="s">
        <v>380</v>
      </c>
      <c r="B435" s="1"/>
      <c r="C435" s="304">
        <v>0</v>
      </c>
      <c r="D435" s="319">
        <f>'Rate Design Work eff 9-15-17'!D434</f>
        <v>9.76</v>
      </c>
      <c r="E435" s="306"/>
      <c r="F435" s="2">
        <f>-ROUND(D435*$C435/100,0)</f>
        <v>0</v>
      </c>
      <c r="G435" s="319">
        <f ca="1">G421</f>
        <v>9.99</v>
      </c>
      <c r="H435" s="306"/>
      <c r="I435" s="2">
        <f ca="1">-ROUND(G435*$C435/100,0)</f>
        <v>0</v>
      </c>
      <c r="J435" s="2"/>
      <c r="K435" s="319">
        <f ca="1">K421</f>
        <v>9.76</v>
      </c>
      <c r="L435" s="306"/>
      <c r="M435" s="2">
        <f ca="1">-ROUND(K435*$C435/100,0)</f>
        <v>0</v>
      </c>
      <c r="N435" s="2"/>
      <c r="O435" s="319" t="str">
        <f>O421</f>
        <v xml:space="preserve"> </v>
      </c>
      <c r="P435" s="306"/>
      <c r="Q435" s="2">
        <f>-ROUND(O435*$C435/100,0)</f>
        <v>0</v>
      </c>
      <c r="R435" s="2"/>
      <c r="S435" s="319" t="str">
        <f>S421</f>
        <v xml:space="preserve"> </v>
      </c>
      <c r="T435" s="306"/>
      <c r="U435" s="2">
        <f>-ROUND(S435*$C435/100,0)</f>
        <v>0</v>
      </c>
      <c r="V435" s="20"/>
      <c r="W435" s="74"/>
      <c r="X435" s="74"/>
      <c r="Y435" s="74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R435" s="84"/>
    </row>
    <row r="436" spans="1:44" hidden="1">
      <c r="A436" s="1" t="s">
        <v>381</v>
      </c>
      <c r="B436" s="1"/>
      <c r="C436" s="304">
        <v>0</v>
      </c>
      <c r="D436" s="319">
        <f>'Rate Design Work eff 9-15-17'!D435</f>
        <v>14.54</v>
      </c>
      <c r="E436" s="306"/>
      <c r="F436" s="2">
        <f t="shared" ref="F436:F438" si="93">-ROUND(D436*$C436/100,0)</f>
        <v>0</v>
      </c>
      <c r="G436" s="319">
        <f ca="1">G422</f>
        <v>14.89</v>
      </c>
      <c r="H436" s="306"/>
      <c r="I436" s="2">
        <f ca="1">-ROUND(G436*$C436/100,0)</f>
        <v>0</v>
      </c>
      <c r="J436" s="2"/>
      <c r="K436" s="319">
        <f ca="1">K422</f>
        <v>14.54</v>
      </c>
      <c r="L436" s="306"/>
      <c r="M436" s="2">
        <f ca="1">-ROUND(K436*$C436/100,0)</f>
        <v>0</v>
      </c>
      <c r="N436" s="2"/>
      <c r="O436" s="319" t="str">
        <f>O422</f>
        <v xml:space="preserve"> </v>
      </c>
      <c r="P436" s="306"/>
      <c r="Q436" s="2">
        <f>-ROUND(O436*$C436/100,0)</f>
        <v>0</v>
      </c>
      <c r="R436" s="2"/>
      <c r="S436" s="319" t="str">
        <f>S422</f>
        <v xml:space="preserve"> </v>
      </c>
      <c r="T436" s="306"/>
      <c r="U436" s="2">
        <f>-ROUND(S436*$C436/100,0)</f>
        <v>0</v>
      </c>
      <c r="V436" s="20"/>
      <c r="W436" s="74"/>
      <c r="X436" s="74"/>
      <c r="Y436" s="74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R436" s="84"/>
    </row>
    <row r="437" spans="1:44" hidden="1">
      <c r="A437" s="1" t="s">
        <v>392</v>
      </c>
      <c r="B437" s="1"/>
      <c r="C437" s="304">
        <v>0</v>
      </c>
      <c r="D437" s="319">
        <f>'Rate Design Work eff 9-15-17'!D436</f>
        <v>1.02</v>
      </c>
      <c r="E437" s="306"/>
      <c r="F437" s="2">
        <f t="shared" si="93"/>
        <v>0</v>
      </c>
      <c r="G437" s="319">
        <f ca="1">G423</f>
        <v>1.04</v>
      </c>
      <c r="H437" s="306"/>
      <c r="I437" s="2">
        <f ca="1">-ROUND(G437*$C437/100,0)</f>
        <v>0</v>
      </c>
      <c r="J437" s="2"/>
      <c r="K437" s="319">
        <f ca="1">K423</f>
        <v>1.02</v>
      </c>
      <c r="L437" s="306"/>
      <c r="M437" s="2">
        <f ca="1">-ROUND(K437*$C437/100,0)</f>
        <v>0</v>
      </c>
      <c r="N437" s="2"/>
      <c r="O437" s="319" t="str">
        <f>O423</f>
        <v xml:space="preserve"> </v>
      </c>
      <c r="P437" s="306"/>
      <c r="Q437" s="2">
        <f>-ROUND(O437*$C437/100,0)</f>
        <v>0</v>
      </c>
      <c r="R437" s="2"/>
      <c r="S437" s="319" t="str">
        <f>S423</f>
        <v xml:space="preserve"> </v>
      </c>
      <c r="T437" s="306"/>
      <c r="U437" s="2">
        <f>-ROUND(S437*$C437/100,0)</f>
        <v>0</v>
      </c>
      <c r="V437" s="20"/>
      <c r="W437" s="74"/>
      <c r="X437" s="74"/>
      <c r="Y437" s="74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R437" s="84"/>
    </row>
    <row r="438" spans="1:44" hidden="1">
      <c r="A438" s="1" t="s">
        <v>393</v>
      </c>
      <c r="B438" s="1"/>
      <c r="C438" s="304">
        <v>0</v>
      </c>
      <c r="D438" s="319">
        <f>'Rate Design Work eff 9-15-17'!D437</f>
        <v>3.7</v>
      </c>
      <c r="E438" s="308"/>
      <c r="F438" s="2">
        <f t="shared" si="93"/>
        <v>0</v>
      </c>
      <c r="G438" s="319">
        <f ca="1">G426</f>
        <v>3.8</v>
      </c>
      <c r="H438" s="308"/>
      <c r="I438" s="2">
        <f ca="1">-ROUND(G438*$C438/100,0)</f>
        <v>0</v>
      </c>
      <c r="J438" s="2"/>
      <c r="K438" s="319" t="e">
        <f ca="1">K426</f>
        <v>#REF!</v>
      </c>
      <c r="L438" s="308"/>
      <c r="M438" s="2" t="e">
        <f ca="1">-ROUND(K438*$C438/100,0)</f>
        <v>#REF!</v>
      </c>
      <c r="N438" s="2"/>
      <c r="O438" s="319" t="e">
        <f ca="1">O426</f>
        <v>#DIV/0!</v>
      </c>
      <c r="P438" s="308"/>
      <c r="Q438" s="2" t="e">
        <f ca="1">-ROUND(O438*$C438/100,0)</f>
        <v>#DIV/0!</v>
      </c>
      <c r="R438" s="2"/>
      <c r="S438" s="319" t="e">
        <f ca="1">S426</f>
        <v>#DIV/0!</v>
      </c>
      <c r="T438" s="308"/>
      <c r="U438" s="2" t="e">
        <f ca="1">-ROUND(S438*$C438/100,0)</f>
        <v>#DIV/0!</v>
      </c>
      <c r="V438" s="20"/>
      <c r="W438" s="74"/>
      <c r="X438" s="74"/>
      <c r="Y438" s="74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R438" s="84"/>
    </row>
    <row r="439" spans="1:44" hidden="1">
      <c r="A439" s="1" t="s">
        <v>395</v>
      </c>
      <c r="B439" s="1"/>
      <c r="C439" s="304">
        <v>0</v>
      </c>
      <c r="D439" s="320">
        <f>'Rate Design Work eff 9-15-17'!D438</f>
        <v>10.628</v>
      </c>
      <c r="E439" s="308" t="s">
        <v>364</v>
      </c>
      <c r="F439" s="2">
        <f>ROUND(D439*$C439/100*D434,0)</f>
        <v>0</v>
      </c>
      <c r="G439" s="320">
        <f ca="1">G427</f>
        <v>10.878</v>
      </c>
      <c r="H439" s="308" t="s">
        <v>364</v>
      </c>
      <c r="I439" s="2">
        <f ca="1">ROUND(G439*$C439/100*G434,0)</f>
        <v>0</v>
      </c>
      <c r="J439" s="2"/>
      <c r="K439" s="320" t="e">
        <f ca="1">K427</f>
        <v>#REF!</v>
      </c>
      <c r="L439" s="308" t="s">
        <v>364</v>
      </c>
      <c r="M439" s="2" t="e">
        <f ca="1">ROUND(K439*$C439/100*K434,0)</f>
        <v>#REF!</v>
      </c>
      <c r="N439" s="2"/>
      <c r="O439" s="320" t="e">
        <f ca="1">O427</f>
        <v>#DIV/0!</v>
      </c>
      <c r="P439" s="308" t="s">
        <v>364</v>
      </c>
      <c r="Q439" s="2" t="e">
        <f ca="1">ROUND(O439*$C439/100*O434,0)</f>
        <v>#DIV/0!</v>
      </c>
      <c r="R439" s="2"/>
      <c r="S439" s="320" t="e">
        <f ca="1">S427</f>
        <v>#DIV/0!</v>
      </c>
      <c r="T439" s="308" t="s">
        <v>364</v>
      </c>
      <c r="U439" s="2" t="e">
        <f ca="1">ROUND(S439*$C439/100*S434,0)</f>
        <v>#DIV/0!</v>
      </c>
      <c r="V439" s="20"/>
      <c r="W439" s="74"/>
      <c r="X439" s="74"/>
      <c r="Y439" s="74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R439" s="84"/>
    </row>
    <row r="440" spans="1:44" hidden="1">
      <c r="A440" s="1" t="s">
        <v>388</v>
      </c>
      <c r="B440" s="1"/>
      <c r="C440" s="304">
        <v>0</v>
      </c>
      <c r="D440" s="320">
        <f>'Rate Design Work eff 9-15-17'!D439</f>
        <v>7.3410000000000002</v>
      </c>
      <c r="E440" s="308" t="s">
        <v>364</v>
      </c>
      <c r="F440" s="2">
        <f>ROUND(D440*$C440/100*D434,0)</f>
        <v>0</v>
      </c>
      <c r="G440" s="320">
        <f ca="1">G428</f>
        <v>7.5140000000000002</v>
      </c>
      <c r="H440" s="308" t="s">
        <v>364</v>
      </c>
      <c r="I440" s="2">
        <f ca="1">ROUND(G440*$C440/100*G434,0)</f>
        <v>0</v>
      </c>
      <c r="J440" s="2"/>
      <c r="K440" s="320" t="e">
        <f ca="1">K428</f>
        <v>#REF!</v>
      </c>
      <c r="L440" s="308" t="s">
        <v>364</v>
      </c>
      <c r="M440" s="2" t="e">
        <f ca="1">ROUND(K440*$C440/100*K434,0)</f>
        <v>#REF!</v>
      </c>
      <c r="N440" s="2"/>
      <c r="O440" s="320" t="e">
        <f ca="1">O428</f>
        <v>#DIV/0!</v>
      </c>
      <c r="P440" s="308" t="s">
        <v>364</v>
      </c>
      <c r="Q440" s="2" t="e">
        <f ca="1">ROUND(O440*$C440/100*O434,0)</f>
        <v>#DIV/0!</v>
      </c>
      <c r="R440" s="2"/>
      <c r="S440" s="320" t="e">
        <f ca="1">S428</f>
        <v>#DIV/0!</v>
      </c>
      <c r="T440" s="308" t="s">
        <v>364</v>
      </c>
      <c r="U440" s="2" t="e">
        <f ca="1">ROUND(S440*$C440/100*S434,0)</f>
        <v>#DIV/0!</v>
      </c>
      <c r="V440" s="20"/>
      <c r="W440" s="74"/>
      <c r="X440" s="74"/>
      <c r="Y440" s="74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R440" s="84"/>
    </row>
    <row r="441" spans="1:44" hidden="1">
      <c r="A441" s="1" t="s">
        <v>389</v>
      </c>
      <c r="B441" s="1"/>
      <c r="C441" s="304">
        <v>0</v>
      </c>
      <c r="D441" s="320">
        <f>'Rate Design Work eff 9-15-17'!D440</f>
        <v>6.3240000000000007</v>
      </c>
      <c r="E441" s="308" t="s">
        <v>364</v>
      </c>
      <c r="F441" s="2">
        <f>ROUND(D441*$C441/100*D434,0)</f>
        <v>0</v>
      </c>
      <c r="G441" s="320">
        <f ca="1">G429</f>
        <v>6.4720000000000004</v>
      </c>
      <c r="H441" s="308" t="s">
        <v>364</v>
      </c>
      <c r="I441" s="2">
        <f ca="1">ROUND(G441*$C441/100*G434,0)</f>
        <v>0</v>
      </c>
      <c r="J441" s="2"/>
      <c r="K441" s="320" t="e">
        <f ca="1">K429</f>
        <v>#REF!</v>
      </c>
      <c r="L441" s="308" t="s">
        <v>364</v>
      </c>
      <c r="M441" s="2" t="e">
        <f ca="1">ROUND(K441*$C441/100*K434,0)</f>
        <v>#REF!</v>
      </c>
      <c r="N441" s="2"/>
      <c r="O441" s="320" t="e">
        <f ca="1">O429</f>
        <v>#DIV/0!</v>
      </c>
      <c r="P441" s="308" t="s">
        <v>364</v>
      </c>
      <c r="Q441" s="2" t="e">
        <f ca="1">ROUND(O441*$C441/100*O434,0)</f>
        <v>#DIV/0!</v>
      </c>
      <c r="R441" s="2"/>
      <c r="S441" s="320" t="e">
        <f ca="1">S429</f>
        <v>#DIV/0!</v>
      </c>
      <c r="T441" s="308" t="s">
        <v>364</v>
      </c>
      <c r="U441" s="2" t="e">
        <f ca="1">ROUND(S441*$C441/100*S434,0)</f>
        <v>#DIV/0!</v>
      </c>
      <c r="V441" s="20"/>
      <c r="W441" s="74"/>
      <c r="X441" s="74"/>
      <c r="Y441" s="74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R441" s="84"/>
    </row>
    <row r="442" spans="1:44" hidden="1">
      <c r="A442" s="1" t="s">
        <v>390</v>
      </c>
      <c r="B442" s="1"/>
      <c r="C442" s="304">
        <v>0</v>
      </c>
      <c r="D442" s="321">
        <f>'Rate Design Work eff 9-15-17'!D441</f>
        <v>57</v>
      </c>
      <c r="E442" s="308" t="s">
        <v>364</v>
      </c>
      <c r="F442" s="2">
        <f>ROUND(D442*$C442/100*D434,0)</f>
        <v>0</v>
      </c>
      <c r="G442" s="321">
        <f ca="1">G430</f>
        <v>58</v>
      </c>
      <c r="H442" s="308" t="s">
        <v>364</v>
      </c>
      <c r="I442" s="2">
        <f ca="1">ROUND(G442*$C442/100*G434,0)</f>
        <v>0</v>
      </c>
      <c r="J442" s="2"/>
      <c r="K442" s="321" t="str">
        <f>K430</f>
        <v xml:space="preserve"> </v>
      </c>
      <c r="L442" s="308" t="s">
        <v>364</v>
      </c>
      <c r="M442" s="2">
        <f>ROUND(K442*$C442/100*K434,0)</f>
        <v>0</v>
      </c>
      <c r="N442" s="2"/>
      <c r="O442" s="321" t="e">
        <f>O430</f>
        <v>#DIV/0!</v>
      </c>
      <c r="P442" s="308" t="s">
        <v>364</v>
      </c>
      <c r="Q442" s="2" t="e">
        <f>ROUND(O442*$C442/100*O434,0)</f>
        <v>#DIV/0!</v>
      </c>
      <c r="R442" s="2"/>
      <c r="S442" s="321" t="e">
        <f>S430</f>
        <v>#DIV/0!</v>
      </c>
      <c r="T442" s="308" t="s">
        <v>364</v>
      </c>
      <c r="U442" s="2" t="e">
        <f>ROUND(S442*$C442/100*S434,0)</f>
        <v>#DIV/0!</v>
      </c>
      <c r="V442" s="20"/>
      <c r="W442" s="74"/>
      <c r="X442" s="74"/>
      <c r="Y442" s="74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R442" s="84"/>
    </row>
    <row r="443" spans="1:44" hidden="1">
      <c r="A443" s="1" t="s">
        <v>397</v>
      </c>
      <c r="B443" s="1"/>
      <c r="C443" s="304">
        <v>0</v>
      </c>
      <c r="D443" s="322">
        <f>'Rate Design Work eff 9-15-17'!D442</f>
        <v>60</v>
      </c>
      <c r="E443" s="308"/>
      <c r="F443" s="2">
        <f>ROUND(D443*C443,0)</f>
        <v>0</v>
      </c>
      <c r="G443" s="322">
        <f>$G$198</f>
        <v>60</v>
      </c>
      <c r="H443" s="308"/>
      <c r="I443" s="2">
        <f>ROUND(G443*$C443,0)</f>
        <v>0</v>
      </c>
      <c r="J443" s="2"/>
      <c r="K443" s="322" t="str">
        <f>$K$198</f>
        <v xml:space="preserve"> </v>
      </c>
      <c r="L443" s="308"/>
      <c r="M443" s="2">
        <f>ROUND(K443*$C443,0)</f>
        <v>0</v>
      </c>
      <c r="N443" s="2"/>
      <c r="O443" s="322" t="e">
        <f>$O$198</f>
        <v>#DIV/0!</v>
      </c>
      <c r="P443" s="308"/>
      <c r="Q443" s="2" t="e">
        <f>ROUND(O443*$C443,0)</f>
        <v>#DIV/0!</v>
      </c>
      <c r="R443" s="2"/>
      <c r="S443" s="322" t="e">
        <f>$S$198</f>
        <v>#DIV/0!</v>
      </c>
      <c r="T443" s="308"/>
      <c r="U443" s="2" t="e">
        <f>ROUND(S443*$C443,0)</f>
        <v>#DIV/0!</v>
      </c>
      <c r="V443" s="20"/>
      <c r="W443" s="74"/>
      <c r="X443" s="74"/>
      <c r="Y443" s="74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R443" s="84"/>
    </row>
    <row r="444" spans="1:44" hidden="1">
      <c r="A444" s="1" t="s">
        <v>398</v>
      </c>
      <c r="B444" s="1"/>
      <c r="C444" s="304">
        <v>0</v>
      </c>
      <c r="D444" s="324">
        <f>'Rate Design Work eff 9-15-17'!D443</f>
        <v>-30</v>
      </c>
      <c r="E444" s="308" t="s">
        <v>364</v>
      </c>
      <c r="F444" s="2">
        <f>ROUND(D444*C444/100,0)</f>
        <v>0</v>
      </c>
      <c r="G444" s="324">
        <f>$G$199</f>
        <v>-30</v>
      </c>
      <c r="H444" s="308" t="s">
        <v>364</v>
      </c>
      <c r="I444" s="2">
        <f>ROUND(G444*$C444/100,0)</f>
        <v>0</v>
      </c>
      <c r="J444" s="2"/>
      <c r="K444" s="324">
        <f>$K$199</f>
        <v>-30</v>
      </c>
      <c r="L444" s="308" t="s">
        <v>364</v>
      </c>
      <c r="M444" s="2">
        <f>ROUND(K444*$C444/100,0)</f>
        <v>0</v>
      </c>
      <c r="N444" s="2"/>
      <c r="O444" s="324" t="str">
        <f>$O$199</f>
        <v xml:space="preserve"> </v>
      </c>
      <c r="P444" s="308" t="s">
        <v>364</v>
      </c>
      <c r="Q444" s="2">
        <f>ROUND(O444*$C444/100,0)</f>
        <v>0</v>
      </c>
      <c r="R444" s="2"/>
      <c r="S444" s="324" t="str">
        <f>$S$199</f>
        <v xml:space="preserve"> </v>
      </c>
      <c r="T444" s="308" t="s">
        <v>364</v>
      </c>
      <c r="U444" s="2">
        <f>ROUND(S444*$C444/100,0)</f>
        <v>0</v>
      </c>
      <c r="V444" s="20"/>
      <c r="W444" s="74"/>
      <c r="X444" s="74"/>
      <c r="Y444" s="74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R444" s="84"/>
    </row>
    <row r="445" spans="1:44" s="1118" customFormat="1" hidden="1">
      <c r="A445" s="968" t="s">
        <v>888</v>
      </c>
      <c r="C445" s="1122">
        <f>C439</f>
        <v>0</v>
      </c>
      <c r="D445" s="254">
        <f>'Rate Design Work eff 9-15-17'!D444</f>
        <v>0</v>
      </c>
      <c r="E445" s="1119"/>
      <c r="F445" s="1123"/>
      <c r="G445" s="1128">
        <f>G183</f>
        <v>0</v>
      </c>
      <c r="H445" s="972" t="s">
        <v>364</v>
      </c>
      <c r="I445" s="2">
        <f>ROUND(G445*$C445/100*G434,0)</f>
        <v>0</v>
      </c>
      <c r="J445" s="2"/>
      <c r="K445" s="1128" t="str">
        <f>K183</f>
        <v xml:space="preserve"> </v>
      </c>
      <c r="L445" s="972" t="s">
        <v>364</v>
      </c>
      <c r="M445" s="2">
        <f>ROUND(K445*$C445/100*K434,0)</f>
        <v>0</v>
      </c>
      <c r="N445" s="2"/>
      <c r="O445" s="1128" t="str">
        <f>O183</f>
        <v xml:space="preserve"> </v>
      </c>
      <c r="P445" s="972" t="s">
        <v>364</v>
      </c>
      <c r="Q445" s="2">
        <f>ROUND(O445*$C445/100*O434,0)</f>
        <v>0</v>
      </c>
      <c r="R445" s="2"/>
      <c r="S445" s="1128">
        <f>S183</f>
        <v>0</v>
      </c>
      <c r="T445" s="972" t="s">
        <v>364</v>
      </c>
      <c r="U445" s="2">
        <f>ROUND(S445*$C445/100*S434,0)</f>
        <v>0</v>
      </c>
      <c r="W445" s="784"/>
      <c r="Z445" s="1125"/>
      <c r="AA445" s="1125"/>
      <c r="AF445" s="1119"/>
      <c r="AG445" s="1119"/>
      <c r="AH445" s="1119"/>
      <c r="AI445" s="1119"/>
      <c r="AJ445" s="1119"/>
      <c r="AK445" s="1119"/>
      <c r="AL445" s="1119"/>
      <c r="AM445" s="1119"/>
      <c r="AN445" s="1119"/>
      <c r="AO445" s="1119"/>
      <c r="AP445" s="1119"/>
      <c r="AR445" s="1124"/>
    </row>
    <row r="446" spans="1:44" s="1118" customFormat="1" hidden="1">
      <c r="A446" s="968" t="s">
        <v>889</v>
      </c>
      <c r="C446" s="1122">
        <f>C440</f>
        <v>0</v>
      </c>
      <c r="D446" s="254">
        <f>'Rate Design Work eff 9-15-17'!D445</f>
        <v>0</v>
      </c>
      <c r="E446" s="1119"/>
      <c r="F446" s="1123"/>
      <c r="G446" s="1128">
        <f>G184</f>
        <v>0</v>
      </c>
      <c r="H446" s="972" t="s">
        <v>364</v>
      </c>
      <c r="I446" s="2">
        <f>ROUND(G446*$C446/100*G434,0)</f>
        <v>0</v>
      </c>
      <c r="J446" s="2"/>
      <c r="K446" s="1128" t="str">
        <f>K184</f>
        <v xml:space="preserve"> </v>
      </c>
      <c r="L446" s="972" t="s">
        <v>364</v>
      </c>
      <c r="M446" s="2">
        <f>ROUND(K446*$C446/100*K434,0)</f>
        <v>0</v>
      </c>
      <c r="N446" s="2"/>
      <c r="O446" s="1128" t="str">
        <f>O184</f>
        <v xml:space="preserve"> </v>
      </c>
      <c r="P446" s="972" t="s">
        <v>364</v>
      </c>
      <c r="Q446" s="2">
        <f>ROUND(O446*$C446/100*O434,0)</f>
        <v>0</v>
      </c>
      <c r="R446" s="2"/>
      <c r="S446" s="1128">
        <f>S184</f>
        <v>0</v>
      </c>
      <c r="T446" s="972" t="s">
        <v>364</v>
      </c>
      <c r="U446" s="2">
        <f>ROUND(S446*$C446/100*S434,0)</f>
        <v>0</v>
      </c>
      <c r="W446" s="784"/>
      <c r="Z446" s="1125"/>
      <c r="AA446" s="1125"/>
      <c r="AF446" s="1119"/>
      <c r="AG446" s="1119"/>
      <c r="AH446" s="1119"/>
      <c r="AI446" s="1119"/>
      <c r="AJ446" s="1119"/>
      <c r="AK446" s="1119"/>
      <c r="AL446" s="1119"/>
      <c r="AM446" s="1119"/>
      <c r="AN446" s="1119"/>
      <c r="AO446" s="1119"/>
      <c r="AP446" s="1119"/>
      <c r="AR446" s="1124"/>
    </row>
    <row r="447" spans="1:44" s="1118" customFormat="1" hidden="1">
      <c r="A447" s="968" t="s">
        <v>890</v>
      </c>
      <c r="C447" s="1122">
        <f>C441</f>
        <v>0</v>
      </c>
      <c r="D447" s="254">
        <f>'Rate Design Work eff 9-15-17'!D446</f>
        <v>0</v>
      </c>
      <c r="E447" s="1119"/>
      <c r="F447" s="1123"/>
      <c r="G447" s="1128">
        <f>G185</f>
        <v>0</v>
      </c>
      <c r="H447" s="972" t="s">
        <v>364</v>
      </c>
      <c r="I447" s="2">
        <f>ROUND(G447*$C447/100*G434,0)</f>
        <v>0</v>
      </c>
      <c r="J447" s="2"/>
      <c r="K447" s="1128" t="str">
        <f>K185</f>
        <v xml:space="preserve"> </v>
      </c>
      <c r="L447" s="972" t="s">
        <v>364</v>
      </c>
      <c r="M447" s="2">
        <f>ROUND(K447*$C447/100*K434,0)</f>
        <v>0</v>
      </c>
      <c r="N447" s="2"/>
      <c r="O447" s="1128" t="str">
        <f>O185</f>
        <v xml:space="preserve"> </v>
      </c>
      <c r="P447" s="972" t="s">
        <v>364</v>
      </c>
      <c r="Q447" s="2">
        <f>ROUND(O447*$C447/100*O434,0)</f>
        <v>0</v>
      </c>
      <c r="R447" s="2"/>
      <c r="S447" s="1128">
        <f>S185</f>
        <v>0</v>
      </c>
      <c r="T447" s="972" t="s">
        <v>364</v>
      </c>
      <c r="U447" s="2">
        <f>ROUND(S447*$C447/100*S434,0)</f>
        <v>0</v>
      </c>
      <c r="W447" s="784"/>
      <c r="Z447" s="1125"/>
      <c r="AA447" s="1125"/>
      <c r="AF447" s="1119"/>
      <c r="AG447" s="1119"/>
      <c r="AH447" s="1119"/>
      <c r="AI447" s="1119"/>
      <c r="AJ447" s="1119"/>
      <c r="AK447" s="1119"/>
      <c r="AL447" s="1119"/>
      <c r="AM447" s="1119"/>
      <c r="AN447" s="1119"/>
      <c r="AO447" s="1119"/>
      <c r="AP447" s="1119"/>
      <c r="AR447" s="1124"/>
    </row>
    <row r="448" spans="1:44" hidden="1">
      <c r="A448" s="1" t="s">
        <v>371</v>
      </c>
      <c r="B448" s="1"/>
      <c r="C448" s="304">
        <f>SUM(C427:C429)</f>
        <v>33312</v>
      </c>
      <c r="D448" s="315"/>
      <c r="E448" s="308"/>
      <c r="F448" s="2">
        <f>SUM(F421:F444)</f>
        <v>8572</v>
      </c>
      <c r="G448" s="315"/>
      <c r="H448" s="308"/>
      <c r="I448" s="2">
        <f ca="1">SUM(I421:I447)</f>
        <v>8774</v>
      </c>
      <c r="J448" s="2"/>
      <c r="K448" s="315"/>
      <c r="L448" s="308"/>
      <c r="M448" s="2" t="e">
        <f ca="1">SUM(M421:M447)</f>
        <v>#REF!</v>
      </c>
      <c r="N448" s="2"/>
      <c r="O448" s="315"/>
      <c r="P448" s="308"/>
      <c r="Q448" s="2" t="e">
        <f ca="1">SUM(Q421:Q447)</f>
        <v>#DIV/0!</v>
      </c>
      <c r="R448" s="2"/>
      <c r="S448" s="315"/>
      <c r="T448" s="308"/>
      <c r="U448" s="2" t="e">
        <f ca="1">SUM(U421:U447)</f>
        <v>#DIV/0!</v>
      </c>
      <c r="V448" s="20"/>
      <c r="W448" s="74"/>
      <c r="X448" s="74"/>
      <c r="Y448" s="74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R448" s="84"/>
    </row>
    <row r="449" spans="1:44" hidden="1">
      <c r="A449" s="1" t="s">
        <v>353</v>
      </c>
      <c r="B449" s="1"/>
      <c r="C449" s="334">
        <f ca="1">'Table 2'!H72</f>
        <v>103.57381938517956</v>
      </c>
      <c r="D449" s="294"/>
      <c r="E449" s="294"/>
      <c r="F449" s="326">
        <f ca="1">'Table 3'!E72</f>
        <v>26.103189482042787</v>
      </c>
      <c r="G449" s="294"/>
      <c r="H449" s="294"/>
      <c r="I449" s="326">
        <f ca="1">F449</f>
        <v>26.103189482042787</v>
      </c>
      <c r="J449" s="307"/>
      <c r="K449" s="294"/>
      <c r="L449" s="294"/>
      <c r="M449" s="326" t="e">
        <f ca="1">M204/I204*I449</f>
        <v>#DIV/0!</v>
      </c>
      <c r="N449" s="307"/>
      <c r="O449" s="294"/>
      <c r="P449" s="294"/>
      <c r="Q449" s="326" t="e">
        <f ca="1">Q204/I204*I449</f>
        <v>#DIV/0!</v>
      </c>
      <c r="R449" s="307"/>
      <c r="S449" s="294"/>
      <c r="T449" s="294"/>
      <c r="U449" s="326" t="e">
        <f ca="1">U204/I204*I449</f>
        <v>#DIV/0!</v>
      </c>
      <c r="V449" s="429"/>
      <c r="W449" s="272"/>
      <c r="X449" s="74"/>
      <c r="Y449" s="74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R449" s="84"/>
    </row>
    <row r="450" spans="1:44" ht="16.5" hidden="1" thickBot="1">
      <c r="A450" s="1" t="s">
        <v>372</v>
      </c>
      <c r="B450" s="1"/>
      <c r="C450" s="296">
        <f ca="1">SUM(C448:C449)</f>
        <v>33415.573819385179</v>
      </c>
      <c r="D450" s="327"/>
      <c r="E450" s="330"/>
      <c r="F450" s="329">
        <f ca="1">F448+F449</f>
        <v>8598.1031894820426</v>
      </c>
      <c r="G450" s="327"/>
      <c r="H450" s="330"/>
      <c r="I450" s="329">
        <f ca="1">I448+I449</f>
        <v>8800.1031894820426</v>
      </c>
      <c r="J450" s="307"/>
      <c r="K450" s="327"/>
      <c r="L450" s="330"/>
      <c r="M450" s="329" t="e">
        <f ca="1">M448+M449</f>
        <v>#REF!</v>
      </c>
      <c r="N450" s="329"/>
      <c r="O450" s="327"/>
      <c r="P450" s="330"/>
      <c r="Q450" s="329" t="e">
        <f ca="1">Q448+Q449</f>
        <v>#DIV/0!</v>
      </c>
      <c r="R450" s="329"/>
      <c r="S450" s="327"/>
      <c r="T450" s="330"/>
      <c r="U450" s="329" t="e">
        <f ca="1">U448+U449</f>
        <v>#DIV/0!</v>
      </c>
      <c r="V450" s="396"/>
      <c r="W450" s="455"/>
      <c r="X450" s="74"/>
      <c r="Y450" s="74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R450" s="84"/>
    </row>
    <row r="451" spans="1:44" ht="16.5" hidden="1" thickTop="1">
      <c r="A451" s="1"/>
      <c r="B451" s="1"/>
      <c r="C451" s="21"/>
      <c r="D451" s="322" t="s">
        <v>31</v>
      </c>
      <c r="E451" s="1"/>
      <c r="F451" s="2"/>
      <c r="G451" s="338" t="s">
        <v>31</v>
      </c>
      <c r="H451" s="1"/>
      <c r="I451" s="2" t="s">
        <v>31</v>
      </c>
      <c r="J451" s="2"/>
      <c r="K451" s="338" t="s">
        <v>31</v>
      </c>
      <c r="L451" s="1"/>
      <c r="M451" s="2" t="s">
        <v>31</v>
      </c>
      <c r="N451" s="2"/>
      <c r="O451" s="338" t="s">
        <v>31</v>
      </c>
      <c r="P451" s="1"/>
      <c r="Q451" s="2" t="s">
        <v>31</v>
      </c>
      <c r="R451" s="2"/>
      <c r="S451" s="338" t="s">
        <v>31</v>
      </c>
      <c r="T451" s="1"/>
      <c r="U451" s="2" t="s">
        <v>31</v>
      </c>
      <c r="V451" s="20"/>
      <c r="W451" s="74"/>
      <c r="X451" s="74"/>
      <c r="Y451" s="74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R451" s="84"/>
    </row>
    <row r="452" spans="1:44" hidden="1">
      <c r="A452" s="1"/>
      <c r="B452" s="1"/>
      <c r="C452" s="21"/>
      <c r="D452" s="322" t="s">
        <v>31</v>
      </c>
      <c r="E452" s="1"/>
      <c r="F452" s="2"/>
      <c r="G452" s="338" t="s">
        <v>31</v>
      </c>
      <c r="H452" s="1"/>
      <c r="I452" s="2" t="s">
        <v>31</v>
      </c>
      <c r="J452" s="2"/>
      <c r="K452" s="338" t="s">
        <v>31</v>
      </c>
      <c r="L452" s="1"/>
      <c r="M452" s="2" t="s">
        <v>31</v>
      </c>
      <c r="N452" s="2"/>
      <c r="O452" s="338" t="s">
        <v>31</v>
      </c>
      <c r="P452" s="1"/>
      <c r="Q452" s="2" t="s">
        <v>31</v>
      </c>
      <c r="R452" s="2"/>
      <c r="S452" s="338" t="s">
        <v>31</v>
      </c>
      <c r="T452" s="1"/>
      <c r="U452" s="2" t="s">
        <v>31</v>
      </c>
      <c r="V452" s="20"/>
      <c r="W452" s="74"/>
      <c r="X452" s="74"/>
      <c r="Y452" s="74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R452" s="84"/>
    </row>
    <row r="453" spans="1:44" hidden="1">
      <c r="A453" s="278" t="s">
        <v>407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20"/>
      <c r="W453" s="74"/>
      <c r="X453" s="74"/>
      <c r="Y453" s="74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R453" s="84"/>
    </row>
    <row r="454" spans="1:44" hidden="1">
      <c r="A454" s="1" t="s">
        <v>400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20"/>
      <c r="W454" s="74"/>
      <c r="X454" s="74"/>
      <c r="Y454" s="74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</row>
    <row r="455" spans="1:44" hidden="1">
      <c r="A455" s="1" t="s">
        <v>408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20"/>
      <c r="W455" s="74"/>
      <c r="X455" s="74"/>
      <c r="Y455" s="74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</row>
    <row r="456" spans="1:44" hidden="1">
      <c r="A456" s="1" t="s">
        <v>383</v>
      </c>
      <c r="B456" s="1"/>
      <c r="C456" s="304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20"/>
      <c r="W456" s="74"/>
      <c r="X456" s="74"/>
      <c r="Y456" s="74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</row>
    <row r="457" spans="1:44" hidden="1">
      <c r="A457" s="1" t="s">
        <v>380</v>
      </c>
      <c r="B457" s="1"/>
      <c r="C457" s="304">
        <f t="shared" ref="C457:C466" si="94">C492+C527</f>
        <v>2</v>
      </c>
      <c r="D457" s="283">
        <f>'Rate Design Work eff 9-15-17'!D456</f>
        <v>117.12</v>
      </c>
      <c r="E457" s="308"/>
      <c r="F457" s="2">
        <f>F492+F527</f>
        <v>234</v>
      </c>
      <c r="G457" s="283">
        <f ca="1">$G$169</f>
        <v>119.88</v>
      </c>
      <c r="H457" s="308"/>
      <c r="I457" s="2">
        <f ca="1">I492+I527</f>
        <v>240</v>
      </c>
      <c r="J457" s="2"/>
      <c r="K457" s="283">
        <f ca="1">$K$169</f>
        <v>117.12</v>
      </c>
      <c r="L457" s="308"/>
      <c r="M457" s="2">
        <f ca="1">M492+M527</f>
        <v>234</v>
      </c>
      <c r="N457" s="2"/>
      <c r="O457" s="283" t="str">
        <f>$O$169</f>
        <v xml:space="preserve"> </v>
      </c>
      <c r="P457" s="308"/>
      <c r="Q457" s="2">
        <f>Q492+Q527</f>
        <v>0</v>
      </c>
      <c r="R457" s="2"/>
      <c r="S457" s="283" t="str">
        <f>$S$169</f>
        <v xml:space="preserve"> </v>
      </c>
      <c r="T457" s="308"/>
      <c r="U457" s="2">
        <f>U492+U527</f>
        <v>0</v>
      </c>
      <c r="V457" s="20"/>
      <c r="W457" s="74"/>
      <c r="X457" s="74"/>
      <c r="Y457" s="74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</row>
    <row r="458" spans="1:44" hidden="1">
      <c r="A458" s="1" t="s">
        <v>381</v>
      </c>
      <c r="B458" s="1"/>
      <c r="C458" s="304">
        <f t="shared" si="94"/>
        <v>82.084931506849301</v>
      </c>
      <c r="D458" s="283">
        <f>'Rate Design Work eff 9-15-17'!D457</f>
        <v>174.48</v>
      </c>
      <c r="E458" s="310"/>
      <c r="F458" s="2">
        <f>F493+F528</f>
        <v>14322</v>
      </c>
      <c r="G458" s="283">
        <f ca="1">$G$170</f>
        <v>178.68</v>
      </c>
      <c r="H458" s="310"/>
      <c r="I458" s="2">
        <f ca="1">I493+I528</f>
        <v>14667</v>
      </c>
      <c r="J458" s="2"/>
      <c r="K458" s="283">
        <f ca="1">$K$170</f>
        <v>174.48</v>
      </c>
      <c r="L458" s="310"/>
      <c r="M458" s="2">
        <f ca="1">M493+M528</f>
        <v>14322</v>
      </c>
      <c r="N458" s="2"/>
      <c r="O458" s="283" t="str">
        <f>$O$170</f>
        <v xml:space="preserve"> </v>
      </c>
      <c r="P458" s="310"/>
      <c r="Q458" s="2">
        <f>Q493+Q528</f>
        <v>0</v>
      </c>
      <c r="R458" s="2"/>
      <c r="S458" s="283" t="str">
        <f>$S$170</f>
        <v xml:space="preserve"> </v>
      </c>
      <c r="T458" s="310"/>
      <c r="U458" s="2">
        <f>U493+U528</f>
        <v>0</v>
      </c>
      <c r="V458" s="20"/>
      <c r="W458" s="74"/>
      <c r="X458" s="74"/>
      <c r="Y458" s="74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</row>
    <row r="459" spans="1:44" hidden="1">
      <c r="A459" s="1" t="s">
        <v>382</v>
      </c>
      <c r="B459" s="1"/>
      <c r="C459" s="304">
        <f t="shared" si="94"/>
        <v>2770.9452054794501</v>
      </c>
      <c r="D459" s="283">
        <f>'Rate Design Work eff 9-15-17'!D458</f>
        <v>12.24</v>
      </c>
      <c r="E459" s="310"/>
      <c r="F459" s="2">
        <f>F494+F529</f>
        <v>33916</v>
      </c>
      <c r="G459" s="283">
        <f ca="1">$G$171</f>
        <v>12.48</v>
      </c>
      <c r="H459" s="310"/>
      <c r="I459" s="2">
        <f ca="1">I494+I529</f>
        <v>34581</v>
      </c>
      <c r="J459" s="2"/>
      <c r="K459" s="283">
        <f ca="1">$K$171</f>
        <v>12.24</v>
      </c>
      <c r="L459" s="310"/>
      <c r="M459" s="2">
        <f ca="1">M494+M529</f>
        <v>33916</v>
      </c>
      <c r="N459" s="2"/>
      <c r="O459" s="283" t="str">
        <f>$O$171</f>
        <v xml:space="preserve"> </v>
      </c>
      <c r="P459" s="310"/>
      <c r="Q459" s="2">
        <f>Q494+Q529</f>
        <v>0</v>
      </c>
      <c r="R459" s="2"/>
      <c r="S459" s="283" t="str">
        <f>$S$171</f>
        <v xml:space="preserve"> </v>
      </c>
      <c r="T459" s="310"/>
      <c r="U459" s="2">
        <f>U494+U529</f>
        <v>0</v>
      </c>
      <c r="V459" s="20"/>
      <c r="W459" s="74"/>
      <c r="X459" s="74"/>
      <c r="Y459" s="74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</row>
    <row r="460" spans="1:44" hidden="1">
      <c r="A460" s="1" t="s">
        <v>384</v>
      </c>
      <c r="B460" s="1"/>
      <c r="C460" s="304">
        <f t="shared" si="94"/>
        <v>84.084931506849301</v>
      </c>
      <c r="D460" s="283"/>
      <c r="E460" s="308"/>
      <c r="F460" s="2"/>
      <c r="G460" s="283"/>
      <c r="H460" s="308"/>
      <c r="I460" s="2"/>
      <c r="J460" s="2"/>
      <c r="K460" s="283"/>
      <c r="L460" s="308"/>
      <c r="M460" s="2"/>
      <c r="N460" s="2"/>
      <c r="O460" s="283"/>
      <c r="P460" s="308"/>
      <c r="Q460" s="2"/>
      <c r="R460" s="2"/>
      <c r="S460" s="283"/>
      <c r="T460" s="308"/>
      <c r="U460" s="2"/>
      <c r="V460" s="20"/>
      <c r="W460" s="74"/>
      <c r="X460" s="74"/>
      <c r="Y460" s="74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</row>
    <row r="461" spans="1:44" hidden="1">
      <c r="A461" s="1" t="s">
        <v>409</v>
      </c>
      <c r="B461" s="1"/>
      <c r="C461" s="304">
        <f t="shared" si="94"/>
        <v>979.36817460317491</v>
      </c>
      <c r="D461" s="283"/>
      <c r="E461" s="308"/>
      <c r="F461" s="2"/>
      <c r="G461" s="283"/>
      <c r="H461" s="308"/>
      <c r="I461" s="2"/>
      <c r="J461" s="2"/>
      <c r="K461" s="283"/>
      <c r="L461" s="308"/>
      <c r="M461" s="2"/>
      <c r="N461" s="2"/>
      <c r="O461" s="283"/>
      <c r="P461" s="308"/>
      <c r="Q461" s="2"/>
      <c r="R461" s="2"/>
      <c r="S461" s="283"/>
      <c r="T461" s="308"/>
      <c r="U461" s="2"/>
      <c r="V461" s="20"/>
      <c r="W461" s="74"/>
      <c r="X461" s="74"/>
      <c r="Y461" s="74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</row>
    <row r="462" spans="1:44" hidden="1">
      <c r="A462" s="1" t="s">
        <v>385</v>
      </c>
      <c r="B462" s="1"/>
      <c r="C462" s="304">
        <f t="shared" si="94"/>
        <v>8076.5367188213504</v>
      </c>
      <c r="D462" s="311">
        <f>'Rate Design Work eff 9-15-17'!D461</f>
        <v>3.7</v>
      </c>
      <c r="E462" s="308"/>
      <c r="F462" s="2">
        <f>F497+F532</f>
        <v>29883</v>
      </c>
      <c r="G462" s="311">
        <f ca="1">$G$178</f>
        <v>3.8</v>
      </c>
      <c r="H462" s="308"/>
      <c r="I462" s="2">
        <f ca="1">I497+I532</f>
        <v>30691</v>
      </c>
      <c r="J462" s="2"/>
      <c r="K462" s="311" t="e">
        <f ca="1">$K$178</f>
        <v>#REF!</v>
      </c>
      <c r="L462" s="308"/>
      <c r="M462" s="2" t="e">
        <f ca="1">M497+M532</f>
        <v>#REF!</v>
      </c>
      <c r="N462" s="2"/>
      <c r="O462" s="311" t="e">
        <f ca="1">$O$178</f>
        <v>#DIV/0!</v>
      </c>
      <c r="P462" s="308"/>
      <c r="Q462" s="2" t="e">
        <f ca="1">Q497+Q532</f>
        <v>#DIV/0!</v>
      </c>
      <c r="R462" s="2"/>
      <c r="S462" s="311" t="e">
        <f ca="1">$S$178</f>
        <v>#DIV/0!</v>
      </c>
      <c r="T462" s="308"/>
      <c r="U462" s="2" t="e">
        <f ca="1">U497+U532</f>
        <v>#DIV/0!</v>
      </c>
      <c r="V462" s="20"/>
      <c r="W462" s="74"/>
      <c r="X462" s="74"/>
      <c r="Y462" s="74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</row>
    <row r="463" spans="1:44" hidden="1">
      <c r="A463" s="1" t="s">
        <v>387</v>
      </c>
      <c r="B463" s="1"/>
      <c r="C463" s="304">
        <f t="shared" si="94"/>
        <v>158922</v>
      </c>
      <c r="D463" s="284">
        <f>'Rate Design Work eff 9-15-17'!D462</f>
        <v>10.628</v>
      </c>
      <c r="E463" s="308" t="s">
        <v>364</v>
      </c>
      <c r="F463" s="2">
        <f>F498+F533</f>
        <v>16890</v>
      </c>
      <c r="G463" s="284">
        <f ca="1">$G$179</f>
        <v>10.878</v>
      </c>
      <c r="H463" s="308" t="s">
        <v>364</v>
      </c>
      <c r="I463" s="2">
        <f ca="1">I498+I533</f>
        <v>17288</v>
      </c>
      <c r="J463" s="2"/>
      <c r="K463" s="284" t="e">
        <f ca="1">$K$179</f>
        <v>#REF!</v>
      </c>
      <c r="L463" s="308" t="s">
        <v>364</v>
      </c>
      <c r="M463" s="2" t="e">
        <f ca="1">M498+M533</f>
        <v>#REF!</v>
      </c>
      <c r="N463" s="2"/>
      <c r="O463" s="284" t="e">
        <f ca="1">$O$179</f>
        <v>#DIV/0!</v>
      </c>
      <c r="P463" s="308" t="s">
        <v>364</v>
      </c>
      <c r="Q463" s="2" t="e">
        <f ca="1">Q498+Q533</f>
        <v>#DIV/0!</v>
      </c>
      <c r="R463" s="2"/>
      <c r="S463" s="284" t="e">
        <f ca="1">$S$179</f>
        <v>#DIV/0!</v>
      </c>
      <c r="T463" s="308" t="s">
        <v>364</v>
      </c>
      <c r="U463" s="2" t="e">
        <f ca="1">U498+U533</f>
        <v>#DIV/0!</v>
      </c>
      <c r="V463" s="20"/>
      <c r="W463" s="74"/>
      <c r="X463" s="74"/>
      <c r="Y463" s="74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</row>
    <row r="464" spans="1:44" hidden="1">
      <c r="A464" s="1" t="s">
        <v>388</v>
      </c>
      <c r="B464" s="1"/>
      <c r="C464" s="304">
        <f t="shared" si="94"/>
        <v>131844</v>
      </c>
      <c r="D464" s="284">
        <f>'Rate Design Work eff 9-15-17'!D463</f>
        <v>7.3410000000000002</v>
      </c>
      <c r="E464" s="308" t="s">
        <v>364</v>
      </c>
      <c r="F464" s="2">
        <f>F499+F534</f>
        <v>9678</v>
      </c>
      <c r="G464" s="284">
        <f ca="1">$G$180</f>
        <v>7.5140000000000002</v>
      </c>
      <c r="H464" s="308" t="s">
        <v>364</v>
      </c>
      <c r="I464" s="2">
        <f ca="1">I499+I534</f>
        <v>9907</v>
      </c>
      <c r="J464" s="2"/>
      <c r="K464" s="284" t="e">
        <f ca="1">$K$180</f>
        <v>#REF!</v>
      </c>
      <c r="L464" s="308" t="s">
        <v>364</v>
      </c>
      <c r="M464" s="2" t="e">
        <f ca="1">M499+M534</f>
        <v>#REF!</v>
      </c>
      <c r="N464" s="2"/>
      <c r="O464" s="284" t="e">
        <f ca="1">$O$180</f>
        <v>#DIV/0!</v>
      </c>
      <c r="P464" s="308" t="s">
        <v>364</v>
      </c>
      <c r="Q464" s="2" t="e">
        <f ca="1">Q499+Q534</f>
        <v>#DIV/0!</v>
      </c>
      <c r="R464" s="2"/>
      <c r="S464" s="284" t="e">
        <f ca="1">$S$180</f>
        <v>#DIV/0!</v>
      </c>
      <c r="T464" s="308" t="s">
        <v>364</v>
      </c>
      <c r="U464" s="2" t="e">
        <f ca="1">U499+U534</f>
        <v>#DIV/0!</v>
      </c>
      <c r="V464" s="20"/>
      <c r="W464" s="74"/>
      <c r="X464" s="74"/>
      <c r="Y464" s="74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</row>
    <row r="465" spans="1:44" hidden="1">
      <c r="A465" s="1" t="s">
        <v>389</v>
      </c>
      <c r="B465" s="1"/>
      <c r="C465" s="304">
        <f t="shared" si="94"/>
        <v>0</v>
      </c>
      <c r="D465" s="284">
        <f>'Rate Design Work eff 9-15-17'!D464</f>
        <v>6.3240000000000007</v>
      </c>
      <c r="E465" s="308" t="s">
        <v>364</v>
      </c>
      <c r="F465" s="2">
        <f>F500+F535</f>
        <v>0</v>
      </c>
      <c r="G465" s="284">
        <f ca="1">$G$181</f>
        <v>6.4720000000000004</v>
      </c>
      <c r="H465" s="308" t="s">
        <v>364</v>
      </c>
      <c r="I465" s="2">
        <f ca="1">I500+I535</f>
        <v>0</v>
      </c>
      <c r="J465" s="2"/>
      <c r="K465" s="284" t="e">
        <f ca="1">$K$181</f>
        <v>#REF!</v>
      </c>
      <c r="L465" s="308" t="s">
        <v>364</v>
      </c>
      <c r="M465" s="2" t="e">
        <f ca="1">M500+M535</f>
        <v>#REF!</v>
      </c>
      <c r="N465" s="2"/>
      <c r="O465" s="284" t="e">
        <f ca="1">$O$181</f>
        <v>#DIV/0!</v>
      </c>
      <c r="P465" s="308" t="s">
        <v>364</v>
      </c>
      <c r="Q465" s="2" t="e">
        <f ca="1">Q500+Q535</f>
        <v>#DIV/0!</v>
      </c>
      <c r="R465" s="2"/>
      <c r="S465" s="284" t="e">
        <f ca="1">$S$181</f>
        <v>#DIV/0!</v>
      </c>
      <c r="T465" s="308" t="s">
        <v>364</v>
      </c>
      <c r="U465" s="2" t="e">
        <f ca="1">U500+U535</f>
        <v>#DIV/0!</v>
      </c>
      <c r="V465" s="20"/>
      <c r="W465" s="74"/>
      <c r="X465" s="74"/>
      <c r="Y465" s="74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</row>
    <row r="466" spans="1:44" hidden="1">
      <c r="A466" s="1" t="s">
        <v>390</v>
      </c>
      <c r="B466" s="1"/>
      <c r="C466" s="304">
        <f t="shared" si="94"/>
        <v>1569.0261904761901</v>
      </c>
      <c r="D466" s="315">
        <f>'Rate Design Work eff 9-15-17'!D465</f>
        <v>57</v>
      </c>
      <c r="E466" s="308" t="s">
        <v>364</v>
      </c>
      <c r="F466" s="2">
        <f>F501+F536</f>
        <v>894</v>
      </c>
      <c r="G466" s="315">
        <f ca="1">$G$182</f>
        <v>58</v>
      </c>
      <c r="H466" s="308" t="s">
        <v>364</v>
      </c>
      <c r="I466" s="2">
        <f ca="1">I501+I536</f>
        <v>910</v>
      </c>
      <c r="J466" s="2"/>
      <c r="K466" s="315" t="str">
        <f>$K$182</f>
        <v xml:space="preserve"> </v>
      </c>
      <c r="L466" s="308" t="s">
        <v>364</v>
      </c>
      <c r="M466" s="2">
        <f>M501+M536</f>
        <v>0</v>
      </c>
      <c r="N466" s="2"/>
      <c r="O466" s="315" t="e">
        <f>$O$182</f>
        <v>#DIV/0!</v>
      </c>
      <c r="P466" s="308" t="s">
        <v>364</v>
      </c>
      <c r="Q466" s="2" t="e">
        <f>Q501+Q536</f>
        <v>#DIV/0!</v>
      </c>
      <c r="R466" s="2"/>
      <c r="S466" s="315" t="e">
        <f>$S$182</f>
        <v>#DIV/0!</v>
      </c>
      <c r="T466" s="308" t="s">
        <v>364</v>
      </c>
      <c r="U466" s="2" t="e">
        <f>U501+U536</f>
        <v>#DIV/0!</v>
      </c>
      <c r="V466" s="20"/>
      <c r="W466" s="74"/>
      <c r="X466" s="74"/>
      <c r="Y466" s="74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</row>
    <row r="467" spans="1:44" s="1118" customFormat="1" hidden="1">
      <c r="A467" s="968" t="s">
        <v>888</v>
      </c>
      <c r="C467" s="987">
        <f>C463</f>
        <v>158922</v>
      </c>
      <c r="D467" s="254">
        <f>'Rate Design Work eff 9-15-17'!D466</f>
        <v>0</v>
      </c>
      <c r="E467" s="1119"/>
      <c r="F467" s="1123"/>
      <c r="G467" s="1128">
        <f>G183</f>
        <v>0</v>
      </c>
      <c r="H467" s="972" t="s">
        <v>364</v>
      </c>
      <c r="I467" s="2">
        <f t="shared" ref="I467:I469" si="95">I502+I537</f>
        <v>0</v>
      </c>
      <c r="J467" s="2"/>
      <c r="K467" s="1128" t="str">
        <f>K183</f>
        <v xml:space="preserve"> </v>
      </c>
      <c r="L467" s="972" t="s">
        <v>364</v>
      </c>
      <c r="M467" s="2">
        <f t="shared" ref="M467:M469" si="96">M502+M537</f>
        <v>0</v>
      </c>
      <c r="N467" s="2"/>
      <c r="O467" s="1128" t="str">
        <f>O183</f>
        <v xml:space="preserve"> </v>
      </c>
      <c r="P467" s="972" t="s">
        <v>364</v>
      </c>
      <c r="Q467" s="2">
        <f t="shared" ref="Q467:Q469" si="97">Q502+Q537</f>
        <v>0</v>
      </c>
      <c r="R467" s="2"/>
      <c r="S467" s="1128">
        <f>S183</f>
        <v>0</v>
      </c>
      <c r="T467" s="972" t="s">
        <v>364</v>
      </c>
      <c r="U467" s="2">
        <f t="shared" ref="U467:U469" si="98">U502+U537</f>
        <v>0</v>
      </c>
      <c r="W467" s="784"/>
      <c r="Z467" s="1125"/>
      <c r="AA467" s="1125"/>
      <c r="AF467" s="1119"/>
      <c r="AG467" s="1119"/>
      <c r="AH467" s="1119"/>
      <c r="AI467" s="1119"/>
      <c r="AJ467" s="1119"/>
      <c r="AK467" s="1119"/>
      <c r="AL467" s="1119"/>
      <c r="AM467" s="1119"/>
      <c r="AN467" s="1119"/>
      <c r="AO467" s="1119"/>
      <c r="AP467" s="1119"/>
      <c r="AR467" s="1124"/>
    </row>
    <row r="468" spans="1:44" s="1118" customFormat="1" hidden="1">
      <c r="A468" s="968" t="s">
        <v>889</v>
      </c>
      <c r="C468" s="987">
        <f t="shared" ref="C468:C469" si="99">C464</f>
        <v>131844</v>
      </c>
      <c r="D468" s="254">
        <f>'Rate Design Work eff 9-15-17'!D467</f>
        <v>0</v>
      </c>
      <c r="E468" s="1119"/>
      <c r="F468" s="1123"/>
      <c r="G468" s="1128">
        <f>G184</f>
        <v>0</v>
      </c>
      <c r="H468" s="972" t="s">
        <v>364</v>
      </c>
      <c r="I468" s="2">
        <f t="shared" si="95"/>
        <v>0</v>
      </c>
      <c r="J468" s="2"/>
      <c r="K468" s="1128" t="str">
        <f>K184</f>
        <v xml:space="preserve"> </v>
      </c>
      <c r="L468" s="972" t="s">
        <v>364</v>
      </c>
      <c r="M468" s="2">
        <f t="shared" si="96"/>
        <v>0</v>
      </c>
      <c r="N468" s="2"/>
      <c r="O468" s="1128" t="str">
        <f>O184</f>
        <v xml:space="preserve"> </v>
      </c>
      <c r="P468" s="972" t="s">
        <v>364</v>
      </c>
      <c r="Q468" s="2">
        <f t="shared" si="97"/>
        <v>0</v>
      </c>
      <c r="R468" s="2"/>
      <c r="S468" s="1128">
        <f>S184</f>
        <v>0</v>
      </c>
      <c r="T468" s="972" t="s">
        <v>364</v>
      </c>
      <c r="U468" s="2">
        <f t="shared" si="98"/>
        <v>0</v>
      </c>
      <c r="W468" s="784"/>
      <c r="Z468" s="1125"/>
      <c r="AA468" s="1125"/>
      <c r="AF468" s="1119"/>
      <c r="AG468" s="1119"/>
      <c r="AH468" s="1119"/>
      <c r="AI468" s="1119"/>
      <c r="AJ468" s="1119"/>
      <c r="AK468" s="1119"/>
      <c r="AL468" s="1119"/>
      <c r="AM468" s="1119"/>
      <c r="AN468" s="1119"/>
      <c r="AO468" s="1119"/>
      <c r="AP468" s="1119"/>
      <c r="AR468" s="1124"/>
    </row>
    <row r="469" spans="1:44" s="1118" customFormat="1" hidden="1">
      <c r="A469" s="968" t="s">
        <v>890</v>
      </c>
      <c r="C469" s="987">
        <f t="shared" si="99"/>
        <v>0</v>
      </c>
      <c r="D469" s="254">
        <f>'Rate Design Work eff 9-15-17'!D468</f>
        <v>0</v>
      </c>
      <c r="E469" s="1119"/>
      <c r="F469" s="1123"/>
      <c r="G469" s="1128">
        <f>G185</f>
        <v>0</v>
      </c>
      <c r="H469" s="972" t="s">
        <v>364</v>
      </c>
      <c r="I469" s="2">
        <f t="shared" si="95"/>
        <v>0</v>
      </c>
      <c r="J469" s="2"/>
      <c r="K469" s="1128" t="str">
        <f>K185</f>
        <v xml:space="preserve"> </v>
      </c>
      <c r="L469" s="972" t="s">
        <v>364</v>
      </c>
      <c r="M469" s="2">
        <f t="shared" si="96"/>
        <v>0</v>
      </c>
      <c r="N469" s="2"/>
      <c r="O469" s="1128" t="str">
        <f>O185</f>
        <v xml:space="preserve"> </v>
      </c>
      <c r="P469" s="972" t="s">
        <v>364</v>
      </c>
      <c r="Q469" s="2">
        <f t="shared" si="97"/>
        <v>0</v>
      </c>
      <c r="R469" s="2"/>
      <c r="S469" s="1128">
        <f>S185</f>
        <v>0</v>
      </c>
      <c r="T469" s="972" t="s">
        <v>364</v>
      </c>
      <c r="U469" s="2">
        <f t="shared" si="98"/>
        <v>0</v>
      </c>
      <c r="V469" s="968" t="s">
        <v>31</v>
      </c>
      <c r="W469" s="784"/>
      <c r="Z469" s="1125"/>
      <c r="AA469" s="1125"/>
      <c r="AF469" s="1119"/>
      <c r="AG469" s="1119"/>
      <c r="AH469" s="1119"/>
      <c r="AI469" s="1119"/>
      <c r="AJ469" s="1119"/>
      <c r="AK469" s="1119"/>
      <c r="AL469" s="1119"/>
      <c r="AM469" s="1119"/>
      <c r="AN469" s="1119"/>
      <c r="AO469" s="1119"/>
      <c r="AP469" s="1119"/>
      <c r="AR469" s="1124"/>
    </row>
    <row r="470" spans="1:44" hidden="1">
      <c r="A470" s="316" t="s">
        <v>391</v>
      </c>
      <c r="B470" s="1"/>
      <c r="C470" s="304"/>
      <c r="D470" s="317">
        <f>'Rate Design Work eff 9-15-17'!D469</f>
        <v>-0.01</v>
      </c>
      <c r="E470" s="308"/>
      <c r="F470" s="2"/>
      <c r="G470" s="317">
        <v>-0.01</v>
      </c>
      <c r="H470" s="308"/>
      <c r="I470" s="2"/>
      <c r="J470" s="2"/>
      <c r="K470" s="317">
        <v>-0.01</v>
      </c>
      <c r="L470" s="308"/>
      <c r="M470" s="2"/>
      <c r="N470" s="2"/>
      <c r="O470" s="317">
        <v>-0.01</v>
      </c>
      <c r="P470" s="308"/>
      <c r="Q470" s="2"/>
      <c r="R470" s="2"/>
      <c r="S470" s="317">
        <v>-0.01</v>
      </c>
      <c r="T470" s="308"/>
      <c r="U470" s="2"/>
      <c r="V470" s="20"/>
      <c r="W470" s="74"/>
      <c r="X470" s="74"/>
      <c r="Y470" s="74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</row>
    <row r="471" spans="1:44" hidden="1">
      <c r="A471" s="1" t="s">
        <v>380</v>
      </c>
      <c r="B471" s="1"/>
      <c r="C471" s="304">
        <v>0</v>
      </c>
      <c r="D471" s="319">
        <f>'Rate Design Work eff 9-15-17'!D470</f>
        <v>117.12</v>
      </c>
      <c r="E471" s="306"/>
      <c r="F471" s="2">
        <f t="shared" ref="F471:F480" si="100">F506+F541</f>
        <v>0</v>
      </c>
      <c r="G471" s="319">
        <f ca="1">G457</f>
        <v>119.88</v>
      </c>
      <c r="H471" s="306"/>
      <c r="I471" s="2">
        <f t="shared" ref="I471:I480" ca="1" si="101">I506+I541</f>
        <v>0</v>
      </c>
      <c r="J471" s="2"/>
      <c r="K471" s="319">
        <f ca="1">K457</f>
        <v>117.12</v>
      </c>
      <c r="L471" s="306"/>
      <c r="M471" s="2">
        <f t="shared" ref="M471:M480" ca="1" si="102">M506+M541</f>
        <v>0</v>
      </c>
      <c r="N471" s="2"/>
      <c r="O471" s="319" t="str">
        <f>O457</f>
        <v xml:space="preserve"> </v>
      </c>
      <c r="P471" s="306"/>
      <c r="Q471" s="2">
        <f t="shared" ref="Q471:Q480" si="103">Q506+Q541</f>
        <v>0</v>
      </c>
      <c r="R471" s="2"/>
      <c r="S471" s="319" t="str">
        <f>S457</f>
        <v xml:space="preserve"> </v>
      </c>
      <c r="T471" s="306"/>
      <c r="U471" s="2">
        <f t="shared" ref="U471:U480" si="104">U506+U541</f>
        <v>0</v>
      </c>
      <c r="V471" s="20"/>
      <c r="W471" s="74"/>
      <c r="X471" s="74"/>
      <c r="Y471" s="74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</row>
    <row r="472" spans="1:44" hidden="1">
      <c r="A472" s="1" t="s">
        <v>381</v>
      </c>
      <c r="B472" s="1"/>
      <c r="C472" s="304">
        <v>0</v>
      </c>
      <c r="D472" s="319">
        <f>'Rate Design Work eff 9-15-17'!D471</f>
        <v>174.48</v>
      </c>
      <c r="E472" s="306"/>
      <c r="F472" s="2">
        <f t="shared" si="100"/>
        <v>0</v>
      </c>
      <c r="G472" s="319">
        <f ca="1">G458</f>
        <v>178.68</v>
      </c>
      <c r="H472" s="306"/>
      <c r="I472" s="2">
        <f t="shared" ca="1" si="101"/>
        <v>0</v>
      </c>
      <c r="J472" s="2"/>
      <c r="K472" s="319">
        <f ca="1">K458</f>
        <v>174.48</v>
      </c>
      <c r="L472" s="306"/>
      <c r="M472" s="2">
        <f t="shared" ca="1" si="102"/>
        <v>0</v>
      </c>
      <c r="N472" s="2"/>
      <c r="O472" s="319" t="str">
        <f>O458</f>
        <v xml:space="preserve"> </v>
      </c>
      <c r="P472" s="306"/>
      <c r="Q472" s="2">
        <f t="shared" si="103"/>
        <v>0</v>
      </c>
      <c r="R472" s="2"/>
      <c r="S472" s="319" t="str">
        <f>S458</f>
        <v xml:space="preserve"> </v>
      </c>
      <c r="T472" s="306"/>
      <c r="U472" s="2">
        <f t="shared" si="104"/>
        <v>0</v>
      </c>
      <c r="V472" s="20"/>
      <c r="W472" s="74"/>
      <c r="X472" s="32" t="s">
        <v>31</v>
      </c>
      <c r="Y472" s="74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</row>
    <row r="473" spans="1:44" hidden="1">
      <c r="A473" s="1" t="s">
        <v>392</v>
      </c>
      <c r="B473" s="1"/>
      <c r="C473" s="304">
        <v>0</v>
      </c>
      <c r="D473" s="319">
        <f>'Rate Design Work eff 9-15-17'!D472</f>
        <v>12.24</v>
      </c>
      <c r="E473" s="306"/>
      <c r="F473" s="2">
        <f t="shared" si="100"/>
        <v>0</v>
      </c>
      <c r="G473" s="319">
        <f ca="1">G459</f>
        <v>12.48</v>
      </c>
      <c r="H473" s="306"/>
      <c r="I473" s="2">
        <f t="shared" ca="1" si="101"/>
        <v>0</v>
      </c>
      <c r="J473" s="2"/>
      <c r="K473" s="319">
        <f ca="1">K459</f>
        <v>12.24</v>
      </c>
      <c r="L473" s="306"/>
      <c r="M473" s="2">
        <f t="shared" ca="1" si="102"/>
        <v>0</v>
      </c>
      <c r="N473" s="2"/>
      <c r="O473" s="319" t="str">
        <f>O459</f>
        <v xml:space="preserve"> </v>
      </c>
      <c r="P473" s="306"/>
      <c r="Q473" s="2">
        <f t="shared" si="103"/>
        <v>0</v>
      </c>
      <c r="R473" s="2"/>
      <c r="S473" s="319" t="str">
        <f>S459</f>
        <v xml:space="preserve"> </v>
      </c>
      <c r="T473" s="306"/>
      <c r="U473" s="2">
        <f t="shared" si="104"/>
        <v>0</v>
      </c>
      <c r="V473" s="20"/>
      <c r="W473" s="74"/>
      <c r="X473" s="74"/>
      <c r="Y473" s="74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</row>
    <row r="474" spans="1:44" hidden="1">
      <c r="A474" s="1" t="s">
        <v>393</v>
      </c>
      <c r="B474" s="1"/>
      <c r="C474" s="304">
        <v>0</v>
      </c>
      <c r="D474" s="319">
        <f>'Rate Design Work eff 9-15-17'!D473</f>
        <v>3.7</v>
      </c>
      <c r="E474" s="308"/>
      <c r="F474" s="2">
        <f t="shared" si="100"/>
        <v>0</v>
      </c>
      <c r="G474" s="319">
        <f ca="1">G462</f>
        <v>3.8</v>
      </c>
      <c r="H474" s="308"/>
      <c r="I474" s="2">
        <f t="shared" ca="1" si="101"/>
        <v>0</v>
      </c>
      <c r="J474" s="2"/>
      <c r="K474" s="319" t="e">
        <f ca="1">K462</f>
        <v>#REF!</v>
      </c>
      <c r="L474" s="308"/>
      <c r="M474" s="2" t="e">
        <f t="shared" ca="1" si="102"/>
        <v>#REF!</v>
      </c>
      <c r="N474" s="2"/>
      <c r="O474" s="319" t="e">
        <f ca="1">O462</f>
        <v>#DIV/0!</v>
      </c>
      <c r="P474" s="308"/>
      <c r="Q474" s="2" t="e">
        <f t="shared" ca="1" si="103"/>
        <v>#DIV/0!</v>
      </c>
      <c r="R474" s="2"/>
      <c r="S474" s="319" t="e">
        <f ca="1">S462</f>
        <v>#DIV/0!</v>
      </c>
      <c r="T474" s="308"/>
      <c r="U474" s="2" t="e">
        <f t="shared" ca="1" si="104"/>
        <v>#DIV/0!</v>
      </c>
      <c r="V474" s="20"/>
      <c r="W474" s="74"/>
      <c r="X474" s="74"/>
      <c r="Y474" s="74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</row>
    <row r="475" spans="1:44" hidden="1">
      <c r="A475" s="1" t="s">
        <v>395</v>
      </c>
      <c r="B475" s="1"/>
      <c r="C475" s="304">
        <v>0</v>
      </c>
      <c r="D475" s="320">
        <f>'Rate Design Work eff 9-15-17'!D474</f>
        <v>10.628</v>
      </c>
      <c r="E475" s="308" t="s">
        <v>364</v>
      </c>
      <c r="F475" s="2">
        <f t="shared" si="100"/>
        <v>0</v>
      </c>
      <c r="G475" s="320">
        <f ca="1">G463</f>
        <v>10.878</v>
      </c>
      <c r="H475" s="308" t="s">
        <v>364</v>
      </c>
      <c r="I475" s="2">
        <f t="shared" ca="1" si="101"/>
        <v>0</v>
      </c>
      <c r="J475" s="2"/>
      <c r="K475" s="320" t="e">
        <f ca="1">K463</f>
        <v>#REF!</v>
      </c>
      <c r="L475" s="308" t="s">
        <v>364</v>
      </c>
      <c r="M475" s="2" t="e">
        <f t="shared" ca="1" si="102"/>
        <v>#REF!</v>
      </c>
      <c r="N475" s="2"/>
      <c r="O475" s="320" t="e">
        <f ca="1">O463</f>
        <v>#DIV/0!</v>
      </c>
      <c r="P475" s="308" t="s">
        <v>364</v>
      </c>
      <c r="Q475" s="2" t="e">
        <f t="shared" ca="1" si="103"/>
        <v>#DIV/0!</v>
      </c>
      <c r="R475" s="2"/>
      <c r="S475" s="320" t="e">
        <f ca="1">S463</f>
        <v>#DIV/0!</v>
      </c>
      <c r="T475" s="308" t="s">
        <v>364</v>
      </c>
      <c r="U475" s="2" t="e">
        <f t="shared" ca="1" si="104"/>
        <v>#DIV/0!</v>
      </c>
      <c r="V475" s="20"/>
      <c r="W475" s="74"/>
      <c r="X475" s="74"/>
      <c r="Y475" s="74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</row>
    <row r="476" spans="1:44" hidden="1">
      <c r="A476" s="1" t="s">
        <v>388</v>
      </c>
      <c r="B476" s="1"/>
      <c r="C476" s="304">
        <v>0</v>
      </c>
      <c r="D476" s="320">
        <f>'Rate Design Work eff 9-15-17'!D475</f>
        <v>7.3410000000000002</v>
      </c>
      <c r="E476" s="308" t="s">
        <v>364</v>
      </c>
      <c r="F476" s="2">
        <f t="shared" si="100"/>
        <v>0</v>
      </c>
      <c r="G476" s="320">
        <f ca="1">G464</f>
        <v>7.5140000000000002</v>
      </c>
      <c r="H476" s="308" t="s">
        <v>364</v>
      </c>
      <c r="I476" s="2">
        <f t="shared" ca="1" si="101"/>
        <v>0</v>
      </c>
      <c r="J476" s="2"/>
      <c r="K476" s="320" t="e">
        <f ca="1">K464</f>
        <v>#REF!</v>
      </c>
      <c r="L476" s="308" t="s">
        <v>364</v>
      </c>
      <c r="M476" s="2" t="e">
        <f t="shared" ca="1" si="102"/>
        <v>#REF!</v>
      </c>
      <c r="N476" s="2"/>
      <c r="O476" s="320" t="e">
        <f ca="1">O464</f>
        <v>#DIV/0!</v>
      </c>
      <c r="P476" s="308" t="s">
        <v>364</v>
      </c>
      <c r="Q476" s="2" t="e">
        <f t="shared" ca="1" si="103"/>
        <v>#DIV/0!</v>
      </c>
      <c r="R476" s="2"/>
      <c r="S476" s="320" t="e">
        <f ca="1">S464</f>
        <v>#DIV/0!</v>
      </c>
      <c r="T476" s="308" t="s">
        <v>364</v>
      </c>
      <c r="U476" s="2" t="e">
        <f t="shared" ca="1" si="104"/>
        <v>#DIV/0!</v>
      </c>
      <c r="V476" s="20"/>
      <c r="W476" s="74"/>
      <c r="X476" s="74"/>
      <c r="Y476" s="74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</row>
    <row r="477" spans="1:44" hidden="1">
      <c r="A477" s="1" t="s">
        <v>389</v>
      </c>
      <c r="B477" s="1"/>
      <c r="C477" s="304">
        <v>0</v>
      </c>
      <c r="D477" s="320">
        <f>'Rate Design Work eff 9-15-17'!D476</f>
        <v>6.3240000000000007</v>
      </c>
      <c r="E477" s="308" t="s">
        <v>364</v>
      </c>
      <c r="F477" s="2">
        <f t="shared" si="100"/>
        <v>0</v>
      </c>
      <c r="G477" s="320">
        <f ca="1">G465</f>
        <v>6.4720000000000004</v>
      </c>
      <c r="H477" s="308" t="s">
        <v>364</v>
      </c>
      <c r="I477" s="2">
        <f t="shared" ca="1" si="101"/>
        <v>0</v>
      </c>
      <c r="J477" s="2"/>
      <c r="K477" s="320" t="e">
        <f ca="1">K465</f>
        <v>#REF!</v>
      </c>
      <c r="L477" s="308" t="s">
        <v>364</v>
      </c>
      <c r="M477" s="2" t="e">
        <f t="shared" ca="1" si="102"/>
        <v>#REF!</v>
      </c>
      <c r="N477" s="2"/>
      <c r="O477" s="320" t="e">
        <f ca="1">O465</f>
        <v>#DIV/0!</v>
      </c>
      <c r="P477" s="308" t="s">
        <v>364</v>
      </c>
      <c r="Q477" s="2" t="e">
        <f t="shared" ca="1" si="103"/>
        <v>#DIV/0!</v>
      </c>
      <c r="R477" s="2"/>
      <c r="S477" s="320" t="e">
        <f ca="1">S465</f>
        <v>#DIV/0!</v>
      </c>
      <c r="T477" s="308" t="s">
        <v>364</v>
      </c>
      <c r="U477" s="2" t="e">
        <f t="shared" ca="1" si="104"/>
        <v>#DIV/0!</v>
      </c>
      <c r="V477" s="20"/>
      <c r="W477" s="74"/>
      <c r="X477" s="74"/>
      <c r="Y477" s="74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</row>
    <row r="478" spans="1:44" hidden="1">
      <c r="A478" s="1" t="s">
        <v>390</v>
      </c>
      <c r="B478" s="1"/>
      <c r="C478" s="304">
        <v>0</v>
      </c>
      <c r="D478" s="321">
        <f>'Rate Design Work eff 9-15-17'!D477</f>
        <v>57</v>
      </c>
      <c r="E478" s="308" t="s">
        <v>364</v>
      </c>
      <c r="F478" s="2">
        <f t="shared" si="100"/>
        <v>0</v>
      </c>
      <c r="G478" s="321">
        <f ca="1">G466</f>
        <v>58</v>
      </c>
      <c r="H478" s="308" t="s">
        <v>364</v>
      </c>
      <c r="I478" s="2">
        <f t="shared" ca="1" si="101"/>
        <v>0</v>
      </c>
      <c r="J478" s="2"/>
      <c r="K478" s="321" t="str">
        <f>K466</f>
        <v xml:space="preserve"> </v>
      </c>
      <c r="L478" s="308" t="s">
        <v>364</v>
      </c>
      <c r="M478" s="2">
        <f t="shared" si="102"/>
        <v>0</v>
      </c>
      <c r="N478" s="2"/>
      <c r="O478" s="321" t="e">
        <f>O466</f>
        <v>#DIV/0!</v>
      </c>
      <c r="P478" s="308" t="s">
        <v>364</v>
      </c>
      <c r="Q478" s="2" t="e">
        <f t="shared" si="103"/>
        <v>#DIV/0!</v>
      </c>
      <c r="R478" s="2"/>
      <c r="S478" s="321" t="e">
        <f>S466</f>
        <v>#DIV/0!</v>
      </c>
      <c r="T478" s="308" t="s">
        <v>364</v>
      </c>
      <c r="U478" s="2" t="e">
        <f t="shared" si="104"/>
        <v>#DIV/0!</v>
      </c>
      <c r="V478" s="20"/>
      <c r="W478" s="74"/>
      <c r="X478" s="74"/>
      <c r="Y478" s="74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</row>
    <row r="479" spans="1:44" hidden="1">
      <c r="A479" s="1" t="s">
        <v>397</v>
      </c>
      <c r="B479" s="1"/>
      <c r="C479" s="304">
        <v>0</v>
      </c>
      <c r="D479" s="322">
        <f>'Rate Design Work eff 9-15-17'!D478</f>
        <v>60</v>
      </c>
      <c r="E479" s="308"/>
      <c r="F479" s="2">
        <f t="shared" si="100"/>
        <v>0</v>
      </c>
      <c r="G479" s="322">
        <f>$G$198</f>
        <v>60</v>
      </c>
      <c r="H479" s="308"/>
      <c r="I479" s="2">
        <f t="shared" si="101"/>
        <v>0</v>
      </c>
      <c r="J479" s="2"/>
      <c r="K479" s="322" t="str">
        <f>$K$198</f>
        <v xml:space="preserve"> </v>
      </c>
      <c r="L479" s="308"/>
      <c r="M479" s="2">
        <f t="shared" si="102"/>
        <v>0</v>
      </c>
      <c r="N479" s="2"/>
      <c r="O479" s="322" t="e">
        <f>$O$198</f>
        <v>#DIV/0!</v>
      </c>
      <c r="P479" s="308"/>
      <c r="Q479" s="2" t="e">
        <f t="shared" si="103"/>
        <v>#DIV/0!</v>
      </c>
      <c r="R479" s="2"/>
      <c r="S479" s="322" t="e">
        <f>$S$198</f>
        <v>#DIV/0!</v>
      </c>
      <c r="T479" s="308"/>
      <c r="U479" s="2" t="e">
        <f t="shared" si="104"/>
        <v>#DIV/0!</v>
      </c>
      <c r="V479" s="20"/>
      <c r="W479" s="74"/>
      <c r="X479" s="74"/>
      <c r="Y479" s="74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</row>
    <row r="480" spans="1:44" hidden="1">
      <c r="A480" s="1" t="s">
        <v>398</v>
      </c>
      <c r="B480" s="1"/>
      <c r="C480" s="304">
        <v>0</v>
      </c>
      <c r="D480" s="324">
        <f>'Rate Design Work eff 9-15-17'!D479</f>
        <v>-30</v>
      </c>
      <c r="E480" s="308" t="s">
        <v>364</v>
      </c>
      <c r="F480" s="2">
        <f t="shared" si="100"/>
        <v>0</v>
      </c>
      <c r="G480" s="324">
        <f>$G$199</f>
        <v>-30</v>
      </c>
      <c r="H480" s="308" t="s">
        <v>364</v>
      </c>
      <c r="I480" s="2">
        <f t="shared" si="101"/>
        <v>0</v>
      </c>
      <c r="J480" s="2"/>
      <c r="K480" s="324">
        <f>$K$199</f>
        <v>-30</v>
      </c>
      <c r="L480" s="308" t="s">
        <v>364</v>
      </c>
      <c r="M480" s="2">
        <f t="shared" si="102"/>
        <v>0</v>
      </c>
      <c r="N480" s="2"/>
      <c r="O480" s="324" t="str">
        <f>$O$199</f>
        <v xml:space="preserve"> </v>
      </c>
      <c r="P480" s="308" t="s">
        <v>364</v>
      </c>
      <c r="Q480" s="2">
        <f t="shared" si="103"/>
        <v>0</v>
      </c>
      <c r="R480" s="2"/>
      <c r="S480" s="324" t="str">
        <f>$S$199</f>
        <v xml:space="preserve"> </v>
      </c>
      <c r="T480" s="308" t="s">
        <v>364</v>
      </c>
      <c r="U480" s="2">
        <f t="shared" si="104"/>
        <v>0</v>
      </c>
      <c r="V480" s="20"/>
      <c r="W480" s="74"/>
      <c r="X480" s="74"/>
      <c r="Y480" s="74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</row>
    <row r="481" spans="1:44" s="1118" customFormat="1" hidden="1">
      <c r="A481" s="968" t="s">
        <v>888</v>
      </c>
      <c r="C481" s="1122">
        <f>C475</f>
        <v>0</v>
      </c>
      <c r="D481" s="254">
        <f>'Rate Design Work eff 9-15-17'!D480</f>
        <v>0</v>
      </c>
      <c r="E481" s="1119"/>
      <c r="F481" s="1123"/>
      <c r="G481" s="1128">
        <f>G183</f>
        <v>0</v>
      </c>
      <c r="H481" s="972" t="s">
        <v>364</v>
      </c>
      <c r="I481" s="1123">
        <f ca="1">I522+I562</f>
        <v>0</v>
      </c>
      <c r="J481" s="1123"/>
      <c r="K481" s="1128" t="str">
        <f>K183</f>
        <v xml:space="preserve"> </v>
      </c>
      <c r="L481" s="972" t="s">
        <v>364</v>
      </c>
      <c r="M481" s="1123">
        <f ca="1">M522+M562</f>
        <v>0</v>
      </c>
      <c r="N481" s="1123"/>
      <c r="O481" s="1128" t="str">
        <f>O183</f>
        <v xml:space="preserve"> </v>
      </c>
      <c r="P481" s="972" t="s">
        <v>364</v>
      </c>
      <c r="Q481" s="1123">
        <f>Q522+Q562</f>
        <v>0</v>
      </c>
      <c r="R481" s="1123"/>
      <c r="S481" s="1128">
        <f>S183</f>
        <v>0</v>
      </c>
      <c r="T481" s="972" t="s">
        <v>364</v>
      </c>
      <c r="U481" s="1123">
        <f>U522+U562</f>
        <v>0</v>
      </c>
      <c r="W481" s="784"/>
      <c r="Z481" s="1125"/>
      <c r="AA481" s="1125"/>
      <c r="AF481" s="1119"/>
      <c r="AG481" s="1119"/>
      <c r="AH481" s="1119"/>
      <c r="AI481" s="1119"/>
      <c r="AJ481" s="1119"/>
      <c r="AK481" s="1119"/>
      <c r="AL481" s="1119"/>
      <c r="AM481" s="1119"/>
      <c r="AN481" s="1119"/>
      <c r="AO481" s="1119"/>
      <c r="AP481" s="1119"/>
      <c r="AR481" s="1124"/>
    </row>
    <row r="482" spans="1:44" s="1118" customFormat="1" hidden="1">
      <c r="A482" s="968" t="s">
        <v>889</v>
      </c>
      <c r="C482" s="1122">
        <f>C476</f>
        <v>0</v>
      </c>
      <c r="D482" s="254">
        <f>'Rate Design Work eff 9-15-17'!D481</f>
        <v>0</v>
      </c>
      <c r="E482" s="1119"/>
      <c r="F482" s="1123"/>
      <c r="G482" s="1128">
        <f>G184</f>
        <v>0</v>
      </c>
      <c r="H482" s="972" t="s">
        <v>364</v>
      </c>
      <c r="I482" s="1123">
        <f ca="1">I523+I563</f>
        <v>0</v>
      </c>
      <c r="J482" s="1123"/>
      <c r="K482" s="1128" t="str">
        <f>K184</f>
        <v xml:space="preserve"> </v>
      </c>
      <c r="L482" s="972" t="s">
        <v>364</v>
      </c>
      <c r="M482" s="1123">
        <f ca="1">M523+M563</f>
        <v>0</v>
      </c>
      <c r="N482" s="1123"/>
      <c r="O482" s="1128" t="str">
        <f>O184</f>
        <v xml:space="preserve"> </v>
      </c>
      <c r="P482" s="972" t="s">
        <v>364</v>
      </c>
      <c r="Q482" s="1123">
        <f>Q523+Q563</f>
        <v>0</v>
      </c>
      <c r="R482" s="1123"/>
      <c r="S482" s="1128">
        <f>S184</f>
        <v>0</v>
      </c>
      <c r="T482" s="972" t="s">
        <v>364</v>
      </c>
      <c r="U482" s="1123">
        <f>U523+U563</f>
        <v>0</v>
      </c>
      <c r="W482" s="784"/>
      <c r="Z482" s="1125"/>
      <c r="AA482" s="1125"/>
      <c r="AF482" s="1119"/>
      <c r="AG482" s="1119"/>
      <c r="AH482" s="1119"/>
      <c r="AI482" s="1119"/>
      <c r="AJ482" s="1119"/>
      <c r="AK482" s="1119"/>
      <c r="AL482" s="1119"/>
      <c r="AM482" s="1119"/>
      <c r="AN482" s="1119"/>
      <c r="AO482" s="1119"/>
      <c r="AP482" s="1119"/>
      <c r="AR482" s="1124"/>
    </row>
    <row r="483" spans="1:44" s="1118" customFormat="1" hidden="1">
      <c r="A483" s="968" t="s">
        <v>890</v>
      </c>
      <c r="C483" s="1122">
        <f>C477</f>
        <v>0</v>
      </c>
      <c r="D483" s="254">
        <f>'Rate Design Work eff 9-15-17'!D482</f>
        <v>0</v>
      </c>
      <c r="E483" s="1119"/>
      <c r="F483" s="1123"/>
      <c r="G483" s="1128">
        <f>G185</f>
        <v>0</v>
      </c>
      <c r="H483" s="972" t="s">
        <v>364</v>
      </c>
      <c r="I483" s="1123">
        <f ca="1">I524+I564</f>
        <v>0</v>
      </c>
      <c r="J483" s="1123"/>
      <c r="K483" s="1128" t="str">
        <f>K185</f>
        <v xml:space="preserve"> </v>
      </c>
      <c r="L483" s="972" t="s">
        <v>364</v>
      </c>
      <c r="M483" s="1123">
        <f ca="1">M524+M564</f>
        <v>0</v>
      </c>
      <c r="N483" s="1123"/>
      <c r="O483" s="1128" t="str">
        <f>O185</f>
        <v xml:space="preserve"> </v>
      </c>
      <c r="P483" s="972" t="s">
        <v>364</v>
      </c>
      <c r="Q483" s="1123">
        <f>Q524+Q564</f>
        <v>0</v>
      </c>
      <c r="R483" s="1123"/>
      <c r="S483" s="1128">
        <f>S185</f>
        <v>0</v>
      </c>
      <c r="T483" s="972" t="s">
        <v>364</v>
      </c>
      <c r="U483" s="1123">
        <f>U524+U564</f>
        <v>0</v>
      </c>
      <c r="W483" s="784"/>
      <c r="Z483" s="1125"/>
      <c r="AA483" s="1125"/>
      <c r="AF483" s="1119"/>
      <c r="AG483" s="1119"/>
      <c r="AH483" s="1119"/>
      <c r="AI483" s="1119"/>
      <c r="AJ483" s="1119"/>
      <c r="AK483" s="1119"/>
      <c r="AL483" s="1119"/>
      <c r="AM483" s="1119"/>
      <c r="AN483" s="1119"/>
      <c r="AO483" s="1119"/>
      <c r="AP483" s="1119"/>
      <c r="AR483" s="1124"/>
    </row>
    <row r="484" spans="1:44" hidden="1">
      <c r="A484" s="1" t="s">
        <v>371</v>
      </c>
      <c r="B484" s="1"/>
      <c r="C484" s="304">
        <f>C519+C554</f>
        <v>290766</v>
      </c>
      <c r="D484" s="309"/>
      <c r="E484" s="308"/>
      <c r="F484" s="2">
        <f>F519+F554</f>
        <v>105817</v>
      </c>
      <c r="G484" s="2"/>
      <c r="H484" s="308"/>
      <c r="I484" s="2">
        <f t="shared" ref="I484" ca="1" si="105">I519+I554</f>
        <v>108284</v>
      </c>
      <c r="J484" s="2"/>
      <c r="K484" s="2"/>
      <c r="L484" s="308"/>
      <c r="M484" s="2" t="e">
        <f t="shared" ref="M484" ca="1" si="106">M519+M554</f>
        <v>#REF!</v>
      </c>
      <c r="N484" s="2"/>
      <c r="O484" s="2"/>
      <c r="P484" s="308"/>
      <c r="Q484" s="2" t="e">
        <f t="shared" ref="Q484" ca="1" si="107">Q519+Q554</f>
        <v>#DIV/0!</v>
      </c>
      <c r="R484" s="2"/>
      <c r="S484" s="2"/>
      <c r="T484" s="308"/>
      <c r="U484" s="2" t="e">
        <f t="shared" ref="U484" ca="1" si="108">U519+U554</f>
        <v>#DIV/0!</v>
      </c>
      <c r="V484" s="20"/>
      <c r="W484" s="74"/>
      <c r="X484" s="74"/>
      <c r="Y484" s="74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</row>
    <row r="485" spans="1:44" hidden="1">
      <c r="A485" s="1" t="s">
        <v>353</v>
      </c>
      <c r="B485" s="1"/>
      <c r="C485" s="325">
        <f ca="1">C520+C555</f>
        <v>1983.5291043492841</v>
      </c>
      <c r="D485" s="294"/>
      <c r="E485" s="294"/>
      <c r="F485" s="326">
        <f ca="1">F520+F555</f>
        <v>790.20164473136481</v>
      </c>
      <c r="G485" s="294"/>
      <c r="H485" s="294"/>
      <c r="I485" s="326">
        <f ca="1">F485</f>
        <v>790.20164473136481</v>
      </c>
      <c r="J485" s="307"/>
      <c r="K485" s="294"/>
      <c r="L485" s="294"/>
      <c r="M485" s="326" t="e">
        <f ca="1">M204/I204*I485</f>
        <v>#DIV/0!</v>
      </c>
      <c r="N485" s="307"/>
      <c r="O485" s="294"/>
      <c r="P485" s="294"/>
      <c r="Q485" s="326" t="e">
        <f ca="1">Q204/I204*I485</f>
        <v>#DIV/0!</v>
      </c>
      <c r="R485" s="307"/>
      <c r="S485" s="294"/>
      <c r="T485" s="294"/>
      <c r="U485" s="326" t="e">
        <f ca="1">U204/I204*I485</f>
        <v>#DIV/0!</v>
      </c>
      <c r="V485" s="429"/>
      <c r="W485" s="272"/>
      <c r="X485" s="74"/>
      <c r="Y485" s="74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</row>
    <row r="486" spans="1:44" ht="16.5" hidden="1" thickBot="1">
      <c r="A486" s="1" t="s">
        <v>372</v>
      </c>
      <c r="B486" s="1"/>
      <c r="C486" s="296">
        <f ca="1">SUM(C484:C485)</f>
        <v>292749.52910434926</v>
      </c>
      <c r="D486" s="327"/>
      <c r="E486" s="330"/>
      <c r="F486" s="329">
        <f ca="1">F484+F485</f>
        <v>106607.20164473137</v>
      </c>
      <c r="G486" s="327"/>
      <c r="H486" s="330"/>
      <c r="I486" s="329">
        <f ca="1">I484+I485</f>
        <v>109074.20164473137</v>
      </c>
      <c r="J486" s="307"/>
      <c r="K486" s="327"/>
      <c r="L486" s="330"/>
      <c r="M486" s="329" t="e">
        <f ca="1">M484+M485</f>
        <v>#REF!</v>
      </c>
      <c r="N486" s="329"/>
      <c r="O486" s="327"/>
      <c r="P486" s="330"/>
      <c r="Q486" s="329" t="e">
        <f ca="1">Q484+Q485</f>
        <v>#DIV/0!</v>
      </c>
      <c r="R486" s="329"/>
      <c r="S486" s="327"/>
      <c r="T486" s="330"/>
      <c r="U486" s="329" t="e">
        <f ca="1">U484+U485</f>
        <v>#DIV/0!</v>
      </c>
      <c r="V486" s="396"/>
      <c r="W486" s="455"/>
      <c r="X486" s="74"/>
      <c r="Y486" s="74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</row>
    <row r="487" spans="1:44" ht="16.5" hidden="1" thickTop="1">
      <c r="A487" s="1"/>
      <c r="B487" s="1"/>
      <c r="C487" s="21"/>
      <c r="D487" s="322" t="s">
        <v>31</v>
      </c>
      <c r="E487" s="1"/>
      <c r="F487" s="2"/>
      <c r="G487" s="338" t="s">
        <v>31</v>
      </c>
      <c r="H487" s="1"/>
      <c r="I487" s="2" t="s">
        <v>31</v>
      </c>
      <c r="J487" s="2"/>
      <c r="K487" s="338" t="s">
        <v>31</v>
      </c>
      <c r="L487" s="1"/>
      <c r="M487" s="2" t="s">
        <v>31</v>
      </c>
      <c r="N487" s="2"/>
      <c r="O487" s="338" t="s">
        <v>31</v>
      </c>
      <c r="P487" s="1"/>
      <c r="Q487" s="2" t="s">
        <v>31</v>
      </c>
      <c r="R487" s="2"/>
      <c r="S487" s="338" t="s">
        <v>31</v>
      </c>
      <c r="T487" s="1"/>
      <c r="U487" s="2" t="s">
        <v>31</v>
      </c>
      <c r="V487" s="20"/>
      <c r="W487" s="74"/>
      <c r="X487" s="74"/>
      <c r="Y487" s="74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</row>
    <row r="488" spans="1:44" hidden="1">
      <c r="A488" s="278" t="s">
        <v>407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20"/>
      <c r="W488" s="74"/>
      <c r="X488" s="74"/>
      <c r="Y488" s="74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</row>
    <row r="489" spans="1:44" hidden="1">
      <c r="A489" s="1" t="s">
        <v>401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20"/>
      <c r="W489" s="74"/>
      <c r="X489" s="74"/>
      <c r="Y489" s="74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</row>
    <row r="490" spans="1:44" hidden="1">
      <c r="A490" s="1" t="s">
        <v>408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20"/>
      <c r="W490" s="74"/>
      <c r="X490" s="74"/>
      <c r="Y490" s="74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</row>
    <row r="491" spans="1:44" hidden="1">
      <c r="A491" s="1" t="s">
        <v>383</v>
      </c>
      <c r="B491" s="1"/>
      <c r="C491" s="304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20"/>
      <c r="W491" s="74"/>
      <c r="X491" s="74"/>
      <c r="Y491" s="74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</row>
    <row r="492" spans="1:44" hidden="1">
      <c r="A492" s="1" t="s">
        <v>380</v>
      </c>
      <c r="B492" s="1"/>
      <c r="C492" s="304">
        <f>'Rate Design Work eff 10-14-16'!C491</f>
        <v>2</v>
      </c>
      <c r="D492" s="283">
        <f>'Rate Design Work eff 9-15-17'!D491</f>
        <v>117.12</v>
      </c>
      <c r="E492" s="308"/>
      <c r="F492" s="2">
        <f>ROUND(D492*$C492,0)</f>
        <v>234</v>
      </c>
      <c r="G492" s="283">
        <f ca="1">$G$169</f>
        <v>119.88</v>
      </c>
      <c r="H492" s="308"/>
      <c r="I492" s="2">
        <f ca="1">ROUND(G492*$C492,0)</f>
        <v>240</v>
      </c>
      <c r="J492" s="2"/>
      <c r="K492" s="283">
        <f ca="1">$K$169</f>
        <v>117.12</v>
      </c>
      <c r="L492" s="308"/>
      <c r="M492" s="2">
        <f ca="1">ROUND(K492*$C492,0)</f>
        <v>234</v>
      </c>
      <c r="N492" s="2"/>
      <c r="O492" s="283" t="str">
        <f>$O$169</f>
        <v xml:space="preserve"> </v>
      </c>
      <c r="P492" s="308"/>
      <c r="Q492" s="2">
        <f>ROUND(O492*$C492,0)</f>
        <v>0</v>
      </c>
      <c r="R492" s="2"/>
      <c r="S492" s="283" t="str">
        <f>$S$169</f>
        <v xml:space="preserve"> </v>
      </c>
      <c r="T492" s="308"/>
      <c r="U492" s="2">
        <f>ROUND(S492*$C492,0)</f>
        <v>0</v>
      </c>
      <c r="V492" s="20"/>
      <c r="W492" s="74"/>
      <c r="X492" s="74"/>
      <c r="Y492" s="74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</row>
    <row r="493" spans="1:44" hidden="1">
      <c r="A493" s="1" t="s">
        <v>381</v>
      </c>
      <c r="B493" s="1"/>
      <c r="C493" s="304">
        <f>'Rate Design Work eff 10-14-16'!C492</f>
        <v>81.084931506849301</v>
      </c>
      <c r="D493" s="283">
        <f>'Rate Design Work eff 9-15-17'!D492</f>
        <v>174.48</v>
      </c>
      <c r="E493" s="310"/>
      <c r="F493" s="2">
        <f t="shared" ref="F493:F494" si="109">ROUND(D493*$C493,0)</f>
        <v>14148</v>
      </c>
      <c r="G493" s="283">
        <f ca="1">$G$170</f>
        <v>178.68</v>
      </c>
      <c r="H493" s="310"/>
      <c r="I493" s="2">
        <f ca="1">ROUND(G493*$C493,0)</f>
        <v>14488</v>
      </c>
      <c r="J493" s="2"/>
      <c r="K493" s="283">
        <f ca="1">$K$170</f>
        <v>174.48</v>
      </c>
      <c r="L493" s="310"/>
      <c r="M493" s="2">
        <f ca="1">ROUND(K493*$C493,0)</f>
        <v>14148</v>
      </c>
      <c r="N493" s="2"/>
      <c r="O493" s="283" t="str">
        <f>$O$170</f>
        <v xml:space="preserve"> </v>
      </c>
      <c r="P493" s="310"/>
      <c r="Q493" s="2">
        <f>ROUND(O493*$C493,0)</f>
        <v>0</v>
      </c>
      <c r="R493" s="2"/>
      <c r="S493" s="283" t="str">
        <f>$S$170</f>
        <v xml:space="preserve"> </v>
      </c>
      <c r="T493" s="310"/>
      <c r="U493" s="2">
        <f>ROUND(S493*$C493,0)</f>
        <v>0</v>
      </c>
      <c r="V493" s="20"/>
      <c r="W493" s="74"/>
      <c r="X493" s="74"/>
      <c r="Y493" s="74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</row>
    <row r="494" spans="1:44" hidden="1">
      <c r="A494" s="1" t="s">
        <v>382</v>
      </c>
      <c r="B494" s="1"/>
      <c r="C494" s="304">
        <f>'Rate Design Work eff 10-14-16'!C493</f>
        <v>2711.9452054794501</v>
      </c>
      <c r="D494" s="283">
        <f>'Rate Design Work eff 9-15-17'!D493</f>
        <v>12.24</v>
      </c>
      <c r="E494" s="310"/>
      <c r="F494" s="2">
        <f t="shared" si="109"/>
        <v>33194</v>
      </c>
      <c r="G494" s="283">
        <f ca="1">$G$171</f>
        <v>12.48</v>
      </c>
      <c r="H494" s="310"/>
      <c r="I494" s="2">
        <f ca="1">ROUND(G494*$C494,0)</f>
        <v>33845</v>
      </c>
      <c r="J494" s="2"/>
      <c r="K494" s="283">
        <f ca="1">$K$171</f>
        <v>12.24</v>
      </c>
      <c r="L494" s="310"/>
      <c r="M494" s="2">
        <f ca="1">ROUND(K494*$C494,0)</f>
        <v>33194</v>
      </c>
      <c r="N494" s="2"/>
      <c r="O494" s="283" t="str">
        <f>$O$171</f>
        <v xml:space="preserve"> </v>
      </c>
      <c r="P494" s="310"/>
      <c r="Q494" s="2">
        <f>ROUND(O494*$C494,0)</f>
        <v>0</v>
      </c>
      <c r="R494" s="2"/>
      <c r="S494" s="283" t="str">
        <f>$S$171</f>
        <v xml:space="preserve"> </v>
      </c>
      <c r="T494" s="310"/>
      <c r="U494" s="2">
        <f>ROUND(S494*$C494,0)</f>
        <v>0</v>
      </c>
      <c r="V494" s="20"/>
      <c r="W494" s="74"/>
      <c r="X494" s="74"/>
      <c r="Y494" s="74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</row>
    <row r="495" spans="1:44" hidden="1">
      <c r="A495" s="1" t="s">
        <v>384</v>
      </c>
      <c r="B495" s="1"/>
      <c r="C495" s="304">
        <f>'Rate Design Work eff 10-14-16'!C494</f>
        <v>83.084931506849301</v>
      </c>
      <c r="D495" s="283"/>
      <c r="E495" s="308"/>
      <c r="F495" s="2"/>
      <c r="G495" s="283"/>
      <c r="H495" s="308"/>
      <c r="I495" s="2"/>
      <c r="J495" s="2"/>
      <c r="K495" s="283"/>
      <c r="L495" s="308"/>
      <c r="M495" s="2"/>
      <c r="N495" s="2"/>
      <c r="O495" s="283"/>
      <c r="P495" s="308"/>
      <c r="Q495" s="2"/>
      <c r="R495" s="2"/>
      <c r="S495" s="283"/>
      <c r="T495" s="308"/>
      <c r="U495" s="2"/>
      <c r="V495" s="20"/>
      <c r="W495" s="74"/>
      <c r="X495" s="74"/>
      <c r="Y495" s="74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</row>
    <row r="496" spans="1:44" hidden="1">
      <c r="A496" s="1" t="s">
        <v>409</v>
      </c>
      <c r="B496" s="1"/>
      <c r="C496" s="304">
        <f>'Rate Design Work eff 10-14-16'!C495</f>
        <v>967.71261904761934</v>
      </c>
      <c r="D496" s="283"/>
      <c r="E496" s="308"/>
      <c r="F496" s="2"/>
      <c r="G496" s="283"/>
      <c r="H496" s="308"/>
      <c r="I496" s="2"/>
      <c r="J496" s="2"/>
      <c r="K496" s="283"/>
      <c r="L496" s="308"/>
      <c r="M496" s="2"/>
      <c r="N496" s="2"/>
      <c r="O496" s="283"/>
      <c r="P496" s="308"/>
      <c r="Q496" s="2"/>
      <c r="R496" s="2"/>
      <c r="S496" s="283"/>
      <c r="T496" s="308"/>
      <c r="U496" s="2"/>
      <c r="V496" s="20"/>
      <c r="W496" s="74"/>
      <c r="X496" s="74"/>
      <c r="Y496" s="74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</row>
    <row r="497" spans="1:44" hidden="1">
      <c r="A497" s="1" t="s">
        <v>385</v>
      </c>
      <c r="B497" s="1"/>
      <c r="C497" s="304">
        <f>'Rate Design Work eff 10-14-16'!C496</f>
        <v>7906.5367188213504</v>
      </c>
      <c r="D497" s="311">
        <f>'Rate Design Work eff 9-15-17'!D496</f>
        <v>3.7</v>
      </c>
      <c r="E497" s="308"/>
      <c r="F497" s="2">
        <f>ROUND(D497*C497,0)</f>
        <v>29254</v>
      </c>
      <c r="G497" s="311">
        <f ca="1">$G$178</f>
        <v>3.8</v>
      </c>
      <c r="H497" s="308"/>
      <c r="I497" s="2">
        <f ca="1">ROUND(G497*$C497,0)</f>
        <v>30045</v>
      </c>
      <c r="J497" s="2"/>
      <c r="K497" s="311" t="e">
        <f ca="1">$K$178</f>
        <v>#REF!</v>
      </c>
      <c r="L497" s="308"/>
      <c r="M497" s="2" t="e">
        <f ca="1">ROUND(K497*$C497,0)</f>
        <v>#REF!</v>
      </c>
      <c r="N497" s="2"/>
      <c r="O497" s="311" t="e">
        <f ca="1">$O$178</f>
        <v>#DIV/0!</v>
      </c>
      <c r="P497" s="308"/>
      <c r="Q497" s="2" t="e">
        <f ca="1">ROUND(O497*$C497,0)</f>
        <v>#DIV/0!</v>
      </c>
      <c r="R497" s="2"/>
      <c r="S497" s="311" t="e">
        <f ca="1">$S$178</f>
        <v>#DIV/0!</v>
      </c>
      <c r="T497" s="308"/>
      <c r="U497" s="2" t="e">
        <f ca="1">ROUND(S497*$C497,0)</f>
        <v>#DIV/0!</v>
      </c>
      <c r="V497" s="20"/>
      <c r="W497" s="74"/>
      <c r="X497" s="74"/>
      <c r="Y497" s="74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</row>
    <row r="498" spans="1:44" hidden="1">
      <c r="A498" s="1" t="s">
        <v>387</v>
      </c>
      <c r="B498" s="1"/>
      <c r="C498" s="304">
        <f>'Rate Design Work eff 10-14-16'!C497</f>
        <v>154025</v>
      </c>
      <c r="D498" s="284">
        <f>'Rate Design Work eff 9-15-17'!D497</f>
        <v>10.628</v>
      </c>
      <c r="E498" s="308" t="s">
        <v>364</v>
      </c>
      <c r="F498" s="2">
        <f>ROUND(D498*C498/100,0)</f>
        <v>16370</v>
      </c>
      <c r="G498" s="284">
        <f ca="1">$G$179</f>
        <v>10.878</v>
      </c>
      <c r="H498" s="308" t="s">
        <v>364</v>
      </c>
      <c r="I498" s="2">
        <f ca="1">ROUND(G498*$C498/100,0)</f>
        <v>16755</v>
      </c>
      <c r="J498" s="2"/>
      <c r="K498" s="284" t="e">
        <f ca="1">$K$179</f>
        <v>#REF!</v>
      </c>
      <c r="L498" s="308" t="s">
        <v>364</v>
      </c>
      <c r="M498" s="2" t="e">
        <f ca="1">ROUND(K498*$C498/100,0)</f>
        <v>#REF!</v>
      </c>
      <c r="N498" s="2"/>
      <c r="O498" s="284" t="e">
        <f ca="1">$O$179</f>
        <v>#DIV/0!</v>
      </c>
      <c r="P498" s="308" t="s">
        <v>364</v>
      </c>
      <c r="Q498" s="2" t="e">
        <f ca="1">ROUND(O498*$C498/100,0)</f>
        <v>#DIV/0!</v>
      </c>
      <c r="R498" s="2"/>
      <c r="S498" s="284" t="e">
        <f ca="1">$S$179</f>
        <v>#DIV/0!</v>
      </c>
      <c r="T498" s="308" t="s">
        <v>364</v>
      </c>
      <c r="U498" s="2" t="e">
        <f ca="1">ROUND(S498*$C498/100,0)</f>
        <v>#DIV/0!</v>
      </c>
      <c r="V498" s="20"/>
      <c r="W498" s="74"/>
      <c r="X498" s="74"/>
      <c r="Y498" s="74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</row>
    <row r="499" spans="1:44" hidden="1">
      <c r="A499" s="1" t="s">
        <v>388</v>
      </c>
      <c r="B499" s="1"/>
      <c r="C499" s="304">
        <f>'Rate Design Work eff 10-14-16'!C498</f>
        <v>130955</v>
      </c>
      <c r="D499" s="284">
        <f>'Rate Design Work eff 9-15-17'!D498</f>
        <v>7.3410000000000002</v>
      </c>
      <c r="E499" s="308" t="s">
        <v>364</v>
      </c>
      <c r="F499" s="2">
        <f>ROUND(D499*C499/100,0)</f>
        <v>9613</v>
      </c>
      <c r="G499" s="284">
        <f ca="1">$G$180</f>
        <v>7.5140000000000002</v>
      </c>
      <c r="H499" s="308" t="s">
        <v>364</v>
      </c>
      <c r="I499" s="2">
        <f ca="1">ROUND(G499*$C499/100,0)</f>
        <v>9840</v>
      </c>
      <c r="J499" s="2"/>
      <c r="K499" s="284" t="e">
        <f ca="1">$K$180</f>
        <v>#REF!</v>
      </c>
      <c r="L499" s="308" t="s">
        <v>364</v>
      </c>
      <c r="M499" s="2" t="e">
        <f ca="1">ROUND(K499*$C499/100,0)</f>
        <v>#REF!</v>
      </c>
      <c r="N499" s="2"/>
      <c r="O499" s="284" t="e">
        <f ca="1">$O$180</f>
        <v>#DIV/0!</v>
      </c>
      <c r="P499" s="308" t="s">
        <v>364</v>
      </c>
      <c r="Q499" s="2" t="e">
        <f ca="1">ROUND(O499*$C499/100,0)</f>
        <v>#DIV/0!</v>
      </c>
      <c r="R499" s="2"/>
      <c r="S499" s="284" t="e">
        <f ca="1">$S$180</f>
        <v>#DIV/0!</v>
      </c>
      <c r="T499" s="308" t="s">
        <v>364</v>
      </c>
      <c r="U499" s="2" t="e">
        <f ca="1">ROUND(S499*$C499/100,0)</f>
        <v>#DIV/0!</v>
      </c>
      <c r="V499" s="20"/>
      <c r="W499" s="74"/>
      <c r="X499" s="74"/>
      <c r="Y499" s="74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</row>
    <row r="500" spans="1:44" hidden="1">
      <c r="A500" s="1" t="s">
        <v>389</v>
      </c>
      <c r="B500" s="1"/>
      <c r="C500" s="304">
        <f>'Rate Design Work eff 10-14-16'!C499</f>
        <v>0</v>
      </c>
      <c r="D500" s="284">
        <f>'Rate Design Work eff 9-15-17'!D499</f>
        <v>6.3240000000000007</v>
      </c>
      <c r="E500" s="308" t="s">
        <v>364</v>
      </c>
      <c r="F500" s="2">
        <f>ROUND(D500*C500/100,0)</f>
        <v>0</v>
      </c>
      <c r="G500" s="284">
        <f ca="1">$G$181</f>
        <v>6.4720000000000004</v>
      </c>
      <c r="H500" s="308" t="s">
        <v>364</v>
      </c>
      <c r="I500" s="2">
        <f ca="1">ROUND(G500*$C500/100,0)</f>
        <v>0</v>
      </c>
      <c r="J500" s="2"/>
      <c r="K500" s="284" t="e">
        <f ca="1">$K$181</f>
        <v>#REF!</v>
      </c>
      <c r="L500" s="308" t="s">
        <v>364</v>
      </c>
      <c r="M500" s="2" t="e">
        <f ca="1">ROUND(K500*$C500/100,0)</f>
        <v>#REF!</v>
      </c>
      <c r="N500" s="2"/>
      <c r="O500" s="284" t="e">
        <f ca="1">$O$181</f>
        <v>#DIV/0!</v>
      </c>
      <c r="P500" s="308" t="s">
        <v>364</v>
      </c>
      <c r="Q500" s="2" t="e">
        <f ca="1">ROUND(O500*$C500/100,0)</f>
        <v>#DIV/0!</v>
      </c>
      <c r="R500" s="2"/>
      <c r="S500" s="284" t="e">
        <f ca="1">$S$181</f>
        <v>#DIV/0!</v>
      </c>
      <c r="T500" s="308" t="s">
        <v>364</v>
      </c>
      <c r="U500" s="2" t="e">
        <f ca="1">ROUND(S500*$C500/100,0)</f>
        <v>#DIV/0!</v>
      </c>
      <c r="V500" s="20"/>
      <c r="W500" s="74"/>
      <c r="X500" s="74"/>
      <c r="Y500" s="74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</row>
    <row r="501" spans="1:44" hidden="1">
      <c r="A501" s="1" t="s">
        <v>390</v>
      </c>
      <c r="B501" s="1"/>
      <c r="C501" s="304">
        <f>'Rate Design Work eff 10-14-16'!C500</f>
        <v>1569.0261904761901</v>
      </c>
      <c r="D501" s="315">
        <f>'Rate Design Work eff 9-15-17'!D500</f>
        <v>57</v>
      </c>
      <c r="E501" s="308" t="s">
        <v>364</v>
      </c>
      <c r="F501" s="2">
        <f>ROUND(D501*C501/100,0)</f>
        <v>894</v>
      </c>
      <c r="G501" s="315">
        <f ca="1">$G$182</f>
        <v>58</v>
      </c>
      <c r="H501" s="308" t="s">
        <v>364</v>
      </c>
      <c r="I501" s="2">
        <f ca="1">ROUND(G501*$C501/100,0)</f>
        <v>910</v>
      </c>
      <c r="J501" s="2"/>
      <c r="K501" s="315" t="str">
        <f>$K$182</f>
        <v xml:space="preserve"> </v>
      </c>
      <c r="L501" s="308" t="s">
        <v>364</v>
      </c>
      <c r="M501" s="2">
        <f>ROUND(K501*$C501/100,0)</f>
        <v>0</v>
      </c>
      <c r="N501" s="2"/>
      <c r="O501" s="315" t="e">
        <f>$O$182</f>
        <v>#DIV/0!</v>
      </c>
      <c r="P501" s="308" t="s">
        <v>364</v>
      </c>
      <c r="Q501" s="2" t="e">
        <f>ROUND(O501*$C501/100,0)</f>
        <v>#DIV/0!</v>
      </c>
      <c r="R501" s="2"/>
      <c r="S501" s="315" t="e">
        <f>$S$182</f>
        <v>#DIV/0!</v>
      </c>
      <c r="T501" s="308" t="s">
        <v>364</v>
      </c>
      <c r="U501" s="2" t="e">
        <f>ROUND(S501*$C501/100,0)</f>
        <v>#DIV/0!</v>
      </c>
      <c r="V501" s="20"/>
      <c r="W501" s="74"/>
      <c r="X501" s="74"/>
      <c r="Y501" s="74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</row>
    <row r="502" spans="1:44" s="1118" customFormat="1" hidden="1">
      <c r="A502" s="968" t="s">
        <v>888</v>
      </c>
      <c r="C502" s="1122">
        <f t="shared" ref="C502:C503" si="110">C498</f>
        <v>154025</v>
      </c>
      <c r="D502" s="254">
        <f>'Rate Design Work eff 9-15-17'!D501</f>
        <v>0</v>
      </c>
      <c r="E502" s="1119"/>
      <c r="F502" s="1123"/>
      <c r="G502" s="1128">
        <f>G183</f>
        <v>0</v>
      </c>
      <c r="H502" s="972" t="s">
        <v>364</v>
      </c>
      <c r="I502" s="1123">
        <f t="shared" ref="I502:I504" si="111">ROUND(G502*$C502/100,0)</f>
        <v>0</v>
      </c>
      <c r="J502" s="1123"/>
      <c r="K502" s="1128" t="str">
        <f>K183</f>
        <v xml:space="preserve"> </v>
      </c>
      <c r="L502" s="972" t="s">
        <v>364</v>
      </c>
      <c r="M502" s="1123">
        <f t="shared" ref="M502:M504" si="112">ROUND(K502*$C502/100,0)</f>
        <v>0</v>
      </c>
      <c r="N502" s="1123"/>
      <c r="O502" s="1128" t="str">
        <f>O183</f>
        <v xml:space="preserve"> </v>
      </c>
      <c r="P502" s="972" t="s">
        <v>364</v>
      </c>
      <c r="Q502" s="1123">
        <f t="shared" ref="Q502:Q504" si="113">ROUND(O502*$C502/100,0)</f>
        <v>0</v>
      </c>
      <c r="R502" s="1123"/>
      <c r="S502" s="1128">
        <f>S183</f>
        <v>0</v>
      </c>
      <c r="T502" s="972" t="s">
        <v>364</v>
      </c>
      <c r="U502" s="1123">
        <f t="shared" ref="U502:U504" si="114">ROUND(S502*$C502/100,0)</f>
        <v>0</v>
      </c>
      <c r="W502" s="784"/>
      <c r="Z502" s="1125"/>
      <c r="AA502" s="1125"/>
      <c r="AF502" s="1119"/>
      <c r="AG502" s="1119"/>
      <c r="AH502" s="1119"/>
      <c r="AI502" s="1119"/>
      <c r="AJ502" s="1119"/>
      <c r="AK502" s="1119"/>
      <c r="AL502" s="1119"/>
      <c r="AM502" s="1119"/>
      <c r="AN502" s="1119"/>
      <c r="AO502" s="1119"/>
      <c r="AP502" s="1119"/>
      <c r="AR502" s="1124"/>
    </row>
    <row r="503" spans="1:44" s="1118" customFormat="1" hidden="1">
      <c r="A503" s="968" t="s">
        <v>889</v>
      </c>
      <c r="C503" s="1122">
        <f t="shared" si="110"/>
        <v>130955</v>
      </c>
      <c r="D503" s="254">
        <f>'Rate Design Work eff 9-15-17'!D502</f>
        <v>0</v>
      </c>
      <c r="E503" s="1119"/>
      <c r="F503" s="1123"/>
      <c r="G503" s="1128">
        <f>G184</f>
        <v>0</v>
      </c>
      <c r="H503" s="972" t="s">
        <v>364</v>
      </c>
      <c r="I503" s="1123">
        <f t="shared" si="111"/>
        <v>0</v>
      </c>
      <c r="J503" s="1123"/>
      <c r="K503" s="1128" t="str">
        <f>K184</f>
        <v xml:space="preserve"> </v>
      </c>
      <c r="L503" s="972" t="s">
        <v>364</v>
      </c>
      <c r="M503" s="1123">
        <f t="shared" si="112"/>
        <v>0</v>
      </c>
      <c r="N503" s="1123"/>
      <c r="O503" s="1128" t="str">
        <f>O184</f>
        <v xml:space="preserve"> </v>
      </c>
      <c r="P503" s="972" t="s">
        <v>364</v>
      </c>
      <c r="Q503" s="1123">
        <f t="shared" si="113"/>
        <v>0</v>
      </c>
      <c r="R503" s="1123"/>
      <c r="S503" s="1128">
        <f>S184</f>
        <v>0</v>
      </c>
      <c r="T503" s="972" t="s">
        <v>364</v>
      </c>
      <c r="U503" s="1123">
        <f t="shared" si="114"/>
        <v>0</v>
      </c>
      <c r="W503" s="784"/>
      <c r="Z503" s="1125"/>
      <c r="AA503" s="1125"/>
      <c r="AF503" s="1119"/>
      <c r="AG503" s="1119"/>
      <c r="AH503" s="1119"/>
      <c r="AI503" s="1119"/>
      <c r="AJ503" s="1119"/>
      <c r="AK503" s="1119"/>
      <c r="AL503" s="1119"/>
      <c r="AM503" s="1119"/>
      <c r="AN503" s="1119"/>
      <c r="AO503" s="1119"/>
      <c r="AP503" s="1119"/>
      <c r="AR503" s="1124"/>
    </row>
    <row r="504" spans="1:44" s="1118" customFormat="1" hidden="1">
      <c r="A504" s="968" t="s">
        <v>890</v>
      </c>
      <c r="C504" s="1122">
        <f>C500</f>
        <v>0</v>
      </c>
      <c r="D504" s="254">
        <f>'Rate Design Work eff 9-15-17'!D503</f>
        <v>0</v>
      </c>
      <c r="E504" s="1119"/>
      <c r="F504" s="1123"/>
      <c r="G504" s="1128">
        <f>G185</f>
        <v>0</v>
      </c>
      <c r="H504" s="972" t="s">
        <v>364</v>
      </c>
      <c r="I504" s="1123">
        <f t="shared" si="111"/>
        <v>0</v>
      </c>
      <c r="J504" s="1123"/>
      <c r="K504" s="1128" t="str">
        <f>K185</f>
        <v xml:space="preserve"> </v>
      </c>
      <c r="L504" s="972" t="s">
        <v>364</v>
      </c>
      <c r="M504" s="1123">
        <f t="shared" si="112"/>
        <v>0</v>
      </c>
      <c r="N504" s="1123"/>
      <c r="O504" s="1128" t="str">
        <f>O185</f>
        <v xml:space="preserve"> </v>
      </c>
      <c r="P504" s="972" t="s">
        <v>364</v>
      </c>
      <c r="Q504" s="1123">
        <f t="shared" si="113"/>
        <v>0</v>
      </c>
      <c r="R504" s="1123"/>
      <c r="S504" s="1128">
        <f>S185</f>
        <v>0</v>
      </c>
      <c r="T504" s="972" t="s">
        <v>364</v>
      </c>
      <c r="U504" s="1123">
        <f t="shared" si="114"/>
        <v>0</v>
      </c>
      <c r="W504" s="784"/>
      <c r="Z504" s="1125"/>
      <c r="AA504" s="1125"/>
      <c r="AF504" s="1119"/>
      <c r="AG504" s="1119"/>
      <c r="AH504" s="1119"/>
      <c r="AI504" s="1119"/>
      <c r="AJ504" s="1119"/>
      <c r="AK504" s="1119"/>
      <c r="AL504" s="1119"/>
      <c r="AM504" s="1119"/>
      <c r="AN504" s="1119"/>
      <c r="AO504" s="1119"/>
      <c r="AP504" s="1119"/>
      <c r="AR504" s="1124"/>
    </row>
    <row r="505" spans="1:44" hidden="1">
      <c r="A505" s="316" t="s">
        <v>391</v>
      </c>
      <c r="B505" s="1"/>
      <c r="C505" s="304"/>
      <c r="D505" s="317">
        <f>'Rate Design Work eff 9-15-17'!D504</f>
        <v>-0.01</v>
      </c>
      <c r="E505" s="308"/>
      <c r="F505" s="2"/>
      <c r="G505" s="317">
        <v>-0.01</v>
      </c>
      <c r="H505" s="308"/>
      <c r="I505" s="2"/>
      <c r="J505" s="2"/>
      <c r="K505" s="317">
        <v>-0.01</v>
      </c>
      <c r="L505" s="308"/>
      <c r="M505" s="2"/>
      <c r="N505" s="2"/>
      <c r="O505" s="317">
        <v>-0.01</v>
      </c>
      <c r="P505" s="308"/>
      <c r="Q505" s="2"/>
      <c r="R505" s="2"/>
      <c r="S505" s="317">
        <v>-0.01</v>
      </c>
      <c r="T505" s="308"/>
      <c r="U505" s="2"/>
      <c r="V505" s="20"/>
      <c r="W505" s="74"/>
      <c r="X505" s="74"/>
      <c r="Y505" s="74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</row>
    <row r="506" spans="1:44" hidden="1">
      <c r="A506" s="1" t="s">
        <v>380</v>
      </c>
      <c r="B506" s="1"/>
      <c r="C506" s="304">
        <v>0</v>
      </c>
      <c r="D506" s="319">
        <f>'Rate Design Work eff 9-15-17'!D505</f>
        <v>117.12</v>
      </c>
      <c r="E506" s="306"/>
      <c r="F506" s="2">
        <f>-ROUND(D506*$C506/100,0)</f>
        <v>0</v>
      </c>
      <c r="G506" s="319">
        <f ca="1">G492</f>
        <v>119.88</v>
      </c>
      <c r="H506" s="306"/>
      <c r="I506" s="2">
        <f ca="1">-ROUND(G506*$C506/100,0)</f>
        <v>0</v>
      </c>
      <c r="J506" s="2"/>
      <c r="K506" s="319">
        <f ca="1">K492</f>
        <v>117.12</v>
      </c>
      <c r="L506" s="306"/>
      <c r="M506" s="2">
        <f ca="1">-ROUND(K506*$C506/100,0)</f>
        <v>0</v>
      </c>
      <c r="N506" s="2"/>
      <c r="O506" s="319" t="str">
        <f>O492</f>
        <v xml:space="preserve"> </v>
      </c>
      <c r="P506" s="306"/>
      <c r="Q506" s="2">
        <f>-ROUND(O506*$C506/100,0)</f>
        <v>0</v>
      </c>
      <c r="R506" s="2"/>
      <c r="S506" s="319" t="str">
        <f>S492</f>
        <v xml:space="preserve"> </v>
      </c>
      <c r="T506" s="306"/>
      <c r="U506" s="2">
        <f>-ROUND(S506*$C506/100,0)</f>
        <v>0</v>
      </c>
      <c r="V506" s="20"/>
      <c r="W506" s="74"/>
      <c r="X506" s="74"/>
      <c r="Y506" s="74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</row>
    <row r="507" spans="1:44" hidden="1">
      <c r="A507" s="1" t="s">
        <v>381</v>
      </c>
      <c r="B507" s="1"/>
      <c r="C507" s="304">
        <v>0</v>
      </c>
      <c r="D507" s="319">
        <f>'Rate Design Work eff 9-15-17'!D506</f>
        <v>174.48</v>
      </c>
      <c r="E507" s="306"/>
      <c r="F507" s="2">
        <f t="shared" ref="F507:F509" si="115">-ROUND(D507*$C507/100,0)</f>
        <v>0</v>
      </c>
      <c r="G507" s="319">
        <f ca="1">G493</f>
        <v>178.68</v>
      </c>
      <c r="H507" s="306"/>
      <c r="I507" s="2">
        <f ca="1">-ROUND(G507*$C507/100,0)</f>
        <v>0</v>
      </c>
      <c r="J507" s="2"/>
      <c r="K507" s="319">
        <f ca="1">K493</f>
        <v>174.48</v>
      </c>
      <c r="L507" s="306"/>
      <c r="M507" s="2">
        <f ca="1">-ROUND(K507*$C507/100,0)</f>
        <v>0</v>
      </c>
      <c r="N507" s="2"/>
      <c r="O507" s="319" t="str">
        <f>O493</f>
        <v xml:space="preserve"> </v>
      </c>
      <c r="P507" s="306"/>
      <c r="Q507" s="2">
        <f>-ROUND(O507*$C507/100,0)</f>
        <v>0</v>
      </c>
      <c r="R507" s="2"/>
      <c r="S507" s="319" t="str">
        <f>S493</f>
        <v xml:space="preserve"> </v>
      </c>
      <c r="T507" s="306"/>
      <c r="U507" s="2">
        <f>-ROUND(S507*$C507/100,0)</f>
        <v>0</v>
      </c>
      <c r="V507" s="20"/>
      <c r="W507" s="74"/>
      <c r="X507" s="74"/>
      <c r="Y507" s="74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</row>
    <row r="508" spans="1:44" hidden="1">
      <c r="A508" s="1" t="s">
        <v>392</v>
      </c>
      <c r="B508" s="1"/>
      <c r="C508" s="304">
        <v>0</v>
      </c>
      <c r="D508" s="319">
        <f>'Rate Design Work eff 9-15-17'!D507</f>
        <v>12.24</v>
      </c>
      <c r="E508" s="306"/>
      <c r="F508" s="2">
        <f t="shared" si="115"/>
        <v>0</v>
      </c>
      <c r="G508" s="319">
        <f ca="1">G494</f>
        <v>12.48</v>
      </c>
      <c r="H508" s="306"/>
      <c r="I508" s="2">
        <f ca="1">-ROUND(G508*$C508/100,0)</f>
        <v>0</v>
      </c>
      <c r="J508" s="2"/>
      <c r="K508" s="319">
        <f ca="1">K494</f>
        <v>12.24</v>
      </c>
      <c r="L508" s="306"/>
      <c r="M508" s="2">
        <f ca="1">-ROUND(K508*$C508/100,0)</f>
        <v>0</v>
      </c>
      <c r="N508" s="2"/>
      <c r="O508" s="319" t="str">
        <f>O494</f>
        <v xml:space="preserve"> </v>
      </c>
      <c r="P508" s="306"/>
      <c r="Q508" s="2">
        <f>-ROUND(O508*$C508/100,0)</f>
        <v>0</v>
      </c>
      <c r="R508" s="2"/>
      <c r="S508" s="319" t="str">
        <f>S494</f>
        <v xml:space="preserve"> </v>
      </c>
      <c r="T508" s="306"/>
      <c r="U508" s="2">
        <f>-ROUND(S508*$C508/100,0)</f>
        <v>0</v>
      </c>
      <c r="V508" s="20"/>
      <c r="W508" s="74"/>
      <c r="X508" s="74"/>
      <c r="Y508" s="74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</row>
    <row r="509" spans="1:44" hidden="1">
      <c r="A509" s="1" t="s">
        <v>393</v>
      </c>
      <c r="B509" s="1"/>
      <c r="C509" s="304">
        <v>0</v>
      </c>
      <c r="D509" s="319">
        <f>'Rate Design Work eff 9-15-17'!D508</f>
        <v>3.7</v>
      </c>
      <c r="E509" s="308"/>
      <c r="F509" s="2">
        <f t="shared" si="115"/>
        <v>0</v>
      </c>
      <c r="G509" s="319">
        <f ca="1">G497</f>
        <v>3.8</v>
      </c>
      <c r="H509" s="308"/>
      <c r="I509" s="2">
        <f ca="1">-ROUND(G509*$C509/100,0)</f>
        <v>0</v>
      </c>
      <c r="J509" s="2"/>
      <c r="K509" s="319" t="e">
        <f ca="1">K497</f>
        <v>#REF!</v>
      </c>
      <c r="L509" s="308"/>
      <c r="M509" s="2" t="e">
        <f ca="1">-ROUND(K509*$C509/100,0)</f>
        <v>#REF!</v>
      </c>
      <c r="N509" s="2"/>
      <c r="O509" s="319" t="e">
        <f ca="1">O497</f>
        <v>#DIV/0!</v>
      </c>
      <c r="P509" s="308"/>
      <c r="Q509" s="2" t="e">
        <f ca="1">-ROUND(O509*$C509/100,0)</f>
        <v>#DIV/0!</v>
      </c>
      <c r="R509" s="2"/>
      <c r="S509" s="319" t="e">
        <f ca="1">S497</f>
        <v>#DIV/0!</v>
      </c>
      <c r="T509" s="308"/>
      <c r="U509" s="2" t="e">
        <f ca="1">-ROUND(S509*$C509/100,0)</f>
        <v>#DIV/0!</v>
      </c>
      <c r="V509" s="20"/>
      <c r="W509" s="74"/>
      <c r="X509" s="74"/>
      <c r="Y509" s="74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</row>
    <row r="510" spans="1:44" hidden="1">
      <c r="A510" s="1" t="s">
        <v>395</v>
      </c>
      <c r="B510" s="1"/>
      <c r="C510" s="304">
        <v>0</v>
      </c>
      <c r="D510" s="320">
        <f>'Rate Design Work eff 9-15-17'!D509</f>
        <v>10.628</v>
      </c>
      <c r="E510" s="308" t="s">
        <v>364</v>
      </c>
      <c r="F510" s="2">
        <f>ROUND(D510*$C510/100*D505,0)</f>
        <v>0</v>
      </c>
      <c r="G510" s="320">
        <f ca="1">G498</f>
        <v>10.878</v>
      </c>
      <c r="H510" s="308" t="s">
        <v>364</v>
      </c>
      <c r="I510" s="2">
        <f ca="1">ROUND(G510*$C510/100*G505,0)</f>
        <v>0</v>
      </c>
      <c r="J510" s="2"/>
      <c r="K510" s="320" t="e">
        <f ca="1">K498</f>
        <v>#REF!</v>
      </c>
      <c r="L510" s="308" t="s">
        <v>364</v>
      </c>
      <c r="M510" s="2" t="e">
        <f ca="1">ROUND(K510*$C510/100*K505,0)</f>
        <v>#REF!</v>
      </c>
      <c r="N510" s="2"/>
      <c r="O510" s="320" t="e">
        <f ca="1">O498</f>
        <v>#DIV/0!</v>
      </c>
      <c r="P510" s="308" t="s">
        <v>364</v>
      </c>
      <c r="Q510" s="2" t="e">
        <f ca="1">ROUND(O510*$C510/100*O505,0)</f>
        <v>#DIV/0!</v>
      </c>
      <c r="R510" s="2"/>
      <c r="S510" s="320" t="e">
        <f ca="1">S498</f>
        <v>#DIV/0!</v>
      </c>
      <c r="T510" s="308" t="s">
        <v>364</v>
      </c>
      <c r="U510" s="2" t="e">
        <f ca="1">ROUND(S510*$C510/100*S505,0)</f>
        <v>#DIV/0!</v>
      </c>
      <c r="V510" s="20"/>
      <c r="W510" s="74"/>
      <c r="X510" s="74"/>
      <c r="Y510" s="74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</row>
    <row r="511" spans="1:44" hidden="1">
      <c r="A511" s="1" t="s">
        <v>388</v>
      </c>
      <c r="B511" s="1"/>
      <c r="C511" s="304">
        <v>0</v>
      </c>
      <c r="D511" s="320">
        <f>'Rate Design Work eff 9-15-17'!D510</f>
        <v>7.3410000000000002</v>
      </c>
      <c r="E511" s="308" t="s">
        <v>364</v>
      </c>
      <c r="F511" s="2">
        <f>ROUND(D511*$C511/100*D505,0)</f>
        <v>0</v>
      </c>
      <c r="G511" s="320">
        <f ca="1">G499</f>
        <v>7.5140000000000002</v>
      </c>
      <c r="H511" s="308" t="s">
        <v>364</v>
      </c>
      <c r="I511" s="2">
        <f ca="1">ROUND(G511*$C511/100*G505,0)</f>
        <v>0</v>
      </c>
      <c r="J511" s="2"/>
      <c r="K511" s="320" t="e">
        <f ca="1">K499</f>
        <v>#REF!</v>
      </c>
      <c r="L511" s="308" t="s">
        <v>364</v>
      </c>
      <c r="M511" s="2" t="e">
        <f ca="1">ROUND(K511*$C511/100*K505,0)</f>
        <v>#REF!</v>
      </c>
      <c r="N511" s="2"/>
      <c r="O511" s="320" t="e">
        <f ca="1">O499</f>
        <v>#DIV/0!</v>
      </c>
      <c r="P511" s="308" t="s">
        <v>364</v>
      </c>
      <c r="Q511" s="2" t="e">
        <f ca="1">ROUND(O511*$C511/100*O505,0)</f>
        <v>#DIV/0!</v>
      </c>
      <c r="R511" s="2"/>
      <c r="S511" s="320" t="e">
        <f ca="1">S499</f>
        <v>#DIV/0!</v>
      </c>
      <c r="T511" s="308" t="s">
        <v>364</v>
      </c>
      <c r="U511" s="2" t="e">
        <f ca="1">ROUND(S511*$C511/100*S505,0)</f>
        <v>#DIV/0!</v>
      </c>
      <c r="V511" s="20"/>
      <c r="W511" s="74"/>
      <c r="X511" s="74"/>
      <c r="Y511" s="74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</row>
    <row r="512" spans="1:44" hidden="1">
      <c r="A512" s="1" t="s">
        <v>389</v>
      </c>
      <c r="B512" s="1"/>
      <c r="C512" s="304">
        <v>0</v>
      </c>
      <c r="D512" s="320">
        <f>'Rate Design Work eff 9-15-17'!D511</f>
        <v>6.3240000000000007</v>
      </c>
      <c r="E512" s="308" t="s">
        <v>364</v>
      </c>
      <c r="F512" s="2">
        <f>ROUND(D512*$C512/100*D505,0)</f>
        <v>0</v>
      </c>
      <c r="G512" s="320">
        <f ca="1">G500</f>
        <v>6.4720000000000004</v>
      </c>
      <c r="H512" s="308" t="s">
        <v>364</v>
      </c>
      <c r="I512" s="2">
        <f ca="1">ROUND(G512*$C512/100*G505,0)</f>
        <v>0</v>
      </c>
      <c r="J512" s="2"/>
      <c r="K512" s="320" t="e">
        <f ca="1">K500</f>
        <v>#REF!</v>
      </c>
      <c r="L512" s="308" t="s">
        <v>364</v>
      </c>
      <c r="M512" s="2" t="e">
        <f ca="1">ROUND(K512*$C512/100*K505,0)</f>
        <v>#REF!</v>
      </c>
      <c r="N512" s="2"/>
      <c r="O512" s="320" t="e">
        <f ca="1">O500</f>
        <v>#DIV/0!</v>
      </c>
      <c r="P512" s="308" t="s">
        <v>364</v>
      </c>
      <c r="Q512" s="2" t="e">
        <f ca="1">ROUND(O512*$C512/100*O505,0)</f>
        <v>#DIV/0!</v>
      </c>
      <c r="R512" s="2"/>
      <c r="S512" s="320" t="e">
        <f ca="1">S500</f>
        <v>#DIV/0!</v>
      </c>
      <c r="T512" s="308" t="s">
        <v>364</v>
      </c>
      <c r="U512" s="2" t="e">
        <f ca="1">ROUND(S512*$C512/100*S505,0)</f>
        <v>#DIV/0!</v>
      </c>
      <c r="V512" s="20"/>
      <c r="W512" s="74"/>
      <c r="X512" s="74"/>
      <c r="Y512" s="74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</row>
    <row r="513" spans="1:44" hidden="1">
      <c r="A513" s="1" t="s">
        <v>390</v>
      </c>
      <c r="B513" s="1"/>
      <c r="C513" s="304">
        <v>0</v>
      </c>
      <c r="D513" s="321">
        <f>'Rate Design Work eff 9-15-17'!D512</f>
        <v>57</v>
      </c>
      <c r="E513" s="308" t="s">
        <v>364</v>
      </c>
      <c r="F513" s="2">
        <f>ROUND(D513*$C513/100*D505,0)</f>
        <v>0</v>
      </c>
      <c r="G513" s="321">
        <f ca="1">G501</f>
        <v>58</v>
      </c>
      <c r="H513" s="308" t="s">
        <v>364</v>
      </c>
      <c r="I513" s="2">
        <f ca="1">ROUND(G513*$C513/100*G505,0)</f>
        <v>0</v>
      </c>
      <c r="J513" s="2"/>
      <c r="K513" s="321" t="str">
        <f>K501</f>
        <v xml:space="preserve"> </v>
      </c>
      <c r="L513" s="308" t="s">
        <v>364</v>
      </c>
      <c r="M513" s="2">
        <f>ROUND(K513*$C513/100*K505,0)</f>
        <v>0</v>
      </c>
      <c r="N513" s="2"/>
      <c r="O513" s="321" t="e">
        <f>O501</f>
        <v>#DIV/0!</v>
      </c>
      <c r="P513" s="308" t="s">
        <v>364</v>
      </c>
      <c r="Q513" s="2" t="e">
        <f>ROUND(O513*$C513/100*O505,0)</f>
        <v>#DIV/0!</v>
      </c>
      <c r="R513" s="2"/>
      <c r="S513" s="321" t="e">
        <f>S501</f>
        <v>#DIV/0!</v>
      </c>
      <c r="T513" s="308" t="s">
        <v>364</v>
      </c>
      <c r="U513" s="2" t="e">
        <f>ROUND(S513*$C513/100*S505,0)</f>
        <v>#DIV/0!</v>
      </c>
      <c r="V513" s="20"/>
      <c r="W513" s="74"/>
      <c r="X513" s="74"/>
      <c r="Y513" s="74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</row>
    <row r="514" spans="1:44" hidden="1">
      <c r="A514" s="1" t="s">
        <v>397</v>
      </c>
      <c r="B514" s="1"/>
      <c r="C514" s="304">
        <v>0</v>
      </c>
      <c r="D514" s="322">
        <f>'Rate Design Work eff 9-15-17'!D513</f>
        <v>60</v>
      </c>
      <c r="E514" s="308"/>
      <c r="F514" s="2">
        <f>ROUND(D514*C514,0)</f>
        <v>0</v>
      </c>
      <c r="G514" s="322">
        <f>$G$198</f>
        <v>60</v>
      </c>
      <c r="H514" s="308"/>
      <c r="I514" s="2">
        <f>ROUND(G514*$C514,0)</f>
        <v>0</v>
      </c>
      <c r="J514" s="2"/>
      <c r="K514" s="322" t="str">
        <f>$K$198</f>
        <v xml:space="preserve"> </v>
      </c>
      <c r="L514" s="308"/>
      <c r="M514" s="2">
        <f>ROUND(K514*$C514,0)</f>
        <v>0</v>
      </c>
      <c r="N514" s="2"/>
      <c r="O514" s="322" t="e">
        <f>$O$198</f>
        <v>#DIV/0!</v>
      </c>
      <c r="P514" s="308"/>
      <c r="Q514" s="2" t="e">
        <f>ROUND(O514*$C514,0)</f>
        <v>#DIV/0!</v>
      </c>
      <c r="R514" s="2"/>
      <c r="S514" s="322" t="e">
        <f>$S$198</f>
        <v>#DIV/0!</v>
      </c>
      <c r="T514" s="308"/>
      <c r="U514" s="2" t="e">
        <f>ROUND(S514*$C514,0)</f>
        <v>#DIV/0!</v>
      </c>
      <c r="V514" s="20"/>
      <c r="W514" s="74"/>
      <c r="X514" s="74"/>
      <c r="Y514" s="74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</row>
    <row r="515" spans="1:44" hidden="1">
      <c r="A515" s="1" t="s">
        <v>398</v>
      </c>
      <c r="B515" s="1"/>
      <c r="C515" s="304">
        <v>0</v>
      </c>
      <c r="D515" s="324">
        <f>'Rate Design Work eff 9-15-17'!D514</f>
        <v>-30</v>
      </c>
      <c r="E515" s="308" t="s">
        <v>364</v>
      </c>
      <c r="F515" s="2">
        <f>ROUND(D515*C515/100,0)</f>
        <v>0</v>
      </c>
      <c r="G515" s="324">
        <f>$G$199</f>
        <v>-30</v>
      </c>
      <c r="H515" s="308" t="s">
        <v>364</v>
      </c>
      <c r="I515" s="2">
        <f>ROUND(G515*$C515/100,0)</f>
        <v>0</v>
      </c>
      <c r="J515" s="2"/>
      <c r="K515" s="324">
        <f>$K$199</f>
        <v>-30</v>
      </c>
      <c r="L515" s="308" t="s">
        <v>364</v>
      </c>
      <c r="M515" s="2">
        <f>ROUND(K515*$C515/100,0)</f>
        <v>0</v>
      </c>
      <c r="N515" s="2"/>
      <c r="O515" s="324" t="str">
        <f>$O$199</f>
        <v xml:space="preserve"> </v>
      </c>
      <c r="P515" s="308" t="s">
        <v>364</v>
      </c>
      <c r="Q515" s="2">
        <f>ROUND(O515*$C515/100,0)</f>
        <v>0</v>
      </c>
      <c r="R515" s="2"/>
      <c r="S515" s="324" t="str">
        <f>$S$199</f>
        <v xml:space="preserve"> </v>
      </c>
      <c r="T515" s="308" t="s">
        <v>364</v>
      </c>
      <c r="U515" s="2">
        <f>ROUND(S515*$C515/100,0)</f>
        <v>0</v>
      </c>
      <c r="V515" s="20"/>
      <c r="W515" s="74"/>
      <c r="X515" s="74"/>
      <c r="Y515" s="74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</row>
    <row r="516" spans="1:44" s="1118" customFormat="1" hidden="1">
      <c r="A516" s="968" t="s">
        <v>888</v>
      </c>
      <c r="C516" s="1122">
        <f>C510</f>
        <v>0</v>
      </c>
      <c r="D516" s="254">
        <f>'Rate Design Work eff 9-15-17'!D515</f>
        <v>0</v>
      </c>
      <c r="E516" s="1119"/>
      <c r="F516" s="1123"/>
      <c r="G516" s="1128">
        <f>G183</f>
        <v>0</v>
      </c>
      <c r="H516" s="972" t="s">
        <v>364</v>
      </c>
      <c r="I516" s="2">
        <f>ROUND(G516*$C516/100*G505,0)</f>
        <v>0</v>
      </c>
      <c r="J516" s="2"/>
      <c r="K516" s="1128" t="str">
        <f>K183</f>
        <v xml:space="preserve"> </v>
      </c>
      <c r="L516" s="972" t="s">
        <v>364</v>
      </c>
      <c r="M516" s="2">
        <f>ROUND(K516*$C516/100*K505,0)</f>
        <v>0</v>
      </c>
      <c r="N516" s="2"/>
      <c r="O516" s="1128" t="str">
        <f>O183</f>
        <v xml:space="preserve"> </v>
      </c>
      <c r="P516" s="972" t="s">
        <v>364</v>
      </c>
      <c r="Q516" s="2">
        <f>ROUND(O516*$C516/100*O505,0)</f>
        <v>0</v>
      </c>
      <c r="R516" s="2"/>
      <c r="S516" s="1128">
        <f>S183</f>
        <v>0</v>
      </c>
      <c r="T516" s="972" t="s">
        <v>364</v>
      </c>
      <c r="U516" s="2">
        <f>ROUND(S516*$C516/100*S505,0)</f>
        <v>0</v>
      </c>
      <c r="W516" s="784"/>
      <c r="Z516" s="1125"/>
      <c r="AA516" s="1125"/>
      <c r="AF516" s="1119"/>
      <c r="AG516" s="1119"/>
      <c r="AH516" s="1119"/>
      <c r="AI516" s="1119"/>
      <c r="AJ516" s="1119"/>
      <c r="AK516" s="1119"/>
      <c r="AL516" s="1119"/>
      <c r="AM516" s="1119"/>
      <c r="AN516" s="1119"/>
      <c r="AO516" s="1119"/>
      <c r="AP516" s="1119"/>
      <c r="AR516" s="1124"/>
    </row>
    <row r="517" spans="1:44" s="1118" customFormat="1" hidden="1">
      <c r="A517" s="968" t="s">
        <v>889</v>
      </c>
      <c r="C517" s="1122">
        <f t="shared" ref="C517:C518" si="116">C511</f>
        <v>0</v>
      </c>
      <c r="D517" s="254">
        <f>'Rate Design Work eff 9-15-17'!D516</f>
        <v>0</v>
      </c>
      <c r="E517" s="1119"/>
      <c r="F517" s="1123"/>
      <c r="G517" s="1128">
        <f>G184</f>
        <v>0</v>
      </c>
      <c r="H517" s="972" t="s">
        <v>364</v>
      </c>
      <c r="I517" s="2">
        <f>ROUND(G517*$C517/100*G505,0)</f>
        <v>0</v>
      </c>
      <c r="J517" s="2"/>
      <c r="K517" s="1128" t="str">
        <f>K184</f>
        <v xml:space="preserve"> </v>
      </c>
      <c r="L517" s="972" t="s">
        <v>364</v>
      </c>
      <c r="M517" s="2">
        <f>ROUND(K517*$C517/100*K505,0)</f>
        <v>0</v>
      </c>
      <c r="N517" s="2"/>
      <c r="O517" s="1128" t="str">
        <f>O184</f>
        <v xml:space="preserve"> </v>
      </c>
      <c r="P517" s="972" t="s">
        <v>364</v>
      </c>
      <c r="Q517" s="2">
        <f>ROUND(O517*$C517/100*O505,0)</f>
        <v>0</v>
      </c>
      <c r="R517" s="2"/>
      <c r="S517" s="1128">
        <f>S184</f>
        <v>0</v>
      </c>
      <c r="T517" s="972" t="s">
        <v>364</v>
      </c>
      <c r="U517" s="2">
        <f>ROUND(S517*$C517/100*S505,0)</f>
        <v>0</v>
      </c>
      <c r="W517" s="784"/>
      <c r="Z517" s="1125"/>
      <c r="AA517" s="1125"/>
      <c r="AF517" s="1119"/>
      <c r="AG517" s="1119"/>
      <c r="AH517" s="1119"/>
      <c r="AI517" s="1119"/>
      <c r="AJ517" s="1119"/>
      <c r="AK517" s="1119"/>
      <c r="AL517" s="1119"/>
      <c r="AM517" s="1119"/>
      <c r="AN517" s="1119"/>
      <c r="AO517" s="1119"/>
      <c r="AP517" s="1119"/>
      <c r="AR517" s="1124"/>
    </row>
    <row r="518" spans="1:44" s="1118" customFormat="1" hidden="1">
      <c r="A518" s="968" t="s">
        <v>890</v>
      </c>
      <c r="C518" s="1122">
        <f t="shared" si="116"/>
        <v>0</v>
      </c>
      <c r="D518" s="254">
        <f>'Rate Design Work eff 9-15-17'!D517</f>
        <v>0</v>
      </c>
      <c r="E518" s="1119"/>
      <c r="F518" s="1123"/>
      <c r="G518" s="1128">
        <f>G185</f>
        <v>0</v>
      </c>
      <c r="H518" s="972" t="s">
        <v>364</v>
      </c>
      <c r="I518" s="2">
        <f>ROUND(G518*$C518/100*G505,0)</f>
        <v>0</v>
      </c>
      <c r="J518" s="2"/>
      <c r="K518" s="1128" t="str">
        <f>K185</f>
        <v xml:space="preserve"> </v>
      </c>
      <c r="L518" s="972" t="s">
        <v>364</v>
      </c>
      <c r="M518" s="2">
        <f>ROUND(K518*$C518/100*K505,0)</f>
        <v>0</v>
      </c>
      <c r="N518" s="2"/>
      <c r="O518" s="1128" t="str">
        <f>O185</f>
        <v xml:space="preserve"> </v>
      </c>
      <c r="P518" s="972" t="s">
        <v>364</v>
      </c>
      <c r="Q518" s="2">
        <f>ROUND(O518*$C518/100*O505,0)</f>
        <v>0</v>
      </c>
      <c r="R518" s="2"/>
      <c r="S518" s="1128">
        <f>S185</f>
        <v>0</v>
      </c>
      <c r="T518" s="972" t="s">
        <v>364</v>
      </c>
      <c r="U518" s="2">
        <f>ROUND(S518*$C518/100*S505,0)</f>
        <v>0</v>
      </c>
      <c r="W518" s="784"/>
      <c r="Z518" s="1125"/>
      <c r="AA518" s="1125"/>
      <c r="AF518" s="1119"/>
      <c r="AG518" s="1119"/>
      <c r="AH518" s="1119"/>
      <c r="AI518" s="1119"/>
      <c r="AJ518" s="1119"/>
      <c r="AK518" s="1119"/>
      <c r="AL518" s="1119"/>
      <c r="AM518" s="1119"/>
      <c r="AN518" s="1119"/>
      <c r="AO518" s="1119"/>
      <c r="AP518" s="1119"/>
      <c r="AR518" s="1124"/>
    </row>
    <row r="519" spans="1:44" hidden="1">
      <c r="A519" s="1" t="s">
        <v>371</v>
      </c>
      <c r="B519" s="1"/>
      <c r="C519" s="304">
        <f>SUM(C498:C500)</f>
        <v>284980</v>
      </c>
      <c r="D519" s="315"/>
      <c r="E519" s="308"/>
      <c r="F519" s="2">
        <f>SUM(F492:F515)</f>
        <v>103707</v>
      </c>
      <c r="G519" s="315"/>
      <c r="H519" s="308"/>
      <c r="I519" s="2">
        <f ca="1">SUM(I492:I518)</f>
        <v>106123</v>
      </c>
      <c r="J519" s="2"/>
      <c r="K519" s="315"/>
      <c r="L519" s="308"/>
      <c r="M519" s="2" t="e">
        <f ca="1">SUM(M492:M518)</f>
        <v>#REF!</v>
      </c>
      <c r="N519" s="2"/>
      <c r="O519" s="315"/>
      <c r="P519" s="308"/>
      <c r="Q519" s="2" t="e">
        <f ca="1">SUM(Q492:Q518)</f>
        <v>#DIV/0!</v>
      </c>
      <c r="R519" s="2"/>
      <c r="S519" s="315"/>
      <c r="T519" s="308"/>
      <c r="U519" s="2" t="e">
        <f ca="1">SUM(U492:U518)</f>
        <v>#DIV/0!</v>
      </c>
      <c r="V519" s="20"/>
      <c r="W519" s="74"/>
      <c r="X519" s="74"/>
      <c r="Y519" s="74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</row>
    <row r="520" spans="1:44" hidden="1">
      <c r="A520" s="1" t="s">
        <v>353</v>
      </c>
      <c r="B520" s="1"/>
      <c r="C520" s="334">
        <f>'Table 2'!H43</f>
        <v>1965.5392472718752</v>
      </c>
      <c r="D520" s="294"/>
      <c r="E520" s="294"/>
      <c r="F520" s="326">
        <f>'Table 3'!E43</f>
        <v>783.73149966378082</v>
      </c>
      <c r="G520" s="294"/>
      <c r="H520" s="294"/>
      <c r="I520" s="326">
        <f>F520</f>
        <v>783.73149966378082</v>
      </c>
      <c r="J520" s="307"/>
      <c r="K520" s="294"/>
      <c r="L520" s="294"/>
      <c r="M520" s="326" t="e">
        <f ca="1">M204/I204*I520</f>
        <v>#DIV/0!</v>
      </c>
      <c r="N520" s="307"/>
      <c r="O520" s="294"/>
      <c r="P520" s="294"/>
      <c r="Q520" s="326" t="e">
        <f ca="1">Q204/I204*I520</f>
        <v>#DIV/0!</v>
      </c>
      <c r="R520" s="307"/>
      <c r="S520" s="294"/>
      <c r="T520" s="294"/>
      <c r="U520" s="326" t="e">
        <f ca="1">U204/I204*I520</f>
        <v>#DIV/0!</v>
      </c>
      <c r="V520" s="429"/>
      <c r="W520" s="272"/>
      <c r="X520" s="74"/>
      <c r="Y520" s="74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</row>
    <row r="521" spans="1:44" ht="16.5" hidden="1" thickBot="1">
      <c r="A521" s="1" t="s">
        <v>372</v>
      </c>
      <c r="B521" s="1"/>
      <c r="C521" s="296">
        <f>SUM(C519:C520)</f>
        <v>286945.5392472719</v>
      </c>
      <c r="D521" s="327"/>
      <c r="E521" s="330"/>
      <c r="F521" s="329">
        <f>F519+F520</f>
        <v>104490.73149966379</v>
      </c>
      <c r="G521" s="327"/>
      <c r="H521" s="330"/>
      <c r="I521" s="329">
        <f ca="1">I519+I520</f>
        <v>106906.73149966379</v>
      </c>
      <c r="J521" s="307"/>
      <c r="K521" s="327"/>
      <c r="L521" s="330"/>
      <c r="M521" s="329" t="e">
        <f ca="1">M519+M520</f>
        <v>#REF!</v>
      </c>
      <c r="N521" s="329"/>
      <c r="O521" s="327"/>
      <c r="P521" s="330"/>
      <c r="Q521" s="329" t="e">
        <f ca="1">Q519+Q520</f>
        <v>#DIV/0!</v>
      </c>
      <c r="R521" s="329"/>
      <c r="S521" s="327"/>
      <c r="T521" s="330"/>
      <c r="U521" s="329" t="e">
        <f ca="1">U519+U520</f>
        <v>#DIV/0!</v>
      </c>
      <c r="V521" s="396"/>
      <c r="W521" s="455"/>
      <c r="X521" s="74"/>
      <c r="Y521" s="74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</row>
    <row r="522" spans="1:44" ht="16.5" hidden="1" thickTop="1">
      <c r="A522" s="1"/>
      <c r="B522" s="1"/>
      <c r="C522" s="21"/>
      <c r="D522" s="322" t="s">
        <v>31</v>
      </c>
      <c r="E522" s="1"/>
      <c r="F522" s="2"/>
      <c r="G522" s="338" t="s">
        <v>31</v>
      </c>
      <c r="H522" s="1"/>
      <c r="I522" s="2" t="s">
        <v>31</v>
      </c>
      <c r="J522" s="2"/>
      <c r="K522" s="338" t="s">
        <v>31</v>
      </c>
      <c r="L522" s="1"/>
      <c r="M522" s="2" t="s">
        <v>31</v>
      </c>
      <c r="N522" s="2"/>
      <c r="O522" s="338" t="s">
        <v>31</v>
      </c>
      <c r="P522" s="1"/>
      <c r="Q522" s="2" t="s">
        <v>31</v>
      </c>
      <c r="R522" s="2"/>
      <c r="S522" s="338" t="s">
        <v>31</v>
      </c>
      <c r="T522" s="1"/>
      <c r="U522" s="2" t="s">
        <v>31</v>
      </c>
      <c r="V522" s="20"/>
      <c r="W522" s="74"/>
      <c r="X522" s="74"/>
      <c r="Y522" s="74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</row>
    <row r="523" spans="1:44" hidden="1">
      <c r="A523" s="278" t="s">
        <v>407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20"/>
      <c r="W523" s="74"/>
      <c r="X523" s="74"/>
      <c r="Y523" s="74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</row>
    <row r="524" spans="1:44" hidden="1">
      <c r="A524" s="1" t="s">
        <v>404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20"/>
      <c r="W524" s="74"/>
      <c r="X524" s="74"/>
      <c r="Y524" s="74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</row>
    <row r="525" spans="1:44" hidden="1">
      <c r="A525" s="1" t="s">
        <v>408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20"/>
      <c r="W525" s="74"/>
      <c r="X525" s="74"/>
      <c r="Y525" s="74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</row>
    <row r="526" spans="1:44" hidden="1">
      <c r="A526" s="1" t="s">
        <v>383</v>
      </c>
      <c r="B526" s="1"/>
      <c r="C526" s="304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20"/>
      <c r="W526" s="74"/>
      <c r="X526" s="74"/>
      <c r="Y526" s="74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</row>
    <row r="527" spans="1:44" hidden="1">
      <c r="A527" s="1" t="s">
        <v>380</v>
      </c>
      <c r="B527" s="1"/>
      <c r="C527" s="304">
        <f>'Rate Design Work eff 10-14-16'!C526</f>
        <v>0</v>
      </c>
      <c r="D527" s="283">
        <f>'Rate Design Work eff 9-15-17'!D526</f>
        <v>117.12</v>
      </c>
      <c r="E527" s="308"/>
      <c r="F527" s="2">
        <f>ROUND(D527*$C527,0)</f>
        <v>0</v>
      </c>
      <c r="G527" s="283">
        <f ca="1">$G$169</f>
        <v>119.88</v>
      </c>
      <c r="H527" s="308"/>
      <c r="I527" s="2">
        <f ca="1">ROUND(G527*$C527,0)</f>
        <v>0</v>
      </c>
      <c r="J527" s="2"/>
      <c r="K527" s="283">
        <f ca="1">$K$169</f>
        <v>117.12</v>
      </c>
      <c r="L527" s="308"/>
      <c r="M527" s="2">
        <f ca="1">ROUND(K527*$C527,0)</f>
        <v>0</v>
      </c>
      <c r="N527" s="2"/>
      <c r="O527" s="283" t="str">
        <f>$O$169</f>
        <v xml:space="preserve"> </v>
      </c>
      <c r="P527" s="308"/>
      <c r="Q527" s="2">
        <f>ROUND(O527*$C527,0)</f>
        <v>0</v>
      </c>
      <c r="R527" s="2"/>
      <c r="S527" s="283" t="str">
        <f>$S$169</f>
        <v xml:space="preserve"> </v>
      </c>
      <c r="T527" s="308"/>
      <c r="U527" s="2">
        <f>ROUND(S527*$C527,0)</f>
        <v>0</v>
      </c>
      <c r="V527" s="20"/>
      <c r="W527" s="74"/>
      <c r="X527" s="74"/>
      <c r="Y527" s="74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</row>
    <row r="528" spans="1:44" hidden="1">
      <c r="A528" s="1" t="s">
        <v>381</v>
      </c>
      <c r="B528" s="1"/>
      <c r="C528" s="304">
        <f>'Rate Design Work eff 10-14-16'!C527</f>
        <v>1</v>
      </c>
      <c r="D528" s="283">
        <f>'Rate Design Work eff 9-15-17'!D527</f>
        <v>174.48</v>
      </c>
      <c r="E528" s="310"/>
      <c r="F528" s="2">
        <f t="shared" ref="F528:F529" si="117">ROUND(D528*$C528,0)</f>
        <v>174</v>
      </c>
      <c r="G528" s="283">
        <f ca="1">$G$170</f>
        <v>178.68</v>
      </c>
      <c r="H528" s="310"/>
      <c r="I528" s="2">
        <f ca="1">ROUND(G528*$C528,0)</f>
        <v>179</v>
      </c>
      <c r="J528" s="2"/>
      <c r="K528" s="283">
        <f ca="1">$K$170</f>
        <v>174.48</v>
      </c>
      <c r="L528" s="310"/>
      <c r="M528" s="2">
        <f ca="1">ROUND(K528*$C528,0)</f>
        <v>174</v>
      </c>
      <c r="N528" s="2"/>
      <c r="O528" s="283" t="str">
        <f>$O$170</f>
        <v xml:space="preserve"> </v>
      </c>
      <c r="P528" s="310"/>
      <c r="Q528" s="2">
        <f>ROUND(O528*$C528,0)</f>
        <v>0</v>
      </c>
      <c r="R528" s="2"/>
      <c r="S528" s="283" t="str">
        <f>$S$170</f>
        <v xml:space="preserve"> </v>
      </c>
      <c r="T528" s="310"/>
      <c r="U528" s="2">
        <f>ROUND(S528*$C528,0)</f>
        <v>0</v>
      </c>
      <c r="V528" s="20"/>
      <c r="W528" s="74"/>
      <c r="X528" s="74"/>
      <c r="Y528" s="74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</row>
    <row r="529" spans="1:44" hidden="1">
      <c r="A529" s="1" t="s">
        <v>382</v>
      </c>
      <c r="B529" s="1"/>
      <c r="C529" s="304">
        <f>'Rate Design Work eff 10-14-16'!C528</f>
        <v>59</v>
      </c>
      <c r="D529" s="283">
        <f>'Rate Design Work eff 9-15-17'!D528</f>
        <v>12.24</v>
      </c>
      <c r="E529" s="310"/>
      <c r="F529" s="2">
        <f t="shared" si="117"/>
        <v>722</v>
      </c>
      <c r="G529" s="283">
        <f ca="1">$G$171</f>
        <v>12.48</v>
      </c>
      <c r="H529" s="310"/>
      <c r="I529" s="2">
        <f ca="1">ROUND(G529*$C529,0)</f>
        <v>736</v>
      </c>
      <c r="J529" s="2"/>
      <c r="K529" s="283">
        <f ca="1">$K$171</f>
        <v>12.24</v>
      </c>
      <c r="L529" s="310"/>
      <c r="M529" s="2">
        <f ca="1">ROUND(K529*$C529,0)</f>
        <v>722</v>
      </c>
      <c r="N529" s="2"/>
      <c r="O529" s="283" t="str">
        <f>$O$171</f>
        <v xml:space="preserve"> </v>
      </c>
      <c r="P529" s="310"/>
      <c r="Q529" s="2">
        <f>ROUND(O529*$C529,0)</f>
        <v>0</v>
      </c>
      <c r="R529" s="2"/>
      <c r="S529" s="283" t="str">
        <f>$S$171</f>
        <v xml:space="preserve"> </v>
      </c>
      <c r="T529" s="310"/>
      <c r="U529" s="2">
        <f>ROUND(S529*$C529,0)</f>
        <v>0</v>
      </c>
      <c r="V529" s="20"/>
      <c r="W529" s="74"/>
      <c r="X529" s="74"/>
      <c r="Y529" s="74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</row>
    <row r="530" spans="1:44" hidden="1">
      <c r="A530" s="1" t="s">
        <v>384</v>
      </c>
      <c r="B530" s="1"/>
      <c r="C530" s="304">
        <f>SUM(C527:C528)</f>
        <v>1</v>
      </c>
      <c r="D530" s="283"/>
      <c r="E530" s="308"/>
      <c r="F530" s="2"/>
      <c r="G530" s="283"/>
      <c r="H530" s="308"/>
      <c r="I530" s="2"/>
      <c r="J530" s="2"/>
      <c r="K530" s="283"/>
      <c r="L530" s="308"/>
      <c r="M530" s="2"/>
      <c r="N530" s="2"/>
      <c r="O530" s="283"/>
      <c r="P530" s="308"/>
      <c r="Q530" s="2"/>
      <c r="R530" s="2"/>
      <c r="S530" s="283"/>
      <c r="T530" s="308"/>
      <c r="U530" s="2"/>
      <c r="V530" s="20"/>
      <c r="W530" s="74"/>
      <c r="X530" s="74"/>
      <c r="Y530" s="74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</row>
    <row r="531" spans="1:44" hidden="1">
      <c r="A531" s="1" t="s">
        <v>409</v>
      </c>
      <c r="B531" s="1"/>
      <c r="C531" s="304">
        <f>'Rate Design Work eff 10-14-16'!C530</f>
        <v>11.655555555555599</v>
      </c>
      <c r="D531" s="283"/>
      <c r="E531" s="308"/>
      <c r="F531" s="2"/>
      <c r="G531" s="283"/>
      <c r="H531" s="308"/>
      <c r="I531" s="2"/>
      <c r="J531" s="2"/>
      <c r="K531" s="283"/>
      <c r="L531" s="308"/>
      <c r="M531" s="2"/>
      <c r="N531" s="2"/>
      <c r="O531" s="283"/>
      <c r="P531" s="308"/>
      <c r="Q531" s="2"/>
      <c r="R531" s="2"/>
      <c r="S531" s="283"/>
      <c r="T531" s="308"/>
      <c r="U531" s="2"/>
      <c r="V531" s="20"/>
      <c r="W531" s="74"/>
      <c r="X531" s="74"/>
      <c r="Y531" s="74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</row>
    <row r="532" spans="1:44" hidden="1">
      <c r="A532" s="1" t="s">
        <v>385</v>
      </c>
      <c r="B532" s="1"/>
      <c r="C532" s="304">
        <f>'Rate Design Work eff 10-14-16'!C531</f>
        <v>170</v>
      </c>
      <c r="D532" s="311">
        <f>'Rate Design Work eff 9-15-17'!D531</f>
        <v>3.7</v>
      </c>
      <c r="E532" s="308"/>
      <c r="F532" s="2">
        <f>ROUND(D532*C532,0)</f>
        <v>629</v>
      </c>
      <c r="G532" s="311">
        <f ca="1">$G$178</f>
        <v>3.8</v>
      </c>
      <c r="H532" s="308"/>
      <c r="I532" s="2">
        <f ca="1">ROUND(G532*$C532,0)</f>
        <v>646</v>
      </c>
      <c r="J532" s="2"/>
      <c r="K532" s="311" t="e">
        <f ca="1">$K$178</f>
        <v>#REF!</v>
      </c>
      <c r="L532" s="308"/>
      <c r="M532" s="2" t="e">
        <f ca="1">ROUND(K532*$C532,0)</f>
        <v>#REF!</v>
      </c>
      <c r="N532" s="2"/>
      <c r="O532" s="311" t="e">
        <f ca="1">$O$178</f>
        <v>#DIV/0!</v>
      </c>
      <c r="P532" s="308"/>
      <c r="Q532" s="2" t="e">
        <f ca="1">ROUND(O532*$C532,0)</f>
        <v>#DIV/0!</v>
      </c>
      <c r="R532" s="2"/>
      <c r="S532" s="311" t="e">
        <f ca="1">$S$178</f>
        <v>#DIV/0!</v>
      </c>
      <c r="T532" s="308"/>
      <c r="U532" s="2" t="e">
        <f ca="1">ROUND(S532*$C532,0)</f>
        <v>#DIV/0!</v>
      </c>
      <c r="V532" s="20"/>
      <c r="W532" s="74"/>
      <c r="X532" s="74"/>
      <c r="Y532" s="74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</row>
    <row r="533" spans="1:44" hidden="1">
      <c r="A533" s="1" t="s">
        <v>387</v>
      </c>
      <c r="B533" s="1"/>
      <c r="C533" s="304">
        <f>'Rate Design Work eff 10-14-16'!C532</f>
        <v>4897</v>
      </c>
      <c r="D533" s="284">
        <f>'Rate Design Work eff 9-15-17'!D532</f>
        <v>10.628</v>
      </c>
      <c r="E533" s="308" t="s">
        <v>364</v>
      </c>
      <c r="F533" s="2">
        <f>ROUND(D533*C533/100,0)</f>
        <v>520</v>
      </c>
      <c r="G533" s="284">
        <f ca="1">$G$179</f>
        <v>10.878</v>
      </c>
      <c r="H533" s="308" t="s">
        <v>364</v>
      </c>
      <c r="I533" s="2">
        <f ca="1">ROUND(G533*$C533/100,0)</f>
        <v>533</v>
      </c>
      <c r="J533" s="2"/>
      <c r="K533" s="284" t="e">
        <f ca="1">$K$179</f>
        <v>#REF!</v>
      </c>
      <c r="L533" s="308" t="s">
        <v>364</v>
      </c>
      <c r="M533" s="2" t="e">
        <f ca="1">ROUND(K533*$C533/100,0)</f>
        <v>#REF!</v>
      </c>
      <c r="N533" s="2"/>
      <c r="O533" s="284" t="e">
        <f ca="1">$O$179</f>
        <v>#DIV/0!</v>
      </c>
      <c r="P533" s="308" t="s">
        <v>364</v>
      </c>
      <c r="Q533" s="2" t="e">
        <f ca="1">ROUND(O533*$C533/100,0)</f>
        <v>#DIV/0!</v>
      </c>
      <c r="R533" s="2"/>
      <c r="S533" s="284" t="e">
        <f ca="1">$S$179</f>
        <v>#DIV/0!</v>
      </c>
      <c r="T533" s="308" t="s">
        <v>364</v>
      </c>
      <c r="U533" s="2" t="e">
        <f ca="1">ROUND(S533*$C533/100,0)</f>
        <v>#DIV/0!</v>
      </c>
      <c r="V533" s="20"/>
      <c r="W533" s="74"/>
      <c r="X533" s="74"/>
      <c r="Y533" s="74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</row>
    <row r="534" spans="1:44" hidden="1">
      <c r="A534" s="1" t="s">
        <v>388</v>
      </c>
      <c r="B534" s="1"/>
      <c r="C534" s="304">
        <f>'Rate Design Work eff 10-14-16'!C533</f>
        <v>889</v>
      </c>
      <c r="D534" s="284">
        <f>'Rate Design Work eff 9-15-17'!D533</f>
        <v>7.3410000000000002</v>
      </c>
      <c r="E534" s="308" t="s">
        <v>364</v>
      </c>
      <c r="F534" s="2">
        <f>ROUND(D534*C534/100,0)</f>
        <v>65</v>
      </c>
      <c r="G534" s="284">
        <f ca="1">$G$180</f>
        <v>7.5140000000000002</v>
      </c>
      <c r="H534" s="308" t="s">
        <v>364</v>
      </c>
      <c r="I534" s="2">
        <f ca="1">ROUND(G534*$C534/100,0)</f>
        <v>67</v>
      </c>
      <c r="J534" s="2"/>
      <c r="K534" s="284" t="e">
        <f ca="1">$K$180</f>
        <v>#REF!</v>
      </c>
      <c r="L534" s="308" t="s">
        <v>364</v>
      </c>
      <c r="M534" s="2" t="e">
        <f ca="1">ROUND(K534*$C534/100,0)</f>
        <v>#REF!</v>
      </c>
      <c r="N534" s="2"/>
      <c r="O534" s="284" t="e">
        <f ca="1">$O$180</f>
        <v>#DIV/0!</v>
      </c>
      <c r="P534" s="308" t="s">
        <v>364</v>
      </c>
      <c r="Q534" s="2" t="e">
        <f ca="1">ROUND(O534*$C534/100,0)</f>
        <v>#DIV/0!</v>
      </c>
      <c r="R534" s="2"/>
      <c r="S534" s="284" t="e">
        <f ca="1">$S$180</f>
        <v>#DIV/0!</v>
      </c>
      <c r="T534" s="308" t="s">
        <v>364</v>
      </c>
      <c r="U534" s="2" t="e">
        <f ca="1">ROUND(S534*$C534/100,0)</f>
        <v>#DIV/0!</v>
      </c>
      <c r="V534" s="20"/>
      <c r="W534" s="74"/>
      <c r="X534" s="74"/>
      <c r="Y534" s="74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</row>
    <row r="535" spans="1:44" hidden="1">
      <c r="A535" s="1" t="s">
        <v>389</v>
      </c>
      <c r="B535" s="1"/>
      <c r="C535" s="304">
        <f>'Rate Design Work eff 10-14-16'!C534</f>
        <v>0</v>
      </c>
      <c r="D535" s="284">
        <f>'Rate Design Work eff 9-15-17'!D534</f>
        <v>6.3240000000000007</v>
      </c>
      <c r="E535" s="308" t="s">
        <v>364</v>
      </c>
      <c r="F535" s="2">
        <f>ROUND(D535*C535/100,0)</f>
        <v>0</v>
      </c>
      <c r="G535" s="284">
        <f ca="1">$G$181</f>
        <v>6.4720000000000004</v>
      </c>
      <c r="H535" s="308" t="s">
        <v>364</v>
      </c>
      <c r="I535" s="2">
        <f ca="1">ROUND(G535*$C535/100,0)</f>
        <v>0</v>
      </c>
      <c r="J535" s="2"/>
      <c r="K535" s="284" t="e">
        <f ca="1">$K$181</f>
        <v>#REF!</v>
      </c>
      <c r="L535" s="308" t="s">
        <v>364</v>
      </c>
      <c r="M535" s="2" t="e">
        <f ca="1">ROUND(K535*$C535/100,0)</f>
        <v>#REF!</v>
      </c>
      <c r="N535" s="2"/>
      <c r="O535" s="284" t="e">
        <f ca="1">$O$181</f>
        <v>#DIV/0!</v>
      </c>
      <c r="P535" s="308" t="s">
        <v>364</v>
      </c>
      <c r="Q535" s="2" t="e">
        <f ca="1">ROUND(O535*$C535/100,0)</f>
        <v>#DIV/0!</v>
      </c>
      <c r="R535" s="2"/>
      <c r="S535" s="284" t="e">
        <f ca="1">$S$181</f>
        <v>#DIV/0!</v>
      </c>
      <c r="T535" s="308" t="s">
        <v>364</v>
      </c>
      <c r="U535" s="2" t="e">
        <f ca="1">ROUND(S535*$C535/100,0)</f>
        <v>#DIV/0!</v>
      </c>
      <c r="V535" s="20"/>
      <c r="W535" s="74"/>
      <c r="X535" s="74"/>
      <c r="Y535" s="74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</row>
    <row r="536" spans="1:44" hidden="1">
      <c r="A536" s="1" t="s">
        <v>390</v>
      </c>
      <c r="B536" s="1"/>
      <c r="C536" s="304">
        <f>'Rate Design Work eff 10-14-16'!C535</f>
        <v>0</v>
      </c>
      <c r="D536" s="315">
        <f>'Rate Design Work eff 9-15-17'!D535</f>
        <v>57</v>
      </c>
      <c r="E536" s="308" t="s">
        <v>364</v>
      </c>
      <c r="F536" s="2">
        <f>ROUND(D536*C536/100,0)</f>
        <v>0</v>
      </c>
      <c r="G536" s="315">
        <f ca="1">$G$182</f>
        <v>58</v>
      </c>
      <c r="H536" s="308" t="s">
        <v>364</v>
      </c>
      <c r="I536" s="2">
        <f ca="1">ROUND(G536*$C536/100,0)</f>
        <v>0</v>
      </c>
      <c r="J536" s="2"/>
      <c r="K536" s="315" t="str">
        <f>$K$182</f>
        <v xml:space="preserve"> </v>
      </c>
      <c r="L536" s="308" t="s">
        <v>364</v>
      </c>
      <c r="M536" s="2">
        <f>ROUND(K536*$C536/100,0)</f>
        <v>0</v>
      </c>
      <c r="N536" s="2"/>
      <c r="O536" s="315" t="e">
        <f>$O$182</f>
        <v>#DIV/0!</v>
      </c>
      <c r="P536" s="308" t="s">
        <v>364</v>
      </c>
      <c r="Q536" s="2" t="e">
        <f>ROUND(O536*$C536/100,0)</f>
        <v>#DIV/0!</v>
      </c>
      <c r="R536" s="2"/>
      <c r="S536" s="315" t="e">
        <f>$S$182</f>
        <v>#DIV/0!</v>
      </c>
      <c r="T536" s="308" t="s">
        <v>364</v>
      </c>
      <c r="U536" s="2" t="e">
        <f>ROUND(S536*$C536/100,0)</f>
        <v>#DIV/0!</v>
      </c>
      <c r="V536" s="20"/>
      <c r="W536" s="74"/>
      <c r="X536" s="74"/>
      <c r="Y536" s="74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</row>
    <row r="537" spans="1:44" s="1118" customFormat="1" hidden="1">
      <c r="A537" s="968" t="s">
        <v>888</v>
      </c>
      <c r="C537" s="1122">
        <f>C533</f>
        <v>4897</v>
      </c>
      <c r="D537" s="254">
        <f>'Rate Design Work eff 9-15-17'!D536</f>
        <v>0</v>
      </c>
      <c r="E537" s="1119"/>
      <c r="F537" s="1123"/>
      <c r="G537" s="1128">
        <f>G183</f>
        <v>0</v>
      </c>
      <c r="H537" s="972" t="s">
        <v>364</v>
      </c>
      <c r="I537" s="1123">
        <f t="shared" ref="I537:I539" si="118">ROUND(G537*$C537/100,0)</f>
        <v>0</v>
      </c>
      <c r="J537" s="1123"/>
      <c r="K537" s="1128" t="str">
        <f>K183</f>
        <v xml:space="preserve"> </v>
      </c>
      <c r="L537" s="972" t="s">
        <v>364</v>
      </c>
      <c r="M537" s="1123">
        <f t="shared" ref="M537:M539" si="119">ROUND(K537*$C537/100,0)</f>
        <v>0</v>
      </c>
      <c r="N537" s="1123"/>
      <c r="O537" s="1128" t="str">
        <f>O183</f>
        <v xml:space="preserve"> </v>
      </c>
      <c r="P537" s="972" t="s">
        <v>364</v>
      </c>
      <c r="Q537" s="1123">
        <f t="shared" ref="Q537:Q539" si="120">ROUND(O537*$C537/100,0)</f>
        <v>0</v>
      </c>
      <c r="R537" s="1123"/>
      <c r="S537" s="1128">
        <f>S183</f>
        <v>0</v>
      </c>
      <c r="T537" s="972" t="s">
        <v>364</v>
      </c>
      <c r="U537" s="1123">
        <f t="shared" ref="U537:U539" si="121">ROUND(S537*$C537/100,0)</f>
        <v>0</v>
      </c>
      <c r="W537" s="784"/>
      <c r="Z537" s="1125"/>
      <c r="AA537" s="1125"/>
      <c r="AF537" s="1119"/>
      <c r="AG537" s="1119"/>
      <c r="AH537" s="1119"/>
      <c r="AI537" s="1119"/>
      <c r="AJ537" s="1119"/>
      <c r="AK537" s="1119"/>
      <c r="AL537" s="1119"/>
      <c r="AM537" s="1119"/>
      <c r="AN537" s="1119"/>
      <c r="AO537" s="1119"/>
      <c r="AP537" s="1119"/>
      <c r="AR537" s="1124"/>
    </row>
    <row r="538" spans="1:44" s="1118" customFormat="1" hidden="1">
      <c r="A538" s="968" t="s">
        <v>889</v>
      </c>
      <c r="C538" s="1122">
        <f>C534</f>
        <v>889</v>
      </c>
      <c r="D538" s="254">
        <f>'Rate Design Work eff 9-15-17'!D537</f>
        <v>0</v>
      </c>
      <c r="E538" s="1119"/>
      <c r="F538" s="1123"/>
      <c r="G538" s="1128">
        <f>G184</f>
        <v>0</v>
      </c>
      <c r="H538" s="972" t="s">
        <v>364</v>
      </c>
      <c r="I538" s="1123">
        <f t="shared" si="118"/>
        <v>0</v>
      </c>
      <c r="J538" s="1123"/>
      <c r="K538" s="1128" t="str">
        <f>K184</f>
        <v xml:space="preserve"> </v>
      </c>
      <c r="L538" s="972" t="s">
        <v>364</v>
      </c>
      <c r="M538" s="1123">
        <f t="shared" si="119"/>
        <v>0</v>
      </c>
      <c r="N538" s="1123"/>
      <c r="O538" s="1128" t="str">
        <f>O184</f>
        <v xml:space="preserve"> </v>
      </c>
      <c r="P538" s="972" t="s">
        <v>364</v>
      </c>
      <c r="Q538" s="1123">
        <f t="shared" si="120"/>
        <v>0</v>
      </c>
      <c r="R538" s="1123"/>
      <c r="S538" s="1128">
        <f>S184</f>
        <v>0</v>
      </c>
      <c r="T538" s="972" t="s">
        <v>364</v>
      </c>
      <c r="U538" s="1123">
        <f t="shared" si="121"/>
        <v>0</v>
      </c>
      <c r="W538" s="784"/>
      <c r="Z538" s="1125"/>
      <c r="AA538" s="1125"/>
      <c r="AF538" s="1119"/>
      <c r="AG538" s="1119"/>
      <c r="AH538" s="1119"/>
      <c r="AI538" s="1119"/>
      <c r="AJ538" s="1119"/>
      <c r="AK538" s="1119"/>
      <c r="AL538" s="1119"/>
      <c r="AM538" s="1119"/>
      <c r="AN538" s="1119"/>
      <c r="AO538" s="1119"/>
      <c r="AP538" s="1119"/>
      <c r="AR538" s="1124"/>
    </row>
    <row r="539" spans="1:44" s="1118" customFormat="1" hidden="1">
      <c r="A539" s="968" t="s">
        <v>890</v>
      </c>
      <c r="C539" s="1122">
        <f>C535</f>
        <v>0</v>
      </c>
      <c r="D539" s="254">
        <f>'Rate Design Work eff 9-15-17'!D538</f>
        <v>0</v>
      </c>
      <c r="E539" s="1119"/>
      <c r="F539" s="1123"/>
      <c r="G539" s="1128">
        <f>G185</f>
        <v>0</v>
      </c>
      <c r="H539" s="972" t="s">
        <v>364</v>
      </c>
      <c r="I539" s="1123">
        <f t="shared" si="118"/>
        <v>0</v>
      </c>
      <c r="J539" s="1123"/>
      <c r="K539" s="1128" t="str">
        <f>K185</f>
        <v xml:space="preserve"> </v>
      </c>
      <c r="L539" s="972" t="s">
        <v>364</v>
      </c>
      <c r="M539" s="1123">
        <f t="shared" si="119"/>
        <v>0</v>
      </c>
      <c r="N539" s="1123"/>
      <c r="O539" s="1128" t="str">
        <f>O185</f>
        <v xml:space="preserve"> </v>
      </c>
      <c r="P539" s="972" t="s">
        <v>364</v>
      </c>
      <c r="Q539" s="1123">
        <f t="shared" si="120"/>
        <v>0</v>
      </c>
      <c r="R539" s="1123"/>
      <c r="S539" s="1128">
        <f>S185</f>
        <v>0</v>
      </c>
      <c r="T539" s="972" t="s">
        <v>364</v>
      </c>
      <c r="U539" s="1123">
        <f t="shared" si="121"/>
        <v>0</v>
      </c>
      <c r="W539" s="784"/>
      <c r="Z539" s="1125"/>
      <c r="AA539" s="1125"/>
      <c r="AF539" s="1119"/>
      <c r="AG539" s="1119"/>
      <c r="AH539" s="1119"/>
      <c r="AI539" s="1119"/>
      <c r="AJ539" s="1119"/>
      <c r="AK539" s="1119"/>
      <c r="AL539" s="1119"/>
      <c r="AM539" s="1119"/>
      <c r="AN539" s="1119"/>
      <c r="AO539" s="1119"/>
      <c r="AP539" s="1119"/>
      <c r="AR539" s="1124"/>
    </row>
    <row r="540" spans="1:44" hidden="1">
      <c r="A540" s="316" t="s">
        <v>391</v>
      </c>
      <c r="B540" s="1"/>
      <c r="C540" s="304"/>
      <c r="D540" s="317">
        <f>'Rate Design Work eff 9-15-17'!D539</f>
        <v>-0.01</v>
      </c>
      <c r="E540" s="308"/>
      <c r="F540" s="2"/>
      <c r="G540" s="317">
        <v>-0.01</v>
      </c>
      <c r="H540" s="308"/>
      <c r="I540" s="2"/>
      <c r="J540" s="2"/>
      <c r="K540" s="317">
        <v>-0.01</v>
      </c>
      <c r="L540" s="308"/>
      <c r="M540" s="2"/>
      <c r="N540" s="2"/>
      <c r="O540" s="317">
        <v>-0.01</v>
      </c>
      <c r="P540" s="308"/>
      <c r="Q540" s="2"/>
      <c r="R540" s="2"/>
      <c r="S540" s="317">
        <v>-0.01</v>
      </c>
      <c r="T540" s="308"/>
      <c r="U540" s="2"/>
      <c r="V540" s="20"/>
      <c r="W540" s="74"/>
      <c r="X540" s="74"/>
      <c r="Y540" s="74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</row>
    <row r="541" spans="1:44" hidden="1">
      <c r="A541" s="1" t="s">
        <v>380</v>
      </c>
      <c r="B541" s="1"/>
      <c r="C541" s="304">
        <v>0</v>
      </c>
      <c r="D541" s="319">
        <f>'Rate Design Work eff 9-15-17'!D540</f>
        <v>117.12</v>
      </c>
      <c r="E541" s="306"/>
      <c r="F541" s="2">
        <f>-ROUND(D541*$C541/100,0)</f>
        <v>0</v>
      </c>
      <c r="G541" s="319">
        <f ca="1">G527</f>
        <v>119.88</v>
      </c>
      <c r="H541" s="306"/>
      <c r="I541" s="2">
        <f ca="1">-ROUND(G541*$C541/100,0)</f>
        <v>0</v>
      </c>
      <c r="J541" s="2"/>
      <c r="K541" s="319">
        <f ca="1">K527</f>
        <v>117.12</v>
      </c>
      <c r="L541" s="306"/>
      <c r="M541" s="2">
        <f ca="1">-ROUND(K541*$C541/100,0)</f>
        <v>0</v>
      </c>
      <c r="N541" s="2"/>
      <c r="O541" s="319" t="str">
        <f>O527</f>
        <v xml:space="preserve"> </v>
      </c>
      <c r="P541" s="306"/>
      <c r="Q541" s="2">
        <f>-ROUND(O541*$C541/100,0)</f>
        <v>0</v>
      </c>
      <c r="R541" s="2"/>
      <c r="S541" s="319" t="str">
        <f>S527</f>
        <v xml:space="preserve"> </v>
      </c>
      <c r="T541" s="306"/>
      <c r="U541" s="2">
        <f>-ROUND(S541*$C541/100,0)</f>
        <v>0</v>
      </c>
      <c r="V541" s="20"/>
      <c r="W541" s="74"/>
      <c r="X541" s="74"/>
      <c r="Y541" s="74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</row>
    <row r="542" spans="1:44" hidden="1">
      <c r="A542" s="1" t="s">
        <v>381</v>
      </c>
      <c r="B542" s="1"/>
      <c r="C542" s="304">
        <v>0</v>
      </c>
      <c r="D542" s="319">
        <f>'Rate Design Work eff 9-15-17'!D541</f>
        <v>174.48</v>
      </c>
      <c r="E542" s="306"/>
      <c r="F542" s="2">
        <f t="shared" ref="F542:F544" si="122">-ROUND(D542*$C542/100,0)</f>
        <v>0</v>
      </c>
      <c r="G542" s="319">
        <f ca="1">G528</f>
        <v>178.68</v>
      </c>
      <c r="H542" s="306"/>
      <c r="I542" s="2">
        <f ca="1">-ROUND(G542*$C542/100,0)</f>
        <v>0</v>
      </c>
      <c r="J542" s="2"/>
      <c r="K542" s="319">
        <f ca="1">K528</f>
        <v>174.48</v>
      </c>
      <c r="L542" s="306"/>
      <c r="M542" s="2">
        <f ca="1">-ROUND(K542*$C542/100,0)</f>
        <v>0</v>
      </c>
      <c r="N542" s="2"/>
      <c r="O542" s="319" t="str">
        <f>O528</f>
        <v xml:space="preserve"> </v>
      </c>
      <c r="P542" s="306"/>
      <c r="Q542" s="2">
        <f>-ROUND(O542*$C542/100,0)</f>
        <v>0</v>
      </c>
      <c r="R542" s="2"/>
      <c r="S542" s="319" t="str">
        <f>S528</f>
        <v xml:space="preserve"> </v>
      </c>
      <c r="T542" s="306"/>
      <c r="U542" s="2">
        <f>-ROUND(S542*$C542/100,0)</f>
        <v>0</v>
      </c>
      <c r="V542" s="20"/>
      <c r="W542" s="74"/>
      <c r="X542" s="74"/>
      <c r="Y542" s="74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</row>
    <row r="543" spans="1:44" hidden="1">
      <c r="A543" s="1" t="s">
        <v>392</v>
      </c>
      <c r="B543" s="1"/>
      <c r="C543" s="304">
        <v>0</v>
      </c>
      <c r="D543" s="319">
        <f>'Rate Design Work eff 9-15-17'!D542</f>
        <v>12.24</v>
      </c>
      <c r="E543" s="306"/>
      <c r="F543" s="2">
        <f t="shared" si="122"/>
        <v>0</v>
      </c>
      <c r="G543" s="319">
        <f ca="1">G529</f>
        <v>12.48</v>
      </c>
      <c r="H543" s="306"/>
      <c r="I543" s="2">
        <f ca="1">-ROUND(G543*$C543/100,0)</f>
        <v>0</v>
      </c>
      <c r="J543" s="2"/>
      <c r="K543" s="319">
        <f ca="1">K529</f>
        <v>12.24</v>
      </c>
      <c r="L543" s="306"/>
      <c r="M543" s="2">
        <f ca="1">-ROUND(K543*$C543/100,0)</f>
        <v>0</v>
      </c>
      <c r="N543" s="2"/>
      <c r="O543" s="319" t="str">
        <f>O529</f>
        <v xml:space="preserve"> </v>
      </c>
      <c r="P543" s="306"/>
      <c r="Q543" s="2">
        <f>-ROUND(O543*$C543/100,0)</f>
        <v>0</v>
      </c>
      <c r="R543" s="2"/>
      <c r="S543" s="319" t="str">
        <f>S529</f>
        <v xml:space="preserve"> </v>
      </c>
      <c r="T543" s="306"/>
      <c r="U543" s="2">
        <f>-ROUND(S543*$C543/100,0)</f>
        <v>0</v>
      </c>
      <c r="V543" s="20"/>
      <c r="W543" s="74"/>
      <c r="X543" s="74"/>
      <c r="Y543" s="74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</row>
    <row r="544" spans="1:44" hidden="1">
      <c r="A544" s="1" t="s">
        <v>393</v>
      </c>
      <c r="B544" s="1"/>
      <c r="C544" s="304">
        <v>0</v>
      </c>
      <c r="D544" s="319">
        <f>'Rate Design Work eff 9-15-17'!D543</f>
        <v>3.7</v>
      </c>
      <c r="E544" s="308"/>
      <c r="F544" s="2">
        <f t="shared" si="122"/>
        <v>0</v>
      </c>
      <c r="G544" s="319">
        <f ca="1">G532</f>
        <v>3.8</v>
      </c>
      <c r="H544" s="308"/>
      <c r="I544" s="2">
        <f ca="1">-ROUND(G544*$C544/100,0)</f>
        <v>0</v>
      </c>
      <c r="J544" s="2"/>
      <c r="K544" s="319" t="e">
        <f ca="1">K532</f>
        <v>#REF!</v>
      </c>
      <c r="L544" s="308"/>
      <c r="M544" s="2" t="e">
        <f ca="1">-ROUND(K544*$C544/100,0)</f>
        <v>#REF!</v>
      </c>
      <c r="N544" s="2"/>
      <c r="O544" s="319" t="e">
        <f ca="1">O532</f>
        <v>#DIV/0!</v>
      </c>
      <c r="P544" s="308"/>
      <c r="Q544" s="2" t="e">
        <f ca="1">-ROUND(O544*$C544/100,0)</f>
        <v>#DIV/0!</v>
      </c>
      <c r="R544" s="2"/>
      <c r="S544" s="319" t="e">
        <f ca="1">S532</f>
        <v>#DIV/0!</v>
      </c>
      <c r="T544" s="308"/>
      <c r="U544" s="2" t="e">
        <f ca="1">-ROUND(S544*$C544/100,0)</f>
        <v>#DIV/0!</v>
      </c>
      <c r="V544" s="20"/>
      <c r="W544" s="74"/>
      <c r="X544" s="74"/>
      <c r="Y544" s="74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</row>
    <row r="545" spans="1:44" hidden="1">
      <c r="A545" s="1" t="s">
        <v>395</v>
      </c>
      <c r="B545" s="1"/>
      <c r="C545" s="304">
        <v>0</v>
      </c>
      <c r="D545" s="320">
        <f>'Rate Design Work eff 9-15-17'!D544</f>
        <v>10.628</v>
      </c>
      <c r="E545" s="308" t="s">
        <v>364</v>
      </c>
      <c r="F545" s="2">
        <f>ROUND(D545*$C545/100*D540,0)</f>
        <v>0</v>
      </c>
      <c r="G545" s="320">
        <f ca="1">G533</f>
        <v>10.878</v>
      </c>
      <c r="H545" s="308" t="s">
        <v>364</v>
      </c>
      <c r="I545" s="2">
        <f ca="1">ROUND(G545*$C545/100*G540,0)</f>
        <v>0</v>
      </c>
      <c r="J545" s="2"/>
      <c r="K545" s="320" t="e">
        <f ca="1">K533</f>
        <v>#REF!</v>
      </c>
      <c r="L545" s="308" t="s">
        <v>364</v>
      </c>
      <c r="M545" s="2" t="e">
        <f ca="1">ROUND(K545*$C545/100*K540,0)</f>
        <v>#REF!</v>
      </c>
      <c r="N545" s="2"/>
      <c r="O545" s="320" t="e">
        <f ca="1">O533</f>
        <v>#DIV/0!</v>
      </c>
      <c r="P545" s="308" t="s">
        <v>364</v>
      </c>
      <c r="Q545" s="2" t="e">
        <f ca="1">ROUND(O545*$C545/100*O540,0)</f>
        <v>#DIV/0!</v>
      </c>
      <c r="R545" s="2"/>
      <c r="S545" s="320" t="e">
        <f ca="1">S533</f>
        <v>#DIV/0!</v>
      </c>
      <c r="T545" s="308" t="s">
        <v>364</v>
      </c>
      <c r="U545" s="2" t="e">
        <f ca="1">ROUND(S545*$C545/100*S540,0)</f>
        <v>#DIV/0!</v>
      </c>
      <c r="V545" s="20"/>
      <c r="W545" s="74"/>
      <c r="X545" s="74"/>
      <c r="Y545" s="74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</row>
    <row r="546" spans="1:44" hidden="1">
      <c r="A546" s="1" t="s">
        <v>388</v>
      </c>
      <c r="B546" s="1"/>
      <c r="C546" s="304">
        <v>0</v>
      </c>
      <c r="D546" s="320">
        <f>'Rate Design Work eff 9-15-17'!D545</f>
        <v>7.3410000000000002</v>
      </c>
      <c r="E546" s="308" t="s">
        <v>364</v>
      </c>
      <c r="F546" s="2">
        <f>ROUND(D546*$C546/100*D540,0)</f>
        <v>0</v>
      </c>
      <c r="G546" s="320">
        <f ca="1">G534</f>
        <v>7.5140000000000002</v>
      </c>
      <c r="H546" s="308" t="s">
        <v>364</v>
      </c>
      <c r="I546" s="2">
        <f ca="1">ROUND(G546*$C546/100*G540,0)</f>
        <v>0</v>
      </c>
      <c r="J546" s="2"/>
      <c r="K546" s="320" t="e">
        <f ca="1">K534</f>
        <v>#REF!</v>
      </c>
      <c r="L546" s="308" t="s">
        <v>364</v>
      </c>
      <c r="M546" s="2" t="e">
        <f ca="1">ROUND(K546*$C546/100*K540,0)</f>
        <v>#REF!</v>
      </c>
      <c r="N546" s="2"/>
      <c r="O546" s="320" t="e">
        <f ca="1">O534</f>
        <v>#DIV/0!</v>
      </c>
      <c r="P546" s="308" t="s">
        <v>364</v>
      </c>
      <c r="Q546" s="2" t="e">
        <f ca="1">ROUND(O546*$C546/100*O540,0)</f>
        <v>#DIV/0!</v>
      </c>
      <c r="R546" s="2"/>
      <c r="S546" s="320" t="e">
        <f ca="1">S534</f>
        <v>#DIV/0!</v>
      </c>
      <c r="T546" s="308" t="s">
        <v>364</v>
      </c>
      <c r="U546" s="2" t="e">
        <f ca="1">ROUND(S546*$C546/100*S540,0)</f>
        <v>#DIV/0!</v>
      </c>
      <c r="V546" s="20"/>
      <c r="W546" s="74"/>
      <c r="X546" s="74"/>
      <c r="Y546" s="74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</row>
    <row r="547" spans="1:44" hidden="1">
      <c r="A547" s="1" t="s">
        <v>389</v>
      </c>
      <c r="B547" s="1"/>
      <c r="C547" s="304">
        <v>0</v>
      </c>
      <c r="D547" s="320">
        <f>'Rate Design Work eff 9-15-17'!D546</f>
        <v>6.3240000000000007</v>
      </c>
      <c r="E547" s="308" t="s">
        <v>364</v>
      </c>
      <c r="F547" s="2">
        <f>ROUND(D547*$C547/100*D540,0)</f>
        <v>0</v>
      </c>
      <c r="G547" s="320">
        <f ca="1">G535</f>
        <v>6.4720000000000004</v>
      </c>
      <c r="H547" s="308" t="s">
        <v>364</v>
      </c>
      <c r="I547" s="2">
        <f ca="1">ROUND(G547*$C547/100*G540,0)</f>
        <v>0</v>
      </c>
      <c r="J547" s="2"/>
      <c r="K547" s="320" t="e">
        <f ca="1">K535</f>
        <v>#REF!</v>
      </c>
      <c r="L547" s="308" t="s">
        <v>364</v>
      </c>
      <c r="M547" s="2" t="e">
        <f ca="1">ROUND(K547*$C547/100*K540,0)</f>
        <v>#REF!</v>
      </c>
      <c r="N547" s="2"/>
      <c r="O547" s="320" t="e">
        <f ca="1">O535</f>
        <v>#DIV/0!</v>
      </c>
      <c r="P547" s="308" t="s">
        <v>364</v>
      </c>
      <c r="Q547" s="2" t="e">
        <f ca="1">ROUND(O547*$C547/100*O540,0)</f>
        <v>#DIV/0!</v>
      </c>
      <c r="R547" s="2"/>
      <c r="S547" s="320" t="e">
        <f ca="1">S535</f>
        <v>#DIV/0!</v>
      </c>
      <c r="T547" s="308" t="s">
        <v>364</v>
      </c>
      <c r="U547" s="2" t="e">
        <f ca="1">ROUND(S547*$C547/100*S540,0)</f>
        <v>#DIV/0!</v>
      </c>
      <c r="V547" s="20"/>
      <c r="W547" s="74"/>
      <c r="X547" s="74"/>
      <c r="Y547" s="74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</row>
    <row r="548" spans="1:44" hidden="1">
      <c r="A548" s="1" t="s">
        <v>390</v>
      </c>
      <c r="B548" s="1"/>
      <c r="C548" s="304">
        <v>0</v>
      </c>
      <c r="D548" s="321">
        <f>'Rate Design Work eff 9-15-17'!D547</f>
        <v>57</v>
      </c>
      <c r="E548" s="308" t="s">
        <v>364</v>
      </c>
      <c r="F548" s="2">
        <f>ROUND(D548*$C548/100*D540,0)</f>
        <v>0</v>
      </c>
      <c r="G548" s="321">
        <f ca="1">G536</f>
        <v>58</v>
      </c>
      <c r="H548" s="308" t="s">
        <v>364</v>
      </c>
      <c r="I548" s="2">
        <f ca="1">ROUND(G548*$C548/100*G540,0)</f>
        <v>0</v>
      </c>
      <c r="J548" s="2"/>
      <c r="K548" s="321" t="str">
        <f>K536</f>
        <v xml:space="preserve"> </v>
      </c>
      <c r="L548" s="308" t="s">
        <v>364</v>
      </c>
      <c r="M548" s="2">
        <f>ROUND(K548*$C548/100*K540,0)</f>
        <v>0</v>
      </c>
      <c r="N548" s="2"/>
      <c r="O548" s="321" t="e">
        <f>O536</f>
        <v>#DIV/0!</v>
      </c>
      <c r="P548" s="308" t="s">
        <v>364</v>
      </c>
      <c r="Q548" s="2" t="e">
        <f>ROUND(O548*$C548/100*O540,0)</f>
        <v>#DIV/0!</v>
      </c>
      <c r="R548" s="2"/>
      <c r="S548" s="321" t="e">
        <f>S536</f>
        <v>#DIV/0!</v>
      </c>
      <c r="T548" s="308" t="s">
        <v>364</v>
      </c>
      <c r="U548" s="2" t="e">
        <f>ROUND(S548*$C548/100*S540,0)</f>
        <v>#DIV/0!</v>
      </c>
      <c r="V548" s="20"/>
      <c r="W548" s="74"/>
      <c r="X548" s="74"/>
      <c r="Y548" s="74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</row>
    <row r="549" spans="1:44" hidden="1">
      <c r="A549" s="1" t="s">
        <v>397</v>
      </c>
      <c r="B549" s="1"/>
      <c r="C549" s="304">
        <v>0</v>
      </c>
      <c r="D549" s="322">
        <f>'Rate Design Work eff 9-15-17'!D548</f>
        <v>60</v>
      </c>
      <c r="E549" s="308"/>
      <c r="F549" s="2">
        <f>ROUND(D549*C549,0)</f>
        <v>0</v>
      </c>
      <c r="G549" s="322">
        <f>$G$198</f>
        <v>60</v>
      </c>
      <c r="H549" s="308"/>
      <c r="I549" s="2">
        <f>ROUND(G549*$C549,0)</f>
        <v>0</v>
      </c>
      <c r="J549" s="2"/>
      <c r="K549" s="322" t="str">
        <f>$K$198</f>
        <v xml:space="preserve"> </v>
      </c>
      <c r="L549" s="308"/>
      <c r="M549" s="2">
        <f>ROUND(K549*$C549,0)</f>
        <v>0</v>
      </c>
      <c r="N549" s="2"/>
      <c r="O549" s="322" t="e">
        <f>$O$198</f>
        <v>#DIV/0!</v>
      </c>
      <c r="P549" s="308"/>
      <c r="Q549" s="2" t="e">
        <f>ROUND(O549*$C549,0)</f>
        <v>#DIV/0!</v>
      </c>
      <c r="R549" s="2"/>
      <c r="S549" s="322" t="e">
        <f>$S$198</f>
        <v>#DIV/0!</v>
      </c>
      <c r="T549" s="308"/>
      <c r="U549" s="2" t="e">
        <f>ROUND(S549*$C549,0)</f>
        <v>#DIV/0!</v>
      </c>
      <c r="V549" s="20"/>
      <c r="W549" s="74"/>
      <c r="X549" s="74"/>
      <c r="Y549" s="74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</row>
    <row r="550" spans="1:44" hidden="1">
      <c r="A550" s="1" t="s">
        <v>398</v>
      </c>
      <c r="B550" s="1"/>
      <c r="C550" s="304">
        <v>0</v>
      </c>
      <c r="D550" s="324">
        <f>'Rate Design Work eff 9-15-17'!D549</f>
        <v>-30</v>
      </c>
      <c r="E550" s="308" t="s">
        <v>364</v>
      </c>
      <c r="F550" s="2">
        <f>ROUND(D550*C550/100,0)</f>
        <v>0</v>
      </c>
      <c r="G550" s="324">
        <f>$G$199</f>
        <v>-30</v>
      </c>
      <c r="H550" s="308" t="s">
        <v>364</v>
      </c>
      <c r="I550" s="2">
        <f>ROUND(G550*$C550/100,0)</f>
        <v>0</v>
      </c>
      <c r="J550" s="2"/>
      <c r="K550" s="324">
        <f>$K$199</f>
        <v>-30</v>
      </c>
      <c r="L550" s="308" t="s">
        <v>364</v>
      </c>
      <c r="M550" s="2">
        <f>ROUND(K550*$C550/100,0)</f>
        <v>0</v>
      </c>
      <c r="N550" s="2"/>
      <c r="O550" s="324" t="str">
        <f>$O$199</f>
        <v xml:space="preserve"> </v>
      </c>
      <c r="P550" s="308" t="s">
        <v>364</v>
      </c>
      <c r="Q550" s="2">
        <f>ROUND(O550*$C550/100,0)</f>
        <v>0</v>
      </c>
      <c r="R550" s="2"/>
      <c r="S550" s="324" t="str">
        <f>$S$199</f>
        <v xml:space="preserve"> </v>
      </c>
      <c r="T550" s="308" t="s">
        <v>364</v>
      </c>
      <c r="U550" s="2">
        <f>ROUND(S550*$C550/100,0)</f>
        <v>0</v>
      </c>
      <c r="V550" s="20"/>
      <c r="W550" s="74"/>
      <c r="X550" s="74"/>
      <c r="Y550" s="74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</row>
    <row r="551" spans="1:44" s="1118" customFormat="1" hidden="1">
      <c r="A551" s="968" t="s">
        <v>888</v>
      </c>
      <c r="C551" s="1122">
        <f>C545</f>
        <v>0</v>
      </c>
      <c r="D551" s="254">
        <f>'Rate Design Work eff 9-15-17'!D550</f>
        <v>0</v>
      </c>
      <c r="E551" s="1119"/>
      <c r="F551" s="1123"/>
      <c r="G551" s="1128">
        <f>G183</f>
        <v>0</v>
      </c>
      <c r="H551" s="972" t="s">
        <v>364</v>
      </c>
      <c r="I551" s="2">
        <f>ROUND(G551*$C551/100*G540,0)</f>
        <v>0</v>
      </c>
      <c r="J551" s="2"/>
      <c r="K551" s="1128" t="str">
        <f>K183</f>
        <v xml:space="preserve"> </v>
      </c>
      <c r="L551" s="972" t="s">
        <v>364</v>
      </c>
      <c r="M551" s="2">
        <f>ROUND(K551*$C551/100*K540,0)</f>
        <v>0</v>
      </c>
      <c r="N551" s="2"/>
      <c r="O551" s="1128" t="str">
        <f>O183</f>
        <v xml:space="preserve"> </v>
      </c>
      <c r="P551" s="972" t="s">
        <v>364</v>
      </c>
      <c r="Q551" s="2">
        <f>ROUND(O551*$C551/100*O540,0)</f>
        <v>0</v>
      </c>
      <c r="R551" s="2"/>
      <c r="S551" s="1128">
        <f>S183</f>
        <v>0</v>
      </c>
      <c r="T551" s="972" t="s">
        <v>364</v>
      </c>
      <c r="U551" s="2">
        <f>ROUND(S551*$C551/100*S540,0)</f>
        <v>0</v>
      </c>
      <c r="W551" s="784"/>
      <c r="Z551" s="1125"/>
      <c r="AA551" s="1125"/>
      <c r="AF551" s="1119"/>
      <c r="AG551" s="1119"/>
      <c r="AH551" s="1119"/>
      <c r="AI551" s="1119"/>
      <c r="AJ551" s="1119"/>
      <c r="AK551" s="1119"/>
      <c r="AL551" s="1119"/>
      <c r="AM551" s="1119"/>
      <c r="AN551" s="1119"/>
      <c r="AO551" s="1119"/>
      <c r="AP551" s="1119"/>
      <c r="AR551" s="1124"/>
    </row>
    <row r="552" spans="1:44" s="1118" customFormat="1" hidden="1">
      <c r="A552" s="968" t="s">
        <v>889</v>
      </c>
      <c r="C552" s="1122">
        <f>C546</f>
        <v>0</v>
      </c>
      <c r="D552" s="254">
        <f>'Rate Design Work eff 9-15-17'!D551</f>
        <v>0</v>
      </c>
      <c r="E552" s="1119"/>
      <c r="F552" s="1123"/>
      <c r="G552" s="1128">
        <f>G184</f>
        <v>0</v>
      </c>
      <c r="H552" s="972" t="s">
        <v>364</v>
      </c>
      <c r="I552" s="2">
        <f>ROUND(G552*$C552/100*G540,0)</f>
        <v>0</v>
      </c>
      <c r="J552" s="2"/>
      <c r="K552" s="1128" t="str">
        <f>K184</f>
        <v xml:space="preserve"> </v>
      </c>
      <c r="L552" s="972" t="s">
        <v>364</v>
      </c>
      <c r="M552" s="2">
        <f>ROUND(K552*$C552/100*K540,0)</f>
        <v>0</v>
      </c>
      <c r="N552" s="2"/>
      <c r="O552" s="1128" t="str">
        <f>O184</f>
        <v xml:space="preserve"> </v>
      </c>
      <c r="P552" s="972" t="s">
        <v>364</v>
      </c>
      <c r="Q552" s="2">
        <f>ROUND(O552*$C552/100*O540,0)</f>
        <v>0</v>
      </c>
      <c r="R552" s="2"/>
      <c r="S552" s="1128">
        <f>S184</f>
        <v>0</v>
      </c>
      <c r="T552" s="972" t="s">
        <v>364</v>
      </c>
      <c r="U552" s="2">
        <f>ROUND(S552*$C552/100*S540,0)</f>
        <v>0</v>
      </c>
      <c r="W552" s="784"/>
      <c r="Z552" s="1125"/>
      <c r="AA552" s="1125"/>
      <c r="AF552" s="1119"/>
      <c r="AG552" s="1119"/>
      <c r="AH552" s="1119"/>
      <c r="AI552" s="1119"/>
      <c r="AJ552" s="1119"/>
      <c r="AK552" s="1119"/>
      <c r="AL552" s="1119"/>
      <c r="AM552" s="1119"/>
      <c r="AN552" s="1119"/>
      <c r="AO552" s="1119"/>
      <c r="AP552" s="1119"/>
      <c r="AR552" s="1124"/>
    </row>
    <row r="553" spans="1:44" s="1118" customFormat="1" hidden="1">
      <c r="A553" s="968" t="s">
        <v>890</v>
      </c>
      <c r="C553" s="1122">
        <f>C547</f>
        <v>0</v>
      </c>
      <c r="D553" s="254">
        <f>'Rate Design Work eff 9-15-17'!D552</f>
        <v>0</v>
      </c>
      <c r="E553" s="1119"/>
      <c r="F553" s="1123"/>
      <c r="G553" s="1128">
        <f>G185</f>
        <v>0</v>
      </c>
      <c r="H553" s="972" t="s">
        <v>364</v>
      </c>
      <c r="I553" s="2">
        <f>ROUND(G553*$C553/100*G540,0)</f>
        <v>0</v>
      </c>
      <c r="J553" s="2"/>
      <c r="K553" s="1128" t="str">
        <f>K185</f>
        <v xml:space="preserve"> </v>
      </c>
      <c r="L553" s="972" t="s">
        <v>364</v>
      </c>
      <c r="M553" s="2">
        <f>ROUND(K553*$C553/100*K540,0)</f>
        <v>0</v>
      </c>
      <c r="N553" s="2"/>
      <c r="O553" s="1128" t="str">
        <f>O185</f>
        <v xml:space="preserve"> </v>
      </c>
      <c r="P553" s="972" t="s">
        <v>364</v>
      </c>
      <c r="Q553" s="2">
        <f>ROUND(O553*$C553/100*O540,0)</f>
        <v>0</v>
      </c>
      <c r="R553" s="2"/>
      <c r="S553" s="1128">
        <f>S185</f>
        <v>0</v>
      </c>
      <c r="T553" s="972" t="s">
        <v>364</v>
      </c>
      <c r="U553" s="2">
        <f>ROUND(S553*$C553/100*S540,0)</f>
        <v>0</v>
      </c>
      <c r="W553" s="784"/>
      <c r="Z553" s="1125"/>
      <c r="AA553" s="1125"/>
      <c r="AF553" s="1119"/>
      <c r="AG553" s="1119"/>
      <c r="AH553" s="1119"/>
      <c r="AI553" s="1119"/>
      <c r="AJ553" s="1119"/>
      <c r="AK553" s="1119"/>
      <c r="AL553" s="1119"/>
      <c r="AM553" s="1119"/>
      <c r="AN553" s="1119"/>
      <c r="AO553" s="1119"/>
      <c r="AP553" s="1119"/>
      <c r="AR553" s="1124"/>
    </row>
    <row r="554" spans="1:44" hidden="1">
      <c r="A554" s="1" t="s">
        <v>371</v>
      </c>
      <c r="B554" s="1"/>
      <c r="C554" s="304">
        <f>SUM(C533:C535)</f>
        <v>5786</v>
      </c>
      <c r="D554" s="315"/>
      <c r="E554" s="308"/>
      <c r="F554" s="2">
        <f>SUM(F527:F550)</f>
        <v>2110</v>
      </c>
      <c r="G554" s="315"/>
      <c r="H554" s="308"/>
      <c r="I554" s="2">
        <f ca="1">SUM(I527:I553)</f>
        <v>2161</v>
      </c>
      <c r="J554" s="2"/>
      <c r="K554" s="315"/>
      <c r="L554" s="308"/>
      <c r="M554" s="2" t="e">
        <f ca="1">SUM(M527:M553)</f>
        <v>#REF!</v>
      </c>
      <c r="N554" s="2"/>
      <c r="O554" s="315"/>
      <c r="P554" s="308"/>
      <c r="Q554" s="2" t="e">
        <f ca="1">SUM(Q527:Q553)</f>
        <v>#DIV/0!</v>
      </c>
      <c r="R554" s="2"/>
      <c r="S554" s="315"/>
      <c r="T554" s="308"/>
      <c r="U554" s="2" t="e">
        <f ca="1">SUM(U527:U553)</f>
        <v>#DIV/0!</v>
      </c>
      <c r="V554" s="20"/>
      <c r="W554" s="74"/>
      <c r="X554" s="74"/>
      <c r="Y554" s="74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</row>
    <row r="555" spans="1:44" hidden="1">
      <c r="A555" s="1" t="s">
        <v>353</v>
      </c>
      <c r="B555" s="1"/>
      <c r="C555" s="334">
        <f ca="1">'Table 2'!H73</f>
        <v>17.989857077409003</v>
      </c>
      <c r="D555" s="294"/>
      <c r="E555" s="294"/>
      <c r="F555" s="326">
        <f ca="1">'Table 3'!E73</f>
        <v>6.4701450675839931</v>
      </c>
      <c r="G555" s="294"/>
      <c r="H555" s="294"/>
      <c r="I555" s="326">
        <f ca="1">F555</f>
        <v>6.4701450675839931</v>
      </c>
      <c r="J555" s="307"/>
      <c r="K555" s="294"/>
      <c r="L555" s="294"/>
      <c r="M555" s="326" t="e">
        <f ca="1">M204/I204*I555</f>
        <v>#DIV/0!</v>
      </c>
      <c r="N555" s="307"/>
      <c r="O555" s="294"/>
      <c r="P555" s="294"/>
      <c r="Q555" s="326" t="e">
        <f ca="1">Q204/I204*I555</f>
        <v>#DIV/0!</v>
      </c>
      <c r="R555" s="307"/>
      <c r="S555" s="294"/>
      <c r="T555" s="294"/>
      <c r="U555" s="326" t="e">
        <f ca="1">U204/I204*I555</f>
        <v>#DIV/0!</v>
      </c>
      <c r="V555" s="429"/>
      <c r="W555" s="272"/>
      <c r="X555" s="74"/>
      <c r="Y555" s="74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</row>
    <row r="556" spans="1:44" ht="16.5" hidden="1" thickBot="1">
      <c r="A556" s="1" t="s">
        <v>372</v>
      </c>
      <c r="B556" s="1"/>
      <c r="C556" s="296">
        <f ca="1">SUM(C554:C555)</f>
        <v>5803.9898570774094</v>
      </c>
      <c r="D556" s="327"/>
      <c r="E556" s="330"/>
      <c r="F556" s="329">
        <f ca="1">F554+F555</f>
        <v>2116.4701450675839</v>
      </c>
      <c r="G556" s="327"/>
      <c r="H556" s="330"/>
      <c r="I556" s="329">
        <f ca="1">I554+I555</f>
        <v>2167.4701450675839</v>
      </c>
      <c r="J556" s="307"/>
      <c r="K556" s="327"/>
      <c r="L556" s="330"/>
      <c r="M556" s="329" t="e">
        <f ca="1">M554+M555</f>
        <v>#REF!</v>
      </c>
      <c r="N556" s="329"/>
      <c r="O556" s="327"/>
      <c r="P556" s="330"/>
      <c r="Q556" s="329" t="e">
        <f ca="1">Q554+Q555</f>
        <v>#DIV/0!</v>
      </c>
      <c r="R556" s="329"/>
      <c r="S556" s="327"/>
      <c r="T556" s="330"/>
      <c r="U556" s="329" t="e">
        <f ca="1">U554+U555</f>
        <v>#DIV/0!</v>
      </c>
      <c r="V556" s="396"/>
      <c r="W556" s="455"/>
      <c r="X556" s="74"/>
      <c r="Y556" s="74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</row>
    <row r="557" spans="1:44" hidden="1">
      <c r="A557" s="1"/>
      <c r="B557" s="1"/>
      <c r="C557" s="21"/>
      <c r="D557" s="322" t="s">
        <v>31</v>
      </c>
      <c r="E557" s="1"/>
      <c r="F557" s="2"/>
      <c r="G557" s="338" t="s">
        <v>31</v>
      </c>
      <c r="H557" s="1"/>
      <c r="I557" s="2" t="s">
        <v>31</v>
      </c>
      <c r="J557" s="2"/>
      <c r="K557" s="338" t="s">
        <v>31</v>
      </c>
      <c r="L557" s="1"/>
      <c r="M557" s="2" t="s">
        <v>31</v>
      </c>
      <c r="N557" s="2"/>
      <c r="O557" s="338" t="s">
        <v>31</v>
      </c>
      <c r="P557" s="1"/>
      <c r="Q557" s="2" t="s">
        <v>31</v>
      </c>
      <c r="R557" s="2"/>
      <c r="S557" s="338" t="s">
        <v>31</v>
      </c>
      <c r="T557" s="1"/>
      <c r="U557" s="2" t="s">
        <v>31</v>
      </c>
      <c r="V557" s="20"/>
      <c r="W557" s="74"/>
      <c r="X557" s="74"/>
      <c r="Y557" s="74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</row>
    <row r="558" spans="1:44">
      <c r="A558" s="278" t="s">
        <v>410</v>
      </c>
      <c r="B558" s="1"/>
      <c r="C558" s="339"/>
      <c r="D558" s="2"/>
      <c r="E558" s="1"/>
      <c r="F558" s="1"/>
      <c r="G558" s="2"/>
      <c r="H558" s="1"/>
      <c r="I558" s="2" t="s">
        <v>31</v>
      </c>
      <c r="J558" s="2"/>
      <c r="K558" s="2"/>
      <c r="L558" s="1"/>
      <c r="M558" s="2" t="s">
        <v>31</v>
      </c>
      <c r="N558" s="2"/>
      <c r="O558" s="2"/>
      <c r="P558" s="1"/>
      <c r="Q558" s="2" t="s">
        <v>31</v>
      </c>
      <c r="R558" s="2"/>
      <c r="S558" s="2"/>
      <c r="T558" s="1"/>
      <c r="U558" s="2" t="s">
        <v>31</v>
      </c>
      <c r="V558" s="20"/>
      <c r="W558" s="74"/>
      <c r="X558" s="74"/>
      <c r="Y558" s="74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</row>
    <row r="559" spans="1:44">
      <c r="A559" s="308" t="s">
        <v>325</v>
      </c>
      <c r="B559" s="1"/>
      <c r="C559" s="1" t="s">
        <v>31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20"/>
      <c r="W559" s="74"/>
      <c r="X559" s="74"/>
      <c r="Y559" s="74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</row>
    <row r="560" spans="1:44">
      <c r="A560" s="308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20"/>
      <c r="W560" s="74"/>
      <c r="X560" s="74"/>
      <c r="Y560" s="74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</row>
    <row r="561" spans="1:44">
      <c r="A561" s="308" t="s">
        <v>383</v>
      </c>
      <c r="B561" s="1"/>
      <c r="C561" s="304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20"/>
      <c r="W561" s="74"/>
      <c r="X561" s="74"/>
      <c r="Y561" s="74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</row>
    <row r="562" spans="1:44">
      <c r="A562" s="308" t="s">
        <v>411</v>
      </c>
      <c r="B562" s="1"/>
      <c r="C562" s="304">
        <v>0</v>
      </c>
      <c r="D562" s="340">
        <f>'Rate Design Work eff 9-15-17'!D561</f>
        <v>264</v>
      </c>
      <c r="E562" s="308"/>
      <c r="F562" s="306">
        <f>ROUND(D562*$C562,0)</f>
        <v>0</v>
      </c>
      <c r="G562" s="340">
        <f ca="1">'Rate Design Work eff 9-15-17'!G561</f>
        <v>268</v>
      </c>
      <c r="H562" s="308"/>
      <c r="I562" s="306">
        <f ca="1">ROUND(G562*$C562,0)</f>
        <v>0</v>
      </c>
      <c r="J562" s="306"/>
      <c r="K562" s="340">
        <f ca="1">'Rate Design Work eff 10-14-16'!K561</f>
        <v>264</v>
      </c>
      <c r="L562" s="308"/>
      <c r="M562" s="306">
        <f ca="1">'Rate Design Work eff 10-14-16'!M561</f>
        <v>0</v>
      </c>
      <c r="N562" s="306"/>
      <c r="O562" s="340" t="str">
        <f>'Rate Design Work eff 10-14-16'!O561</f>
        <v xml:space="preserve"> </v>
      </c>
      <c r="P562" s="308"/>
      <c r="Q562" s="306">
        <f>'Rate Design Work eff 10-14-16'!Q561</f>
        <v>0</v>
      </c>
      <c r="R562" s="306"/>
      <c r="S562" s="340" t="str">
        <f>'Rate Design Work eff 10-14-16'!S561</f>
        <v xml:space="preserve"> </v>
      </c>
      <c r="T562" s="308"/>
      <c r="U562" s="306">
        <f>'Rate Design Work eff 10-14-16'!U561</f>
        <v>0</v>
      </c>
      <c r="V562" s="20"/>
      <c r="W562" s="74"/>
      <c r="X562" s="74"/>
      <c r="Y562" s="74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</row>
    <row r="563" spans="1:44">
      <c r="A563" s="308" t="s">
        <v>412</v>
      </c>
      <c r="B563" s="1"/>
      <c r="C563" s="304">
        <v>0</v>
      </c>
      <c r="D563" s="340">
        <f>'Rate Design Work eff 9-15-17'!D562</f>
        <v>98</v>
      </c>
      <c r="E563" s="308"/>
      <c r="F563" s="306">
        <f>ROUND(D563*$C563,0)</f>
        <v>0</v>
      </c>
      <c r="G563" s="340">
        <f ca="1">'Rate Design Work eff 9-15-17'!G562</f>
        <v>100</v>
      </c>
      <c r="H563" s="308"/>
      <c r="I563" s="306">
        <f ca="1">ROUND(G563*$C563,0)</f>
        <v>0</v>
      </c>
      <c r="J563" s="306"/>
      <c r="K563" s="340">
        <f ca="1">'Rate Design Work eff 10-14-16'!K562</f>
        <v>98</v>
      </c>
      <c r="L563" s="308"/>
      <c r="M563" s="306">
        <f ca="1">'Rate Design Work eff 10-14-16'!M562</f>
        <v>0</v>
      </c>
      <c r="N563" s="306"/>
      <c r="O563" s="340" t="str">
        <f>'Rate Design Work eff 10-14-16'!O562</f>
        <v xml:space="preserve"> </v>
      </c>
      <c r="P563" s="308"/>
      <c r="Q563" s="306">
        <f>'Rate Design Work eff 10-14-16'!Q562</f>
        <v>0</v>
      </c>
      <c r="R563" s="306"/>
      <c r="S563" s="340" t="str">
        <f>'Rate Design Work eff 10-14-16'!S562</f>
        <v xml:space="preserve"> </v>
      </c>
      <c r="T563" s="308"/>
      <c r="U563" s="306">
        <f>'Rate Design Work eff 10-14-16'!U562</f>
        <v>0</v>
      </c>
      <c r="V563" s="20"/>
      <c r="W563" s="74"/>
      <c r="X563" s="74"/>
      <c r="Y563" s="74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</row>
    <row r="564" spans="1:44">
      <c r="A564" s="308" t="s">
        <v>413</v>
      </c>
      <c r="B564" s="1"/>
      <c r="C564" s="304">
        <v>0</v>
      </c>
      <c r="D564" s="340">
        <f>'Rate Design Work eff 9-15-17'!D563</f>
        <v>195</v>
      </c>
      <c r="E564" s="310"/>
      <c r="F564" s="306">
        <f>ROUND(D564*$C564,0)</f>
        <v>0</v>
      </c>
      <c r="G564" s="340">
        <f ca="1">'Rate Design Work eff 9-15-17'!G563</f>
        <v>200</v>
      </c>
      <c r="H564" s="310"/>
      <c r="I564" s="306">
        <f ca="1">ROUND(G564*$C564,0)</f>
        <v>0</v>
      </c>
      <c r="J564" s="306"/>
      <c r="K564" s="340">
        <f ca="1">'Rate Design Work eff 10-14-16'!K563</f>
        <v>195</v>
      </c>
      <c r="L564" s="310"/>
      <c r="M564" s="306">
        <f ca="1">'Rate Design Work eff 10-14-16'!M563</f>
        <v>0</v>
      </c>
      <c r="N564" s="306"/>
      <c r="O564" s="340" t="str">
        <f>'Rate Design Work eff 10-14-16'!O563</f>
        <v xml:space="preserve"> </v>
      </c>
      <c r="P564" s="310"/>
      <c r="Q564" s="306">
        <f>'Rate Design Work eff 10-14-16'!Q563</f>
        <v>0</v>
      </c>
      <c r="R564" s="306"/>
      <c r="S564" s="340" t="str">
        <f>'Rate Design Work eff 10-14-16'!S563</f>
        <v xml:space="preserve"> </v>
      </c>
      <c r="T564" s="310"/>
      <c r="U564" s="306">
        <f>'Rate Design Work eff 10-14-16'!U563</f>
        <v>0</v>
      </c>
      <c r="V564" s="20"/>
      <c r="W564" s="74"/>
      <c r="X564" s="74"/>
      <c r="Y564" s="74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</row>
    <row r="565" spans="1:44">
      <c r="A565" s="308" t="s">
        <v>384</v>
      </c>
      <c r="B565" s="1"/>
      <c r="C565" s="304">
        <f>SUM(C562:C564)</f>
        <v>0</v>
      </c>
      <c r="D565" s="340"/>
      <c r="E565" s="308"/>
      <c r="F565" s="306"/>
      <c r="G565" s="340"/>
      <c r="H565" s="308"/>
      <c r="I565" s="306"/>
      <c r="J565" s="306"/>
      <c r="K565" s="340"/>
      <c r="L565" s="308"/>
      <c r="M565" s="306"/>
      <c r="N565" s="306"/>
      <c r="O565" s="340"/>
      <c r="P565" s="308"/>
      <c r="Q565" s="306"/>
      <c r="R565" s="306"/>
      <c r="S565" s="340"/>
      <c r="T565" s="308"/>
      <c r="U565" s="306"/>
      <c r="V565" s="20"/>
      <c r="W565" s="74"/>
      <c r="X565" s="74"/>
      <c r="Y565" s="74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</row>
    <row r="566" spans="1:44">
      <c r="A566" s="308" t="s">
        <v>412</v>
      </c>
      <c r="B566" s="1"/>
      <c r="C566" s="304">
        <v>0</v>
      </c>
      <c r="D566" s="340">
        <f>'Rate Design Work eff 9-15-17'!D565</f>
        <v>1.79</v>
      </c>
      <c r="E566" s="308" t="s">
        <v>31</v>
      </c>
      <c r="F566" s="306">
        <f>ROUND(D566*$C566,0)</f>
        <v>0</v>
      </c>
      <c r="G566" s="340">
        <f ca="1">'Rate Design Work eff 9-15-17'!G565</f>
        <v>1.83</v>
      </c>
      <c r="H566" s="308" t="s">
        <v>31</v>
      </c>
      <c r="I566" s="306">
        <f ca="1">ROUND(G566*$C566,0)</f>
        <v>0</v>
      </c>
      <c r="J566" s="306"/>
      <c r="K566" s="340">
        <f ca="1">'Rate Design Work eff 10-14-16'!K565</f>
        <v>1.79</v>
      </c>
      <c r="L566" s="308" t="s">
        <v>31</v>
      </c>
      <c r="M566" s="306">
        <f ca="1">'Rate Design Work eff 10-14-16'!M565</f>
        <v>0</v>
      </c>
      <c r="N566" s="306"/>
      <c r="O566" s="340" t="str">
        <f>'Rate Design Work eff 10-14-16'!O565</f>
        <v xml:space="preserve"> </v>
      </c>
      <c r="P566" s="308" t="s">
        <v>31</v>
      </c>
      <c r="Q566" s="306">
        <f>'Rate Design Work eff 10-14-16'!Q565</f>
        <v>0</v>
      </c>
      <c r="R566" s="306"/>
      <c r="S566" s="340" t="str">
        <f>'Rate Design Work eff 10-14-16'!S565</f>
        <v xml:space="preserve"> </v>
      </c>
      <c r="T566" s="308" t="s">
        <v>31</v>
      </c>
      <c r="U566" s="306">
        <f>'Rate Design Work eff 10-14-16'!U565</f>
        <v>0</v>
      </c>
      <c r="V566" s="20"/>
      <c r="W566" s="74"/>
      <c r="X566" s="74"/>
      <c r="Y566" s="74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</row>
    <row r="567" spans="1:44">
      <c r="A567" s="308" t="s">
        <v>413</v>
      </c>
      <c r="B567" s="1"/>
      <c r="C567" s="304">
        <v>0</v>
      </c>
      <c r="D567" s="340">
        <f>'Rate Design Work eff 9-15-17'!D566</f>
        <v>1.46</v>
      </c>
      <c r="E567" s="308" t="s">
        <v>31</v>
      </c>
      <c r="F567" s="306">
        <f>ROUND(D567*$C567,0)</f>
        <v>0</v>
      </c>
      <c r="G567" s="340">
        <f ca="1">'Rate Design Work eff 9-15-17'!G566</f>
        <v>1.5</v>
      </c>
      <c r="H567" s="308" t="s">
        <v>31</v>
      </c>
      <c r="I567" s="306">
        <f ca="1">ROUND(G567*$C567,0)</f>
        <v>0</v>
      </c>
      <c r="J567" s="306"/>
      <c r="K567" s="340">
        <f ca="1">'Rate Design Work eff 10-14-16'!K566</f>
        <v>1.46</v>
      </c>
      <c r="L567" s="308" t="s">
        <v>31</v>
      </c>
      <c r="M567" s="306">
        <f ca="1">'Rate Design Work eff 10-14-16'!M566</f>
        <v>0</v>
      </c>
      <c r="N567" s="306"/>
      <c r="O567" s="340" t="str">
        <f>'Rate Design Work eff 10-14-16'!O566</f>
        <v xml:space="preserve"> </v>
      </c>
      <c r="P567" s="308" t="s">
        <v>31</v>
      </c>
      <c r="Q567" s="306">
        <f>'Rate Design Work eff 10-14-16'!Q566</f>
        <v>0</v>
      </c>
      <c r="R567" s="306"/>
      <c r="S567" s="340" t="str">
        <f>'Rate Design Work eff 10-14-16'!S566</f>
        <v xml:space="preserve"> </v>
      </c>
      <c r="T567" s="308" t="s">
        <v>31</v>
      </c>
      <c r="U567" s="306">
        <f>'Rate Design Work eff 10-14-16'!U566</f>
        <v>0</v>
      </c>
      <c r="V567" s="20"/>
      <c r="W567" s="74"/>
      <c r="X567" s="74"/>
      <c r="Y567" s="74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</row>
    <row r="568" spans="1:44">
      <c r="A568" s="294" t="s">
        <v>414</v>
      </c>
      <c r="B568" s="1"/>
      <c r="C568" s="304"/>
      <c r="D568" s="340"/>
      <c r="E568" s="308"/>
      <c r="F568" s="306"/>
      <c r="G568" s="340"/>
      <c r="H568" s="308"/>
      <c r="I568" s="306"/>
      <c r="J568" s="306"/>
      <c r="K568" s="340"/>
      <c r="L568" s="308"/>
      <c r="M568" s="306"/>
      <c r="N568" s="306"/>
      <c r="O568" s="340"/>
      <c r="P568" s="308"/>
      <c r="Q568" s="306"/>
      <c r="R568" s="306"/>
      <c r="S568" s="340"/>
      <c r="T568" s="308"/>
      <c r="U568" s="306"/>
      <c r="V568" s="20"/>
      <c r="W568" s="74"/>
      <c r="X568" s="74"/>
      <c r="Y568" s="74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</row>
    <row r="569" spans="1:44">
      <c r="A569" s="294" t="s">
        <v>415</v>
      </c>
      <c r="B569" s="1"/>
      <c r="C569" s="304">
        <v>0</v>
      </c>
      <c r="D569" s="340">
        <f>'Rate Design Work eff 9-15-17'!D568</f>
        <v>5.47</v>
      </c>
      <c r="E569" s="308"/>
      <c r="F569" s="306">
        <f>ROUND(D569*$C569,0)</f>
        <v>0</v>
      </c>
      <c r="G569" s="340">
        <f ca="1">'Rate Design Work eff 9-15-17'!G568</f>
        <v>5.6</v>
      </c>
      <c r="H569" s="308"/>
      <c r="I569" s="306">
        <f ca="1">ROUND(G569*$C569,0)</f>
        <v>0</v>
      </c>
      <c r="J569" s="306"/>
      <c r="K569" s="340" t="e">
        <f ca="1">'Rate Design Work eff 10-14-16'!K568</f>
        <v>#REF!</v>
      </c>
      <c r="L569" s="308"/>
      <c r="M569" s="306" t="e">
        <f ca="1">'Rate Design Work eff 10-14-16'!M568</f>
        <v>#REF!</v>
      </c>
      <c r="N569" s="306"/>
      <c r="O569" s="340">
        <f>'Rate Design Work eff 10-14-16'!O568</f>
        <v>0</v>
      </c>
      <c r="P569" s="308"/>
      <c r="Q569" s="306">
        <f>'Rate Design Work eff 10-14-16'!Q568</f>
        <v>0</v>
      </c>
      <c r="R569" s="306"/>
      <c r="S569" s="340">
        <f>'Rate Design Work eff 10-14-16'!S568</f>
        <v>0</v>
      </c>
      <c r="T569" s="308"/>
      <c r="U569" s="306">
        <f>'Rate Design Work eff 10-14-16'!U568</f>
        <v>0</v>
      </c>
      <c r="V569" s="20"/>
      <c r="W569" s="74"/>
      <c r="X569" s="74"/>
      <c r="Y569" s="74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</row>
    <row r="570" spans="1:44">
      <c r="A570" s="308" t="s">
        <v>416</v>
      </c>
      <c r="B570" s="1"/>
      <c r="C570" s="304"/>
      <c r="D570" s="341"/>
      <c r="E570" s="306"/>
      <c r="F570" s="306"/>
      <c r="G570" s="341"/>
      <c r="H570" s="306"/>
      <c r="I570" s="306"/>
      <c r="J570" s="306"/>
      <c r="K570" s="341"/>
      <c r="L570" s="306"/>
      <c r="M570" s="306"/>
      <c r="N570" s="306"/>
      <c r="O570" s="341"/>
      <c r="P570" s="306"/>
      <c r="Q570" s="306"/>
      <c r="R570" s="306"/>
      <c r="S570" s="341"/>
      <c r="T570" s="306"/>
      <c r="U570" s="306"/>
      <c r="V570" s="20"/>
      <c r="W570" s="74"/>
      <c r="X570" s="74"/>
      <c r="Y570" s="74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</row>
    <row r="571" spans="1:44">
      <c r="A571" s="308" t="s">
        <v>417</v>
      </c>
      <c r="B571" s="1"/>
      <c r="C571" s="304">
        <v>0</v>
      </c>
      <c r="D571" s="320">
        <f>'Rate Design Work eff 9-15-17'!D570</f>
        <v>5.7730000000000006</v>
      </c>
      <c r="E571" s="306" t="s">
        <v>364</v>
      </c>
      <c r="F571" s="306">
        <f>ROUND($C571*D571/100,0)</f>
        <v>0</v>
      </c>
      <c r="G571" s="320">
        <f ca="1">'Rate Design Work eff 9-15-17'!G570</f>
        <v>5.9119999999999999</v>
      </c>
      <c r="H571" s="306" t="s">
        <v>364</v>
      </c>
      <c r="I571" s="306">
        <f ca="1">ROUND($C571*G571/100,0)</f>
        <v>0</v>
      </c>
      <c r="J571" s="306"/>
      <c r="K571" s="320" t="str">
        <f>'Rate Design Work eff 10-14-16'!K570</f>
        <v xml:space="preserve"> </v>
      </c>
      <c r="L571" s="306" t="s">
        <v>364</v>
      </c>
      <c r="M571" s="306">
        <f>'Rate Design Work eff 10-14-16'!M570</f>
        <v>0</v>
      </c>
      <c r="N571" s="306"/>
      <c r="O571" s="320" t="e">
        <f ca="1">'Rate Design Work eff 10-14-16'!O570</f>
        <v>#REF!</v>
      </c>
      <c r="P571" s="306" t="s">
        <v>364</v>
      </c>
      <c r="Q571" s="306" t="e">
        <f ca="1">'Rate Design Work eff 10-14-16'!Q570</f>
        <v>#REF!</v>
      </c>
      <c r="R571" s="306"/>
      <c r="S571" s="320" t="e">
        <f ca="1">'Rate Design Work eff 10-14-16'!S570</f>
        <v>#REF!</v>
      </c>
      <c r="T571" s="306" t="s">
        <v>364</v>
      </c>
      <c r="U571" s="306" t="e">
        <f ca="1">'Rate Design Work eff 10-14-16'!U570</f>
        <v>#REF!</v>
      </c>
      <c r="V571" s="20"/>
      <c r="W571" s="74"/>
      <c r="X571" s="74"/>
      <c r="Y571" s="74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</row>
    <row r="572" spans="1:44">
      <c r="A572" s="308" t="s">
        <v>389</v>
      </c>
      <c r="B572" s="1"/>
      <c r="C572" s="304">
        <v>0</v>
      </c>
      <c r="D572" s="320">
        <f>'Rate Design Work eff 9-15-17'!D571</f>
        <v>5.2879999999999994</v>
      </c>
      <c r="E572" s="306" t="s">
        <v>364</v>
      </c>
      <c r="F572" s="306">
        <f>ROUND($C572*D572/100,0)</f>
        <v>0</v>
      </c>
      <c r="G572" s="320">
        <f ca="1">'Rate Design Work eff 9-15-17'!G571</f>
        <v>5.41</v>
      </c>
      <c r="H572" s="306" t="s">
        <v>364</v>
      </c>
      <c r="I572" s="306">
        <f ca="1">ROUND($C572*G572/100,0)</f>
        <v>0</v>
      </c>
      <c r="J572" s="306"/>
      <c r="K572" s="320" t="str">
        <f>'Rate Design Work eff 10-14-16'!K571</f>
        <v xml:space="preserve"> </v>
      </c>
      <c r="L572" s="306" t="s">
        <v>364</v>
      </c>
      <c r="M572" s="306">
        <f>'Rate Design Work eff 10-14-16'!M571</f>
        <v>0</v>
      </c>
      <c r="N572" s="306"/>
      <c r="O572" s="320" t="e">
        <f ca="1">'Rate Design Work eff 10-14-16'!O571</f>
        <v>#REF!</v>
      </c>
      <c r="P572" s="306" t="s">
        <v>364</v>
      </c>
      <c r="Q572" s="306" t="e">
        <f ca="1">'Rate Design Work eff 10-14-16'!Q571</f>
        <v>#REF!</v>
      </c>
      <c r="R572" s="306"/>
      <c r="S572" s="320" t="e">
        <f ca="1">'Rate Design Work eff 10-14-16'!S571</f>
        <v>#REF!</v>
      </c>
      <c r="T572" s="306" t="s">
        <v>364</v>
      </c>
      <c r="U572" s="306" t="e">
        <f ca="1">'Rate Design Work eff 10-14-16'!U571</f>
        <v>#REF!</v>
      </c>
      <c r="V572" s="20"/>
      <c r="W572" s="74"/>
      <c r="X572" s="74"/>
      <c r="Y572" s="74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</row>
    <row r="573" spans="1:44">
      <c r="A573" s="308" t="s">
        <v>390</v>
      </c>
      <c r="B573" s="1"/>
      <c r="C573" s="304">
        <v>0</v>
      </c>
      <c r="D573" s="347">
        <f>'Rate Design Work eff 9-15-17'!D572</f>
        <v>57</v>
      </c>
      <c r="E573" s="306" t="s">
        <v>364</v>
      </c>
      <c r="F573" s="306">
        <f>ROUND(D573*$C573/100,0)</f>
        <v>0</v>
      </c>
      <c r="G573" s="347">
        <f ca="1">'Rate Design Work eff 9-15-17'!G572</f>
        <v>58</v>
      </c>
      <c r="H573" s="306" t="s">
        <v>364</v>
      </c>
      <c r="I573" s="306">
        <f ca="1">ROUND(G573*$C573,0)</f>
        <v>0</v>
      </c>
      <c r="J573" s="306"/>
      <c r="K573" s="347" t="str">
        <f>'Rate Design Work eff 10-14-16'!K572</f>
        <v xml:space="preserve"> </v>
      </c>
      <c r="L573" s="306" t="s">
        <v>364</v>
      </c>
      <c r="M573" s="306">
        <f>'Rate Design Work eff 10-14-16'!M572</f>
        <v>0</v>
      </c>
      <c r="N573" s="306"/>
      <c r="O573" s="347" t="e">
        <f ca="1">'Rate Design Work eff 10-14-16'!O572</f>
        <v>#DIV/0!</v>
      </c>
      <c r="P573" s="306" t="s">
        <v>364</v>
      </c>
      <c r="Q573" s="306" t="e">
        <f ca="1">'Rate Design Work eff 10-14-16'!Q572</f>
        <v>#DIV/0!</v>
      </c>
      <c r="R573" s="306"/>
      <c r="S573" s="347" t="e">
        <f ca="1">'Rate Design Work eff 10-14-16'!S572</f>
        <v>#DIV/0!</v>
      </c>
      <c r="T573" s="306" t="s">
        <v>364</v>
      </c>
      <c r="U573" s="306" t="e">
        <f ca="1">'Rate Design Work eff 10-14-16'!U572</f>
        <v>#DIV/0!</v>
      </c>
      <c r="V573" s="20"/>
      <c r="W573" s="74"/>
      <c r="X573" s="74"/>
      <c r="Y573" s="74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</row>
    <row r="574" spans="1:44">
      <c r="A574" s="308" t="s">
        <v>418</v>
      </c>
      <c r="B574" s="1"/>
      <c r="C574" s="304">
        <v>0</v>
      </c>
      <c r="D574" s="589">
        <f>'Rate Design Work eff 9-15-17'!D573</f>
        <v>0.06</v>
      </c>
      <c r="E574" s="306" t="s">
        <v>364</v>
      </c>
      <c r="F574" s="306">
        <f>ROUND($C574*D574/100,0)</f>
        <v>0</v>
      </c>
      <c r="G574" s="321">
        <f>'Rate Design Work eff 9-15-17'!G573</f>
        <v>0.06</v>
      </c>
      <c r="H574" s="306" t="s">
        <v>364</v>
      </c>
      <c r="I574" s="306">
        <f>ROUND($C574*G574/100,0)</f>
        <v>0</v>
      </c>
      <c r="J574" s="306"/>
      <c r="K574" s="321" t="str">
        <f>'Rate Design Work eff 10-14-16'!K573</f>
        <v xml:space="preserve"> </v>
      </c>
      <c r="L574" s="306" t="s">
        <v>364</v>
      </c>
      <c r="M574" s="306">
        <f>'Rate Design Work eff 10-14-16'!M573</f>
        <v>0</v>
      </c>
      <c r="N574" s="306"/>
      <c r="O574" s="321" t="e">
        <f ca="1">'Rate Design Work eff 10-14-16'!O573</f>
        <v>#DIV/0!</v>
      </c>
      <c r="P574" s="306" t="s">
        <v>364</v>
      </c>
      <c r="Q574" s="306" t="e">
        <f ca="1">'Rate Design Work eff 10-14-16'!Q573</f>
        <v>#DIV/0!</v>
      </c>
      <c r="R574" s="306"/>
      <c r="S574" s="321" t="e">
        <f ca="1">'Rate Design Work eff 10-14-16'!S573</f>
        <v>#DIV/0!</v>
      </c>
      <c r="T574" s="306" t="s">
        <v>364</v>
      </c>
      <c r="U574" s="306" t="e">
        <f ca="1">'Rate Design Work eff 10-14-16'!U573</f>
        <v>#DIV/0!</v>
      </c>
      <c r="V574" s="20"/>
      <c r="W574" s="74"/>
      <c r="X574" s="74"/>
      <c r="Y574" s="74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</row>
    <row r="575" spans="1:44" s="1118" customFormat="1" hidden="1">
      <c r="A575" s="968" t="s">
        <v>882</v>
      </c>
      <c r="C575" s="1122">
        <f>C571+C572</f>
        <v>0</v>
      </c>
      <c r="D575" s="254">
        <f>'Rate Design Work eff 9-15-17'!D574</f>
        <v>0</v>
      </c>
      <c r="E575" s="1119"/>
      <c r="F575" s="1123"/>
      <c r="G575" s="320">
        <f>'Rate Design Work eff 9-15-17'!G574</f>
        <v>0</v>
      </c>
      <c r="H575" s="1000" t="s">
        <v>364</v>
      </c>
      <c r="I575" s="1000">
        <f t="shared" ref="I575:I576" si="123">ROUND($C575*G575/100,0)</f>
        <v>0</v>
      </c>
      <c r="J575" s="1000"/>
      <c r="K575" s="320" t="str">
        <f>'Rate Design Work eff 10-14-16'!K574</f>
        <v xml:space="preserve"> </v>
      </c>
      <c r="L575" s="1000" t="s">
        <v>364</v>
      </c>
      <c r="M575" s="306">
        <f>'Rate Design Work eff 10-14-16'!M574</f>
        <v>0</v>
      </c>
      <c r="N575" s="1000"/>
      <c r="O575" s="320" t="str">
        <f>'Rate Design Work eff 10-14-16'!O574</f>
        <v xml:space="preserve"> </v>
      </c>
      <c r="P575" s="1000" t="s">
        <v>364</v>
      </c>
      <c r="Q575" s="306">
        <f>'Rate Design Work eff 10-14-16'!Q574</f>
        <v>0</v>
      </c>
      <c r="R575" s="1000"/>
      <c r="S575" s="320">
        <f>'Rate Design Work eff 10-14-16'!S574</f>
        <v>0</v>
      </c>
      <c r="T575" s="1000" t="s">
        <v>364</v>
      </c>
      <c r="U575" s="306">
        <f>'Rate Design Work eff 10-14-16'!U574</f>
        <v>0</v>
      </c>
      <c r="W575" s="784"/>
      <c r="Z575" s="1125"/>
      <c r="AA575" s="1125"/>
      <c r="AF575" s="1119"/>
      <c r="AG575" s="1119"/>
      <c r="AH575" s="1119"/>
      <c r="AI575" s="1119"/>
      <c r="AJ575" s="1119"/>
      <c r="AK575" s="1119"/>
      <c r="AL575" s="1119"/>
      <c r="AM575" s="1119"/>
      <c r="AN575" s="1119"/>
      <c r="AO575" s="1119"/>
      <c r="AP575" s="1119"/>
      <c r="AR575" s="1124"/>
    </row>
    <row r="576" spans="1:44" s="1118" customFormat="1" hidden="1">
      <c r="A576" s="968" t="s">
        <v>883</v>
      </c>
      <c r="C576" s="1122">
        <f>C572+C573</f>
        <v>0</v>
      </c>
      <c r="D576" s="254">
        <f>'Rate Design Work eff 9-15-17'!D575</f>
        <v>0</v>
      </c>
      <c r="E576" s="1119"/>
      <c r="F576" s="1123"/>
      <c r="G576" s="320">
        <f>'Rate Design Work eff 9-15-17'!G575</f>
        <v>0</v>
      </c>
      <c r="H576" s="1119"/>
      <c r="I576" s="1000">
        <f t="shared" si="123"/>
        <v>0</v>
      </c>
      <c r="J576" s="1000"/>
      <c r="K576" s="320" t="str">
        <f>'Rate Design Work eff 10-14-16'!K575</f>
        <v xml:space="preserve"> </v>
      </c>
      <c r="L576" s="1119"/>
      <c r="M576" s="306">
        <f>'Rate Design Work eff 10-14-16'!M575</f>
        <v>0</v>
      </c>
      <c r="N576" s="1000"/>
      <c r="O576" s="320" t="str">
        <f>'Rate Design Work eff 10-14-16'!O575</f>
        <v xml:space="preserve"> </v>
      </c>
      <c r="P576" s="1119"/>
      <c r="Q576" s="306">
        <f>'Rate Design Work eff 10-14-16'!Q575</f>
        <v>0</v>
      </c>
      <c r="R576" s="1000"/>
      <c r="S576" s="320">
        <f>'Rate Design Work eff 10-14-16'!S575</f>
        <v>0</v>
      </c>
      <c r="T576" s="1119"/>
      <c r="U576" s="306">
        <f>'Rate Design Work eff 10-14-16'!U575</f>
        <v>0</v>
      </c>
      <c r="W576" s="784"/>
      <c r="Z576" s="1125"/>
      <c r="AA576" s="1125"/>
      <c r="AF576" s="1119"/>
      <c r="AG576" s="1119"/>
      <c r="AH576" s="1119"/>
      <c r="AI576" s="1119"/>
      <c r="AJ576" s="1119"/>
      <c r="AK576" s="1119"/>
      <c r="AL576" s="1119"/>
      <c r="AM576" s="1119"/>
      <c r="AN576" s="1119"/>
      <c r="AO576" s="1119"/>
      <c r="AP576" s="1119"/>
      <c r="AR576" s="1124"/>
    </row>
    <row r="577" spans="1:42">
      <c r="A577" s="345" t="s">
        <v>391</v>
      </c>
      <c r="B577" s="1" t="s">
        <v>31</v>
      </c>
      <c r="C577" s="304"/>
      <c r="D577" s="317">
        <f>'Rate Design Work eff 9-15-17'!D576</f>
        <v>-0.01</v>
      </c>
      <c r="E577" s="346"/>
      <c r="F577" s="346"/>
      <c r="G577" s="317">
        <v>-0.01</v>
      </c>
      <c r="H577" s="346"/>
      <c r="I577" s="2"/>
      <c r="J577" s="2"/>
      <c r="K577" s="317">
        <v>-0.01</v>
      </c>
      <c r="L577" s="346"/>
      <c r="M577" s="2"/>
      <c r="N577" s="2"/>
      <c r="O577" s="317">
        <v>-0.01</v>
      </c>
      <c r="P577" s="346"/>
      <c r="Q577" s="2"/>
      <c r="R577" s="2"/>
      <c r="S577" s="317">
        <v>-0.01</v>
      </c>
      <c r="T577" s="346"/>
      <c r="U577" s="2"/>
      <c r="V577" s="20"/>
      <c r="W577" s="74"/>
      <c r="X577" s="74"/>
      <c r="Y577" s="74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</row>
    <row r="578" spans="1:42">
      <c r="A578" s="308" t="s">
        <v>411</v>
      </c>
      <c r="B578" s="1"/>
      <c r="C578" s="304">
        <v>0</v>
      </c>
      <c r="D578" s="340">
        <f>'Rate Design Work eff 9-15-17'!D577</f>
        <v>264</v>
      </c>
      <c r="E578" s="308"/>
      <c r="F578" s="306">
        <f t="shared" ref="F578:F583" si="124">ROUND(D578*$C578*$D$577,0)</f>
        <v>0</v>
      </c>
      <c r="G578" s="289">
        <f ca="1">G562</f>
        <v>268</v>
      </c>
      <c r="H578" s="308"/>
      <c r="I578" s="306">
        <f t="shared" ref="I578:I583" ca="1" si="125">ROUND(G578*$C578*$G$577,0)</f>
        <v>0</v>
      </c>
      <c r="J578" s="306"/>
      <c r="K578" s="289">
        <f ca="1">K562</f>
        <v>264</v>
      </c>
      <c r="L578" s="308"/>
      <c r="M578" s="306" t="e">
        <f ca="1">'Rate Design Work eff 10-14-16'!M577</f>
        <v>#REF!</v>
      </c>
      <c r="N578" s="306"/>
      <c r="O578" s="289" t="str">
        <f>O562</f>
        <v xml:space="preserve"> </v>
      </c>
      <c r="P578" s="308"/>
      <c r="Q578" s="306" t="e">
        <f>'Rate Design Work eff 10-14-16'!Q577</f>
        <v>#REF!</v>
      </c>
      <c r="R578" s="306"/>
      <c r="S578" s="289" t="str">
        <f>S562</f>
        <v xml:space="preserve"> </v>
      </c>
      <c r="T578" s="308"/>
      <c r="U578" s="306" t="e">
        <f>'Rate Design Work eff 10-14-16'!U577</f>
        <v>#REF!</v>
      </c>
      <c r="V578" s="20"/>
      <c r="W578" s="74"/>
      <c r="X578" s="74"/>
      <c r="Y578" s="74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</row>
    <row r="579" spans="1:42">
      <c r="A579" s="308" t="s">
        <v>412</v>
      </c>
      <c r="B579" s="1"/>
      <c r="C579" s="304">
        <v>0</v>
      </c>
      <c r="D579" s="340">
        <f>'Rate Design Work eff 9-15-17'!D578</f>
        <v>98</v>
      </c>
      <c r="E579" s="308"/>
      <c r="F579" s="306">
        <f t="shared" si="124"/>
        <v>0</v>
      </c>
      <c r="G579" s="289">
        <f ca="1">G563</f>
        <v>100</v>
      </c>
      <c r="H579" s="308"/>
      <c r="I579" s="306">
        <f t="shared" ca="1" si="125"/>
        <v>0</v>
      </c>
      <c r="J579" s="306"/>
      <c r="K579" s="289">
        <f ca="1">K563</f>
        <v>98</v>
      </c>
      <c r="L579" s="308"/>
      <c r="M579" s="306" t="e">
        <f ca="1">'Rate Design Work eff 10-14-16'!M578</f>
        <v>#REF!</v>
      </c>
      <c r="N579" s="306"/>
      <c r="O579" s="289" t="str">
        <f>O563</f>
        <v xml:space="preserve"> </v>
      </c>
      <c r="P579" s="308"/>
      <c r="Q579" s="306" t="e">
        <f>'Rate Design Work eff 10-14-16'!Q578</f>
        <v>#REF!</v>
      </c>
      <c r="R579" s="306"/>
      <c r="S579" s="289" t="str">
        <f>S563</f>
        <v xml:space="preserve"> </v>
      </c>
      <c r="T579" s="308"/>
      <c r="U579" s="306" t="e">
        <f>'Rate Design Work eff 10-14-16'!U578</f>
        <v>#REF!</v>
      </c>
      <c r="V579" s="20"/>
      <c r="W579" s="74"/>
      <c r="X579" s="74"/>
      <c r="Y579" s="74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</row>
    <row r="580" spans="1:42">
      <c r="A580" s="308" t="s">
        <v>413</v>
      </c>
      <c r="B580" s="1"/>
      <c r="C580" s="304">
        <v>0</v>
      </c>
      <c r="D580" s="340">
        <f>'Rate Design Work eff 9-15-17'!D579</f>
        <v>195</v>
      </c>
      <c r="E580" s="310"/>
      <c r="F580" s="306">
        <f t="shared" si="124"/>
        <v>0</v>
      </c>
      <c r="G580" s="289">
        <f ca="1">G564</f>
        <v>200</v>
      </c>
      <c r="H580" s="310"/>
      <c r="I580" s="306">
        <f t="shared" ca="1" si="125"/>
        <v>0</v>
      </c>
      <c r="J580" s="306"/>
      <c r="K580" s="289">
        <f ca="1">K564</f>
        <v>195</v>
      </c>
      <c r="L580" s="310"/>
      <c r="M580" s="306" t="e">
        <f ca="1">'Rate Design Work eff 10-14-16'!M579</f>
        <v>#REF!</v>
      </c>
      <c r="N580" s="306"/>
      <c r="O580" s="289" t="str">
        <f>O564</f>
        <v xml:space="preserve"> </v>
      </c>
      <c r="P580" s="310"/>
      <c r="Q580" s="306" t="e">
        <f>'Rate Design Work eff 10-14-16'!Q579</f>
        <v>#REF!</v>
      </c>
      <c r="R580" s="306"/>
      <c r="S580" s="289" t="str">
        <f>S564</f>
        <v xml:space="preserve"> </v>
      </c>
      <c r="T580" s="310"/>
      <c r="U580" s="306" t="e">
        <f>'Rate Design Work eff 10-14-16'!U579</f>
        <v>#REF!</v>
      </c>
      <c r="V580" s="20"/>
      <c r="W580" s="74"/>
      <c r="X580" s="74"/>
      <c r="Y580" s="74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</row>
    <row r="581" spans="1:42">
      <c r="A581" s="308" t="s">
        <v>412</v>
      </c>
      <c r="B581" s="1"/>
      <c r="C581" s="304">
        <v>0</v>
      </c>
      <c r="D581" s="340">
        <f>'Rate Design Work eff 9-15-17'!D580</f>
        <v>1.79</v>
      </c>
      <c r="E581" s="308" t="s">
        <v>31</v>
      </c>
      <c r="F581" s="306">
        <f t="shared" si="124"/>
        <v>0</v>
      </c>
      <c r="G581" s="289">
        <f ca="1">G566</f>
        <v>1.83</v>
      </c>
      <c r="H581" s="308" t="s">
        <v>31</v>
      </c>
      <c r="I581" s="306">
        <f t="shared" ca="1" si="125"/>
        <v>0</v>
      </c>
      <c r="J581" s="306"/>
      <c r="K581" s="289">
        <f ca="1">K566</f>
        <v>1.79</v>
      </c>
      <c r="L581" s="308" t="s">
        <v>31</v>
      </c>
      <c r="M581" s="306" t="e">
        <f ca="1">'Rate Design Work eff 10-14-16'!M580</f>
        <v>#REF!</v>
      </c>
      <c r="N581" s="306"/>
      <c r="O581" s="289" t="str">
        <f>O566</f>
        <v xml:space="preserve"> </v>
      </c>
      <c r="P581" s="308" t="s">
        <v>31</v>
      </c>
      <c r="Q581" s="306" t="e">
        <f>'Rate Design Work eff 10-14-16'!Q580</f>
        <v>#REF!</v>
      </c>
      <c r="R581" s="306"/>
      <c r="S581" s="289" t="str">
        <f>S566</f>
        <v xml:space="preserve"> </v>
      </c>
      <c r="T581" s="308" t="s">
        <v>31</v>
      </c>
      <c r="U581" s="306" t="e">
        <f>'Rate Design Work eff 10-14-16'!U580</f>
        <v>#REF!</v>
      </c>
      <c r="V581" s="20"/>
      <c r="W581" s="74"/>
      <c r="X581" s="74"/>
      <c r="Y581" s="74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</row>
    <row r="582" spans="1:42">
      <c r="A582" s="308" t="s">
        <v>413</v>
      </c>
      <c r="B582" s="1"/>
      <c r="C582" s="304">
        <v>0</v>
      </c>
      <c r="D582" s="340">
        <f>'Rate Design Work eff 9-15-17'!D581</f>
        <v>1.46</v>
      </c>
      <c r="E582" s="308" t="s">
        <v>31</v>
      </c>
      <c r="F582" s="306">
        <f t="shared" si="124"/>
        <v>0</v>
      </c>
      <c r="G582" s="289">
        <f ca="1">G567</f>
        <v>1.5</v>
      </c>
      <c r="H582" s="308" t="s">
        <v>31</v>
      </c>
      <c r="I582" s="306">
        <f t="shared" ca="1" si="125"/>
        <v>0</v>
      </c>
      <c r="J582" s="306"/>
      <c r="K582" s="289">
        <f ca="1">K567</f>
        <v>1.46</v>
      </c>
      <c r="L582" s="308" t="s">
        <v>31</v>
      </c>
      <c r="M582" s="306" t="e">
        <f ca="1">'Rate Design Work eff 10-14-16'!M581</f>
        <v>#REF!</v>
      </c>
      <c r="N582" s="306"/>
      <c r="O582" s="289" t="str">
        <f>O567</f>
        <v xml:space="preserve"> </v>
      </c>
      <c r="P582" s="308" t="s">
        <v>31</v>
      </c>
      <c r="Q582" s="306" t="e">
        <f>'Rate Design Work eff 10-14-16'!Q581</f>
        <v>#REF!</v>
      </c>
      <c r="R582" s="306"/>
      <c r="S582" s="289" t="str">
        <f>S567</f>
        <v xml:space="preserve"> </v>
      </c>
      <c r="T582" s="308" t="s">
        <v>31</v>
      </c>
      <c r="U582" s="306" t="e">
        <f>'Rate Design Work eff 10-14-16'!U581</f>
        <v>#REF!</v>
      </c>
      <c r="V582" s="20"/>
      <c r="W582" s="74"/>
      <c r="X582" s="74"/>
      <c r="Y582" s="74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</row>
    <row r="583" spans="1:42">
      <c r="A583" s="294" t="s">
        <v>415</v>
      </c>
      <c r="B583" s="1"/>
      <c r="C583" s="304">
        <v>0</v>
      </c>
      <c r="D583" s="340">
        <f>'Rate Design Work eff 9-15-17'!D582</f>
        <v>5.47</v>
      </c>
      <c r="E583" s="308"/>
      <c r="F583" s="306">
        <f t="shared" si="124"/>
        <v>0</v>
      </c>
      <c r="G583" s="289">
        <f ca="1">G569</f>
        <v>5.6</v>
      </c>
      <c r="H583" s="308"/>
      <c r="I583" s="306">
        <f t="shared" ca="1" si="125"/>
        <v>0</v>
      </c>
      <c r="J583" s="306"/>
      <c r="K583" s="289" t="e">
        <f ca="1">K569</f>
        <v>#REF!</v>
      </c>
      <c r="L583" s="308"/>
      <c r="M583" s="306" t="e">
        <f ca="1">'Rate Design Work eff 10-14-16'!M582</f>
        <v>#REF!</v>
      </c>
      <c r="N583" s="306"/>
      <c r="O583" s="289">
        <f>O569</f>
        <v>0</v>
      </c>
      <c r="P583" s="308"/>
      <c r="Q583" s="306" t="e">
        <f>'Rate Design Work eff 10-14-16'!Q582</f>
        <v>#REF!</v>
      </c>
      <c r="R583" s="306"/>
      <c r="S583" s="289">
        <f>S569</f>
        <v>0</v>
      </c>
      <c r="T583" s="308"/>
      <c r="U583" s="306" t="e">
        <f>'Rate Design Work eff 10-14-16'!U582</f>
        <v>#REF!</v>
      </c>
      <c r="V583" s="20"/>
      <c r="W583" s="74"/>
      <c r="X583" s="74"/>
      <c r="Y583" s="74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</row>
    <row r="584" spans="1:42">
      <c r="A584" s="308" t="s">
        <v>417</v>
      </c>
      <c r="B584" s="1"/>
      <c r="C584" s="304">
        <v>0</v>
      </c>
      <c r="D584" s="319">
        <f>'Rate Design Work eff 9-15-17'!D583</f>
        <v>0</v>
      </c>
      <c r="E584" s="306" t="s">
        <v>364</v>
      </c>
      <c r="F584" s="306">
        <f>ROUND(D584/100*$C584*D577,0)</f>
        <v>0</v>
      </c>
      <c r="G584" s="289">
        <f>G570</f>
        <v>0</v>
      </c>
      <c r="H584" s="306" t="s">
        <v>364</v>
      </c>
      <c r="I584" s="306">
        <f>ROUND(G584/100*$C584*G577,0)</f>
        <v>0</v>
      </c>
      <c r="J584" s="306"/>
      <c r="K584" s="289">
        <f>K570</f>
        <v>0</v>
      </c>
      <c r="L584" s="306" t="s">
        <v>364</v>
      </c>
      <c r="M584" s="306">
        <f>'Rate Design Work eff 10-14-16'!M583</f>
        <v>0</v>
      </c>
      <c r="N584" s="306"/>
      <c r="O584" s="289">
        <f>O570</f>
        <v>0</v>
      </c>
      <c r="P584" s="306" t="s">
        <v>364</v>
      </c>
      <c r="Q584" s="306">
        <f>'Rate Design Work eff 10-14-16'!Q583</f>
        <v>0</v>
      </c>
      <c r="R584" s="306"/>
      <c r="S584" s="289">
        <f>S570</f>
        <v>0</v>
      </c>
      <c r="T584" s="306" t="s">
        <v>364</v>
      </c>
      <c r="U584" s="306">
        <f>'Rate Design Work eff 10-14-16'!U583</f>
        <v>0</v>
      </c>
      <c r="V584" s="20"/>
      <c r="W584" s="74"/>
      <c r="X584" s="74"/>
      <c r="Y584" s="74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</row>
    <row r="585" spans="1:42">
      <c r="A585" s="308" t="s">
        <v>389</v>
      </c>
      <c r="B585" s="1"/>
      <c r="C585" s="304">
        <v>0</v>
      </c>
      <c r="D585" s="955">
        <f>'Rate Design Work eff 9-15-17'!D584</f>
        <v>5.2879999999999994</v>
      </c>
      <c r="E585" s="306" t="s">
        <v>364</v>
      </c>
      <c r="F585" s="306">
        <f>ROUND(D585/100*$C585*D577,0)</f>
        <v>0</v>
      </c>
      <c r="G585" s="359">
        <f ca="1">G572</f>
        <v>5.41</v>
      </c>
      <c r="H585" s="306" t="s">
        <v>364</v>
      </c>
      <c r="I585" s="306">
        <f ca="1">ROUND(G585/100*$C585*G577,0)</f>
        <v>0</v>
      </c>
      <c r="J585" s="306"/>
      <c r="K585" s="359" t="str">
        <f>K572</f>
        <v xml:space="preserve"> </v>
      </c>
      <c r="L585" s="306" t="s">
        <v>364</v>
      </c>
      <c r="M585" s="306">
        <f>'Rate Design Work eff 10-14-16'!M584</f>
        <v>0</v>
      </c>
      <c r="N585" s="306"/>
      <c r="O585" s="359" t="e">
        <f ca="1">O572</f>
        <v>#REF!</v>
      </c>
      <c r="P585" s="306" t="s">
        <v>364</v>
      </c>
      <c r="Q585" s="306" t="e">
        <f ca="1">'Rate Design Work eff 10-14-16'!Q584</f>
        <v>#REF!</v>
      </c>
      <c r="R585" s="306"/>
      <c r="S585" s="359" t="e">
        <f ca="1">S572</f>
        <v>#REF!</v>
      </c>
      <c r="T585" s="306" t="s">
        <v>364</v>
      </c>
      <c r="U585" s="306" t="e">
        <f ca="1">'Rate Design Work eff 10-14-16'!U584</f>
        <v>#REF!</v>
      </c>
      <c r="V585" s="20"/>
      <c r="W585" s="74"/>
      <c r="X585" s="74"/>
      <c r="Y585" s="74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</row>
    <row r="586" spans="1:42">
      <c r="A586" s="294" t="s">
        <v>419</v>
      </c>
      <c r="B586" s="1"/>
      <c r="C586" s="304">
        <v>0</v>
      </c>
      <c r="D586" s="1113">
        <f>'Rate Design Work eff 9-15-17'!D585</f>
        <v>57</v>
      </c>
      <c r="E586" s="306" t="s">
        <v>364</v>
      </c>
      <c r="F586" s="306">
        <f>ROUND(D586*$C586*$D$577,0)</f>
        <v>0</v>
      </c>
      <c r="G586" s="360">
        <f ca="1">G573</f>
        <v>58</v>
      </c>
      <c r="H586" s="306" t="s">
        <v>364</v>
      </c>
      <c r="I586" s="306">
        <f ca="1">ROUND(G586*$C586*$G$577,0)</f>
        <v>0</v>
      </c>
      <c r="J586" s="306"/>
      <c r="K586" s="360" t="str">
        <f>K573</f>
        <v xml:space="preserve"> </v>
      </c>
      <c r="L586" s="306" t="s">
        <v>364</v>
      </c>
      <c r="M586" s="306" t="e">
        <f>'Rate Design Work eff 10-14-16'!M585</f>
        <v>#REF!</v>
      </c>
      <c r="N586" s="306"/>
      <c r="O586" s="360" t="e">
        <f ca="1">O573</f>
        <v>#DIV/0!</v>
      </c>
      <c r="P586" s="306" t="s">
        <v>364</v>
      </c>
      <c r="Q586" s="306" t="e">
        <f ca="1">'Rate Design Work eff 10-14-16'!Q585</f>
        <v>#DIV/0!</v>
      </c>
      <c r="R586" s="306"/>
      <c r="S586" s="360" t="e">
        <f ca="1">S573</f>
        <v>#DIV/0!</v>
      </c>
      <c r="T586" s="306" t="s">
        <v>364</v>
      </c>
      <c r="U586" s="306" t="e">
        <f ca="1">'Rate Design Work eff 10-14-16'!U585</f>
        <v>#DIV/0!</v>
      </c>
      <c r="V586" s="20"/>
      <c r="W586" s="74"/>
      <c r="X586" s="74"/>
      <c r="Y586" s="74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</row>
    <row r="587" spans="1:42">
      <c r="A587" s="294" t="s">
        <v>420</v>
      </c>
      <c r="B587" s="1"/>
      <c r="C587" s="304">
        <v>0</v>
      </c>
      <c r="D587" s="1114">
        <f>'Rate Design Work eff 9-15-17'!D586</f>
        <v>0.06</v>
      </c>
      <c r="E587" s="306" t="s">
        <v>364</v>
      </c>
      <c r="F587" s="306">
        <f>ROUND(D587/100*$C587*D577,0)</f>
        <v>0</v>
      </c>
      <c r="G587" s="589">
        <f>G574</f>
        <v>0.06</v>
      </c>
      <c r="H587" s="306" t="s">
        <v>364</v>
      </c>
      <c r="I587" s="306">
        <f>ROUND(G587/100*$C587*G577,0)</f>
        <v>0</v>
      </c>
      <c r="J587" s="306"/>
      <c r="K587" s="589" t="str">
        <f>K574</f>
        <v xml:space="preserve"> </v>
      </c>
      <c r="L587" s="306" t="s">
        <v>364</v>
      </c>
      <c r="M587" s="306">
        <f>'Rate Design Work eff 10-14-16'!M586</f>
        <v>0</v>
      </c>
      <c r="N587" s="306"/>
      <c r="O587" s="589" t="e">
        <f ca="1">O574</f>
        <v>#DIV/0!</v>
      </c>
      <c r="P587" s="306" t="s">
        <v>364</v>
      </c>
      <c r="Q587" s="306" t="e">
        <f ca="1">'Rate Design Work eff 10-14-16'!Q586</f>
        <v>#DIV/0!</v>
      </c>
      <c r="R587" s="306"/>
      <c r="S587" s="589" t="e">
        <f ca="1">S574</f>
        <v>#DIV/0!</v>
      </c>
      <c r="T587" s="306" t="s">
        <v>364</v>
      </c>
      <c r="U587" s="306" t="e">
        <f ca="1">'Rate Design Work eff 10-14-16'!U586</f>
        <v>#DIV/0!</v>
      </c>
      <c r="V587" s="20"/>
      <c r="W587" s="74"/>
      <c r="X587" s="74"/>
      <c r="Y587" s="74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</row>
    <row r="588" spans="1:42">
      <c r="A588" s="308" t="s">
        <v>421</v>
      </c>
      <c r="B588" s="1"/>
      <c r="C588" s="304">
        <v>0</v>
      </c>
      <c r="D588" s="348">
        <f>'Rate Design Work eff 9-15-17'!D587</f>
        <v>60</v>
      </c>
      <c r="E588" s="349" t="s">
        <v>31</v>
      </c>
      <c r="F588" s="306">
        <f>ROUND(D588*$C588,0)</f>
        <v>0</v>
      </c>
      <c r="G588" s="348">
        <v>60</v>
      </c>
      <c r="H588" s="349" t="s">
        <v>31</v>
      </c>
      <c r="I588" s="306">
        <f>ROUND(G588*$C588,0)</f>
        <v>0</v>
      </c>
      <c r="J588" s="306"/>
      <c r="K588" s="348">
        <v>60</v>
      </c>
      <c r="L588" s="349" t="s">
        <v>31</v>
      </c>
      <c r="M588" s="306">
        <f>'Rate Design Work eff 10-14-16'!M587</f>
        <v>0</v>
      </c>
      <c r="N588" s="306"/>
      <c r="O588" s="348">
        <v>60</v>
      </c>
      <c r="P588" s="349" t="s">
        <v>31</v>
      </c>
      <c r="Q588" s="306">
        <f>'Rate Design Work eff 10-14-16'!Q587</f>
        <v>0</v>
      </c>
      <c r="R588" s="306"/>
      <c r="S588" s="348">
        <v>60</v>
      </c>
      <c r="T588" s="349" t="s">
        <v>31</v>
      </c>
      <c r="U588" s="306">
        <f>'Rate Design Work eff 10-14-16'!U587</f>
        <v>0</v>
      </c>
      <c r="V588" s="20"/>
      <c r="W588" s="74"/>
      <c r="X588" s="74"/>
      <c r="Y588" s="74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</row>
    <row r="589" spans="1:42">
      <c r="A589" s="308" t="s">
        <v>422</v>
      </c>
      <c r="B589" s="1"/>
      <c r="C589" s="304">
        <v>0</v>
      </c>
      <c r="D589" s="321">
        <f>'Rate Design Work eff 9-15-17'!D588</f>
        <v>-30</v>
      </c>
      <c r="E589" s="306" t="s">
        <v>364</v>
      </c>
      <c r="F589" s="306">
        <f>ROUND(D589*$C589*$D$577,0)</f>
        <v>0</v>
      </c>
      <c r="G589" s="321">
        <v>-30</v>
      </c>
      <c r="H589" s="306" t="s">
        <v>364</v>
      </c>
      <c r="I589" s="306">
        <f>ROUND(G589*$C589*$G$577,0)</f>
        <v>0</v>
      </c>
      <c r="J589" s="306"/>
      <c r="K589" s="321">
        <v>-30</v>
      </c>
      <c r="L589" s="306" t="s">
        <v>364</v>
      </c>
      <c r="M589" s="306" t="e">
        <f>'Rate Design Work eff 10-14-16'!M588</f>
        <v>#REF!</v>
      </c>
      <c r="N589" s="306"/>
      <c r="O589" s="321">
        <v>-30</v>
      </c>
      <c r="P589" s="306" t="s">
        <v>364</v>
      </c>
      <c r="Q589" s="306" t="e">
        <f>'Rate Design Work eff 10-14-16'!Q588</f>
        <v>#REF!</v>
      </c>
      <c r="R589" s="306"/>
      <c r="S589" s="321">
        <v>-30</v>
      </c>
      <c r="T589" s="306" t="s">
        <v>364</v>
      </c>
      <c r="U589" s="306" t="e">
        <f>'Rate Design Work eff 10-14-16'!U588</f>
        <v>#REF!</v>
      </c>
      <c r="V589" s="20"/>
      <c r="W589" s="74"/>
      <c r="X589" s="74"/>
      <c r="Y589" s="32" t="s">
        <v>31</v>
      </c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</row>
    <row r="590" spans="1:42">
      <c r="A590" s="294" t="s">
        <v>423</v>
      </c>
      <c r="B590" s="1"/>
      <c r="C590" s="304">
        <v>0</v>
      </c>
      <c r="D590" s="319">
        <f>'Rate Design Work eff 9-15-17'!D589</f>
        <v>2.7349999999999999</v>
      </c>
      <c r="E590" s="306"/>
      <c r="F590" s="306">
        <f>ROUND(D590*$C590*$D$577,0)</f>
        <v>0</v>
      </c>
      <c r="G590" s="340">
        <f ca="1">G583/2</f>
        <v>2.8</v>
      </c>
      <c r="H590" s="306"/>
      <c r="I590" s="306">
        <f ca="1">ROUND($C590*G590,0)</f>
        <v>0</v>
      </c>
      <c r="J590" s="306"/>
      <c r="K590" s="340" t="e">
        <f ca="1">K583/2</f>
        <v>#REF!</v>
      </c>
      <c r="L590" s="306"/>
      <c r="M590" s="306" t="e">
        <f ca="1">'Rate Design Work eff 10-14-16'!M589</f>
        <v>#REF!</v>
      </c>
      <c r="N590" s="306"/>
      <c r="O590" s="340">
        <f>O583/2</f>
        <v>0</v>
      </c>
      <c r="P590" s="306"/>
      <c r="Q590" s="306">
        <f>'Rate Design Work eff 10-14-16'!Q589</f>
        <v>0</v>
      </c>
      <c r="R590" s="306"/>
      <c r="S590" s="340">
        <f>S583/2</f>
        <v>0</v>
      </c>
      <c r="T590" s="306"/>
      <c r="U590" s="306">
        <f>'Rate Design Work eff 10-14-16'!U589</f>
        <v>0</v>
      </c>
      <c r="V590" s="20"/>
      <c r="W590" s="74"/>
      <c r="X590" s="74"/>
      <c r="Y590" s="74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</row>
    <row r="591" spans="1:42">
      <c r="A591" s="294" t="s">
        <v>424</v>
      </c>
      <c r="B591" s="1"/>
      <c r="C591" s="304">
        <v>0</v>
      </c>
      <c r="D591" s="319">
        <f>'Rate Design Work eff 9-15-17'!D590</f>
        <v>21.88</v>
      </c>
      <c r="E591" s="306"/>
      <c r="F591" s="306">
        <f>ROUND($C591*D591/100,0)</f>
        <v>0</v>
      </c>
      <c r="G591" s="340">
        <f ca="1">G583*4</f>
        <v>22.4</v>
      </c>
      <c r="H591" s="306"/>
      <c r="I591" s="306">
        <f ca="1">ROUND($C591*G591,0)</f>
        <v>0</v>
      </c>
      <c r="J591" s="306"/>
      <c r="K591" s="340" t="e">
        <f ca="1">K583*4</f>
        <v>#REF!</v>
      </c>
      <c r="L591" s="306"/>
      <c r="M591" s="306" t="e">
        <f ca="1">'Rate Design Work eff 10-14-16'!M590</f>
        <v>#REF!</v>
      </c>
      <c r="N591" s="306"/>
      <c r="O591" s="340">
        <f>O583*4</f>
        <v>0</v>
      </c>
      <c r="P591" s="306"/>
      <c r="Q591" s="306">
        <f>'Rate Design Work eff 10-14-16'!Q590</f>
        <v>0</v>
      </c>
      <c r="R591" s="306"/>
      <c r="S591" s="340">
        <f>S583*4</f>
        <v>0</v>
      </c>
      <c r="T591" s="306"/>
      <c r="U591" s="306">
        <f>'Rate Design Work eff 10-14-16'!U590</f>
        <v>0</v>
      </c>
      <c r="V591" s="20"/>
      <c r="W591" s="74"/>
      <c r="X591" s="74"/>
      <c r="Y591" s="74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</row>
    <row r="592" spans="1:42">
      <c r="A592" s="3" t="s">
        <v>425</v>
      </c>
      <c r="B592" s="288"/>
      <c r="C592" s="304">
        <v>0</v>
      </c>
      <c r="D592" s="320">
        <f>'Rate Design Work eff 9-15-17'!D591</f>
        <v>21.151999999999997</v>
      </c>
      <c r="E592" s="306" t="s">
        <v>364</v>
      </c>
      <c r="F592" s="306">
        <f>ROUND($C592*D592/100,0)</f>
        <v>0</v>
      </c>
      <c r="G592" s="320">
        <f ca="1">(G572)*4</f>
        <v>21.64</v>
      </c>
      <c r="H592" s="306" t="s">
        <v>364</v>
      </c>
      <c r="I592" s="306">
        <f ca="1">ROUND($C592*G592/100,0)</f>
        <v>0</v>
      </c>
      <c r="J592" s="306"/>
      <c r="K592" s="320">
        <f>(K572)*4</f>
        <v>0</v>
      </c>
      <c r="L592" s="306" t="s">
        <v>364</v>
      </c>
      <c r="M592" s="306">
        <f>'Rate Design Work eff 10-14-16'!M591</f>
        <v>0</v>
      </c>
      <c r="N592" s="306"/>
      <c r="O592" s="320" t="e">
        <f ca="1">(O572)*4</f>
        <v>#REF!</v>
      </c>
      <c r="P592" s="306" t="s">
        <v>364</v>
      </c>
      <c r="Q592" s="306" t="e">
        <f ca="1">'Rate Design Work eff 10-14-16'!Q591</f>
        <v>#REF!</v>
      </c>
      <c r="R592" s="306"/>
      <c r="S592" s="320" t="e">
        <f ca="1">(S572)*4</f>
        <v>#REF!</v>
      </c>
      <c r="T592" s="306" t="s">
        <v>364</v>
      </c>
      <c r="U592" s="306" t="e">
        <f ca="1">'Rate Design Work eff 10-14-16'!U591</f>
        <v>#REF!</v>
      </c>
      <c r="V592" s="7" t="s">
        <v>74</v>
      </c>
      <c r="W592" s="74"/>
      <c r="X592" s="74"/>
      <c r="Y592" s="74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</row>
    <row r="593" spans="1:44" s="1118" customFormat="1" hidden="1">
      <c r="A593" s="968" t="s">
        <v>882</v>
      </c>
      <c r="C593" s="1122">
        <f>C584+C585</f>
        <v>0</v>
      </c>
      <c r="D593" s="254">
        <f>'Rate Design Work eff 9-15-17'!D592</f>
        <v>0</v>
      </c>
      <c r="E593" s="1119"/>
      <c r="F593" s="1123"/>
      <c r="G593" s="1128">
        <f>G616</f>
        <v>0</v>
      </c>
      <c r="H593" s="972" t="s">
        <v>364</v>
      </c>
      <c r="I593" s="1000">
        <f t="shared" ref="I593:I594" si="126">ROUND($C593*G593/100,0)</f>
        <v>0</v>
      </c>
      <c r="J593" s="1000"/>
      <c r="K593" s="1128" t="str">
        <f>K616</f>
        <v xml:space="preserve"> </v>
      </c>
      <c r="L593" s="972" t="s">
        <v>364</v>
      </c>
      <c r="M593" s="306">
        <f>'Rate Design Work eff 10-14-16'!M592</f>
        <v>0</v>
      </c>
      <c r="N593" s="1000"/>
      <c r="O593" s="1128" t="str">
        <f>O616</f>
        <v xml:space="preserve"> </v>
      </c>
      <c r="P593" s="972" t="s">
        <v>364</v>
      </c>
      <c r="Q593" s="306">
        <f>'Rate Design Work eff 10-14-16'!Q592</f>
        <v>0</v>
      </c>
      <c r="R593" s="1000"/>
      <c r="S593" s="1128">
        <f>S616</f>
        <v>0</v>
      </c>
      <c r="T593" s="972" t="s">
        <v>364</v>
      </c>
      <c r="U593" s="306">
        <f>'Rate Design Work eff 10-14-16'!U592</f>
        <v>0</v>
      </c>
      <c r="W593" s="784"/>
      <c r="Z593" s="1125"/>
      <c r="AA593" s="1125"/>
      <c r="AF593" s="1119"/>
      <c r="AG593" s="1119"/>
      <c r="AH593" s="1119"/>
      <c r="AI593" s="1119"/>
      <c r="AJ593" s="1119"/>
      <c r="AK593" s="1119"/>
      <c r="AL593" s="1119"/>
      <c r="AM593" s="1119"/>
      <c r="AN593" s="1119"/>
      <c r="AO593" s="1119"/>
      <c r="AP593" s="1119"/>
      <c r="AR593" s="1124"/>
    </row>
    <row r="594" spans="1:44" s="1118" customFormat="1" hidden="1">
      <c r="A594" s="968" t="s">
        <v>883</v>
      </c>
      <c r="C594" s="1122">
        <f>C585+C586</f>
        <v>0</v>
      </c>
      <c r="D594" s="254">
        <f>'Rate Design Work eff 9-15-17'!D593</f>
        <v>0</v>
      </c>
      <c r="E594" s="1119"/>
      <c r="F594" s="1123"/>
      <c r="G594" s="1128">
        <f>G617</f>
        <v>0</v>
      </c>
      <c r="H594" s="972" t="s">
        <v>364</v>
      </c>
      <c r="I594" s="1000">
        <f t="shared" si="126"/>
        <v>0</v>
      </c>
      <c r="J594" s="1000"/>
      <c r="K594" s="1128" t="str">
        <f>K617</f>
        <v xml:space="preserve"> </v>
      </c>
      <c r="L594" s="972" t="s">
        <v>364</v>
      </c>
      <c r="M594" s="306">
        <f>'Rate Design Work eff 10-14-16'!M593</f>
        <v>0</v>
      </c>
      <c r="N594" s="1000"/>
      <c r="O594" s="1128" t="str">
        <f>O617</f>
        <v xml:space="preserve"> </v>
      </c>
      <c r="P594" s="972" t="s">
        <v>364</v>
      </c>
      <c r="Q594" s="306">
        <f>'Rate Design Work eff 10-14-16'!Q593</f>
        <v>0</v>
      </c>
      <c r="R594" s="1000"/>
      <c r="S594" s="1128">
        <f>S617</f>
        <v>0</v>
      </c>
      <c r="T594" s="972" t="s">
        <v>364</v>
      </c>
      <c r="U594" s="306">
        <f>'Rate Design Work eff 10-14-16'!U593</f>
        <v>0</v>
      </c>
      <c r="W594" s="784"/>
      <c r="Z594" s="1125"/>
      <c r="AA594" s="1125"/>
      <c r="AF594" s="1119"/>
      <c r="AG594" s="1119"/>
      <c r="AH594" s="1119"/>
      <c r="AI594" s="1119"/>
      <c r="AJ594" s="1119"/>
      <c r="AK594" s="1119"/>
      <c r="AL594" s="1119"/>
      <c r="AM594" s="1119"/>
      <c r="AN594" s="1119"/>
      <c r="AO594" s="1119"/>
      <c r="AP594" s="1119"/>
      <c r="AR594" s="1124"/>
    </row>
    <row r="595" spans="1:44">
      <c r="A595" s="1" t="s">
        <v>371</v>
      </c>
      <c r="B595" s="1"/>
      <c r="C595" s="304">
        <f>SUM(C571:C572)</f>
        <v>0</v>
      </c>
      <c r="D595" s="315"/>
      <c r="E595" s="308"/>
      <c r="F595" s="2">
        <f>SUM(F562:F592)</f>
        <v>0</v>
      </c>
      <c r="G595" s="315"/>
      <c r="H595" s="308"/>
      <c r="I595" s="2">
        <f ca="1">SUM(I562:I594)</f>
        <v>0</v>
      </c>
      <c r="J595" s="2"/>
      <c r="K595" s="315"/>
      <c r="L595" s="308"/>
      <c r="M595" s="2" t="e">
        <f ca="1">SUM(M562:M594)</f>
        <v>#REF!</v>
      </c>
      <c r="N595" s="2"/>
      <c r="O595" s="315"/>
      <c r="P595" s="308"/>
      <c r="Q595" s="2" t="e">
        <f ca="1">SUM(Q562:Q594)</f>
        <v>#REF!</v>
      </c>
      <c r="R595" s="2"/>
      <c r="S595" s="315"/>
      <c r="T595" s="308"/>
      <c r="U595" s="2" t="e">
        <f ca="1">SUM(U562:U594)</f>
        <v>#REF!</v>
      </c>
      <c r="V595" s="20"/>
      <c r="W595" s="74"/>
      <c r="X595" s="74"/>
      <c r="Y595" s="74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</row>
    <row r="596" spans="1:44">
      <c r="A596" s="1" t="s">
        <v>353</v>
      </c>
      <c r="B596" s="1"/>
      <c r="C596" s="334">
        <v>0</v>
      </c>
      <c r="D596" s="294"/>
      <c r="E596" s="294"/>
      <c r="F596" s="295">
        <v>0</v>
      </c>
      <c r="G596" s="294"/>
      <c r="H596" s="294"/>
      <c r="I596" s="295">
        <v>0</v>
      </c>
      <c r="J596" s="51"/>
      <c r="K596" s="294"/>
      <c r="L596" s="294"/>
      <c r="M596" s="295">
        <v>0</v>
      </c>
      <c r="N596" s="51"/>
      <c r="O596" s="294"/>
      <c r="P596" s="294"/>
      <c r="Q596" s="295">
        <v>0</v>
      </c>
      <c r="R596" s="51"/>
      <c r="S596" s="294"/>
      <c r="T596" s="294"/>
      <c r="U596" s="295">
        <v>0</v>
      </c>
      <c r="V596" s="429"/>
      <c r="W596" s="272"/>
      <c r="X596" s="74"/>
      <c r="Y596" s="74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</row>
    <row r="597" spans="1:44" ht="16.5" thickBot="1">
      <c r="A597" s="1" t="s">
        <v>372</v>
      </c>
      <c r="B597" s="1"/>
      <c r="C597" s="351">
        <f>SUM(C595:C596)</f>
        <v>0</v>
      </c>
      <c r="D597" s="327"/>
      <c r="E597" s="330"/>
      <c r="F597" s="329">
        <f>SUM(F595:F596)</f>
        <v>0</v>
      </c>
      <c r="G597" s="327"/>
      <c r="H597" s="330"/>
      <c r="I597" s="329">
        <f ca="1">SUM(I595:I596)</f>
        <v>0</v>
      </c>
      <c r="J597" s="307"/>
      <c r="K597" s="327"/>
      <c r="L597" s="330"/>
      <c r="M597" s="329" t="e">
        <f ca="1">SUM(M595:M596)</f>
        <v>#REF!</v>
      </c>
      <c r="N597" s="329"/>
      <c r="O597" s="327"/>
      <c r="P597" s="330"/>
      <c r="Q597" s="329" t="e">
        <f ca="1">SUM(Q595:Q596)</f>
        <v>#REF!</v>
      </c>
      <c r="R597" s="329"/>
      <c r="S597" s="327"/>
      <c r="T597" s="330"/>
      <c r="U597" s="329" t="e">
        <f ca="1">SUM(U595:U596)</f>
        <v>#REF!</v>
      </c>
      <c r="V597" s="396"/>
      <c r="W597" s="455"/>
      <c r="X597" s="74"/>
      <c r="Y597" s="74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</row>
    <row r="598" spans="1:44" ht="16.5" thickTop="1">
      <c r="A598" s="1"/>
      <c r="B598" s="352"/>
      <c r="C598" s="21"/>
      <c r="D598" s="322"/>
      <c r="E598" s="1"/>
      <c r="F598" s="2"/>
      <c r="G598" s="322"/>
      <c r="H598" s="1"/>
      <c r="I598" s="2"/>
      <c r="J598" s="2"/>
      <c r="K598" s="322"/>
      <c r="L598" s="1"/>
      <c r="M598" s="2"/>
      <c r="N598" s="2"/>
      <c r="O598" s="322"/>
      <c r="P598" s="1"/>
      <c r="Q598" s="2"/>
      <c r="R598" s="2"/>
      <c r="S598" s="322"/>
      <c r="T598" s="1"/>
      <c r="U598" s="2"/>
      <c r="V598" s="20"/>
      <c r="W598" s="74"/>
      <c r="X598" s="74"/>
      <c r="Y598" s="74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</row>
    <row r="599" spans="1:44">
      <c r="A599" s="278" t="s">
        <v>426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20"/>
      <c r="W599" s="74"/>
      <c r="X599" s="74"/>
      <c r="Y599" s="74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</row>
    <row r="600" spans="1:44">
      <c r="A600" s="294" t="s">
        <v>427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20"/>
      <c r="W600" s="74"/>
      <c r="X600" s="74"/>
      <c r="Y600" s="74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</row>
    <row r="601" spans="1:44">
      <c r="A601" s="308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20"/>
      <c r="X601" s="74"/>
      <c r="Y601" s="74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</row>
    <row r="602" spans="1:44">
      <c r="A602" s="308" t="s">
        <v>383</v>
      </c>
      <c r="B602" s="1"/>
      <c r="C602" s="304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20"/>
      <c r="W602" s="74"/>
      <c r="X602" s="40" t="s">
        <v>246</v>
      </c>
      <c r="Y602" s="40"/>
      <c r="Z602" s="20"/>
      <c r="AA602" s="20"/>
      <c r="AB602" s="20"/>
      <c r="AC602" s="20"/>
      <c r="AD602" s="20"/>
      <c r="AE602" s="20"/>
      <c r="AF602" s="20"/>
      <c r="AH602" s="20"/>
      <c r="AI602" s="20"/>
      <c r="AJ602" s="20"/>
      <c r="AK602" s="20"/>
      <c r="AL602" s="20"/>
      <c r="AM602" s="20"/>
      <c r="AN602" s="20"/>
      <c r="AO602" s="20"/>
      <c r="AP602" s="20"/>
    </row>
    <row r="603" spans="1:44">
      <c r="A603" s="308" t="s">
        <v>411</v>
      </c>
      <c r="B603" s="1"/>
      <c r="C603" s="304">
        <f>C645+C683</f>
        <v>413.66666666666674</v>
      </c>
      <c r="D603" s="283">
        <f>'Rate Design Work eff 9-15-17'!D602</f>
        <v>264</v>
      </c>
      <c r="E603" s="308"/>
      <c r="F603" s="306">
        <f>F645+F683</f>
        <v>109208</v>
      </c>
      <c r="G603" s="286">
        <f ca="1">'Rate Design Work eff 9-15-17'!G602</f>
        <v>268</v>
      </c>
      <c r="H603" s="308"/>
      <c r="I603" s="306">
        <f ca="1">I645+I683</f>
        <v>110863</v>
      </c>
      <c r="J603" s="306"/>
      <c r="K603" s="286">
        <f ca="1">'Rate Design Work eff 10-14-16'!K602</f>
        <v>264</v>
      </c>
      <c r="L603" s="308"/>
      <c r="M603" s="306">
        <f ca="1">'Rate Design Work eff 10-14-16'!M602</f>
        <v>109208</v>
      </c>
      <c r="N603" s="306"/>
      <c r="O603" s="286" t="str">
        <f>'Rate Design Work eff 10-14-16'!O602</f>
        <v xml:space="preserve"> </v>
      </c>
      <c r="P603" s="308"/>
      <c r="Q603" s="306">
        <f>'Rate Design Work eff 10-14-16'!Q602</f>
        <v>0</v>
      </c>
      <c r="R603" s="2"/>
      <c r="S603" s="286" t="str">
        <f>'Rate Design Work eff 10-14-16'!S602</f>
        <v xml:space="preserve"> </v>
      </c>
      <c r="T603" s="1"/>
      <c r="U603" s="2">
        <f>'Rate Design Work eff 10-14-16'!U602</f>
        <v>0</v>
      </c>
      <c r="X603" s="55">
        <f ca="1">(G603-D603)/D603</f>
        <v>1.5151515151515152E-2</v>
      </c>
      <c r="Y603" s="55"/>
      <c r="AG603" s="53"/>
      <c r="AH603" s="53"/>
      <c r="AK603" s="20"/>
      <c r="AL603" s="20"/>
      <c r="AM603" s="20"/>
      <c r="AN603" s="20"/>
      <c r="AO603" s="20"/>
      <c r="AP603" s="20"/>
    </row>
    <row r="604" spans="1:44">
      <c r="A604" s="308" t="s">
        <v>412</v>
      </c>
      <c r="B604" s="1"/>
      <c r="C604" s="304">
        <f>C646+C684</f>
        <v>8716.2666666666191</v>
      </c>
      <c r="D604" s="283">
        <f>'Rate Design Work eff 9-15-17'!D603</f>
        <v>98</v>
      </c>
      <c r="E604" s="308"/>
      <c r="F604" s="306">
        <f>F646+F684</f>
        <v>854194</v>
      </c>
      <c r="G604" s="286">
        <f ca="1">'Rate Design Work eff 9-15-17'!G603</f>
        <v>100</v>
      </c>
      <c r="H604" s="308"/>
      <c r="I604" s="306">
        <f ca="1">I646+I684</f>
        <v>871627</v>
      </c>
      <c r="J604" s="306"/>
      <c r="K604" s="286">
        <f ca="1">'Rate Design Work eff 10-14-16'!K603</f>
        <v>98</v>
      </c>
      <c r="L604" s="308"/>
      <c r="M604" s="306">
        <f ca="1">'Rate Design Work eff 10-14-16'!M603</f>
        <v>854194</v>
      </c>
      <c r="N604" s="306"/>
      <c r="O604" s="286" t="str">
        <f>'Rate Design Work eff 10-14-16'!O603</f>
        <v xml:space="preserve"> </v>
      </c>
      <c r="P604" s="308"/>
      <c r="Q604" s="306">
        <f>'Rate Design Work eff 10-14-16'!Q603</f>
        <v>0</v>
      </c>
      <c r="R604" s="2"/>
      <c r="S604" s="286" t="str">
        <f>'Rate Design Work eff 10-14-16'!S603</f>
        <v xml:space="preserve"> </v>
      </c>
      <c r="T604" s="1"/>
      <c r="U604" s="2">
        <f>'Rate Design Work eff 10-14-16'!U603</f>
        <v>0</v>
      </c>
      <c r="X604" s="55">
        <f ca="1">(G604-D604)/D604</f>
        <v>2.0408163265306121E-2</v>
      </c>
      <c r="Y604" s="55"/>
      <c r="AA604" s="84"/>
      <c r="AB604" s="711"/>
      <c r="AC604" s="84"/>
      <c r="AD604" s="711"/>
      <c r="AE604" s="84"/>
      <c r="AF604" s="84"/>
      <c r="AG604" s="711"/>
      <c r="AH604" s="711"/>
      <c r="AJ604" s="222"/>
      <c r="AK604" s="20"/>
      <c r="AL604" s="20"/>
      <c r="AM604" s="20"/>
      <c r="AN604" s="20"/>
      <c r="AO604" s="20"/>
      <c r="AP604" s="20"/>
    </row>
    <row r="605" spans="1:44">
      <c r="A605" s="308" t="s">
        <v>413</v>
      </c>
      <c r="B605" s="1"/>
      <c r="C605" s="304">
        <f>C647+C685</f>
        <v>3900.3000000000029</v>
      </c>
      <c r="D605" s="283">
        <f>'Rate Design Work eff 9-15-17'!D604</f>
        <v>195</v>
      </c>
      <c r="E605" s="310"/>
      <c r="F605" s="306">
        <f>F647+F685</f>
        <v>760559</v>
      </c>
      <c r="G605" s="286">
        <f ca="1">'Rate Design Work eff 9-15-17'!G604</f>
        <v>200</v>
      </c>
      <c r="H605" s="310"/>
      <c r="I605" s="306">
        <f ca="1">I647+I685</f>
        <v>780060</v>
      </c>
      <c r="J605" s="306"/>
      <c r="K605" s="286">
        <f ca="1">'Rate Design Work eff 10-14-16'!K604</f>
        <v>195</v>
      </c>
      <c r="L605" s="310"/>
      <c r="M605" s="306">
        <f ca="1">'Rate Design Work eff 10-14-16'!M604</f>
        <v>760559</v>
      </c>
      <c r="N605" s="306"/>
      <c r="O605" s="286" t="str">
        <f>'Rate Design Work eff 10-14-16'!O604</f>
        <v xml:space="preserve"> </v>
      </c>
      <c r="P605" s="310"/>
      <c r="Q605" s="306">
        <f>'Rate Design Work eff 10-14-16'!Q604</f>
        <v>0</v>
      </c>
      <c r="R605" s="2"/>
      <c r="S605" s="286" t="str">
        <f>'Rate Design Work eff 10-14-16'!S604</f>
        <v xml:space="preserve"> </v>
      </c>
      <c r="T605" s="1"/>
      <c r="U605" s="2">
        <f>'Rate Design Work eff 10-14-16'!U604</f>
        <v>0</v>
      </c>
      <c r="X605" s="55">
        <f ca="1">(G605-D605)/D605</f>
        <v>2.564102564102564E-2</v>
      </c>
      <c r="Y605" s="55"/>
      <c r="AA605" s="84"/>
      <c r="AB605" s="711"/>
      <c r="AC605" s="84"/>
      <c r="AD605" s="711"/>
      <c r="AE605" s="84"/>
      <c r="AF605" s="84"/>
      <c r="AG605" s="711"/>
      <c r="AH605" s="711"/>
      <c r="AJ605" s="222"/>
      <c r="AK605" s="20"/>
      <c r="AL605" s="20"/>
      <c r="AM605" s="20"/>
      <c r="AN605" s="20"/>
      <c r="AO605" s="20"/>
      <c r="AP605" s="20"/>
    </row>
    <row r="606" spans="1:44">
      <c r="A606" s="308" t="s">
        <v>384</v>
      </c>
      <c r="B606" s="1"/>
      <c r="C606" s="304">
        <f>SUM(C603:C605)</f>
        <v>13030.233333333288</v>
      </c>
      <c r="D606" s="283"/>
      <c r="E606" s="308"/>
      <c r="F606" s="306"/>
      <c r="G606" s="286"/>
      <c r="H606" s="308"/>
      <c r="I606" s="306"/>
      <c r="J606" s="306"/>
      <c r="K606" s="286"/>
      <c r="L606" s="308"/>
      <c r="M606" s="306"/>
      <c r="N606" s="306"/>
      <c r="O606" s="286"/>
      <c r="P606" s="308"/>
      <c r="Q606" s="306"/>
      <c r="R606" s="306"/>
      <c r="S606" s="286"/>
      <c r="T606" s="308"/>
      <c r="U606" s="306"/>
      <c r="AA606" s="84"/>
      <c r="AB606" s="711"/>
      <c r="AC606" s="84"/>
      <c r="AD606" s="711"/>
      <c r="AE606" s="84"/>
      <c r="AF606" s="84"/>
      <c r="AG606" s="711"/>
      <c r="AH606" s="711"/>
      <c r="AJ606" s="222"/>
      <c r="AK606" s="20"/>
      <c r="AL606" s="20"/>
      <c r="AM606" s="20"/>
      <c r="AN606" s="20"/>
      <c r="AO606" s="20"/>
      <c r="AP606" s="20"/>
    </row>
    <row r="607" spans="1:44">
      <c r="A607" s="308" t="s">
        <v>412</v>
      </c>
      <c r="B607" s="1"/>
      <c r="C607" s="304">
        <f>C649+C687</f>
        <v>1499067</v>
      </c>
      <c r="D607" s="283">
        <f>'Rate Design Work eff 9-15-17'!D606</f>
        <v>1.79</v>
      </c>
      <c r="E607" s="308" t="s">
        <v>31</v>
      </c>
      <c r="F607" s="306">
        <f>F649+F687</f>
        <v>2683330</v>
      </c>
      <c r="G607" s="286">
        <f ca="1">'Rate Design Work eff 9-15-17'!G606</f>
        <v>1.83</v>
      </c>
      <c r="H607" s="308" t="s">
        <v>31</v>
      </c>
      <c r="I607" s="306">
        <f ca="1">I649+I687</f>
        <v>2743292</v>
      </c>
      <c r="J607" s="306"/>
      <c r="K607" s="286">
        <f ca="1">'Rate Design Work eff 10-14-16'!K606</f>
        <v>1.79</v>
      </c>
      <c r="L607" s="308" t="s">
        <v>31</v>
      </c>
      <c r="M607" s="306">
        <f ca="1">'Rate Design Work eff 10-14-16'!M606</f>
        <v>2683330</v>
      </c>
      <c r="N607" s="306"/>
      <c r="O607" s="286" t="str">
        <f>'Rate Design Work eff 10-14-16'!O606</f>
        <v xml:space="preserve"> </v>
      </c>
      <c r="P607" s="308" t="s">
        <v>31</v>
      </c>
      <c r="Q607" s="306">
        <f>'Rate Design Work eff 10-14-16'!Q606</f>
        <v>0</v>
      </c>
      <c r="R607" s="2"/>
      <c r="S607" s="286" t="str">
        <f>'Rate Design Work eff 10-14-16'!S606</f>
        <v xml:space="preserve"> </v>
      </c>
      <c r="T607" s="1"/>
      <c r="U607" s="2">
        <f>'Rate Design Work eff 10-14-16'!U606</f>
        <v>0</v>
      </c>
      <c r="W607" s="88" t="s">
        <v>31</v>
      </c>
      <c r="X607" s="55">
        <f ca="1">(G607-D607)/D607</f>
        <v>2.2346368715083817E-2</v>
      </c>
      <c r="Y607" s="55"/>
      <c r="AA607" s="84"/>
      <c r="AB607" s="712"/>
      <c r="AC607" s="84"/>
      <c r="AD607" s="712"/>
      <c r="AE607" s="84"/>
      <c r="AF607" s="84"/>
      <c r="AG607" s="712"/>
      <c r="AH607" s="712"/>
      <c r="AJ607" s="20"/>
      <c r="AK607" s="20"/>
      <c r="AL607" s="20"/>
      <c r="AM607" s="20"/>
      <c r="AN607" s="20"/>
      <c r="AO607" s="20"/>
      <c r="AP607" s="20"/>
    </row>
    <row r="608" spans="1:44">
      <c r="A608" s="308" t="s">
        <v>413</v>
      </c>
      <c r="B608" s="1"/>
      <c r="C608" s="304">
        <f>C650+C688</f>
        <v>1976046</v>
      </c>
      <c r="D608" s="283">
        <f>'Rate Design Work eff 9-15-17'!D607</f>
        <v>1.46</v>
      </c>
      <c r="E608" s="308" t="s">
        <v>31</v>
      </c>
      <c r="F608" s="306">
        <f>F650+F688</f>
        <v>2885027</v>
      </c>
      <c r="G608" s="286">
        <f ca="1">'Rate Design Work eff 9-15-17'!G607</f>
        <v>1.5</v>
      </c>
      <c r="H608" s="308" t="s">
        <v>31</v>
      </c>
      <c r="I608" s="306">
        <f ca="1">I650+I688</f>
        <v>2964069</v>
      </c>
      <c r="J608" s="306"/>
      <c r="K608" s="286">
        <f ca="1">'Rate Design Work eff 10-14-16'!K607</f>
        <v>1.46</v>
      </c>
      <c r="L608" s="308" t="s">
        <v>31</v>
      </c>
      <c r="M608" s="306">
        <f ca="1">'Rate Design Work eff 10-14-16'!M607</f>
        <v>2885027</v>
      </c>
      <c r="N608" s="306"/>
      <c r="O608" s="286" t="str">
        <f>'Rate Design Work eff 10-14-16'!O607</f>
        <v xml:space="preserve"> </v>
      </c>
      <c r="P608" s="308" t="s">
        <v>31</v>
      </c>
      <c r="Q608" s="306">
        <f>'Rate Design Work eff 10-14-16'!Q607</f>
        <v>0</v>
      </c>
      <c r="R608" s="2"/>
      <c r="S608" s="286" t="str">
        <f>'Rate Design Work eff 10-14-16'!S607</f>
        <v xml:space="preserve"> </v>
      </c>
      <c r="T608" s="1"/>
      <c r="U608" s="2">
        <f>'Rate Design Work eff 10-14-16'!U607</f>
        <v>0</v>
      </c>
      <c r="X608" s="55">
        <f ca="1">(G608-D608)/D608</f>
        <v>2.7397260273972629E-2</v>
      </c>
      <c r="Y608" s="55"/>
      <c r="AA608" s="84"/>
      <c r="AB608" s="84"/>
      <c r="AJ608" s="20"/>
      <c r="AK608" s="20"/>
      <c r="AL608" s="20"/>
      <c r="AM608" s="20"/>
      <c r="AN608" s="20"/>
      <c r="AO608" s="20"/>
      <c r="AP608" s="20"/>
    </row>
    <row r="609" spans="1:44">
      <c r="A609" s="294" t="s">
        <v>414</v>
      </c>
      <c r="B609" s="1"/>
      <c r="C609" s="304"/>
      <c r="D609" s="340"/>
      <c r="E609" s="308"/>
      <c r="F609" s="306"/>
      <c r="G609" s="289"/>
      <c r="H609" s="308"/>
      <c r="I609" s="306"/>
      <c r="J609" s="306"/>
      <c r="K609" s="289"/>
      <c r="L609" s="308"/>
      <c r="M609" s="306"/>
      <c r="N609" s="306"/>
      <c r="O609" s="289"/>
      <c r="P609" s="308"/>
      <c r="Q609" s="306"/>
      <c r="R609" s="306"/>
      <c r="S609" s="289"/>
      <c r="T609" s="308"/>
      <c r="U609" s="306"/>
      <c r="Z609" s="69"/>
      <c r="AJ609" s="20"/>
      <c r="AK609" s="20"/>
      <c r="AL609" s="20"/>
      <c r="AM609" s="20"/>
      <c r="AN609" s="20"/>
      <c r="AO609" s="20"/>
      <c r="AP609" s="20"/>
    </row>
    <row r="610" spans="1:44">
      <c r="A610" s="294" t="s">
        <v>415</v>
      </c>
      <c r="B610" s="1"/>
      <c r="C610" s="304">
        <f>C652+C690</f>
        <v>2642724.5</v>
      </c>
      <c r="D610" s="283">
        <f>'Rate Design Work eff 9-15-17'!D609</f>
        <v>5.47</v>
      </c>
      <c r="E610" s="308"/>
      <c r="F610" s="306">
        <f>F652+F690</f>
        <v>14455703</v>
      </c>
      <c r="G610" s="286">
        <f ca="1">'Rate Design Work eff 9-15-17'!G609</f>
        <v>5.6</v>
      </c>
      <c r="H610" s="308"/>
      <c r="I610" s="306">
        <f ca="1">I652+I690</f>
        <v>14799258</v>
      </c>
      <c r="J610" s="306"/>
      <c r="K610" s="286" t="e">
        <f ca="1">'Rate Design Work eff 10-14-16'!K609</f>
        <v>#REF!</v>
      </c>
      <c r="L610" s="308"/>
      <c r="M610" s="306" t="e">
        <f ca="1">'Rate Design Work eff 10-14-16'!M609</f>
        <v>#REF!</v>
      </c>
      <c r="N610" s="306"/>
      <c r="O610" s="286">
        <f>'Rate Design Work eff 10-14-16'!O609</f>
        <v>0</v>
      </c>
      <c r="P610" s="308"/>
      <c r="Q610" s="306" t="e">
        <f ca="1">'Rate Design Work eff 10-14-16'!Q609</f>
        <v>#REF!</v>
      </c>
      <c r="R610" s="306"/>
      <c r="S610" s="286">
        <f>'Rate Design Work eff 10-14-16'!S609</f>
        <v>0</v>
      </c>
      <c r="T610" s="308"/>
      <c r="U610" s="2" t="e">
        <f ca="1">'Rate Design Work eff 10-14-16'!U609</f>
        <v>#REF!</v>
      </c>
      <c r="X610" s="55">
        <f ca="1">(G610-D610)/D610</f>
        <v>2.3765996343692853E-2</v>
      </c>
      <c r="Y610" s="55"/>
      <c r="Z610" s="69"/>
      <c r="AJ610" s="20"/>
      <c r="AK610" s="20"/>
      <c r="AL610" s="20"/>
      <c r="AM610" s="20"/>
      <c r="AN610" s="20"/>
      <c r="AO610" s="20"/>
      <c r="AP610" s="20"/>
    </row>
    <row r="611" spans="1:44">
      <c r="A611" s="294" t="s">
        <v>431</v>
      </c>
      <c r="B611" s="1"/>
      <c r="C611" s="304">
        <f>C653+C691</f>
        <v>3580.1666666666692</v>
      </c>
      <c r="D611" s="354">
        <f>'Rate Design Work eff 9-15-17'!D610</f>
        <v>5.47</v>
      </c>
      <c r="E611" s="308"/>
      <c r="F611" s="306">
        <f>F653+F691</f>
        <v>19584</v>
      </c>
      <c r="G611" s="774">
        <f ca="1">G610</f>
        <v>5.6</v>
      </c>
      <c r="H611" s="308"/>
      <c r="I611" s="306">
        <f ca="1">I653+I691</f>
        <v>20049</v>
      </c>
      <c r="J611" s="306"/>
      <c r="K611" s="774" t="e">
        <f ca="1">K610</f>
        <v>#REF!</v>
      </c>
      <c r="L611" s="308"/>
      <c r="M611" s="306" t="e">
        <f ca="1">'Rate Design Work eff 10-14-16'!M610</f>
        <v>#REF!</v>
      </c>
      <c r="N611" s="306"/>
      <c r="O611" s="774">
        <f>O610</f>
        <v>0</v>
      </c>
      <c r="P611" s="308"/>
      <c r="Q611" s="306">
        <f>'Rate Design Work eff 10-14-16'!Q610</f>
        <v>0</v>
      </c>
      <c r="R611" s="306"/>
      <c r="S611" s="774">
        <f>S610</f>
        <v>0</v>
      </c>
      <c r="T611" s="308"/>
      <c r="U611" s="2">
        <f>'Rate Design Work eff 10-14-16'!U610</f>
        <v>0</v>
      </c>
      <c r="X611" s="55">
        <f ca="1">(G611-D611)/D611</f>
        <v>2.3765996343692853E-2</v>
      </c>
      <c r="Y611" s="55"/>
      <c r="Z611" s="69"/>
      <c r="AJ611" s="20"/>
      <c r="AK611" s="20"/>
      <c r="AL611" s="20"/>
      <c r="AM611" s="20"/>
      <c r="AN611" s="20"/>
      <c r="AO611" s="20"/>
      <c r="AP611" s="20"/>
    </row>
    <row r="612" spans="1:44">
      <c r="A612" s="308" t="s">
        <v>416</v>
      </c>
      <c r="B612" s="1"/>
      <c r="C612" s="304"/>
      <c r="D612" s="283"/>
      <c r="E612" s="308"/>
      <c r="F612" s="306"/>
      <c r="G612" s="286"/>
      <c r="H612" s="308"/>
      <c r="I612" s="306"/>
      <c r="J612" s="306"/>
      <c r="K612" s="286"/>
      <c r="L612" s="308"/>
      <c r="M612" s="306"/>
      <c r="N612" s="306"/>
      <c r="O612" s="286"/>
      <c r="P612" s="308"/>
      <c r="Q612" s="306"/>
      <c r="R612" s="306"/>
      <c r="S612" s="286"/>
      <c r="T612" s="308"/>
      <c r="U612" s="306"/>
      <c r="Z612" s="88" t="s">
        <v>31</v>
      </c>
      <c r="AJ612" s="20"/>
      <c r="AK612" s="20"/>
      <c r="AL612" s="20"/>
      <c r="AM612" s="20"/>
      <c r="AN612" s="20"/>
      <c r="AO612" s="20"/>
      <c r="AP612" s="20"/>
    </row>
    <row r="613" spans="1:44">
      <c r="A613" s="308" t="s">
        <v>417</v>
      </c>
      <c r="B613" s="304"/>
      <c r="C613" s="304">
        <f>C655+C693</f>
        <v>406603312.8503738</v>
      </c>
      <c r="D613" s="312">
        <f>'Rate Design Work eff 9-15-17'!D612</f>
        <v>5.7730000000000006</v>
      </c>
      <c r="E613" s="308" t="s">
        <v>364</v>
      </c>
      <c r="F613" s="306">
        <f>F655+F693</f>
        <v>23473210</v>
      </c>
      <c r="G613" s="775">
        <f ca="1">'Rate Design Work eff 9-15-17'!G612</f>
        <v>5.9119999999999999</v>
      </c>
      <c r="H613" s="308" t="s">
        <v>364</v>
      </c>
      <c r="I613" s="306">
        <f ca="1">I655+I693</f>
        <v>24038388</v>
      </c>
      <c r="J613" s="306"/>
      <c r="K613" s="775" t="str">
        <f>'Rate Design Work eff 10-14-16'!K612</f>
        <v xml:space="preserve"> </v>
      </c>
      <c r="L613" s="308" t="s">
        <v>31</v>
      </c>
      <c r="M613" s="306">
        <f>'Rate Design Work eff 10-14-16'!M612</f>
        <v>0</v>
      </c>
      <c r="N613" s="306"/>
      <c r="O613" s="775" t="e">
        <f ca="1">'Rate Design Work eff 10-14-16'!O612</f>
        <v>#REF!</v>
      </c>
      <c r="P613" s="308" t="s">
        <v>364</v>
      </c>
      <c r="Q613" s="306" t="e">
        <f ca="1">'Rate Design Work eff 10-14-16'!Q612</f>
        <v>#REF!</v>
      </c>
      <c r="R613" s="306"/>
      <c r="S613" s="775" t="e">
        <f ca="1">'Rate Design Work eff 10-14-16'!S612</f>
        <v>#REF!</v>
      </c>
      <c r="T613" s="308" t="s">
        <v>364</v>
      </c>
      <c r="U613" s="2" t="e">
        <f ca="1">'Rate Design Work eff 10-14-16'!U612</f>
        <v>#REF!</v>
      </c>
      <c r="X613" s="55">
        <f ca="1">((G613+G616)-D613)/D613</f>
        <v>2.4077602632946359E-2</v>
      </c>
      <c r="Y613" s="55"/>
      <c r="Z613" s="69"/>
      <c r="AJ613" s="20"/>
      <c r="AK613" s="20"/>
      <c r="AL613" s="20"/>
      <c r="AM613" s="20"/>
      <c r="AN613" s="20"/>
      <c r="AO613" s="20"/>
      <c r="AP613" s="20"/>
    </row>
    <row r="614" spans="1:44">
      <c r="A614" s="308" t="s">
        <v>389</v>
      </c>
      <c r="B614" s="304"/>
      <c r="C614" s="304">
        <f>C656+C694</f>
        <v>515912822.9645322</v>
      </c>
      <c r="D614" s="312">
        <f>'Rate Design Work eff 9-15-17'!D613</f>
        <v>5.2879999999999994</v>
      </c>
      <c r="E614" s="308" t="s">
        <v>364</v>
      </c>
      <c r="F614" s="306">
        <f>F656+F694</f>
        <v>27281470</v>
      </c>
      <c r="G614" s="775">
        <f ca="1">'Rate Design Work eff 9-15-17'!G613</f>
        <v>5.41</v>
      </c>
      <c r="H614" s="308" t="s">
        <v>364</v>
      </c>
      <c r="I614" s="306">
        <f ca="1">I656+I694</f>
        <v>27910884</v>
      </c>
      <c r="J614" s="306"/>
      <c r="K614" s="775" t="str">
        <f>'Rate Design Work eff 10-14-16'!K613</f>
        <v xml:space="preserve"> </v>
      </c>
      <c r="L614" s="308" t="s">
        <v>31</v>
      </c>
      <c r="M614" s="306">
        <f>'Rate Design Work eff 10-14-16'!M613</f>
        <v>0</v>
      </c>
      <c r="N614" s="306"/>
      <c r="O614" s="775" t="e">
        <f ca="1">'Rate Design Work eff 10-14-16'!O613</f>
        <v>#REF!</v>
      </c>
      <c r="P614" s="308" t="s">
        <v>364</v>
      </c>
      <c r="Q614" s="306" t="e">
        <f ca="1">'Rate Design Work eff 10-14-16'!Q613</f>
        <v>#REF!</v>
      </c>
      <c r="R614" s="306"/>
      <c r="S614" s="775" t="e">
        <f ca="1">'Rate Design Work eff 10-14-16'!S613</f>
        <v>#REF!</v>
      </c>
      <c r="T614" s="308" t="s">
        <v>364</v>
      </c>
      <c r="U614" s="2" t="e">
        <f ca="1">'Rate Design Work eff 10-14-16'!U613</f>
        <v>#REF!</v>
      </c>
      <c r="X614" s="55">
        <f ca="1">((G614+G617)-D614)/D614</f>
        <v>2.3071104387292131E-2</v>
      </c>
      <c r="Y614" s="55"/>
      <c r="Z614" s="69"/>
      <c r="AK614" s="20"/>
      <c r="AL614" s="20"/>
      <c r="AM614" s="20"/>
      <c r="AN614" s="20"/>
      <c r="AO614" s="20"/>
      <c r="AP614" s="20"/>
    </row>
    <row r="615" spans="1:44">
      <c r="A615" s="308" t="s">
        <v>390</v>
      </c>
      <c r="B615" s="1"/>
      <c r="C615" s="304">
        <f>C657+C695</f>
        <v>494491.933333333</v>
      </c>
      <c r="D615" s="1424">
        <f>'Rate Design Work eff 9-15-17'!D614</f>
        <v>57</v>
      </c>
      <c r="E615" s="308" t="s">
        <v>364</v>
      </c>
      <c r="F615" s="306">
        <f>F657+F695</f>
        <v>281861</v>
      </c>
      <c r="G615" s="1424">
        <f ca="1">'Rate Design Work eff 9-15-17'!G614</f>
        <v>58</v>
      </c>
      <c r="H615" s="308" t="s">
        <v>364</v>
      </c>
      <c r="I615" s="306">
        <f ca="1">I657+I695</f>
        <v>286806</v>
      </c>
      <c r="J615" s="306"/>
      <c r="K615" s="589" t="str">
        <f>'Rate Design Work eff 10-14-16'!K614</f>
        <v xml:space="preserve"> </v>
      </c>
      <c r="L615" s="308" t="s">
        <v>31</v>
      </c>
      <c r="M615" s="306">
        <f>'Rate Design Work eff 10-14-16'!M614</f>
        <v>0</v>
      </c>
      <c r="N615" s="306"/>
      <c r="O615" s="589" t="e">
        <f ca="1">'Rate Design Work eff 10-14-16'!O614</f>
        <v>#DIV/0!</v>
      </c>
      <c r="P615" s="308" t="s">
        <v>364</v>
      </c>
      <c r="Q615" s="306" t="e">
        <f ca="1">'Rate Design Work eff 10-14-16'!Q614</f>
        <v>#DIV/0!</v>
      </c>
      <c r="R615" s="306"/>
      <c r="S615" s="589" t="e">
        <f ca="1">'Rate Design Work eff 10-14-16'!S614</f>
        <v>#DIV/0!</v>
      </c>
      <c r="T615" s="308" t="s">
        <v>364</v>
      </c>
      <c r="U615" s="2" t="e">
        <f ca="1">'Rate Design Work eff 10-14-16'!U614</f>
        <v>#DIV/0!</v>
      </c>
      <c r="X615" s="55">
        <f ca="1">(G615-D615)/D615</f>
        <v>1.7543859649122806E-2</v>
      </c>
      <c r="Y615" s="55"/>
      <c r="Z615" s="69"/>
      <c r="AK615" s="20"/>
      <c r="AL615" s="20"/>
      <c r="AM615" s="20"/>
      <c r="AN615" s="20"/>
      <c r="AO615" s="20"/>
      <c r="AP615" s="20"/>
    </row>
    <row r="616" spans="1:44" s="1118" customFormat="1" hidden="1">
      <c r="A616" s="968" t="s">
        <v>882</v>
      </c>
      <c r="C616" s="987">
        <f>C613</f>
        <v>406603312.8503738</v>
      </c>
      <c r="D616" s="254">
        <f>'Rate Design Work eff 9-15-17'!D615</f>
        <v>0</v>
      </c>
      <c r="E616" s="1119"/>
      <c r="F616" s="1123"/>
      <c r="G616" s="775">
        <f>'Rate Design Work eff 9-15-17'!G615</f>
        <v>0</v>
      </c>
      <c r="H616" s="1000" t="s">
        <v>364</v>
      </c>
      <c r="I616" s="1000">
        <f>I658+I696</f>
        <v>0</v>
      </c>
      <c r="J616" s="1000"/>
      <c r="K616" s="775" t="str">
        <f>'Rate Design Work eff 10-14-16'!K615</f>
        <v xml:space="preserve"> </v>
      </c>
      <c r="L616" s="1000" t="s">
        <v>31</v>
      </c>
      <c r="M616" s="306">
        <f>'Rate Design Work eff 10-14-16'!M615</f>
        <v>0</v>
      </c>
      <c r="N616" s="1000"/>
      <c r="O616" s="775" t="str">
        <f>'Rate Design Work eff 10-14-16'!O615</f>
        <v xml:space="preserve"> </v>
      </c>
      <c r="P616" s="1000" t="s">
        <v>31</v>
      </c>
      <c r="Q616" s="306">
        <f>'Rate Design Work eff 10-14-16'!Q615</f>
        <v>0</v>
      </c>
      <c r="R616" s="1000"/>
      <c r="S616" s="775">
        <f>'Rate Design Work eff 10-14-16'!S615</f>
        <v>0</v>
      </c>
      <c r="T616" s="1000" t="s">
        <v>364</v>
      </c>
      <c r="U616" s="2">
        <f>'Rate Design Work eff 10-14-16'!U615</f>
        <v>0</v>
      </c>
      <c r="V616" s="1124"/>
      <c r="W616" s="784"/>
      <c r="Z616" s="1125"/>
      <c r="AA616" s="1125"/>
      <c r="AF616" s="1119"/>
      <c r="AG616" s="1119"/>
      <c r="AH616" s="1119"/>
      <c r="AI616" s="1119"/>
      <c r="AJ616" s="1119"/>
      <c r="AK616" s="1119"/>
      <c r="AL616" s="1119"/>
      <c r="AM616" s="1119"/>
      <c r="AN616" s="1119"/>
      <c r="AO616" s="1119"/>
      <c r="AP616" s="1119"/>
      <c r="AR616" s="1124"/>
    </row>
    <row r="617" spans="1:44" s="1118" customFormat="1" hidden="1">
      <c r="A617" s="968" t="s">
        <v>883</v>
      </c>
      <c r="C617" s="987">
        <f>C614</f>
        <v>515912822.9645322</v>
      </c>
      <c r="D617" s="254">
        <f>'Rate Design Work eff 9-15-17'!D616</f>
        <v>0</v>
      </c>
      <c r="E617" s="1119"/>
      <c r="F617" s="1123"/>
      <c r="G617" s="775">
        <f>'Rate Design Work eff 9-15-17'!G616</f>
        <v>0</v>
      </c>
      <c r="H617" s="1000" t="s">
        <v>364</v>
      </c>
      <c r="I617" s="1000">
        <f>I659+I697</f>
        <v>0</v>
      </c>
      <c r="J617" s="1000"/>
      <c r="K617" s="775" t="str">
        <f>'Rate Design Work eff 10-14-16'!K616</f>
        <v xml:space="preserve"> </v>
      </c>
      <c r="L617" s="1000" t="s">
        <v>31</v>
      </c>
      <c r="M617" s="306">
        <f>'Rate Design Work eff 10-14-16'!M616</f>
        <v>0</v>
      </c>
      <c r="N617" s="1000"/>
      <c r="O617" s="775" t="str">
        <f>'Rate Design Work eff 10-14-16'!O616</f>
        <v xml:space="preserve"> </v>
      </c>
      <c r="P617" s="1000" t="s">
        <v>31</v>
      </c>
      <c r="Q617" s="306">
        <f>'Rate Design Work eff 10-14-16'!Q616</f>
        <v>0</v>
      </c>
      <c r="R617" s="1000"/>
      <c r="S617" s="775">
        <f>'Rate Design Work eff 10-14-16'!S616</f>
        <v>0</v>
      </c>
      <c r="T617" s="1000" t="s">
        <v>364</v>
      </c>
      <c r="U617" s="2">
        <f>'Rate Design Work eff 10-14-16'!U616</f>
        <v>0</v>
      </c>
      <c r="V617" s="968" t="s">
        <v>31</v>
      </c>
      <c r="W617" s="784"/>
      <c r="Z617" s="1125"/>
      <c r="AA617" s="1125"/>
      <c r="AF617" s="1119"/>
      <c r="AG617" s="1119"/>
      <c r="AH617" s="1119"/>
      <c r="AI617" s="1119"/>
      <c r="AJ617" s="1119"/>
      <c r="AK617" s="1119"/>
      <c r="AL617" s="1119"/>
      <c r="AM617" s="1119"/>
      <c r="AN617" s="1119"/>
      <c r="AO617" s="1119"/>
      <c r="AP617" s="1119"/>
      <c r="AR617" s="1124"/>
    </row>
    <row r="618" spans="1:44" s="1118" customFormat="1" hidden="1">
      <c r="A618" s="1255" t="s">
        <v>870</v>
      </c>
      <c r="B618" s="1256"/>
      <c r="C618" s="1262"/>
      <c r="D618" s="1265">
        <f>'Rate Design Work eff 9-15-17'!D617</f>
        <v>5.7730000000000006</v>
      </c>
      <c r="E618" s="1263" t="s">
        <v>364</v>
      </c>
      <c r="F618" s="1259"/>
      <c r="G618" s="1265">
        <f ca="1">G613+G616</f>
        <v>5.9119999999999999</v>
      </c>
      <c r="H618" s="1263" t="s">
        <v>364</v>
      </c>
      <c r="I618" s="1266"/>
      <c r="J618" s="1266"/>
      <c r="K618" s="1265">
        <f>K613+K616</f>
        <v>0</v>
      </c>
      <c r="L618" s="1263" t="s">
        <v>31</v>
      </c>
      <c r="M618" s="1266"/>
      <c r="N618" s="1266"/>
      <c r="O618" s="1265" t="e">
        <f ca="1">O613+O616</f>
        <v>#REF!</v>
      </c>
      <c r="P618" s="1263" t="s">
        <v>364</v>
      </c>
      <c r="Q618" s="1266"/>
      <c r="R618" s="1266"/>
      <c r="S618" s="1265" t="e">
        <f ca="1">S613+S616</f>
        <v>#REF!</v>
      </c>
      <c r="T618" s="1263" t="s">
        <v>364</v>
      </c>
      <c r="U618" s="1266"/>
      <c r="V618" s="968"/>
      <c r="W618" s="784"/>
      <c r="X618" s="55">
        <f ca="1">(G618-D618)/D618</f>
        <v>2.4077602632946359E-2</v>
      </c>
      <c r="Z618" s="1125"/>
      <c r="AA618" s="1125"/>
      <c r="AF618" s="1119"/>
      <c r="AG618" s="1119"/>
      <c r="AH618" s="1119"/>
      <c r="AI618" s="1119"/>
      <c r="AJ618" s="1119"/>
      <c r="AK618" s="1119"/>
      <c r="AL618" s="1119"/>
      <c r="AM618" s="1119"/>
      <c r="AN618" s="1119"/>
      <c r="AO618" s="1119"/>
      <c r="AP618" s="1119"/>
      <c r="AR618" s="1124"/>
    </row>
    <row r="619" spans="1:44" s="1118" customFormat="1" hidden="1">
      <c r="A619" s="1255" t="s">
        <v>871</v>
      </c>
      <c r="B619" s="1256"/>
      <c r="C619" s="1262"/>
      <c r="D619" s="1265">
        <f>'Rate Design Work eff 9-15-17'!D618</f>
        <v>5.2879999999999994</v>
      </c>
      <c r="E619" s="1263" t="s">
        <v>364</v>
      </c>
      <c r="F619" s="1259"/>
      <c r="G619" s="1265">
        <f ca="1">G614+G617</f>
        <v>5.41</v>
      </c>
      <c r="H619" s="1263" t="s">
        <v>364</v>
      </c>
      <c r="I619" s="1266"/>
      <c r="J619" s="1266"/>
      <c r="K619" s="1265">
        <f>K614+K617</f>
        <v>0</v>
      </c>
      <c r="L619" s="1263" t="s">
        <v>31</v>
      </c>
      <c r="M619" s="1266"/>
      <c r="N619" s="1266"/>
      <c r="O619" s="1265" t="e">
        <f ca="1">O614+O617</f>
        <v>#REF!</v>
      </c>
      <c r="P619" s="1263" t="s">
        <v>364</v>
      </c>
      <c r="Q619" s="1266"/>
      <c r="R619" s="1266"/>
      <c r="S619" s="1265" t="e">
        <f ca="1">S614+S617</f>
        <v>#REF!</v>
      </c>
      <c r="T619" s="1263" t="s">
        <v>364</v>
      </c>
      <c r="U619" s="1266"/>
      <c r="V619" s="968"/>
      <c r="W619" s="784"/>
      <c r="X619" s="55">
        <f ca="1">(G619-D619)/D619</f>
        <v>2.3071104387292131E-2</v>
      </c>
      <c r="Z619" s="1125"/>
      <c r="AA619" s="1125"/>
      <c r="AF619" s="1119"/>
      <c r="AG619" s="1119"/>
      <c r="AH619" s="1119"/>
      <c r="AI619" s="1119"/>
      <c r="AJ619" s="1119"/>
      <c r="AK619" s="1119"/>
      <c r="AL619" s="1119"/>
      <c r="AM619" s="1119"/>
      <c r="AN619" s="1119"/>
      <c r="AO619" s="1119"/>
      <c r="AP619" s="1119"/>
      <c r="AR619" s="1124"/>
    </row>
    <row r="620" spans="1:44">
      <c r="A620" s="345" t="s">
        <v>391</v>
      </c>
      <c r="B620" s="1"/>
      <c r="C620" s="304"/>
      <c r="D620" s="317">
        <f>'Rate Design Work eff 9-15-17'!D619</f>
        <v>-0.01</v>
      </c>
      <c r="E620" s="1"/>
      <c r="F620" s="306"/>
      <c r="G620" s="776">
        <v>-0.01</v>
      </c>
      <c r="H620" s="1"/>
      <c r="I620" s="306"/>
      <c r="J620" s="306"/>
      <c r="K620" s="776">
        <v>-0.01</v>
      </c>
      <c r="L620" s="1"/>
      <c r="M620" s="306"/>
      <c r="N620" s="306"/>
      <c r="O620" s="776">
        <v>-0.01</v>
      </c>
      <c r="P620" s="1"/>
      <c r="Q620" s="306"/>
      <c r="R620" s="306"/>
      <c r="S620" s="776">
        <v>-0.01</v>
      </c>
      <c r="T620" s="1"/>
      <c r="U620" s="306"/>
      <c r="AK620" s="20"/>
      <c r="AL620" s="20"/>
      <c r="AM620" s="20"/>
      <c r="AN620" s="20"/>
      <c r="AO620" s="20"/>
      <c r="AP620" s="20"/>
    </row>
    <row r="621" spans="1:44">
      <c r="A621" s="308" t="s">
        <v>411</v>
      </c>
      <c r="B621" s="1"/>
      <c r="C621" s="304">
        <f t="shared" ref="C621:C632" si="127">C661+C699</f>
        <v>7</v>
      </c>
      <c r="D621" s="289">
        <f>'Rate Design Work eff 9-15-17'!D620</f>
        <v>264</v>
      </c>
      <c r="E621" s="278"/>
      <c r="F621" s="306">
        <f t="shared" ref="F621:F632" si="128">F661+F699</f>
        <v>-18</v>
      </c>
      <c r="G621" s="289">
        <f ca="1">G603</f>
        <v>268</v>
      </c>
      <c r="H621" s="278"/>
      <c r="I621" s="306">
        <f t="shared" ref="I621:I635" ca="1" si="129">I661+I699</f>
        <v>-19</v>
      </c>
      <c r="J621" s="306"/>
      <c r="K621" s="289">
        <f ca="1">K603</f>
        <v>264</v>
      </c>
      <c r="L621" s="278"/>
      <c r="M621" s="306">
        <f ca="1">'Rate Design Work eff 10-14-16'!M620</f>
        <v>-18</v>
      </c>
      <c r="N621" s="306"/>
      <c r="O621" s="289" t="str">
        <f>O603</f>
        <v xml:space="preserve"> </v>
      </c>
      <c r="P621" s="278"/>
      <c r="Q621" s="306">
        <f>'Rate Design Work eff 10-14-16'!Q620</f>
        <v>0</v>
      </c>
      <c r="R621" s="306"/>
      <c r="S621" s="289" t="str">
        <f>S603</f>
        <v xml:space="preserve"> </v>
      </c>
      <c r="T621" s="278"/>
      <c r="U621" s="2">
        <f>'Rate Design Work eff 10-14-16'!U620</f>
        <v>0</v>
      </c>
      <c r="W621" s="88" t="s">
        <v>31</v>
      </c>
      <c r="AK621" s="20"/>
      <c r="AL621" s="20"/>
      <c r="AM621" s="20"/>
      <c r="AN621" s="20"/>
      <c r="AO621" s="20"/>
      <c r="AP621" s="20"/>
    </row>
    <row r="622" spans="1:44">
      <c r="A622" s="308" t="s">
        <v>412</v>
      </c>
      <c r="B622" s="1"/>
      <c r="C622" s="304">
        <f t="shared" si="127"/>
        <v>57.099999999999966</v>
      </c>
      <c r="D622" s="289">
        <f>'Rate Design Work eff 9-15-17'!D621</f>
        <v>98</v>
      </c>
      <c r="E622" s="278"/>
      <c r="F622" s="306">
        <f t="shared" si="128"/>
        <v>-56</v>
      </c>
      <c r="G622" s="289">
        <f ca="1">G604</f>
        <v>100</v>
      </c>
      <c r="H622" s="278"/>
      <c r="I622" s="306">
        <f t="shared" ca="1" si="129"/>
        <v>-57</v>
      </c>
      <c r="J622" s="306"/>
      <c r="K622" s="289">
        <f ca="1">K604</f>
        <v>98</v>
      </c>
      <c r="L622" s="278"/>
      <c r="M622" s="306">
        <f ca="1">'Rate Design Work eff 10-14-16'!M621</f>
        <v>-56</v>
      </c>
      <c r="N622" s="306"/>
      <c r="O622" s="289" t="str">
        <f>O604</f>
        <v xml:space="preserve"> </v>
      </c>
      <c r="P622" s="278"/>
      <c r="Q622" s="306">
        <f>'Rate Design Work eff 10-14-16'!Q621</f>
        <v>0</v>
      </c>
      <c r="R622" s="306"/>
      <c r="S622" s="289" t="str">
        <f>S604</f>
        <v xml:space="preserve"> </v>
      </c>
      <c r="T622" s="278"/>
      <c r="U622" s="2">
        <f>'Rate Design Work eff 10-14-16'!U621</f>
        <v>0</v>
      </c>
      <c r="W622" s="356"/>
      <c r="AJ622" s="20"/>
      <c r="AK622" s="20"/>
      <c r="AL622" s="20"/>
      <c r="AM622" s="20"/>
      <c r="AN622" s="20"/>
      <c r="AO622" s="20"/>
      <c r="AP622" s="20"/>
    </row>
    <row r="623" spans="1:44">
      <c r="A623" s="308" t="s">
        <v>413</v>
      </c>
      <c r="B623" s="1"/>
      <c r="C623" s="304">
        <f t="shared" si="127"/>
        <v>71.866666666666703</v>
      </c>
      <c r="D623" s="289">
        <f>'Rate Design Work eff 9-15-17'!D622</f>
        <v>195</v>
      </c>
      <c r="E623" s="358"/>
      <c r="F623" s="306">
        <f t="shared" si="128"/>
        <v>-140</v>
      </c>
      <c r="G623" s="289">
        <f ca="1">G605</f>
        <v>200</v>
      </c>
      <c r="H623" s="358"/>
      <c r="I623" s="306">
        <f t="shared" ca="1" si="129"/>
        <v>-144</v>
      </c>
      <c r="J623" s="306"/>
      <c r="K623" s="289">
        <f ca="1">K605</f>
        <v>195</v>
      </c>
      <c r="L623" s="358"/>
      <c r="M623" s="306">
        <f ca="1">'Rate Design Work eff 10-14-16'!M622</f>
        <v>-140</v>
      </c>
      <c r="N623" s="306"/>
      <c r="O623" s="289" t="str">
        <f>O605</f>
        <v xml:space="preserve"> </v>
      </c>
      <c r="P623" s="358"/>
      <c r="Q623" s="306">
        <f>'Rate Design Work eff 10-14-16'!Q622</f>
        <v>0</v>
      </c>
      <c r="R623" s="306"/>
      <c r="S623" s="289" t="str">
        <f>S605</f>
        <v xml:space="preserve"> </v>
      </c>
      <c r="T623" s="358"/>
      <c r="U623" s="2">
        <f>'Rate Design Work eff 10-14-16'!U622</f>
        <v>0</v>
      </c>
      <c r="W623" s="1271" t="s">
        <v>31</v>
      </c>
      <c r="AJ623" s="20"/>
      <c r="AK623" s="20"/>
      <c r="AL623" s="20"/>
      <c r="AM623" s="20"/>
      <c r="AN623" s="20"/>
      <c r="AO623" s="20"/>
      <c r="AP623" s="20"/>
    </row>
    <row r="624" spans="1:44">
      <c r="A624" s="308" t="s">
        <v>412</v>
      </c>
      <c r="B624" s="1"/>
      <c r="C624" s="304">
        <f t="shared" si="127"/>
        <v>8475</v>
      </c>
      <c r="D624" s="289">
        <f>'Rate Design Work eff 9-15-17'!D623</f>
        <v>1.79</v>
      </c>
      <c r="E624" s="278"/>
      <c r="F624" s="306">
        <f t="shared" si="128"/>
        <v>-151</v>
      </c>
      <c r="G624" s="289">
        <f ca="1">G607</f>
        <v>1.83</v>
      </c>
      <c r="H624" s="278"/>
      <c r="I624" s="306">
        <f t="shared" ca="1" si="129"/>
        <v>-155</v>
      </c>
      <c r="J624" s="306"/>
      <c r="K624" s="289">
        <f ca="1">K607</f>
        <v>1.79</v>
      </c>
      <c r="L624" s="278"/>
      <c r="M624" s="306">
        <f ca="1">'Rate Design Work eff 10-14-16'!M623</f>
        <v>-151</v>
      </c>
      <c r="N624" s="306"/>
      <c r="O624" s="289" t="str">
        <f>O607</f>
        <v xml:space="preserve"> </v>
      </c>
      <c r="P624" s="278"/>
      <c r="Q624" s="306">
        <f>'Rate Design Work eff 10-14-16'!Q623</f>
        <v>0</v>
      </c>
      <c r="R624" s="306"/>
      <c r="S624" s="289" t="str">
        <f>S607</f>
        <v xml:space="preserve"> </v>
      </c>
      <c r="T624" s="278"/>
      <c r="U624" s="2">
        <f>'Rate Design Work eff 10-14-16'!U623</f>
        <v>0</v>
      </c>
      <c r="AJ624" s="20"/>
      <c r="AK624" s="20"/>
      <c r="AL624" s="20"/>
      <c r="AM624" s="20"/>
      <c r="AN624" s="20"/>
      <c r="AO624" s="20"/>
      <c r="AP624" s="20"/>
    </row>
    <row r="625" spans="1:44">
      <c r="A625" s="308" t="s">
        <v>413</v>
      </c>
      <c r="B625" s="1"/>
      <c r="C625" s="304">
        <f t="shared" si="127"/>
        <v>44991</v>
      </c>
      <c r="D625" s="289">
        <f>'Rate Design Work eff 9-15-17'!D624</f>
        <v>1.46</v>
      </c>
      <c r="E625" s="278"/>
      <c r="F625" s="306">
        <f t="shared" si="128"/>
        <v>-657</v>
      </c>
      <c r="G625" s="289">
        <f ca="1">G608</f>
        <v>1.5</v>
      </c>
      <c r="H625" s="278"/>
      <c r="I625" s="306">
        <f t="shared" ca="1" si="129"/>
        <v>-675</v>
      </c>
      <c r="J625" s="306"/>
      <c r="K625" s="289">
        <f ca="1">K608</f>
        <v>1.46</v>
      </c>
      <c r="L625" s="278"/>
      <c r="M625" s="306">
        <f ca="1">'Rate Design Work eff 10-14-16'!M624</f>
        <v>-657</v>
      </c>
      <c r="N625" s="306"/>
      <c r="O625" s="289" t="str">
        <f>O608</f>
        <v xml:space="preserve"> </v>
      </c>
      <c r="P625" s="278"/>
      <c r="Q625" s="306">
        <f>'Rate Design Work eff 10-14-16'!Q624</f>
        <v>0</v>
      </c>
      <c r="R625" s="306"/>
      <c r="S625" s="289" t="str">
        <f>S608</f>
        <v xml:space="preserve"> </v>
      </c>
      <c r="T625" s="278"/>
      <c r="U625" s="2">
        <f>'Rate Design Work eff 10-14-16'!U624</f>
        <v>0</v>
      </c>
      <c r="W625" s="88" t="s">
        <v>31</v>
      </c>
      <c r="AJ625" s="20"/>
      <c r="AK625" s="20"/>
      <c r="AL625" s="20"/>
      <c r="AM625" s="20"/>
      <c r="AN625" s="20"/>
      <c r="AO625" s="20"/>
      <c r="AP625" s="20"/>
    </row>
    <row r="626" spans="1:44">
      <c r="A626" s="294" t="s">
        <v>415</v>
      </c>
      <c r="B626" s="1"/>
      <c r="C626" s="304">
        <f t="shared" si="127"/>
        <v>35876</v>
      </c>
      <c r="D626" s="289">
        <f>'Rate Design Work eff 9-15-17'!D625</f>
        <v>5.47</v>
      </c>
      <c r="E626" s="278"/>
      <c r="F626" s="306">
        <f t="shared" si="128"/>
        <v>-1962</v>
      </c>
      <c r="G626" s="289">
        <f ca="1">G610</f>
        <v>5.6</v>
      </c>
      <c r="H626" s="278"/>
      <c r="I626" s="306">
        <f t="shared" ca="1" si="129"/>
        <v>-2009</v>
      </c>
      <c r="J626" s="306"/>
      <c r="K626" s="289" t="e">
        <f ca="1">K610</f>
        <v>#REF!</v>
      </c>
      <c r="L626" s="278"/>
      <c r="M626" s="306" t="e">
        <f ca="1">'Rate Design Work eff 10-14-16'!M625</f>
        <v>#REF!</v>
      </c>
      <c r="N626" s="306"/>
      <c r="O626" s="289">
        <f>O610</f>
        <v>0</v>
      </c>
      <c r="P626" s="278"/>
      <c r="Q626" s="306">
        <f>'Rate Design Work eff 10-14-16'!Q625</f>
        <v>0</v>
      </c>
      <c r="R626" s="306"/>
      <c r="S626" s="289">
        <f>S610</f>
        <v>0</v>
      </c>
      <c r="T626" s="278"/>
      <c r="U626" s="2">
        <f>'Rate Design Work eff 10-14-16'!U625</f>
        <v>0</v>
      </c>
      <c r="AJ626" s="20"/>
      <c r="AK626" s="20"/>
      <c r="AL626" s="20"/>
      <c r="AM626" s="20"/>
      <c r="AN626" s="20"/>
      <c r="AO626" s="20"/>
      <c r="AP626" s="20"/>
    </row>
    <row r="627" spans="1:44">
      <c r="A627" s="294" t="s">
        <v>431</v>
      </c>
      <c r="B627" s="1"/>
      <c r="C627" s="304">
        <f t="shared" si="127"/>
        <v>307</v>
      </c>
      <c r="D627" s="289">
        <f>'Rate Design Work eff 9-15-17'!D626</f>
        <v>5.47</v>
      </c>
      <c r="E627" s="278"/>
      <c r="F627" s="306">
        <f t="shared" si="128"/>
        <v>-17</v>
      </c>
      <c r="G627" s="289">
        <f ca="1">G611</f>
        <v>5.6</v>
      </c>
      <c r="H627" s="278"/>
      <c r="I627" s="306">
        <f t="shared" ca="1" si="129"/>
        <v>-17</v>
      </c>
      <c r="J627" s="306"/>
      <c r="K627" s="289" t="e">
        <f ca="1">K611</f>
        <v>#REF!</v>
      </c>
      <c r="L627" s="278"/>
      <c r="M627" s="306" t="e">
        <f ca="1">'Rate Design Work eff 10-14-16'!M626</f>
        <v>#REF!</v>
      </c>
      <c r="N627" s="306"/>
      <c r="O627" s="289">
        <f>O611</f>
        <v>0</v>
      </c>
      <c r="P627" s="278"/>
      <c r="Q627" s="306">
        <f>'Rate Design Work eff 10-14-16'!Q626</f>
        <v>0</v>
      </c>
      <c r="R627" s="306"/>
      <c r="S627" s="289">
        <f>S611</f>
        <v>0</v>
      </c>
      <c r="T627" s="278"/>
      <c r="U627" s="2">
        <f>'Rate Design Work eff 10-14-16'!U626</f>
        <v>0</v>
      </c>
      <c r="AJ627" s="20"/>
      <c r="AK627" s="20"/>
      <c r="AL627" s="20"/>
      <c r="AM627" s="20"/>
      <c r="AN627" s="20"/>
      <c r="AO627" s="20"/>
      <c r="AP627" s="20"/>
    </row>
    <row r="628" spans="1:44">
      <c r="A628" s="308" t="s">
        <v>417</v>
      </c>
      <c r="B628" s="1"/>
      <c r="C628" s="304">
        <f t="shared" si="127"/>
        <v>4639573.3333333302</v>
      </c>
      <c r="D628" s="359">
        <f>'Rate Design Work eff 9-15-17'!D627</f>
        <v>5.7730000000000006</v>
      </c>
      <c r="E628" s="308" t="s">
        <v>364</v>
      </c>
      <c r="F628" s="306">
        <f t="shared" si="128"/>
        <v>-2678</v>
      </c>
      <c r="G628" s="359">
        <f ca="1">G613</f>
        <v>5.9119999999999999</v>
      </c>
      <c r="H628" s="308" t="s">
        <v>364</v>
      </c>
      <c r="I628" s="306">
        <f t="shared" ca="1" si="129"/>
        <v>-2743</v>
      </c>
      <c r="J628" s="306"/>
      <c r="K628" s="359" t="str">
        <f>K613</f>
        <v xml:space="preserve"> </v>
      </c>
      <c r="L628" s="308" t="s">
        <v>31</v>
      </c>
      <c r="M628" s="306">
        <f>'Rate Design Work eff 10-14-16'!M627</f>
        <v>0</v>
      </c>
      <c r="N628" s="306"/>
      <c r="O628" s="359" t="e">
        <f ca="1">O613</f>
        <v>#REF!</v>
      </c>
      <c r="P628" s="308" t="s">
        <v>364</v>
      </c>
      <c r="Q628" s="306" t="e">
        <f ca="1">'Rate Design Work eff 10-14-16'!Q627</f>
        <v>#REF!</v>
      </c>
      <c r="R628" s="306"/>
      <c r="S628" s="359" t="e">
        <f ca="1">S613</f>
        <v>#REF!</v>
      </c>
      <c r="T628" s="308" t="s">
        <v>364</v>
      </c>
      <c r="U628" s="2" t="e">
        <f ca="1">'Rate Design Work eff 10-14-16'!U627</f>
        <v>#REF!</v>
      </c>
      <c r="AJ628" s="20"/>
      <c r="AK628" s="20"/>
      <c r="AL628" s="20"/>
      <c r="AM628" s="20"/>
      <c r="AN628" s="20"/>
      <c r="AO628" s="20"/>
      <c r="AP628" s="20"/>
    </row>
    <row r="629" spans="1:44">
      <c r="A629" s="308" t="s">
        <v>389</v>
      </c>
      <c r="B629" s="1"/>
      <c r="C629" s="304">
        <f t="shared" si="127"/>
        <v>8425606.6666666716</v>
      </c>
      <c r="D629" s="359">
        <f>'Rate Design Work eff 9-15-17'!D628</f>
        <v>5.2879999999999994</v>
      </c>
      <c r="E629" s="308" t="s">
        <v>364</v>
      </c>
      <c r="F629" s="306">
        <f t="shared" si="128"/>
        <v>-4455</v>
      </c>
      <c r="G629" s="359">
        <f ca="1">G614</f>
        <v>5.41</v>
      </c>
      <c r="H629" s="308" t="s">
        <v>364</v>
      </c>
      <c r="I629" s="306">
        <f t="shared" ca="1" si="129"/>
        <v>-4558</v>
      </c>
      <c r="J629" s="306"/>
      <c r="K629" s="359" t="str">
        <f>K614</f>
        <v xml:space="preserve"> </v>
      </c>
      <c r="L629" s="308" t="s">
        <v>31</v>
      </c>
      <c r="M629" s="306">
        <f>'Rate Design Work eff 10-14-16'!M628</f>
        <v>0</v>
      </c>
      <c r="N629" s="306"/>
      <c r="O629" s="359" t="e">
        <f ca="1">O614</f>
        <v>#REF!</v>
      </c>
      <c r="P629" s="308" t="s">
        <v>364</v>
      </c>
      <c r="Q629" s="306" t="e">
        <f ca="1">'Rate Design Work eff 10-14-16'!Q628</f>
        <v>#REF!</v>
      </c>
      <c r="R629" s="306"/>
      <c r="S629" s="359" t="e">
        <f ca="1">S614</f>
        <v>#REF!</v>
      </c>
      <c r="T629" s="308" t="s">
        <v>364</v>
      </c>
      <c r="U629" s="2" t="e">
        <f ca="1">'Rate Design Work eff 10-14-16'!U628</f>
        <v>#REF!</v>
      </c>
      <c r="AJ629" s="20"/>
      <c r="AK629" s="20"/>
      <c r="AL629" s="20"/>
      <c r="AM629" s="20"/>
      <c r="AN629" s="20"/>
      <c r="AO629" s="20"/>
      <c r="AP629" s="20"/>
    </row>
    <row r="630" spans="1:44">
      <c r="A630" s="308" t="s">
        <v>390</v>
      </c>
      <c r="B630" s="1"/>
      <c r="C630" s="304">
        <f t="shared" si="127"/>
        <v>8751.9666666666617</v>
      </c>
      <c r="D630" s="360">
        <f>'Rate Design Work eff 9-15-17'!D629</f>
        <v>57</v>
      </c>
      <c r="E630" s="308" t="s">
        <v>364</v>
      </c>
      <c r="F630" s="306">
        <f t="shared" si="128"/>
        <v>-49</v>
      </c>
      <c r="G630" s="360">
        <f ca="1">G615</f>
        <v>58</v>
      </c>
      <c r="H630" s="308" t="s">
        <v>364</v>
      </c>
      <c r="I630" s="306">
        <f t="shared" ca="1" si="129"/>
        <v>-51</v>
      </c>
      <c r="J630" s="306"/>
      <c r="K630" s="360" t="str">
        <f>K615</f>
        <v xml:space="preserve"> </v>
      </c>
      <c r="L630" s="308" t="s">
        <v>31</v>
      </c>
      <c r="M630" s="306">
        <f>'Rate Design Work eff 10-14-16'!M629</f>
        <v>0</v>
      </c>
      <c r="N630" s="306"/>
      <c r="O630" s="360" t="e">
        <f ca="1">O615</f>
        <v>#DIV/0!</v>
      </c>
      <c r="P630" s="308" t="s">
        <v>364</v>
      </c>
      <c r="Q630" s="306" t="e">
        <f ca="1">'Rate Design Work eff 10-14-16'!Q629</f>
        <v>#DIV/0!</v>
      </c>
      <c r="R630" s="306"/>
      <c r="S630" s="360" t="e">
        <f ca="1">S615</f>
        <v>#DIV/0!</v>
      </c>
      <c r="T630" s="308" t="s">
        <v>364</v>
      </c>
      <c r="U630" s="2" t="e">
        <f ca="1">'Rate Design Work eff 10-14-16'!U629</f>
        <v>#DIV/0!</v>
      </c>
      <c r="AJ630" s="20"/>
      <c r="AK630" s="20"/>
      <c r="AL630" s="20"/>
      <c r="AM630" s="20"/>
      <c r="AN630" s="20"/>
      <c r="AO630" s="20"/>
      <c r="AP630" s="20"/>
    </row>
    <row r="631" spans="1:44">
      <c r="A631" s="308" t="s">
        <v>433</v>
      </c>
      <c r="B631" s="1"/>
      <c r="C631" s="304">
        <f t="shared" si="127"/>
        <v>135.96666666666667</v>
      </c>
      <c r="D631" s="283">
        <f>'Rate Design Work eff 9-15-17'!D630</f>
        <v>60</v>
      </c>
      <c r="E631" s="1"/>
      <c r="F631" s="306">
        <f t="shared" si="128"/>
        <v>8158</v>
      </c>
      <c r="G631" s="283">
        <f>'Rate Design Work eff 9-15-17'!G630</f>
        <v>60</v>
      </c>
      <c r="H631" s="1"/>
      <c r="I631" s="306">
        <f t="shared" si="129"/>
        <v>8158</v>
      </c>
      <c r="J631" s="306"/>
      <c r="K631" s="283" t="str">
        <f>'Rate Design Work eff 10-14-16'!K630</f>
        <v xml:space="preserve"> </v>
      </c>
      <c r="L631" s="1"/>
      <c r="M631" s="306">
        <f>'Rate Design Work eff 10-14-16'!M630</f>
        <v>0</v>
      </c>
      <c r="N631" s="306"/>
      <c r="O631" s="283" t="e">
        <f>'Rate Design Work eff 10-14-16'!O630</f>
        <v>#DIV/0!</v>
      </c>
      <c r="P631" s="1"/>
      <c r="Q631" s="306" t="e">
        <f>'Rate Design Work eff 10-14-16'!Q630</f>
        <v>#DIV/0!</v>
      </c>
      <c r="R631" s="306"/>
      <c r="S631" s="283" t="e">
        <f>'Rate Design Work eff 10-14-16'!S630</f>
        <v>#DIV/0!</v>
      </c>
      <c r="T631" s="1"/>
      <c r="U631" s="2" t="e">
        <f>'Rate Design Work eff 10-14-16'!U630</f>
        <v>#DIV/0!</v>
      </c>
      <c r="AJ631" s="20"/>
      <c r="AK631" s="20"/>
      <c r="AL631" s="20"/>
      <c r="AM631" s="20"/>
      <c r="AN631" s="20"/>
      <c r="AO631" s="20"/>
      <c r="AP631" s="20"/>
    </row>
    <row r="632" spans="1:44">
      <c r="A632" s="308" t="s">
        <v>434</v>
      </c>
      <c r="B632" s="1"/>
      <c r="C632" s="304">
        <f t="shared" si="127"/>
        <v>53526</v>
      </c>
      <c r="D632" s="324">
        <f>'Rate Design Work eff 9-15-17'!D631</f>
        <v>-30</v>
      </c>
      <c r="E632" s="306" t="s">
        <v>364</v>
      </c>
      <c r="F632" s="306">
        <f t="shared" si="128"/>
        <v>-16058</v>
      </c>
      <c r="G632" s="324">
        <f>'Rate Design Work eff 9-15-17'!G631</f>
        <v>-30</v>
      </c>
      <c r="H632" s="306" t="s">
        <v>364</v>
      </c>
      <c r="I632" s="306">
        <f t="shared" si="129"/>
        <v>-16058</v>
      </c>
      <c r="J632" s="306"/>
      <c r="K632" s="324">
        <f>'Rate Design Work eff 10-14-16'!K631</f>
        <v>-30</v>
      </c>
      <c r="L632" s="306" t="s">
        <v>364</v>
      </c>
      <c r="M632" s="306">
        <f>'Rate Design Work eff 10-14-16'!M631</f>
        <v>-16058</v>
      </c>
      <c r="N632" s="306"/>
      <c r="O632" s="1281" t="s">
        <v>31</v>
      </c>
      <c r="P632" s="306" t="s">
        <v>31</v>
      </c>
      <c r="Q632" s="306">
        <f>'Rate Design Work eff 10-14-16'!Q631</f>
        <v>0</v>
      </c>
      <c r="R632" s="306"/>
      <c r="S632" s="324">
        <f>'Blocking - detail'!U505</f>
        <v>0</v>
      </c>
      <c r="T632" s="306" t="s">
        <v>31</v>
      </c>
      <c r="U632" s="2">
        <f>'Rate Design Work eff 10-14-16'!U631</f>
        <v>0</v>
      </c>
      <c r="AJ632" s="20"/>
      <c r="AK632" s="20"/>
      <c r="AL632" s="20"/>
      <c r="AM632" s="20"/>
      <c r="AN632" s="20"/>
      <c r="AO632" s="20"/>
      <c r="AP632" s="20"/>
    </row>
    <row r="633" spans="1:44" s="1118" customFormat="1" hidden="1">
      <c r="A633" s="968" t="s">
        <v>882</v>
      </c>
      <c r="C633" s="987">
        <f>C628</f>
        <v>4639573.3333333302</v>
      </c>
      <c r="D633" s="254">
        <f>'Rate Design Work eff 9-15-17'!D632</f>
        <v>0</v>
      </c>
      <c r="E633" s="1119"/>
      <c r="F633" s="1123"/>
      <c r="G633" s="1128">
        <f>G616</f>
        <v>0</v>
      </c>
      <c r="H633" s="1000" t="s">
        <v>364</v>
      </c>
      <c r="I633" s="306">
        <f t="shared" si="129"/>
        <v>0</v>
      </c>
      <c r="J633" s="306"/>
      <c r="K633" s="1128" t="str">
        <f>K616</f>
        <v xml:space="preserve"> </v>
      </c>
      <c r="L633" s="1000" t="s">
        <v>31</v>
      </c>
      <c r="M633" s="306">
        <f>'Rate Design Work eff 10-14-16'!M632</f>
        <v>0</v>
      </c>
      <c r="N633" s="306"/>
      <c r="O633" s="1128" t="str">
        <f>O616</f>
        <v xml:space="preserve"> </v>
      </c>
      <c r="P633" s="1000" t="s">
        <v>31</v>
      </c>
      <c r="Q633" s="306">
        <f>'Rate Design Work eff 10-14-16'!Q632</f>
        <v>0</v>
      </c>
      <c r="R633" s="306"/>
      <c r="S633" s="1128">
        <f>S616</f>
        <v>0</v>
      </c>
      <c r="T633" s="1000" t="s">
        <v>364</v>
      </c>
      <c r="U633" s="2">
        <f>'Rate Design Work eff 10-14-16'!U632</f>
        <v>0</v>
      </c>
      <c r="V633" s="1118" t="s">
        <v>31</v>
      </c>
      <c r="W633" s="784"/>
      <c r="Z633" s="1125"/>
      <c r="AA633" s="1125"/>
      <c r="AF633" s="1119"/>
      <c r="AG633" s="1119"/>
      <c r="AH633" s="1119"/>
      <c r="AI633" s="1119"/>
      <c r="AJ633" s="1119"/>
      <c r="AK633" s="1119"/>
      <c r="AL633" s="1119"/>
      <c r="AM633" s="1119"/>
      <c r="AN633" s="1119"/>
      <c r="AO633" s="1119"/>
      <c r="AP633" s="1119"/>
      <c r="AR633" s="1124"/>
    </row>
    <row r="634" spans="1:44" s="1118" customFormat="1" hidden="1">
      <c r="A634" s="968" t="s">
        <v>883</v>
      </c>
      <c r="C634" s="987">
        <f>C629</f>
        <v>8425606.6666666716</v>
      </c>
      <c r="D634" s="254">
        <f>'Rate Design Work eff 9-15-17'!D633</f>
        <v>0</v>
      </c>
      <c r="E634" s="1119"/>
      <c r="F634" s="1123"/>
      <c r="G634" s="1128">
        <f>G617</f>
        <v>0</v>
      </c>
      <c r="H634" s="1000" t="s">
        <v>364</v>
      </c>
      <c r="I634" s="306">
        <f t="shared" si="129"/>
        <v>0</v>
      </c>
      <c r="J634" s="306"/>
      <c r="K634" s="1128" t="str">
        <f>K617</f>
        <v xml:space="preserve"> </v>
      </c>
      <c r="L634" s="1000" t="s">
        <v>31</v>
      </c>
      <c r="M634" s="306">
        <f>'Rate Design Work eff 10-14-16'!M633</f>
        <v>0</v>
      </c>
      <c r="N634" s="306"/>
      <c r="O634" s="1128" t="str">
        <f>O617</f>
        <v xml:space="preserve"> </v>
      </c>
      <c r="P634" s="1000" t="s">
        <v>31</v>
      </c>
      <c r="Q634" s="306">
        <f>'Rate Design Work eff 10-14-16'!Q633</f>
        <v>0</v>
      </c>
      <c r="R634" s="306"/>
      <c r="S634" s="1128">
        <f>S617</f>
        <v>0</v>
      </c>
      <c r="T634" s="1000" t="s">
        <v>364</v>
      </c>
      <c r="U634" s="2">
        <f>'Rate Design Work eff 10-14-16'!U633</f>
        <v>0</v>
      </c>
      <c r="V634" s="1118" t="s">
        <v>31</v>
      </c>
      <c r="W634" s="784"/>
      <c r="Z634" s="1125"/>
      <c r="AA634" s="1125"/>
      <c r="AF634" s="1119"/>
      <c r="AG634" s="1119"/>
      <c r="AH634" s="1119"/>
      <c r="AI634" s="1119"/>
      <c r="AJ634" s="1119"/>
      <c r="AK634" s="1119"/>
      <c r="AL634" s="1119"/>
      <c r="AM634" s="1119"/>
      <c r="AN634" s="1119"/>
      <c r="AO634" s="1119"/>
      <c r="AP634" s="1119"/>
      <c r="AR634" s="1124"/>
    </row>
    <row r="635" spans="1:44">
      <c r="A635" s="1" t="s">
        <v>371</v>
      </c>
      <c r="B635" s="65"/>
      <c r="C635" s="304">
        <f>C675+C713</f>
        <v>922516135.814906</v>
      </c>
      <c r="D635" s="309"/>
      <c r="E635" s="1"/>
      <c r="F635" s="2">
        <f>F675+F713</f>
        <v>72786063</v>
      </c>
      <c r="G635" s="2"/>
      <c r="H635" s="1"/>
      <c r="I635" s="2">
        <f t="shared" ca="1" si="129"/>
        <v>74506968</v>
      </c>
      <c r="J635" s="2"/>
      <c r="K635" s="2"/>
      <c r="L635" s="1"/>
      <c r="M635" s="2" t="e">
        <f ca="1">SUM(M603:M634)</f>
        <v>#REF!</v>
      </c>
      <c r="N635" s="2"/>
      <c r="O635" s="2"/>
      <c r="P635" s="1"/>
      <c r="Q635" s="2" t="e">
        <f ca="1">SUM(Q603:Q634)</f>
        <v>#REF!</v>
      </c>
      <c r="R635" s="2"/>
      <c r="S635" s="2"/>
      <c r="T635" s="1"/>
      <c r="U635" s="2" t="e">
        <f ca="1">SUM(U603:U634)</f>
        <v>#REF!</v>
      </c>
      <c r="X635" s="773"/>
      <c r="Y635" s="773"/>
      <c r="AJ635" s="20"/>
      <c r="AK635" s="20"/>
      <c r="AL635" s="20"/>
      <c r="AM635" s="20"/>
      <c r="AN635" s="20"/>
      <c r="AO635" s="20"/>
      <c r="AP635" s="20"/>
    </row>
    <row r="636" spans="1:44">
      <c r="A636" s="1" t="s">
        <v>353</v>
      </c>
      <c r="B636" s="25"/>
      <c r="C636" s="325">
        <f ca="1">C676+C714</f>
        <v>6097942.0909218071</v>
      </c>
      <c r="D636" s="294"/>
      <c r="E636" s="294"/>
      <c r="F636" s="295">
        <f ca="1">F676+F714</f>
        <v>526986.3902728206</v>
      </c>
      <c r="G636" s="294"/>
      <c r="H636" s="294"/>
      <c r="I636" s="295">
        <f ca="1">F636</f>
        <v>526986.3902728206</v>
      </c>
      <c r="J636" s="51"/>
      <c r="K636" s="294"/>
      <c r="L636" s="294"/>
      <c r="M636" s="295" t="e">
        <f ca="1">$I$636*V640/($V$640+$W$640+$X$640)</f>
        <v>#DIV/0!</v>
      </c>
      <c r="N636" s="51"/>
      <c r="O636" s="294"/>
      <c r="P636" s="294"/>
      <c r="Q636" s="295" t="e">
        <f ca="1">$I$636*W640/($V$640+$W$640+$X$640)</f>
        <v>#DIV/0!</v>
      </c>
      <c r="R636" s="51"/>
      <c r="S636" s="294"/>
      <c r="T636" s="294"/>
      <c r="U636" s="295" t="e">
        <f ca="1">$I$636*X640/($V$640+$W$640+$X$640)</f>
        <v>#DIV/0!</v>
      </c>
      <c r="V636" s="274"/>
      <c r="W636" s="275"/>
      <c r="AJ636" s="20"/>
      <c r="AK636" s="20"/>
      <c r="AL636" s="20"/>
      <c r="AM636" s="20"/>
      <c r="AN636" s="20"/>
      <c r="AO636" s="20"/>
      <c r="AP636" s="20"/>
    </row>
    <row r="637" spans="1:44" ht="16.5" thickBot="1">
      <c r="A637" s="1" t="s">
        <v>372</v>
      </c>
      <c r="B637" s="1"/>
      <c r="C637" s="351">
        <f ca="1">SUM(C635)+C636</f>
        <v>928614077.90582776</v>
      </c>
      <c r="D637" s="327"/>
      <c r="E637" s="330"/>
      <c r="F637" s="329">
        <f ca="1">F635+F636</f>
        <v>73313049.390272826</v>
      </c>
      <c r="G637" s="327"/>
      <c r="H637" s="330"/>
      <c r="I637" s="329">
        <f ca="1">I635+I636</f>
        <v>75033954.390272826</v>
      </c>
      <c r="J637" s="329"/>
      <c r="K637" s="327"/>
      <c r="L637" s="330"/>
      <c r="M637" s="329" t="e">
        <f ca="1">M635+M636</f>
        <v>#REF!</v>
      </c>
      <c r="N637" s="329"/>
      <c r="O637" s="327"/>
      <c r="P637" s="330"/>
      <c r="Q637" s="329" t="e">
        <f ca="1">Q635+Q636</f>
        <v>#REF!</v>
      </c>
      <c r="R637" s="329"/>
      <c r="S637" s="327"/>
      <c r="T637" s="330"/>
      <c r="U637" s="329" t="e">
        <f ca="1">U635+U636</f>
        <v>#REF!</v>
      </c>
      <c r="V637" s="757" t="s">
        <v>399</v>
      </c>
      <c r="W637" s="1082">
        <f ca="1">'Rate Spread targets'!X26*1000</f>
        <v>75033970.194648847</v>
      </c>
      <c r="X637" s="787">
        <f ca="1">'Rate Spread targets'!V26-0.091</f>
        <v>-7.4058551390443997E-2</v>
      </c>
      <c r="Y637" s="751"/>
      <c r="Z637" s="55" t="s">
        <v>31</v>
      </c>
      <c r="AJ637" s="20"/>
      <c r="AK637" s="20"/>
      <c r="AL637" s="20"/>
      <c r="AM637" s="20"/>
      <c r="AN637" s="20"/>
      <c r="AO637" s="20"/>
      <c r="AP637" s="20"/>
    </row>
    <row r="638" spans="1:44" ht="16.5" thickTop="1">
      <c r="A638" s="1"/>
      <c r="B638" s="1"/>
      <c r="C638" s="26"/>
      <c r="D638" s="336"/>
      <c r="E638" s="23"/>
      <c r="F638" s="307"/>
      <c r="G638" s="336"/>
      <c r="H638" s="23"/>
      <c r="I638" s="307"/>
      <c r="J638" s="307"/>
      <c r="K638" s="336"/>
      <c r="L638" s="23"/>
      <c r="M638" s="307"/>
      <c r="N638" s="307"/>
      <c r="O638" s="336"/>
      <c r="P638" s="23"/>
      <c r="Q638" s="307"/>
      <c r="R638" s="307"/>
      <c r="S638" s="336"/>
      <c r="T638" s="23"/>
      <c r="U638" s="1300" t="s">
        <v>31</v>
      </c>
      <c r="V638" s="112" t="s">
        <v>257</v>
      </c>
      <c r="W638" s="780">
        <f ca="1">W637-I637</f>
        <v>15.804376021027565</v>
      </c>
      <c r="X638" s="783" t="s">
        <v>31</v>
      </c>
      <c r="Y638" s="751"/>
      <c r="Z638" s="55"/>
      <c r="AJ638" s="20"/>
      <c r="AK638" s="20"/>
      <c r="AL638" s="20"/>
      <c r="AM638" s="20"/>
      <c r="AN638" s="20"/>
      <c r="AO638" s="20"/>
      <c r="AP638" s="20"/>
    </row>
    <row r="639" spans="1:44" hidden="1">
      <c r="A639" s="1"/>
      <c r="B639" s="1"/>
      <c r="C639" s="26"/>
      <c r="D639" s="336"/>
      <c r="E639" s="23"/>
      <c r="F639" s="307"/>
      <c r="G639" s="336"/>
      <c r="H639" s="23"/>
      <c r="I639" s="307"/>
      <c r="J639" s="307"/>
      <c r="K639" s="336"/>
      <c r="L639" s="23"/>
      <c r="M639" s="307"/>
      <c r="N639" s="307"/>
      <c r="O639" s="336"/>
      <c r="P639" s="23"/>
      <c r="Q639" s="307"/>
      <c r="R639" s="307"/>
      <c r="S639" s="336"/>
      <c r="T639" s="23"/>
      <c r="U639" s="1300" t="s">
        <v>31</v>
      </c>
      <c r="V639" s="1279"/>
      <c r="W639" s="1279"/>
      <c r="X639" s="719"/>
      <c r="Y639" s="751"/>
      <c r="Z639" s="55"/>
      <c r="AJ639" s="20"/>
      <c r="AK639" s="20"/>
      <c r="AL639" s="20"/>
      <c r="AM639" s="20"/>
      <c r="AN639" s="20"/>
      <c r="AO639" s="20"/>
      <c r="AP639" s="20"/>
    </row>
    <row r="640" spans="1:44" hidden="1">
      <c r="A640" s="1"/>
      <c r="B640" s="1"/>
      <c r="C640" s="21"/>
      <c r="D640" s="322" t="s">
        <v>31</v>
      </c>
      <c r="E640" s="1"/>
      <c r="F640" s="2" t="s">
        <v>31</v>
      </c>
      <c r="G640" s="338" t="s">
        <v>31</v>
      </c>
      <c r="H640" s="1"/>
      <c r="I640" s="2" t="s">
        <v>31</v>
      </c>
      <c r="J640" s="2"/>
      <c r="K640" s="338" t="s">
        <v>31</v>
      </c>
      <c r="L640" s="1"/>
      <c r="M640" s="2" t="s">
        <v>31</v>
      </c>
      <c r="N640" s="2"/>
      <c r="O640" s="338" t="s">
        <v>31</v>
      </c>
      <c r="P640" s="1"/>
      <c r="Q640" s="2" t="s">
        <v>31</v>
      </c>
      <c r="R640" s="2"/>
      <c r="S640" s="338" t="s">
        <v>31</v>
      </c>
      <c r="T640" s="1"/>
      <c r="U640" s="2" t="s">
        <v>31</v>
      </c>
      <c r="V640" s="1124"/>
      <c r="W640" s="1124"/>
      <c r="X640" s="1124"/>
      <c r="Y640" s="1129"/>
      <c r="AJ640" s="20"/>
      <c r="AK640" s="20"/>
      <c r="AL640" s="20"/>
      <c r="AM640" s="20"/>
      <c r="AN640" s="20"/>
      <c r="AO640" s="20"/>
      <c r="AP640" s="20"/>
    </row>
    <row r="641" spans="1:42" hidden="1">
      <c r="A641" s="278" t="s">
        <v>426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20"/>
      <c r="AK641" s="20"/>
      <c r="AL641" s="20"/>
      <c r="AM641" s="20"/>
      <c r="AN641" s="20"/>
      <c r="AO641" s="20"/>
      <c r="AP641" s="20"/>
    </row>
    <row r="642" spans="1:42" hidden="1">
      <c r="A642" s="294" t="s">
        <v>435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261" t="s">
        <v>31</v>
      </c>
      <c r="AJ642" s="20"/>
      <c r="AK642" s="20"/>
      <c r="AL642" s="20"/>
      <c r="AM642" s="20"/>
      <c r="AN642" s="20"/>
      <c r="AO642" s="20"/>
      <c r="AP642" s="20"/>
    </row>
    <row r="643" spans="1:42" hidden="1">
      <c r="A643" s="308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20"/>
      <c r="W643" s="74"/>
      <c r="X643" s="74"/>
      <c r="Y643" s="74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</row>
    <row r="644" spans="1:42" hidden="1">
      <c r="A644" s="308" t="s">
        <v>383</v>
      </c>
      <c r="B644" s="1"/>
      <c r="C644" s="304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20"/>
      <c r="W644" s="74"/>
      <c r="X644" s="74"/>
      <c r="Y644" s="74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</row>
    <row r="645" spans="1:42" hidden="1">
      <c r="A645" s="308" t="s">
        <v>411</v>
      </c>
      <c r="B645" s="1"/>
      <c r="C645" s="304">
        <f>'Rate Design Work eff 10-14-16'!C644</f>
        <v>389.06666666666672</v>
      </c>
      <c r="D645" s="283">
        <f>'Rate Design Work eff 9-15-17'!D644</f>
        <v>264</v>
      </c>
      <c r="E645" s="308"/>
      <c r="F645" s="306">
        <f>ROUND(D645*C645,0)</f>
        <v>102714</v>
      </c>
      <c r="G645" s="283">
        <f ca="1">$G$603</f>
        <v>268</v>
      </c>
      <c r="H645" s="308"/>
      <c r="I645" s="306">
        <f ca="1">ROUND(G645*$C645,0)</f>
        <v>104270</v>
      </c>
      <c r="J645" s="306"/>
      <c r="K645" s="283">
        <f ca="1">$K$603</f>
        <v>264</v>
      </c>
      <c r="L645" s="308"/>
      <c r="M645" s="306">
        <f ca="1">ROUND(K645*$C645,0)</f>
        <v>102714</v>
      </c>
      <c r="N645" s="306"/>
      <c r="O645" s="283" t="str">
        <f>$O$603</f>
        <v xml:space="preserve"> </v>
      </c>
      <c r="P645" s="308"/>
      <c r="Q645" s="306">
        <f>ROUND(O645*$C645,0)</f>
        <v>0</v>
      </c>
      <c r="R645" s="306"/>
      <c r="S645" s="283" t="str">
        <f>$S$603</f>
        <v xml:space="preserve"> </v>
      </c>
      <c r="T645" s="308"/>
      <c r="U645" s="306">
        <f>ROUND(S645*$C645,0)</f>
        <v>0</v>
      </c>
      <c r="X645" s="74"/>
      <c r="Y645" s="74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</row>
    <row r="646" spans="1:42" hidden="1">
      <c r="A646" s="308" t="s">
        <v>412</v>
      </c>
      <c r="B646" s="1"/>
      <c r="C646" s="304">
        <f>'Rate Design Work eff 10-14-16'!C645</f>
        <v>7908.9999999999536</v>
      </c>
      <c r="D646" s="283">
        <f>'Rate Design Work eff 9-15-17'!D645</f>
        <v>98</v>
      </c>
      <c r="E646" s="308"/>
      <c r="F646" s="306">
        <f>ROUND(D646*C646,0)</f>
        <v>775082</v>
      </c>
      <c r="G646" s="283">
        <f ca="1">$G$604</f>
        <v>100</v>
      </c>
      <c r="H646" s="308"/>
      <c r="I646" s="306">
        <f ca="1">ROUND(G646*$C646,0)</f>
        <v>790900</v>
      </c>
      <c r="J646" s="306"/>
      <c r="K646" s="283">
        <f ca="1">$K$604</f>
        <v>98</v>
      </c>
      <c r="L646" s="308"/>
      <c r="M646" s="306">
        <f ca="1">ROUND(K646*$C646,0)</f>
        <v>775082</v>
      </c>
      <c r="N646" s="306"/>
      <c r="O646" s="283" t="str">
        <f>$O$604</f>
        <v xml:space="preserve"> </v>
      </c>
      <c r="P646" s="308"/>
      <c r="Q646" s="306">
        <f>ROUND(O646*$C646,0)</f>
        <v>0</v>
      </c>
      <c r="R646" s="306"/>
      <c r="S646" s="283" t="str">
        <f>$S$604</f>
        <v xml:space="preserve"> </v>
      </c>
      <c r="T646" s="308"/>
      <c r="U646" s="306">
        <f>ROUND(S646*$C646,0)</f>
        <v>0</v>
      </c>
      <c r="X646" s="74"/>
      <c r="Y646" s="74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</row>
    <row r="647" spans="1:42" hidden="1">
      <c r="A647" s="308" t="s">
        <v>413</v>
      </c>
      <c r="B647" s="1"/>
      <c r="C647" s="304">
        <f>'Rate Design Work eff 10-14-16'!C646</f>
        <v>3359.0333333333369</v>
      </c>
      <c r="D647" s="283">
        <f>'Rate Design Work eff 9-15-17'!D646</f>
        <v>195</v>
      </c>
      <c r="E647" s="310"/>
      <c r="F647" s="306">
        <f>ROUND(D647*C647,0)</f>
        <v>655012</v>
      </c>
      <c r="G647" s="283">
        <f ca="1">$G$605</f>
        <v>200</v>
      </c>
      <c r="H647" s="310"/>
      <c r="I647" s="306">
        <f ca="1">ROUND(G647*$C647,0)</f>
        <v>671807</v>
      </c>
      <c r="J647" s="306"/>
      <c r="K647" s="283">
        <f ca="1">$K$605</f>
        <v>195</v>
      </c>
      <c r="L647" s="310"/>
      <c r="M647" s="306">
        <f ca="1">ROUND(K647*$C647,0)</f>
        <v>655012</v>
      </c>
      <c r="N647" s="306"/>
      <c r="O647" s="283" t="str">
        <f>$O$605</f>
        <v xml:space="preserve"> </v>
      </c>
      <c r="P647" s="310"/>
      <c r="Q647" s="306">
        <f>ROUND(O647*$C647,0)</f>
        <v>0</v>
      </c>
      <c r="R647" s="306"/>
      <c r="S647" s="283" t="str">
        <f>$S$605</f>
        <v xml:space="preserve"> </v>
      </c>
      <c r="T647" s="310"/>
      <c r="U647" s="306">
        <f>ROUND(S647*$C647,0)</f>
        <v>0</v>
      </c>
      <c r="X647" s="74"/>
      <c r="Y647" s="74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</row>
    <row r="648" spans="1:42" hidden="1">
      <c r="A648" s="308" t="s">
        <v>384</v>
      </c>
      <c r="B648" s="1"/>
      <c r="C648" s="304">
        <f>SUM(C645:C647)</f>
        <v>11657.099999999957</v>
      </c>
      <c r="D648" s="283"/>
      <c r="E648" s="308"/>
      <c r="F648" s="306"/>
      <c r="G648" s="283"/>
      <c r="H648" s="308"/>
      <c r="I648" s="306"/>
      <c r="J648" s="306"/>
      <c r="K648" s="283"/>
      <c r="L648" s="308"/>
      <c r="M648" s="306"/>
      <c r="N648" s="306"/>
      <c r="O648" s="283"/>
      <c r="P648" s="308"/>
      <c r="Q648" s="306"/>
      <c r="R648" s="306"/>
      <c r="S648" s="283"/>
      <c r="T648" s="308"/>
      <c r="U648" s="306"/>
      <c r="X648" s="74"/>
      <c r="Y648" s="74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</row>
    <row r="649" spans="1:42" hidden="1">
      <c r="A649" s="308" t="s">
        <v>412</v>
      </c>
      <c r="B649" s="1"/>
      <c r="C649" s="304">
        <f>'Rate Design Work eff 10-14-16'!C648</f>
        <v>1361738.5</v>
      </c>
      <c r="D649" s="283">
        <f>'Rate Design Work eff 9-15-17'!D648</f>
        <v>1.79</v>
      </c>
      <c r="E649" s="308" t="s">
        <v>31</v>
      </c>
      <c r="F649" s="306">
        <f>ROUND(D649*C649,0)</f>
        <v>2437512</v>
      </c>
      <c r="G649" s="283">
        <f ca="1">$G$607</f>
        <v>1.83</v>
      </c>
      <c r="H649" s="308" t="s">
        <v>31</v>
      </c>
      <c r="I649" s="306">
        <f ca="1">ROUND(G649*$C649,0)</f>
        <v>2491981</v>
      </c>
      <c r="J649" s="306"/>
      <c r="K649" s="283">
        <f ca="1">$K$607</f>
        <v>1.79</v>
      </c>
      <c r="L649" s="308" t="s">
        <v>31</v>
      </c>
      <c r="M649" s="306">
        <f ca="1">ROUND(K649*$C649,0)</f>
        <v>2437512</v>
      </c>
      <c r="N649" s="306"/>
      <c r="O649" s="283" t="str">
        <f>$O$607</f>
        <v xml:space="preserve"> </v>
      </c>
      <c r="P649" s="308" t="s">
        <v>31</v>
      </c>
      <c r="Q649" s="306">
        <f>ROUND(O649*$C649,0)</f>
        <v>0</v>
      </c>
      <c r="R649" s="306"/>
      <c r="S649" s="283" t="str">
        <f>$S$607</f>
        <v xml:space="preserve"> </v>
      </c>
      <c r="T649" s="308" t="s">
        <v>31</v>
      </c>
      <c r="U649" s="306">
        <f>ROUND(S649*$C649,0)</f>
        <v>0</v>
      </c>
      <c r="X649" s="74"/>
      <c r="Y649" s="74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</row>
    <row r="650" spans="1:42" hidden="1">
      <c r="A650" s="308" t="s">
        <v>413</v>
      </c>
      <c r="B650" s="1"/>
      <c r="C650" s="304">
        <f>'Rate Design Work eff 10-14-16'!C649</f>
        <v>1673144</v>
      </c>
      <c r="D650" s="283">
        <f>'Rate Design Work eff 9-15-17'!D649</f>
        <v>1.46</v>
      </c>
      <c r="E650" s="308" t="s">
        <v>31</v>
      </c>
      <c r="F650" s="306">
        <f>ROUND(D650*C650,0)</f>
        <v>2442790</v>
      </c>
      <c r="G650" s="283">
        <f ca="1">$G$608</f>
        <v>1.5</v>
      </c>
      <c r="H650" s="308" t="s">
        <v>31</v>
      </c>
      <c r="I650" s="306">
        <f ca="1">ROUND(G650*$C650,0)</f>
        <v>2509716</v>
      </c>
      <c r="J650" s="306"/>
      <c r="K650" s="283">
        <f ca="1">$K$608</f>
        <v>1.46</v>
      </c>
      <c r="L650" s="308" t="s">
        <v>31</v>
      </c>
      <c r="M650" s="306">
        <f ca="1">ROUND(K650*$C650,0)</f>
        <v>2442790</v>
      </c>
      <c r="N650" s="306"/>
      <c r="O650" s="283" t="str">
        <f>$O$608</f>
        <v xml:space="preserve"> </v>
      </c>
      <c r="P650" s="308" t="s">
        <v>31</v>
      </c>
      <c r="Q650" s="306">
        <f>ROUND(O650*$C650,0)</f>
        <v>0</v>
      </c>
      <c r="R650" s="306"/>
      <c r="S650" s="283" t="str">
        <f>$S$608</f>
        <v xml:space="preserve"> </v>
      </c>
      <c r="T650" s="308" t="s">
        <v>31</v>
      </c>
      <c r="U650" s="306">
        <f>ROUND(S650*$C650,0)</f>
        <v>0</v>
      </c>
      <c r="X650" s="74"/>
      <c r="Y650" s="74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</row>
    <row r="651" spans="1:42" hidden="1">
      <c r="A651" s="294" t="s">
        <v>414</v>
      </c>
      <c r="B651" s="1"/>
      <c r="C651" s="304"/>
      <c r="D651" s="340"/>
      <c r="E651" s="308"/>
      <c r="F651" s="306"/>
      <c r="G651" s="340"/>
      <c r="H651" s="308"/>
      <c r="I651" s="306"/>
      <c r="J651" s="306"/>
      <c r="K651" s="340"/>
      <c r="L651" s="308"/>
      <c r="M651" s="306"/>
      <c r="N651" s="306"/>
      <c r="O651" s="340"/>
      <c r="P651" s="308"/>
      <c r="Q651" s="306"/>
      <c r="R651" s="306"/>
      <c r="S651" s="340"/>
      <c r="T651" s="308"/>
      <c r="U651" s="306"/>
      <c r="X651" s="74"/>
      <c r="Y651" s="74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</row>
    <row r="652" spans="1:42" hidden="1">
      <c r="A652" s="294" t="s">
        <v>415</v>
      </c>
      <c r="B652" s="1"/>
      <c r="C652" s="304">
        <f>'Rate Design Work eff 10-14-16'!C651</f>
        <v>2302073.5</v>
      </c>
      <c r="D652" s="283">
        <f>'Rate Design Work eff 9-15-17'!D651</f>
        <v>5.47</v>
      </c>
      <c r="E652" s="308"/>
      <c r="F652" s="306">
        <f>ROUND(D652*C652,0)</f>
        <v>12592342</v>
      </c>
      <c r="G652" s="283">
        <f ca="1">$G$610</f>
        <v>5.6</v>
      </c>
      <c r="H652" s="308"/>
      <c r="I652" s="306">
        <f ca="1">ROUND(G652*$C652,0)</f>
        <v>12891612</v>
      </c>
      <c r="J652" s="306"/>
      <c r="K652" s="283" t="e">
        <f ca="1">$K$610</f>
        <v>#REF!</v>
      </c>
      <c r="L652" s="308"/>
      <c r="M652" s="306" t="e">
        <f ca="1">ROUND(K652*$C652,0)</f>
        <v>#REF!</v>
      </c>
      <c r="N652" s="306"/>
      <c r="O652" s="283">
        <f>$O$610</f>
        <v>0</v>
      </c>
      <c r="P652" s="308"/>
      <c r="Q652" s="306">
        <f>ROUND(O652*$C652,0)</f>
        <v>0</v>
      </c>
      <c r="R652" s="306"/>
      <c r="S652" s="283">
        <f>$S$610</f>
        <v>0</v>
      </c>
      <c r="T652" s="308"/>
      <c r="U652" s="306">
        <f>ROUND(S652*$C652,0)</f>
        <v>0</v>
      </c>
      <c r="X652" s="74"/>
      <c r="Y652" s="74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</row>
    <row r="653" spans="1:42" hidden="1">
      <c r="A653" s="294" t="s">
        <v>431</v>
      </c>
      <c r="B653" s="1"/>
      <c r="C653" s="304">
        <f>'Rate Design Work eff 10-14-16'!C652</f>
        <v>3562.6666666666692</v>
      </c>
      <c r="D653" s="354">
        <f>'Rate Design Work eff 9-15-17'!D652</f>
        <v>5.47</v>
      </c>
      <c r="E653" s="308"/>
      <c r="F653" s="306">
        <f>ROUND(D653*C653,0)</f>
        <v>19488</v>
      </c>
      <c r="G653" s="354">
        <f ca="1">G652</f>
        <v>5.6</v>
      </c>
      <c r="H653" s="308"/>
      <c r="I653" s="306">
        <f ca="1">ROUND(G653*$C653,0)</f>
        <v>19951</v>
      </c>
      <c r="J653" s="306"/>
      <c r="K653" s="354" t="e">
        <f ca="1">K652</f>
        <v>#REF!</v>
      </c>
      <c r="L653" s="308"/>
      <c r="M653" s="306" t="e">
        <f ca="1">ROUND(K653*$C653,0)</f>
        <v>#REF!</v>
      </c>
      <c r="N653" s="306"/>
      <c r="O653" s="354">
        <f>O652</f>
        <v>0</v>
      </c>
      <c r="P653" s="308"/>
      <c r="Q653" s="306">
        <f>ROUND(O653*$C653,0)</f>
        <v>0</v>
      </c>
      <c r="R653" s="306"/>
      <c r="S653" s="354">
        <f>S652</f>
        <v>0</v>
      </c>
      <c r="T653" s="308"/>
      <c r="U653" s="306">
        <f>ROUND(S653*$C653,0)</f>
        <v>0</v>
      </c>
      <c r="X653" s="74"/>
      <c r="Y653" s="74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</row>
    <row r="654" spans="1:42" hidden="1">
      <c r="A654" s="308" t="s">
        <v>416</v>
      </c>
      <c r="B654" s="1"/>
      <c r="C654" s="304"/>
      <c r="D654" s="283"/>
      <c r="E654" s="308"/>
      <c r="F654" s="306"/>
      <c r="G654" s="283"/>
      <c r="H654" s="308"/>
      <c r="I654" s="306"/>
      <c r="J654" s="306"/>
      <c r="K654" s="283"/>
      <c r="L654" s="308"/>
      <c r="M654" s="306"/>
      <c r="N654" s="306"/>
      <c r="O654" s="283"/>
      <c r="P654" s="308"/>
      <c r="Q654" s="306"/>
      <c r="R654" s="306"/>
      <c r="S654" s="283"/>
      <c r="T654" s="308"/>
      <c r="U654" s="306"/>
      <c r="X654" s="74"/>
      <c r="Y654" s="74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</row>
    <row r="655" spans="1:42" hidden="1">
      <c r="A655" s="308" t="s">
        <v>417</v>
      </c>
      <c r="B655" s="304"/>
      <c r="C655" s="304">
        <f>'Rate Design Work eff 10-14-16'!C654</f>
        <v>364977559.51704049</v>
      </c>
      <c r="D655" s="313">
        <f>'Rate Design Work eff 9-15-17'!D654</f>
        <v>5.7730000000000006</v>
      </c>
      <c r="E655" s="308" t="s">
        <v>364</v>
      </c>
      <c r="F655" s="306">
        <f>ROUND(D655*C655/100,0)</f>
        <v>21070155</v>
      </c>
      <c r="G655" s="312">
        <f ca="1">$G$613</f>
        <v>5.9119999999999999</v>
      </c>
      <c r="H655" s="308" t="s">
        <v>364</v>
      </c>
      <c r="I655" s="306">
        <f ca="1">ROUND(G655*$C655/100,0)</f>
        <v>21577473</v>
      </c>
      <c r="J655" s="306"/>
      <c r="K655" s="312" t="str">
        <f>$K$613</f>
        <v xml:space="preserve"> </v>
      </c>
      <c r="L655" s="308" t="s">
        <v>364</v>
      </c>
      <c r="M655" s="306">
        <f>ROUND(K655*$C655/100,0)</f>
        <v>0</v>
      </c>
      <c r="N655" s="306"/>
      <c r="O655" s="312" t="e">
        <f ca="1">$O$613</f>
        <v>#REF!</v>
      </c>
      <c r="P655" s="308" t="s">
        <v>364</v>
      </c>
      <c r="Q655" s="306" t="e">
        <f ca="1">ROUND(O655*$C655/100,0)</f>
        <v>#REF!</v>
      </c>
      <c r="R655" s="306"/>
      <c r="S655" s="312" t="e">
        <f ca="1">$S$613</f>
        <v>#REF!</v>
      </c>
      <c r="T655" s="308" t="s">
        <v>364</v>
      </c>
      <c r="U655" s="306" t="e">
        <f ca="1">ROUND(S655*$C655/100,0)</f>
        <v>#REF!</v>
      </c>
      <c r="X655" s="74"/>
      <c r="Y655" s="74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</row>
    <row r="656" spans="1:42" hidden="1">
      <c r="A656" s="308" t="s">
        <v>389</v>
      </c>
      <c r="B656" s="304"/>
      <c r="C656" s="304">
        <f>'Rate Design Work eff 10-14-16'!C655</f>
        <v>452336004.29786551</v>
      </c>
      <c r="D656" s="313">
        <f>'Rate Design Work eff 9-15-17'!D655</f>
        <v>5.2879999999999994</v>
      </c>
      <c r="E656" s="308" t="s">
        <v>364</v>
      </c>
      <c r="F656" s="306">
        <f>ROUND(D656*C656/100,0)</f>
        <v>23919528</v>
      </c>
      <c r="G656" s="312">
        <f ca="1">$G$614</f>
        <v>5.41</v>
      </c>
      <c r="H656" s="308" t="s">
        <v>364</v>
      </c>
      <c r="I656" s="306">
        <f ca="1">ROUND(G656*$C656/100,0)</f>
        <v>24471378</v>
      </c>
      <c r="J656" s="306"/>
      <c r="K656" s="312" t="str">
        <f>$K$614</f>
        <v xml:space="preserve"> </v>
      </c>
      <c r="L656" s="308" t="s">
        <v>364</v>
      </c>
      <c r="M656" s="306">
        <f>ROUND(K656*$C656/100,0)</f>
        <v>0</v>
      </c>
      <c r="N656" s="306"/>
      <c r="O656" s="312" t="e">
        <f ca="1">$O$614</f>
        <v>#REF!</v>
      </c>
      <c r="P656" s="308" t="s">
        <v>364</v>
      </c>
      <c r="Q656" s="306" t="e">
        <f ca="1">ROUND(O656*$C656/100,0)</f>
        <v>#REF!</v>
      </c>
      <c r="R656" s="306"/>
      <c r="S656" s="312" t="e">
        <f ca="1">$S$614</f>
        <v>#REF!</v>
      </c>
      <c r="T656" s="308" t="s">
        <v>364</v>
      </c>
      <c r="U656" s="306" t="e">
        <f ca="1">ROUND(S656*$C656/100,0)</f>
        <v>#REF!</v>
      </c>
      <c r="X656" s="74"/>
      <c r="Y656" s="74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</row>
    <row r="657" spans="1:44" hidden="1">
      <c r="A657" s="308" t="s">
        <v>390</v>
      </c>
      <c r="B657" s="1"/>
      <c r="C657" s="304">
        <f>'Rate Design Work eff 10-14-16'!C656</f>
        <v>391011.43333333306</v>
      </c>
      <c r="D657" s="956">
        <f>'Rate Design Work eff 9-15-17'!D656</f>
        <v>57</v>
      </c>
      <c r="E657" s="308" t="s">
        <v>364</v>
      </c>
      <c r="F657" s="306">
        <f>ROUND(D657*C657/100,0)</f>
        <v>222877</v>
      </c>
      <c r="G657" s="460">
        <f ca="1">$G$615</f>
        <v>58</v>
      </c>
      <c r="H657" s="308" t="s">
        <v>364</v>
      </c>
      <c r="I657" s="306">
        <f ca="1">ROUND(G657*$C657/100,0)</f>
        <v>226787</v>
      </c>
      <c r="J657" s="306"/>
      <c r="K657" s="460" t="str">
        <f>$K$615</f>
        <v xml:space="preserve"> </v>
      </c>
      <c r="L657" s="308" t="s">
        <v>364</v>
      </c>
      <c r="M657" s="306">
        <f>ROUND(K657*$C657/100,0)</f>
        <v>0</v>
      </c>
      <c r="N657" s="306"/>
      <c r="O657" s="460" t="e">
        <f ca="1">$O$615</f>
        <v>#DIV/0!</v>
      </c>
      <c r="P657" s="308" t="s">
        <v>364</v>
      </c>
      <c r="Q657" s="306" t="e">
        <f ca="1">ROUND(O657*$C657/100,0)</f>
        <v>#DIV/0!</v>
      </c>
      <c r="R657" s="306"/>
      <c r="S657" s="460" t="e">
        <f ca="1">$S$615</f>
        <v>#DIV/0!</v>
      </c>
      <c r="T657" s="308" t="s">
        <v>364</v>
      </c>
      <c r="U657" s="306" t="e">
        <f ca="1">ROUND(S657*$C657/100,0)</f>
        <v>#DIV/0!</v>
      </c>
      <c r="X657" s="74"/>
      <c r="Y657" s="74"/>
      <c r="Z657" s="7" t="s">
        <v>31</v>
      </c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</row>
    <row r="658" spans="1:44" s="1118" customFormat="1" hidden="1">
      <c r="A658" s="968" t="s">
        <v>882</v>
      </c>
      <c r="C658" s="1122">
        <f>C655</f>
        <v>364977559.51704049</v>
      </c>
      <c r="D658" s="254">
        <f>'Rate Design Work eff 9-15-17'!D657</f>
        <v>0</v>
      </c>
      <c r="E658" s="1119"/>
      <c r="F658" s="1123"/>
      <c r="G658" s="1128">
        <f>G616</f>
        <v>0</v>
      </c>
      <c r="H658" s="1000" t="s">
        <v>364</v>
      </c>
      <c r="I658" s="1000">
        <f t="shared" ref="I658:I659" si="130">ROUND(G658*$C658/100,0)</f>
        <v>0</v>
      </c>
      <c r="J658" s="1000"/>
      <c r="K658" s="1128" t="str">
        <f>K616</f>
        <v xml:space="preserve"> </v>
      </c>
      <c r="L658" s="1000" t="s">
        <v>364</v>
      </c>
      <c r="M658" s="1000">
        <f t="shared" ref="M658:M659" si="131">ROUND(K658*$C658/100,0)</f>
        <v>0</v>
      </c>
      <c r="N658" s="1000"/>
      <c r="O658" s="1128" t="str">
        <f>O616</f>
        <v xml:space="preserve"> </v>
      </c>
      <c r="P658" s="1000" t="s">
        <v>364</v>
      </c>
      <c r="Q658" s="1000">
        <f t="shared" ref="Q658:Q659" si="132">ROUND(O658*$C658/100,0)</f>
        <v>0</v>
      </c>
      <c r="R658" s="1000"/>
      <c r="S658" s="1128">
        <f>S616</f>
        <v>0</v>
      </c>
      <c r="T658" s="1000" t="s">
        <v>364</v>
      </c>
      <c r="U658" s="1000">
        <f t="shared" ref="U658:U659" si="133">ROUND(S658*$C658/100,0)</f>
        <v>0</v>
      </c>
      <c r="W658" s="1121"/>
      <c r="X658" s="1130"/>
      <c r="Y658" s="1120"/>
      <c r="Z658" s="1125"/>
      <c r="AA658" s="1125"/>
      <c r="AF658" s="1119"/>
      <c r="AG658" s="1119"/>
      <c r="AH658" s="1119"/>
      <c r="AI658" s="1119"/>
      <c r="AJ658" s="1119"/>
      <c r="AK658" s="1119"/>
      <c r="AL658" s="1119"/>
      <c r="AM658" s="1119"/>
      <c r="AN658" s="1119"/>
      <c r="AO658" s="1119"/>
      <c r="AP658" s="1119"/>
      <c r="AR658" s="1124"/>
    </row>
    <row r="659" spans="1:44" s="1118" customFormat="1" hidden="1">
      <c r="A659" s="968" t="s">
        <v>883</v>
      </c>
      <c r="C659" s="1122">
        <f>C656</f>
        <v>452336004.29786551</v>
      </c>
      <c r="D659" s="254">
        <f>'Rate Design Work eff 9-15-17'!D658</f>
        <v>0</v>
      </c>
      <c r="E659" s="1119"/>
      <c r="F659" s="1123"/>
      <c r="G659" s="1128">
        <f>G617</f>
        <v>0</v>
      </c>
      <c r="H659" s="1000" t="s">
        <v>364</v>
      </c>
      <c r="I659" s="1000">
        <f t="shared" si="130"/>
        <v>0</v>
      </c>
      <c r="J659" s="1000"/>
      <c r="K659" s="1128" t="str">
        <f>K617</f>
        <v xml:space="preserve"> </v>
      </c>
      <c r="L659" s="1000" t="s">
        <v>364</v>
      </c>
      <c r="M659" s="1000">
        <f t="shared" si="131"/>
        <v>0</v>
      </c>
      <c r="N659" s="1000"/>
      <c r="O659" s="1128" t="str">
        <f>O617</f>
        <v xml:space="preserve"> </v>
      </c>
      <c r="P659" s="1000" t="s">
        <v>364</v>
      </c>
      <c r="Q659" s="1000">
        <f t="shared" si="132"/>
        <v>0</v>
      </c>
      <c r="R659" s="1000"/>
      <c r="S659" s="1128">
        <f>S617</f>
        <v>0</v>
      </c>
      <c r="T659" s="1000" t="s">
        <v>364</v>
      </c>
      <c r="U659" s="1000">
        <f t="shared" si="133"/>
        <v>0</v>
      </c>
      <c r="W659" s="1121"/>
      <c r="X659" s="1130"/>
      <c r="Y659" s="1120"/>
      <c r="Z659" s="1125"/>
      <c r="AA659" s="1125"/>
      <c r="AF659" s="1119"/>
      <c r="AG659" s="1119"/>
      <c r="AH659" s="1119"/>
      <c r="AI659" s="1119"/>
      <c r="AJ659" s="1119"/>
      <c r="AK659" s="1119"/>
      <c r="AL659" s="1119"/>
      <c r="AM659" s="1119"/>
      <c r="AN659" s="1119"/>
      <c r="AO659" s="1119"/>
      <c r="AP659" s="1119"/>
      <c r="AR659" s="1124"/>
    </row>
    <row r="660" spans="1:44" hidden="1">
      <c r="A660" s="345" t="s">
        <v>391</v>
      </c>
      <c r="B660" s="1"/>
      <c r="C660" s="304"/>
      <c r="D660" s="317">
        <f>'Rate Design Work eff 9-15-17'!D659</f>
        <v>-0.01</v>
      </c>
      <c r="E660" s="1"/>
      <c r="F660" s="306"/>
      <c r="G660" s="317">
        <v>-0.01</v>
      </c>
      <c r="H660" s="1"/>
      <c r="I660" s="306"/>
      <c r="J660" s="306"/>
      <c r="K660" s="317">
        <v>-0.01</v>
      </c>
      <c r="L660" s="1"/>
      <c r="M660" s="306"/>
      <c r="N660" s="306"/>
      <c r="O660" s="317">
        <v>-0.01</v>
      </c>
      <c r="P660" s="1"/>
      <c r="Q660" s="306"/>
      <c r="R660" s="306"/>
      <c r="S660" s="317">
        <v>-0.01</v>
      </c>
      <c r="T660" s="1"/>
      <c r="U660" s="306"/>
      <c r="X660" s="401"/>
      <c r="Y660" s="74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</row>
    <row r="661" spans="1:44" hidden="1">
      <c r="A661" s="308" t="s">
        <v>411</v>
      </c>
      <c r="B661" s="21"/>
      <c r="C661" s="304">
        <f>'Rate Design Work eff 10-14-16'!C660</f>
        <v>7</v>
      </c>
      <c r="D661" s="289">
        <f>'Rate Design Work eff 9-15-17'!D660</f>
        <v>264</v>
      </c>
      <c r="E661" s="278"/>
      <c r="F661" s="306">
        <f t="shared" ref="F661:F667" si="134">ROUND(D661*C661*$D$660,0)</f>
        <v>-18</v>
      </c>
      <c r="G661" s="289">
        <f ca="1">G645</f>
        <v>268</v>
      </c>
      <c r="H661" s="278"/>
      <c r="I661" s="306">
        <f ca="1">ROUND(G661*$C661*G660,0)</f>
        <v>-19</v>
      </c>
      <c r="J661" s="306"/>
      <c r="K661" s="289">
        <f ca="1">K645</f>
        <v>264</v>
      </c>
      <c r="L661" s="278"/>
      <c r="M661" s="306">
        <f ca="1">ROUND(K661*$C661*K660,0)</f>
        <v>-18</v>
      </c>
      <c r="N661" s="306"/>
      <c r="O661" s="289" t="str">
        <f>O645</f>
        <v xml:space="preserve"> </v>
      </c>
      <c r="P661" s="278"/>
      <c r="Q661" s="306">
        <f>ROUND(O661*$C661*O660,0)</f>
        <v>0</v>
      </c>
      <c r="R661" s="306"/>
      <c r="S661" s="289" t="str">
        <f>S645</f>
        <v xml:space="preserve"> </v>
      </c>
      <c r="T661" s="278"/>
      <c r="U661" s="306">
        <f>ROUND(S661*$C661*S660,0)</f>
        <v>0</v>
      </c>
      <c r="X661" s="401"/>
      <c r="Y661" s="74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</row>
    <row r="662" spans="1:44" hidden="1">
      <c r="A662" s="308" t="s">
        <v>412</v>
      </c>
      <c r="B662" s="1"/>
      <c r="C662" s="304">
        <f>'Rate Design Work eff 10-14-16'!C661</f>
        <v>40.89999999999997</v>
      </c>
      <c r="D662" s="289">
        <f>'Rate Design Work eff 9-15-17'!D661</f>
        <v>98</v>
      </c>
      <c r="E662" s="278"/>
      <c r="F662" s="306">
        <f t="shared" si="134"/>
        <v>-40</v>
      </c>
      <c r="G662" s="289">
        <f ca="1">G646</f>
        <v>100</v>
      </c>
      <c r="H662" s="278"/>
      <c r="I662" s="306">
        <f ca="1">ROUND(G662*$C662*G660,0)</f>
        <v>-41</v>
      </c>
      <c r="J662" s="306"/>
      <c r="K662" s="289">
        <f ca="1">K646</f>
        <v>98</v>
      </c>
      <c r="L662" s="278"/>
      <c r="M662" s="306">
        <f ca="1">ROUND(K662*$C662*K660,0)</f>
        <v>-40</v>
      </c>
      <c r="N662" s="306"/>
      <c r="O662" s="289" t="str">
        <f>O646</f>
        <v xml:space="preserve"> </v>
      </c>
      <c r="P662" s="278"/>
      <c r="Q662" s="306">
        <f>ROUND(O662*$C662*O660,0)</f>
        <v>0</v>
      </c>
      <c r="R662" s="306"/>
      <c r="S662" s="289" t="str">
        <f>S646</f>
        <v xml:space="preserve"> </v>
      </c>
      <c r="T662" s="278"/>
      <c r="U662" s="306">
        <f>ROUND(S662*$C662*S660,0)</f>
        <v>0</v>
      </c>
      <c r="X662" s="401"/>
      <c r="Y662" s="74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</row>
    <row r="663" spans="1:44" hidden="1">
      <c r="A663" s="308" t="s">
        <v>413</v>
      </c>
      <c r="B663" s="1"/>
      <c r="C663" s="304">
        <f>'Rate Design Work eff 10-14-16'!C662</f>
        <v>71.866666666666703</v>
      </c>
      <c r="D663" s="289">
        <f>'Rate Design Work eff 9-15-17'!D662</f>
        <v>195</v>
      </c>
      <c r="E663" s="358"/>
      <c r="F663" s="306">
        <f t="shared" si="134"/>
        <v>-140</v>
      </c>
      <c r="G663" s="289">
        <f ca="1">G647</f>
        <v>200</v>
      </c>
      <c r="H663" s="358"/>
      <c r="I663" s="306">
        <f ca="1">ROUND(G663*$C663*G660,0)</f>
        <v>-144</v>
      </c>
      <c r="J663" s="306"/>
      <c r="K663" s="289">
        <f ca="1">K647</f>
        <v>195</v>
      </c>
      <c r="L663" s="358"/>
      <c r="M663" s="306">
        <f ca="1">ROUND(K663*$C663*K660,0)</f>
        <v>-140</v>
      </c>
      <c r="N663" s="306"/>
      <c r="O663" s="289" t="str">
        <f>O647</f>
        <v xml:space="preserve"> </v>
      </c>
      <c r="P663" s="358"/>
      <c r="Q663" s="306">
        <f>ROUND(O663*$C663*O660,0)</f>
        <v>0</v>
      </c>
      <c r="R663" s="306"/>
      <c r="S663" s="289" t="str">
        <f>S647</f>
        <v xml:space="preserve"> </v>
      </c>
      <c r="T663" s="358"/>
      <c r="U663" s="306">
        <f>ROUND(S663*$C663*S660,0)</f>
        <v>0</v>
      </c>
      <c r="X663" s="401"/>
      <c r="Y663" s="74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</row>
    <row r="664" spans="1:44" hidden="1">
      <c r="A664" s="308" t="s">
        <v>412</v>
      </c>
      <c r="B664" s="1"/>
      <c r="C664" s="304">
        <f>'Rate Design Work eff 10-14-16'!C663</f>
        <v>6443</v>
      </c>
      <c r="D664" s="289">
        <f>'Rate Design Work eff 9-15-17'!D663</f>
        <v>1.79</v>
      </c>
      <c r="E664" s="278"/>
      <c r="F664" s="306">
        <f t="shared" si="134"/>
        <v>-115</v>
      </c>
      <c r="G664" s="289">
        <f ca="1">G649</f>
        <v>1.83</v>
      </c>
      <c r="H664" s="278"/>
      <c r="I664" s="306">
        <f ca="1">ROUND(G664*$C664*G660,0)</f>
        <v>-118</v>
      </c>
      <c r="J664" s="306"/>
      <c r="K664" s="289">
        <f ca="1">K649</f>
        <v>1.79</v>
      </c>
      <c r="L664" s="278"/>
      <c r="M664" s="306">
        <f ca="1">ROUND(K664*$C664*K660,0)</f>
        <v>-115</v>
      </c>
      <c r="N664" s="306"/>
      <c r="O664" s="289" t="str">
        <f>O649</f>
        <v xml:space="preserve"> </v>
      </c>
      <c r="P664" s="278"/>
      <c r="Q664" s="306">
        <f>ROUND(O664*$C664*O660,0)</f>
        <v>0</v>
      </c>
      <c r="R664" s="306"/>
      <c r="S664" s="289" t="str">
        <f>S649</f>
        <v xml:space="preserve"> </v>
      </c>
      <c r="T664" s="278"/>
      <c r="U664" s="306">
        <f>ROUND(S664*$C664*S660,0)</f>
        <v>0</v>
      </c>
      <c r="X664" s="401"/>
      <c r="Y664" s="74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</row>
    <row r="665" spans="1:44" hidden="1">
      <c r="A665" s="308" t="s">
        <v>413</v>
      </c>
      <c r="B665" s="1"/>
      <c r="C665" s="304">
        <f>'Rate Design Work eff 10-14-16'!C664</f>
        <v>44991</v>
      </c>
      <c r="D665" s="289">
        <f>'Rate Design Work eff 9-15-17'!D664</f>
        <v>1.46</v>
      </c>
      <c r="E665" s="278"/>
      <c r="F665" s="306">
        <f t="shared" si="134"/>
        <v>-657</v>
      </c>
      <c r="G665" s="289">
        <f ca="1">G650</f>
        <v>1.5</v>
      </c>
      <c r="H665" s="278"/>
      <c r="I665" s="306">
        <f ca="1">ROUND(G665*$C665*G660,0)</f>
        <v>-675</v>
      </c>
      <c r="J665" s="306"/>
      <c r="K665" s="289">
        <f ca="1">K650</f>
        <v>1.46</v>
      </c>
      <c r="L665" s="278"/>
      <c r="M665" s="306">
        <f ca="1">ROUND(K665*$C665*K660,0)</f>
        <v>-657</v>
      </c>
      <c r="N665" s="306"/>
      <c r="O665" s="289" t="str">
        <f>O650</f>
        <v xml:space="preserve"> </v>
      </c>
      <c r="P665" s="278"/>
      <c r="Q665" s="306">
        <f>ROUND(O665*$C665*O660,0)</f>
        <v>0</v>
      </c>
      <c r="R665" s="306"/>
      <c r="S665" s="289" t="str">
        <f>S650</f>
        <v xml:space="preserve"> </v>
      </c>
      <c r="T665" s="278"/>
      <c r="U665" s="306">
        <f>ROUND(S665*$C665*S660,0)</f>
        <v>0</v>
      </c>
      <c r="X665" s="401"/>
      <c r="Y665" s="74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</row>
    <row r="666" spans="1:44" hidden="1">
      <c r="A666" s="294" t="s">
        <v>415</v>
      </c>
      <c r="B666" s="1"/>
      <c r="C666" s="304">
        <f>'Rate Design Work eff 10-14-16'!C665</f>
        <v>34590</v>
      </c>
      <c r="D666" s="289">
        <f>'Rate Design Work eff 9-15-17'!D665</f>
        <v>5.47</v>
      </c>
      <c r="E666" s="278"/>
      <c r="F666" s="306">
        <f t="shared" si="134"/>
        <v>-1892</v>
      </c>
      <c r="G666" s="289">
        <f ca="1">G652</f>
        <v>5.6</v>
      </c>
      <c r="H666" s="278"/>
      <c r="I666" s="306">
        <f ca="1">ROUND(G666*$C666*G660,0)</f>
        <v>-1937</v>
      </c>
      <c r="J666" s="306"/>
      <c r="K666" s="289" t="e">
        <f ca="1">K652</f>
        <v>#REF!</v>
      </c>
      <c r="L666" s="278"/>
      <c r="M666" s="306" t="e">
        <f ca="1">ROUND(K666*$C666*K660,0)</f>
        <v>#REF!</v>
      </c>
      <c r="N666" s="306"/>
      <c r="O666" s="289">
        <f>O652</f>
        <v>0</v>
      </c>
      <c r="P666" s="278"/>
      <c r="Q666" s="306">
        <f>ROUND(O666*$C666*O660,0)</f>
        <v>0</v>
      </c>
      <c r="R666" s="306"/>
      <c r="S666" s="289">
        <f>S652</f>
        <v>0</v>
      </c>
      <c r="T666" s="278"/>
      <c r="U666" s="306">
        <f>ROUND(S666*$C666*S660,0)</f>
        <v>0</v>
      </c>
      <c r="X666" s="401"/>
      <c r="Y666" s="74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</row>
    <row r="667" spans="1:44" hidden="1">
      <c r="A667" s="294" t="s">
        <v>431</v>
      </c>
      <c r="B667" s="1"/>
      <c r="C667" s="304">
        <f>'Rate Design Work eff 10-14-16'!C666</f>
        <v>307</v>
      </c>
      <c r="D667" s="289">
        <f>'Rate Design Work eff 9-15-17'!D666</f>
        <v>5.47</v>
      </c>
      <c r="E667" s="278"/>
      <c r="F667" s="306">
        <f t="shared" si="134"/>
        <v>-17</v>
      </c>
      <c r="G667" s="289">
        <f ca="1">G653</f>
        <v>5.6</v>
      </c>
      <c r="H667" s="278"/>
      <c r="I667" s="306">
        <f ca="1">ROUND(G667*$C667*G660,0)</f>
        <v>-17</v>
      </c>
      <c r="J667" s="306"/>
      <c r="K667" s="289" t="e">
        <f ca="1">K653</f>
        <v>#REF!</v>
      </c>
      <c r="L667" s="278"/>
      <c r="M667" s="306" t="e">
        <f ca="1">ROUND(K667*$C667*K660,0)</f>
        <v>#REF!</v>
      </c>
      <c r="N667" s="306"/>
      <c r="O667" s="289">
        <f>O653</f>
        <v>0</v>
      </c>
      <c r="P667" s="278"/>
      <c r="Q667" s="306">
        <f>ROUND(O667*$C667*O660,0)</f>
        <v>0</v>
      </c>
      <c r="R667" s="306"/>
      <c r="S667" s="289">
        <f>S653</f>
        <v>0</v>
      </c>
      <c r="T667" s="278"/>
      <c r="U667" s="306">
        <f>ROUND(S667*$C667*S660,0)</f>
        <v>0</v>
      </c>
      <c r="X667" s="401"/>
      <c r="Y667" s="74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</row>
    <row r="668" spans="1:44" hidden="1">
      <c r="A668" s="308" t="s">
        <v>417</v>
      </c>
      <c r="B668" s="1"/>
      <c r="C668" s="304">
        <f>'Rate Design Work eff 10-14-16'!C667</f>
        <v>4148839.9999999972</v>
      </c>
      <c r="D668" s="359">
        <f>'Rate Design Work eff 9-15-17'!D667</f>
        <v>5.7730000000000006</v>
      </c>
      <c r="E668" s="308" t="s">
        <v>364</v>
      </c>
      <c r="F668" s="306">
        <f>ROUND(D668*C668/100*$D$660,0)</f>
        <v>-2395</v>
      </c>
      <c r="G668" s="359">
        <f ca="1">G655</f>
        <v>5.9119999999999999</v>
      </c>
      <c r="H668" s="308" t="s">
        <v>364</v>
      </c>
      <c r="I668" s="306">
        <f ca="1">ROUND(G668*$C668/100*G660,0)</f>
        <v>-2453</v>
      </c>
      <c r="J668" s="306"/>
      <c r="K668" s="359" t="str">
        <f>K655</f>
        <v xml:space="preserve"> </v>
      </c>
      <c r="L668" s="308" t="s">
        <v>364</v>
      </c>
      <c r="M668" s="306">
        <f>ROUND(K668*$C668/100*K660,0)</f>
        <v>0</v>
      </c>
      <c r="N668" s="306"/>
      <c r="O668" s="359" t="e">
        <f ca="1">O655</f>
        <v>#REF!</v>
      </c>
      <c r="P668" s="308" t="s">
        <v>364</v>
      </c>
      <c r="Q668" s="306" t="e">
        <f ca="1">ROUND(O668*$C668/100*O660,0)</f>
        <v>#REF!</v>
      </c>
      <c r="R668" s="306"/>
      <c r="S668" s="359" t="e">
        <f ca="1">S655</f>
        <v>#REF!</v>
      </c>
      <c r="T668" s="308" t="s">
        <v>364</v>
      </c>
      <c r="U668" s="306" t="e">
        <f ca="1">ROUND(S668*$C668/100*S660,0)</f>
        <v>#REF!</v>
      </c>
      <c r="X668" s="401"/>
      <c r="Y668" s="74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</row>
    <row r="669" spans="1:44" hidden="1">
      <c r="A669" s="308" t="s">
        <v>389</v>
      </c>
      <c r="B669" s="1"/>
      <c r="C669" s="304">
        <f>'Rate Design Work eff 10-14-16'!C668</f>
        <v>8404540.0000000037</v>
      </c>
      <c r="D669" s="359">
        <f>'Rate Design Work eff 9-15-17'!D668</f>
        <v>5.2879999999999994</v>
      </c>
      <c r="E669" s="308" t="s">
        <v>364</v>
      </c>
      <c r="F669" s="306">
        <f>ROUND(D669*C669/100*$D$660,0)</f>
        <v>-4444</v>
      </c>
      <c r="G669" s="359">
        <f ca="1">G656</f>
        <v>5.41</v>
      </c>
      <c r="H669" s="308" t="s">
        <v>364</v>
      </c>
      <c r="I669" s="306">
        <f ca="1">ROUND(G669*$C669/100*G660,0)</f>
        <v>-4547</v>
      </c>
      <c r="J669" s="306"/>
      <c r="K669" s="359" t="str">
        <f>K656</f>
        <v xml:space="preserve"> </v>
      </c>
      <c r="L669" s="308" t="s">
        <v>364</v>
      </c>
      <c r="M669" s="306">
        <f>ROUND(K669*$C669/100*K660,0)</f>
        <v>0</v>
      </c>
      <c r="N669" s="306"/>
      <c r="O669" s="359" t="e">
        <f ca="1">O656</f>
        <v>#REF!</v>
      </c>
      <c r="P669" s="308" t="s">
        <v>364</v>
      </c>
      <c r="Q669" s="306" t="e">
        <f ca="1">ROUND(O669*$C669/100*O660,0)</f>
        <v>#REF!</v>
      </c>
      <c r="R669" s="306"/>
      <c r="S669" s="359" t="e">
        <f ca="1">S656</f>
        <v>#REF!</v>
      </c>
      <c r="T669" s="308" t="s">
        <v>364</v>
      </c>
      <c r="U669" s="306" t="e">
        <f ca="1">ROUND(S669*$C669/100*S660,0)</f>
        <v>#REF!</v>
      </c>
      <c r="X669" s="401"/>
      <c r="Y669" s="74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</row>
    <row r="670" spans="1:44" hidden="1">
      <c r="A670" s="308" t="s">
        <v>390</v>
      </c>
      <c r="B670" s="1"/>
      <c r="C670" s="304">
        <f>'Rate Design Work eff 10-14-16'!C669</f>
        <v>7796.8333333333294</v>
      </c>
      <c r="D670" s="360">
        <f>'Rate Design Work eff 9-15-17'!D669</f>
        <v>57</v>
      </c>
      <c r="E670" s="308" t="s">
        <v>364</v>
      </c>
      <c r="F670" s="306">
        <f>ROUND(D670*C670/100*$D$660,0)</f>
        <v>-44</v>
      </c>
      <c r="G670" s="360">
        <f ca="1">G657</f>
        <v>58</v>
      </c>
      <c r="H670" s="308" t="s">
        <v>364</v>
      </c>
      <c r="I670" s="306">
        <f ca="1">ROUND(G670*$C670/100*G660,0)</f>
        <v>-45</v>
      </c>
      <c r="J670" s="306"/>
      <c r="K670" s="360" t="str">
        <f>K657</f>
        <v xml:space="preserve"> </v>
      </c>
      <c r="L670" s="308" t="s">
        <v>364</v>
      </c>
      <c r="M670" s="306">
        <f>ROUND(K670*$C670/100*K660,0)</f>
        <v>0</v>
      </c>
      <c r="N670" s="306"/>
      <c r="O670" s="360" t="e">
        <f ca="1">O657</f>
        <v>#DIV/0!</v>
      </c>
      <c r="P670" s="308" t="s">
        <v>364</v>
      </c>
      <c r="Q670" s="306" t="e">
        <f ca="1">ROUND(O670*$C670/100*O660,0)</f>
        <v>#DIV/0!</v>
      </c>
      <c r="R670" s="306"/>
      <c r="S670" s="360" t="e">
        <f ca="1">S657</f>
        <v>#DIV/0!</v>
      </c>
      <c r="T670" s="308" t="s">
        <v>364</v>
      </c>
      <c r="U670" s="306" t="e">
        <f ca="1">ROUND(S670*$C670/100*S660,0)</f>
        <v>#DIV/0!</v>
      </c>
      <c r="X670" s="401"/>
      <c r="Y670" s="74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</row>
    <row r="671" spans="1:44" hidden="1">
      <c r="A671" s="308" t="s">
        <v>433</v>
      </c>
      <c r="B671" s="1"/>
      <c r="C671" s="304">
        <f>'Rate Design Work eff 10-14-16'!C670</f>
        <v>119.76666666666668</v>
      </c>
      <c r="D671" s="283">
        <f>'Rate Design Work eff 9-15-17'!D670</f>
        <v>60</v>
      </c>
      <c r="E671" s="1"/>
      <c r="F671" s="306">
        <f>ROUND(D671*C671,0)</f>
        <v>7186</v>
      </c>
      <c r="G671" s="283">
        <f>$G$631</f>
        <v>60</v>
      </c>
      <c r="H671" s="1"/>
      <c r="I671" s="306">
        <f>ROUND(G671*$C671,0)</f>
        <v>7186</v>
      </c>
      <c r="J671" s="306"/>
      <c r="K671" s="283" t="str">
        <f>$K$631</f>
        <v xml:space="preserve"> </v>
      </c>
      <c r="L671" s="1"/>
      <c r="M671" s="306">
        <f>ROUND(K671*$C671,0)</f>
        <v>0</v>
      </c>
      <c r="N671" s="306"/>
      <c r="O671" s="283" t="e">
        <f>$O$631</f>
        <v>#DIV/0!</v>
      </c>
      <c r="P671" s="1"/>
      <c r="Q671" s="306" t="e">
        <f>ROUND(O671*$C671,0)</f>
        <v>#DIV/0!</v>
      </c>
      <c r="R671" s="306"/>
      <c r="S671" s="283" t="e">
        <f>$S$631</f>
        <v>#DIV/0!</v>
      </c>
      <c r="T671" s="1"/>
      <c r="U671" s="306" t="e">
        <f>ROUND(S671*$C671,0)</f>
        <v>#DIV/0!</v>
      </c>
      <c r="X671" s="3"/>
      <c r="Y671" s="105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</row>
    <row r="672" spans="1:44" hidden="1">
      <c r="A672" s="308" t="s">
        <v>434</v>
      </c>
      <c r="B672" s="290"/>
      <c r="C672" s="304">
        <f>'Rate Design Work eff 10-14-16'!C671</f>
        <v>51494</v>
      </c>
      <c r="D672" s="324">
        <f>'Rate Design Work eff 9-15-17'!D671</f>
        <v>-30</v>
      </c>
      <c r="E672" s="306" t="s">
        <v>364</v>
      </c>
      <c r="F672" s="306">
        <f>-ROUND(D672*C672*$D$660,0)</f>
        <v>-15448</v>
      </c>
      <c r="G672" s="324">
        <f>$G$632</f>
        <v>-30</v>
      </c>
      <c r="H672" s="306" t="s">
        <v>364</v>
      </c>
      <c r="I672" s="306">
        <f>ROUND(G672*$C672/100,0)</f>
        <v>-15448</v>
      </c>
      <c r="J672" s="306"/>
      <c r="K672" s="324">
        <f>$K$632</f>
        <v>-30</v>
      </c>
      <c r="L672" s="306" t="s">
        <v>364</v>
      </c>
      <c r="M672" s="306">
        <f>ROUND(K672*$C672/100,0)</f>
        <v>-15448</v>
      </c>
      <c r="N672" s="306"/>
      <c r="O672" s="324" t="str">
        <f>$O$632</f>
        <v xml:space="preserve"> </v>
      </c>
      <c r="P672" s="306" t="s">
        <v>364</v>
      </c>
      <c r="Q672" s="306">
        <f>ROUND(O672*$C672/100,0)</f>
        <v>0</v>
      </c>
      <c r="R672" s="306"/>
      <c r="S672" s="324">
        <f>$S$632</f>
        <v>0</v>
      </c>
      <c r="T672" s="306" t="s">
        <v>364</v>
      </c>
      <c r="U672" s="306">
        <f>ROUND(S672*$C672/100,0)</f>
        <v>0</v>
      </c>
      <c r="X672" s="3"/>
      <c r="Y672" s="105"/>
      <c r="Z672" s="7" t="s">
        <v>31</v>
      </c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</row>
    <row r="673" spans="1:44" s="1118" customFormat="1" hidden="1">
      <c r="A673" s="968" t="s">
        <v>882</v>
      </c>
      <c r="C673" s="1122">
        <f>C668</f>
        <v>4148839.9999999972</v>
      </c>
      <c r="D673" s="254">
        <f>'Rate Design Work eff 9-15-17'!D672</f>
        <v>0</v>
      </c>
      <c r="E673" s="1119"/>
      <c r="F673" s="1123"/>
      <c r="G673" s="1128">
        <f>G658</f>
        <v>0</v>
      </c>
      <c r="H673" s="1000" t="s">
        <v>364</v>
      </c>
      <c r="I673" s="1000">
        <f>ROUND(G673*$C673/100*G660,0)</f>
        <v>0</v>
      </c>
      <c r="J673" s="1000"/>
      <c r="K673" s="1128" t="str">
        <f>K658</f>
        <v xml:space="preserve"> </v>
      </c>
      <c r="L673" s="1000" t="s">
        <v>364</v>
      </c>
      <c r="M673" s="1000">
        <f>ROUND(K673*$C673/100*K660,0)</f>
        <v>0</v>
      </c>
      <c r="N673" s="1000"/>
      <c r="O673" s="1128" t="str">
        <f>O658</f>
        <v xml:space="preserve"> </v>
      </c>
      <c r="P673" s="1000" t="s">
        <v>364</v>
      </c>
      <c r="Q673" s="1000">
        <f>ROUND(O673*$C673/100*O660,0)</f>
        <v>0</v>
      </c>
      <c r="R673" s="1000"/>
      <c r="S673" s="1128">
        <f>S658</f>
        <v>0</v>
      </c>
      <c r="T673" s="1000" t="s">
        <v>364</v>
      </c>
      <c r="U673" s="1000">
        <f>ROUND(S673*$C673/100*S660,0)</f>
        <v>0</v>
      </c>
      <c r="W673" s="1121"/>
      <c r="X673" s="1130"/>
      <c r="Y673" s="1120"/>
      <c r="Z673" s="1125"/>
      <c r="AA673" s="1125"/>
      <c r="AF673" s="1119"/>
      <c r="AG673" s="1119"/>
      <c r="AH673" s="1119"/>
      <c r="AI673" s="1119"/>
      <c r="AJ673" s="1119"/>
      <c r="AK673" s="1119"/>
      <c r="AL673" s="1119"/>
      <c r="AM673" s="1119"/>
      <c r="AN673" s="1119"/>
      <c r="AO673" s="1119"/>
      <c r="AP673" s="1119"/>
      <c r="AR673" s="1124"/>
    </row>
    <row r="674" spans="1:44" s="1118" customFormat="1" hidden="1">
      <c r="A674" s="968" t="s">
        <v>883</v>
      </c>
      <c r="C674" s="1122">
        <f>C669</f>
        <v>8404540.0000000037</v>
      </c>
      <c r="D674" s="254">
        <f>'Rate Design Work eff 9-15-17'!D673</f>
        <v>0</v>
      </c>
      <c r="E674" s="1119"/>
      <c r="F674" s="1123"/>
      <c r="G674" s="1128">
        <f>G659</f>
        <v>0</v>
      </c>
      <c r="H674" s="1000" t="s">
        <v>364</v>
      </c>
      <c r="I674" s="1000">
        <f>ROUND(G674*$C674/100*G660,0)</f>
        <v>0</v>
      </c>
      <c r="J674" s="1000"/>
      <c r="K674" s="1128" t="str">
        <f>K659</f>
        <v xml:space="preserve"> </v>
      </c>
      <c r="L674" s="1000" t="s">
        <v>364</v>
      </c>
      <c r="M674" s="1000">
        <f>ROUND(K674*$C674/100*K660,0)</f>
        <v>0</v>
      </c>
      <c r="N674" s="1000"/>
      <c r="O674" s="1128" t="str">
        <f>O659</f>
        <v xml:space="preserve"> </v>
      </c>
      <c r="P674" s="1000" t="s">
        <v>364</v>
      </c>
      <c r="Q674" s="1000">
        <f>ROUND(O674*$C674/100*O660,0)</f>
        <v>0</v>
      </c>
      <c r="R674" s="1000"/>
      <c r="S674" s="1128">
        <f>S659</f>
        <v>0</v>
      </c>
      <c r="T674" s="1000" t="s">
        <v>364</v>
      </c>
      <c r="U674" s="1000">
        <f>ROUND(S674*$C674/100*S660,0)</f>
        <v>0</v>
      </c>
      <c r="W674" s="1121"/>
      <c r="X674" s="1130"/>
      <c r="Y674" s="1120"/>
      <c r="Z674" s="1125"/>
      <c r="AA674" s="1125"/>
      <c r="AF674" s="1119"/>
      <c r="AG674" s="1119"/>
      <c r="AH674" s="1119"/>
      <c r="AI674" s="1119"/>
      <c r="AJ674" s="1119"/>
      <c r="AK674" s="1119"/>
      <c r="AL674" s="1119"/>
      <c r="AM674" s="1119"/>
      <c r="AN674" s="1119"/>
      <c r="AO674" s="1119"/>
      <c r="AP674" s="1119"/>
      <c r="AR674" s="1124"/>
    </row>
    <row r="675" spans="1:44" hidden="1">
      <c r="A675" s="1" t="s">
        <v>371</v>
      </c>
      <c r="B675" s="292"/>
      <c r="C675" s="304">
        <f>SUM(C655:C656)</f>
        <v>817313563.814906</v>
      </c>
      <c r="D675" s="315"/>
      <c r="E675" s="1"/>
      <c r="F675" s="2">
        <f>SUM(F645:F672)</f>
        <v>64219476</v>
      </c>
      <c r="G675" s="315"/>
      <c r="H675" s="1"/>
      <c r="I675" s="2">
        <f ca="1">SUM(I645:I674)</f>
        <v>65737617</v>
      </c>
      <c r="J675" s="2"/>
      <c r="K675" s="315"/>
      <c r="L675" s="1"/>
      <c r="M675" s="2" t="e">
        <f ca="1">SUM(M645:M674)</f>
        <v>#REF!</v>
      </c>
      <c r="N675" s="2"/>
      <c r="O675" s="315"/>
      <c r="P675" s="1"/>
      <c r="Q675" s="2" t="e">
        <f ca="1">SUM(Q645:Q674)</f>
        <v>#REF!</v>
      </c>
      <c r="R675" s="2"/>
      <c r="S675" s="315"/>
      <c r="T675" s="1"/>
      <c r="U675" s="2" t="e">
        <f ca="1">SUM(U645:U674)</f>
        <v>#REF!</v>
      </c>
      <c r="X675" s="401"/>
      <c r="Y675" s="74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</row>
    <row r="676" spans="1:44" hidden="1">
      <c r="A676" s="1" t="s">
        <v>353</v>
      </c>
      <c r="B676" s="1"/>
      <c r="C676" s="334">
        <f>'Table 2'!H46</f>
        <v>5770845.7835495584</v>
      </c>
      <c r="D676" s="294"/>
      <c r="E676" s="294"/>
      <c r="F676" s="295">
        <f>'Table 3'!E46</f>
        <v>500452.88870847702</v>
      </c>
      <c r="G676" s="294"/>
      <c r="H676" s="294"/>
      <c r="I676" s="295">
        <f>F676</f>
        <v>500452.88870847702</v>
      </c>
      <c r="J676" s="51"/>
      <c r="K676" s="294"/>
      <c r="L676" s="294"/>
      <c r="M676" s="295" t="e">
        <f ca="1">M636/I636*I676</f>
        <v>#DIV/0!</v>
      </c>
      <c r="N676" s="51"/>
      <c r="O676" s="294"/>
      <c r="P676" s="294"/>
      <c r="Q676" s="295" t="e">
        <f ca="1">Q636/I636*I676</f>
        <v>#DIV/0!</v>
      </c>
      <c r="R676" s="51"/>
      <c r="S676" s="294"/>
      <c r="T676" s="294"/>
      <c r="U676" s="295" t="e">
        <f ca="1">U636/I636*I676</f>
        <v>#DIV/0!</v>
      </c>
      <c r="V676" s="429"/>
      <c r="W676" s="272"/>
      <c r="X676" s="401"/>
      <c r="Y676" s="74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</row>
    <row r="677" spans="1:44" ht="16.5" hidden="1" thickBot="1">
      <c r="A677" s="1" t="s">
        <v>372</v>
      </c>
      <c r="B677" s="1"/>
      <c r="C677" s="351">
        <f>SUM(C675)+C676</f>
        <v>823084409.59845555</v>
      </c>
      <c r="D677" s="327"/>
      <c r="E677" s="330"/>
      <c r="F677" s="329">
        <f>F675+F676</f>
        <v>64719928.88870848</v>
      </c>
      <c r="G677" s="327"/>
      <c r="H677" s="330"/>
      <c r="I677" s="329">
        <f ca="1">I675+I676</f>
        <v>66238069.88870848</v>
      </c>
      <c r="J677" s="307"/>
      <c r="K677" s="327"/>
      <c r="L677" s="330"/>
      <c r="M677" s="329" t="e">
        <f ca="1">M675+M676</f>
        <v>#REF!</v>
      </c>
      <c r="N677" s="329"/>
      <c r="O677" s="327"/>
      <c r="P677" s="330"/>
      <c r="Q677" s="329" t="e">
        <f ca="1">Q675+Q676</f>
        <v>#REF!</v>
      </c>
      <c r="R677" s="329"/>
      <c r="S677" s="327"/>
      <c r="T677" s="330"/>
      <c r="U677" s="329" t="e">
        <f ca="1">U675+U676</f>
        <v>#REF!</v>
      </c>
      <c r="V677" s="396"/>
      <c r="W677" s="455"/>
      <c r="X677" s="401"/>
      <c r="Y677" s="74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</row>
    <row r="678" spans="1:44" ht="16.5" hidden="1" thickTop="1">
      <c r="A678" s="1"/>
      <c r="B678" s="1"/>
      <c r="C678" s="21"/>
      <c r="D678" s="322" t="s">
        <v>31</v>
      </c>
      <c r="E678" s="1"/>
      <c r="F678" s="2"/>
      <c r="G678" s="338" t="s">
        <v>31</v>
      </c>
      <c r="H678" s="1"/>
      <c r="I678" s="2" t="s">
        <v>31</v>
      </c>
      <c r="J678" s="2"/>
      <c r="K678" s="338" t="s">
        <v>31</v>
      </c>
      <c r="L678" s="1"/>
      <c r="M678" s="2" t="s">
        <v>31</v>
      </c>
      <c r="N678" s="2"/>
      <c r="O678" s="338" t="s">
        <v>31</v>
      </c>
      <c r="P678" s="1"/>
      <c r="Q678" s="2" t="s">
        <v>31</v>
      </c>
      <c r="R678" s="2"/>
      <c r="S678" s="338" t="s">
        <v>31</v>
      </c>
      <c r="T678" s="1"/>
      <c r="U678" s="2" t="s">
        <v>31</v>
      </c>
      <c r="V678" s="20"/>
      <c r="W678" s="74"/>
      <c r="X678" s="401"/>
      <c r="Y678" s="74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</row>
    <row r="679" spans="1:44" hidden="1">
      <c r="A679" s="278" t="s">
        <v>426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20"/>
      <c r="W679" s="74"/>
      <c r="X679" s="401"/>
      <c r="Y679" s="74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</row>
    <row r="680" spans="1:44" hidden="1">
      <c r="A680" s="294" t="s">
        <v>436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20"/>
      <c r="W680" s="74"/>
      <c r="X680" s="401"/>
      <c r="Y680" s="74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</row>
    <row r="681" spans="1:44" hidden="1">
      <c r="A681" s="308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20"/>
      <c r="W681" s="74"/>
      <c r="X681" s="401"/>
      <c r="Y681" s="74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</row>
    <row r="682" spans="1:44" hidden="1">
      <c r="A682" s="308" t="s">
        <v>383</v>
      </c>
      <c r="B682" s="21"/>
      <c r="C682" s="304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20"/>
      <c r="W682" s="74"/>
      <c r="X682" s="401"/>
      <c r="Y682" s="74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</row>
    <row r="683" spans="1:44" hidden="1">
      <c r="A683" s="308" t="s">
        <v>411</v>
      </c>
      <c r="B683" s="1"/>
      <c r="C683" s="304">
        <f>'Rate Design Work eff 10-14-16'!C682</f>
        <v>24.6</v>
      </c>
      <c r="D683" s="283">
        <f>'Rate Design Work eff 9-15-17'!D682</f>
        <v>264</v>
      </c>
      <c r="E683" s="308"/>
      <c r="F683" s="306">
        <f>ROUND(D683*C683,0)</f>
        <v>6494</v>
      </c>
      <c r="G683" s="283">
        <f ca="1">$G$603</f>
        <v>268</v>
      </c>
      <c r="H683" s="308"/>
      <c r="I683" s="306">
        <f ca="1">ROUND(G683*$C683,0)</f>
        <v>6593</v>
      </c>
      <c r="J683" s="306"/>
      <c r="K683" s="283">
        <f ca="1">$K$603</f>
        <v>264</v>
      </c>
      <c r="L683" s="308"/>
      <c r="M683" s="306">
        <f ca="1">ROUND(K683*$C683,0)</f>
        <v>6494</v>
      </c>
      <c r="N683" s="306"/>
      <c r="O683" s="283" t="str">
        <f>$O$603</f>
        <v xml:space="preserve"> </v>
      </c>
      <c r="P683" s="308"/>
      <c r="Q683" s="306">
        <f>ROUND(O683*$C683,0)</f>
        <v>0</v>
      </c>
      <c r="R683" s="306"/>
      <c r="S683" s="283" t="str">
        <f>$S$603</f>
        <v xml:space="preserve"> </v>
      </c>
      <c r="T683" s="308"/>
      <c r="U683" s="306">
        <f>ROUND(S683*$C683,0)</f>
        <v>0</v>
      </c>
      <c r="V683" s="20"/>
      <c r="W683" s="74"/>
      <c r="X683" s="401"/>
      <c r="Y683" s="74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</row>
    <row r="684" spans="1:44" hidden="1">
      <c r="A684" s="308" t="s">
        <v>412</v>
      </c>
      <c r="B684" s="1"/>
      <c r="C684" s="304">
        <f>'Rate Design Work eff 10-14-16'!C683</f>
        <v>807.26666666666597</v>
      </c>
      <c r="D684" s="283">
        <f>'Rate Design Work eff 9-15-17'!D683</f>
        <v>98</v>
      </c>
      <c r="E684" s="308"/>
      <c r="F684" s="306">
        <f>ROUND(D684*C684,0)</f>
        <v>79112</v>
      </c>
      <c r="G684" s="283">
        <f ca="1">$G$604</f>
        <v>100</v>
      </c>
      <c r="H684" s="308"/>
      <c r="I684" s="306">
        <f ca="1">ROUND(G684*$C684,0)</f>
        <v>80727</v>
      </c>
      <c r="J684" s="306"/>
      <c r="K684" s="283">
        <f ca="1">$K$604</f>
        <v>98</v>
      </c>
      <c r="L684" s="308"/>
      <c r="M684" s="306">
        <f ca="1">ROUND(K684*$C684,0)</f>
        <v>79112</v>
      </c>
      <c r="N684" s="306"/>
      <c r="O684" s="283" t="str">
        <f>$O$604</f>
        <v xml:space="preserve"> </v>
      </c>
      <c r="P684" s="308"/>
      <c r="Q684" s="306">
        <f>ROUND(O684*$C684,0)</f>
        <v>0</v>
      </c>
      <c r="R684" s="306"/>
      <c r="S684" s="283" t="str">
        <f>$S$604</f>
        <v xml:space="preserve"> </v>
      </c>
      <c r="T684" s="308"/>
      <c r="U684" s="306">
        <f>ROUND(S684*$C684,0)</f>
        <v>0</v>
      </c>
      <c r="V684" s="20"/>
      <c r="W684" s="74"/>
      <c r="X684" s="401"/>
      <c r="Y684" s="74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</row>
    <row r="685" spans="1:44" hidden="1">
      <c r="A685" s="308" t="s">
        <v>413</v>
      </c>
      <c r="B685" s="1"/>
      <c r="C685" s="304">
        <f>'Rate Design Work eff 10-14-16'!C684</f>
        <v>541.26666666666597</v>
      </c>
      <c r="D685" s="283">
        <f>'Rate Design Work eff 9-15-17'!D684</f>
        <v>195</v>
      </c>
      <c r="E685" s="310"/>
      <c r="F685" s="306">
        <f>ROUND(D685*C685,0)</f>
        <v>105547</v>
      </c>
      <c r="G685" s="283">
        <f ca="1">$G$605</f>
        <v>200</v>
      </c>
      <c r="H685" s="310"/>
      <c r="I685" s="306">
        <f ca="1">ROUND(G685*$C685,0)</f>
        <v>108253</v>
      </c>
      <c r="J685" s="306"/>
      <c r="K685" s="283">
        <f ca="1">$K$605</f>
        <v>195</v>
      </c>
      <c r="L685" s="310"/>
      <c r="M685" s="306">
        <f ca="1">ROUND(K685*$C685,0)</f>
        <v>105547</v>
      </c>
      <c r="N685" s="306"/>
      <c r="O685" s="283" t="str">
        <f>$O$605</f>
        <v xml:space="preserve"> </v>
      </c>
      <c r="P685" s="310"/>
      <c r="Q685" s="306">
        <f>ROUND(O685*$C685,0)</f>
        <v>0</v>
      </c>
      <c r="R685" s="306"/>
      <c r="S685" s="283" t="str">
        <f>$S$605</f>
        <v xml:space="preserve"> </v>
      </c>
      <c r="T685" s="310"/>
      <c r="U685" s="306">
        <f>ROUND(S685*$C685,0)</f>
        <v>0</v>
      </c>
      <c r="V685" s="20"/>
      <c r="W685" s="74"/>
      <c r="X685" s="401"/>
      <c r="Y685" s="74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</row>
    <row r="686" spans="1:44" hidden="1">
      <c r="A686" s="308" t="s">
        <v>384</v>
      </c>
      <c r="B686" s="1"/>
      <c r="C686" s="304">
        <f>SUM(C683:C685)</f>
        <v>1373.1333333333318</v>
      </c>
      <c r="D686" s="283"/>
      <c r="E686" s="308"/>
      <c r="F686" s="306"/>
      <c r="G686" s="283"/>
      <c r="H686" s="308"/>
      <c r="I686" s="306"/>
      <c r="J686" s="306"/>
      <c r="K686" s="283"/>
      <c r="L686" s="308"/>
      <c r="M686" s="306"/>
      <c r="N686" s="306"/>
      <c r="O686" s="283"/>
      <c r="P686" s="308"/>
      <c r="Q686" s="306"/>
      <c r="R686" s="306"/>
      <c r="S686" s="283"/>
      <c r="T686" s="308"/>
      <c r="U686" s="306"/>
      <c r="V686" s="20"/>
      <c r="W686" s="74"/>
      <c r="X686" s="3"/>
      <c r="Y686" s="105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</row>
    <row r="687" spans="1:44" hidden="1">
      <c r="A687" s="308" t="s">
        <v>412</v>
      </c>
      <c r="B687" s="1"/>
      <c r="C687" s="304">
        <f>'Rate Design Work eff 10-14-16'!C686</f>
        <v>137328.5</v>
      </c>
      <c r="D687" s="283">
        <f>'Rate Design Work eff 9-15-17'!D686</f>
        <v>1.79</v>
      </c>
      <c r="E687" s="308" t="s">
        <v>31</v>
      </c>
      <c r="F687" s="306">
        <f>ROUND(D687*C687,0)</f>
        <v>245818</v>
      </c>
      <c r="G687" s="283">
        <f ca="1">$G$607</f>
        <v>1.83</v>
      </c>
      <c r="H687" s="308" t="s">
        <v>31</v>
      </c>
      <c r="I687" s="306">
        <f ca="1">ROUND(G687*$C687,0)</f>
        <v>251311</v>
      </c>
      <c r="J687" s="306"/>
      <c r="K687" s="283">
        <f ca="1">$K$607</f>
        <v>1.79</v>
      </c>
      <c r="L687" s="308" t="s">
        <v>31</v>
      </c>
      <c r="M687" s="306">
        <f ca="1">ROUND(K687*$C687,0)</f>
        <v>245818</v>
      </c>
      <c r="N687" s="306"/>
      <c r="O687" s="283" t="str">
        <f>$O$607</f>
        <v xml:space="preserve"> </v>
      </c>
      <c r="P687" s="308" t="s">
        <v>31</v>
      </c>
      <c r="Q687" s="306">
        <f>ROUND(O687*$C687,0)</f>
        <v>0</v>
      </c>
      <c r="R687" s="306"/>
      <c r="S687" s="283" t="str">
        <f>$S$607</f>
        <v xml:space="preserve"> </v>
      </c>
      <c r="T687" s="308" t="s">
        <v>31</v>
      </c>
      <c r="U687" s="306">
        <f>ROUND(S687*$C687,0)</f>
        <v>0</v>
      </c>
      <c r="V687" s="20"/>
      <c r="W687" s="74"/>
      <c r="X687" s="3"/>
      <c r="Y687" s="105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</row>
    <row r="688" spans="1:44" hidden="1">
      <c r="A688" s="308" t="s">
        <v>413</v>
      </c>
      <c r="B688" s="1"/>
      <c r="C688" s="304">
        <f>'Rate Design Work eff 10-14-16'!C687</f>
        <v>302902</v>
      </c>
      <c r="D688" s="283">
        <f>'Rate Design Work eff 9-15-17'!D687</f>
        <v>1.46</v>
      </c>
      <c r="E688" s="308" t="s">
        <v>31</v>
      </c>
      <c r="F688" s="306">
        <f>ROUND(D688*C688,0)</f>
        <v>442237</v>
      </c>
      <c r="G688" s="283">
        <f ca="1">$G$608</f>
        <v>1.5</v>
      </c>
      <c r="H688" s="308" t="s">
        <v>31</v>
      </c>
      <c r="I688" s="306">
        <f ca="1">ROUND(G688*$C688,0)</f>
        <v>454353</v>
      </c>
      <c r="J688" s="306"/>
      <c r="K688" s="283">
        <f ca="1">$K$608</f>
        <v>1.46</v>
      </c>
      <c r="L688" s="308" t="s">
        <v>31</v>
      </c>
      <c r="M688" s="306">
        <f ca="1">ROUND(K688*$C688,0)</f>
        <v>442237</v>
      </c>
      <c r="N688" s="306"/>
      <c r="O688" s="283" t="str">
        <f>$O$608</f>
        <v xml:space="preserve"> </v>
      </c>
      <c r="P688" s="308" t="s">
        <v>31</v>
      </c>
      <c r="Q688" s="306">
        <f>ROUND(O688*$C688,0)</f>
        <v>0</v>
      </c>
      <c r="R688" s="306"/>
      <c r="S688" s="283" t="str">
        <f>$S$608</f>
        <v xml:space="preserve"> </v>
      </c>
      <c r="T688" s="308" t="s">
        <v>31</v>
      </c>
      <c r="U688" s="306">
        <f>ROUND(S688*$C688,0)</f>
        <v>0</v>
      </c>
      <c r="V688" s="20"/>
      <c r="W688" s="74"/>
      <c r="X688" s="401"/>
      <c r="Y688" s="74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</row>
    <row r="689" spans="1:44" hidden="1">
      <c r="A689" s="294" t="s">
        <v>414</v>
      </c>
      <c r="B689" s="1"/>
      <c r="C689" s="304"/>
      <c r="D689" s="340"/>
      <c r="E689" s="308"/>
      <c r="F689" s="306"/>
      <c r="G689" s="340"/>
      <c r="H689" s="308"/>
      <c r="I689" s="306"/>
      <c r="J689" s="306"/>
      <c r="K689" s="340"/>
      <c r="L689" s="308"/>
      <c r="M689" s="306"/>
      <c r="N689" s="306"/>
      <c r="O689" s="340"/>
      <c r="P689" s="308"/>
      <c r="Q689" s="306"/>
      <c r="R689" s="306"/>
      <c r="S689" s="340"/>
      <c r="T689" s="308"/>
      <c r="U689" s="306"/>
      <c r="V689" s="20"/>
      <c r="W689" s="74"/>
      <c r="X689" s="74"/>
      <c r="Y689" s="74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</row>
    <row r="690" spans="1:44" hidden="1">
      <c r="A690" s="294" t="s">
        <v>415</v>
      </c>
      <c r="B690" s="1"/>
      <c r="C690" s="304">
        <f>'Rate Design Work eff 10-14-16'!C689</f>
        <v>340651</v>
      </c>
      <c r="D690" s="283">
        <f>'Rate Design Work eff 9-15-17'!D689</f>
        <v>5.47</v>
      </c>
      <c r="E690" s="308"/>
      <c r="F690" s="306">
        <f>ROUND(D690*C690,0)</f>
        <v>1863361</v>
      </c>
      <c r="G690" s="283">
        <f ca="1">$G$610</f>
        <v>5.6</v>
      </c>
      <c r="H690" s="308"/>
      <c r="I690" s="306">
        <f ca="1">ROUND(G690*$C690,0)</f>
        <v>1907646</v>
      </c>
      <c r="J690" s="306"/>
      <c r="K690" s="283" t="e">
        <f ca="1">$K$610</f>
        <v>#REF!</v>
      </c>
      <c r="L690" s="308"/>
      <c r="M690" s="306" t="e">
        <f ca="1">ROUND(K690*$C690,0)</f>
        <v>#REF!</v>
      </c>
      <c r="N690" s="306"/>
      <c r="O690" s="283">
        <f>$O$610</f>
        <v>0</v>
      </c>
      <c r="P690" s="308"/>
      <c r="Q690" s="306">
        <f>ROUND(O690*$C690,0)</f>
        <v>0</v>
      </c>
      <c r="R690" s="306"/>
      <c r="S690" s="283">
        <f>$S$610</f>
        <v>0</v>
      </c>
      <c r="T690" s="308"/>
      <c r="U690" s="306">
        <f>ROUND(S690*$C690,0)</f>
        <v>0</v>
      </c>
      <c r="V690" s="20"/>
      <c r="W690" s="74"/>
      <c r="X690" s="74"/>
      <c r="Y690" s="74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</row>
    <row r="691" spans="1:44" hidden="1">
      <c r="A691" s="294" t="s">
        <v>431</v>
      </c>
      <c r="B691" s="1"/>
      <c r="C691" s="304">
        <f>'Rate Design Work eff 10-14-16'!C690</f>
        <v>17.5</v>
      </c>
      <c r="D691" s="354">
        <f>'Rate Design Work eff 9-15-17'!D690</f>
        <v>5.47</v>
      </c>
      <c r="E691" s="308"/>
      <c r="F691" s="306">
        <f>ROUND(D691*C691,0)</f>
        <v>96</v>
      </c>
      <c r="G691" s="354">
        <f ca="1">G690</f>
        <v>5.6</v>
      </c>
      <c r="H691" s="308"/>
      <c r="I691" s="306">
        <f ca="1">ROUND(G691*$C691,0)</f>
        <v>98</v>
      </c>
      <c r="J691" s="306"/>
      <c r="K691" s="354" t="e">
        <f ca="1">K690</f>
        <v>#REF!</v>
      </c>
      <c r="L691" s="308"/>
      <c r="M691" s="306" t="e">
        <f ca="1">ROUND(K691*$C691,0)</f>
        <v>#REF!</v>
      </c>
      <c r="N691" s="306"/>
      <c r="O691" s="354">
        <f>O690</f>
        <v>0</v>
      </c>
      <c r="P691" s="308"/>
      <c r="Q691" s="306">
        <f>ROUND(O691*$C691,0)</f>
        <v>0</v>
      </c>
      <c r="R691" s="306"/>
      <c r="S691" s="354">
        <f>S690</f>
        <v>0</v>
      </c>
      <c r="T691" s="308"/>
      <c r="U691" s="306">
        <f>ROUND(S691*$C691,0)</f>
        <v>0</v>
      </c>
      <c r="V691" s="20"/>
      <c r="W691" s="74"/>
      <c r="X691" s="74"/>
      <c r="Y691" s="74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</row>
    <row r="692" spans="1:44" hidden="1">
      <c r="A692" s="308" t="s">
        <v>416</v>
      </c>
      <c r="B692" s="1"/>
      <c r="C692" s="304"/>
      <c r="D692" s="283"/>
      <c r="E692" s="308"/>
      <c r="F692" s="306"/>
      <c r="G692" s="283"/>
      <c r="H692" s="308"/>
      <c r="I692" s="306"/>
      <c r="J692" s="306"/>
      <c r="K692" s="283"/>
      <c r="L692" s="308"/>
      <c r="M692" s="306"/>
      <c r="N692" s="306"/>
      <c r="O692" s="283"/>
      <c r="P692" s="308"/>
      <c r="Q692" s="306"/>
      <c r="R692" s="306"/>
      <c r="S692" s="283"/>
      <c r="T692" s="308"/>
      <c r="U692" s="306"/>
      <c r="V692" s="20"/>
      <c r="W692" s="74"/>
      <c r="X692" s="74"/>
      <c r="Y692" s="74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</row>
    <row r="693" spans="1:44" hidden="1">
      <c r="A693" s="308" t="s">
        <v>417</v>
      </c>
      <c r="B693" s="1"/>
      <c r="C693" s="304">
        <f>'Rate Design Work eff 10-14-16'!C692</f>
        <v>41625753.333333328</v>
      </c>
      <c r="D693" s="313">
        <f>'Rate Design Work eff 9-15-17'!D692</f>
        <v>5.7730000000000006</v>
      </c>
      <c r="E693" s="308" t="s">
        <v>364</v>
      </c>
      <c r="F693" s="306">
        <f>ROUND(D693*C693/100,0)</f>
        <v>2403055</v>
      </c>
      <c r="G693" s="312">
        <f ca="1">$G$613</f>
        <v>5.9119999999999999</v>
      </c>
      <c r="H693" s="308" t="s">
        <v>364</v>
      </c>
      <c r="I693" s="306">
        <f ca="1">ROUND(G693*$C693/100,0)</f>
        <v>2460915</v>
      </c>
      <c r="J693" s="306"/>
      <c r="K693" s="312" t="str">
        <f>$K$613</f>
        <v xml:space="preserve"> </v>
      </c>
      <c r="L693" s="308" t="s">
        <v>364</v>
      </c>
      <c r="M693" s="306">
        <f>ROUND(K693*$C693/100,0)</f>
        <v>0</v>
      </c>
      <c r="N693" s="306"/>
      <c r="O693" s="312" t="e">
        <f ca="1">$O$613</f>
        <v>#REF!</v>
      </c>
      <c r="P693" s="308" t="s">
        <v>364</v>
      </c>
      <c r="Q693" s="306" t="e">
        <f ca="1">ROUND(O693*$C693/100,0)</f>
        <v>#REF!</v>
      </c>
      <c r="R693" s="306"/>
      <c r="S693" s="312" t="e">
        <f ca="1">$S$613</f>
        <v>#REF!</v>
      </c>
      <c r="T693" s="308" t="s">
        <v>364</v>
      </c>
      <c r="U693" s="306" t="e">
        <f ca="1">ROUND(S693*$C693/100,0)</f>
        <v>#REF!</v>
      </c>
      <c r="V693" s="20"/>
      <c r="W693" s="74"/>
      <c r="X693" s="74"/>
      <c r="Y693" s="74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</row>
    <row r="694" spans="1:44" hidden="1">
      <c r="A694" s="308" t="s">
        <v>389</v>
      </c>
      <c r="B694" s="1"/>
      <c r="C694" s="304">
        <f>'Rate Design Work eff 10-14-16'!C693</f>
        <v>63576818.666666672</v>
      </c>
      <c r="D694" s="313">
        <f>'Rate Design Work eff 9-15-17'!D693</f>
        <v>5.2879999999999994</v>
      </c>
      <c r="E694" s="308" t="s">
        <v>364</v>
      </c>
      <c r="F694" s="306">
        <f>ROUND(D694*C694/100,0)</f>
        <v>3361942</v>
      </c>
      <c r="G694" s="312">
        <f ca="1">$G$614</f>
        <v>5.41</v>
      </c>
      <c r="H694" s="308" t="s">
        <v>364</v>
      </c>
      <c r="I694" s="306">
        <f ca="1">ROUND(G694*$C694/100,0)</f>
        <v>3439506</v>
      </c>
      <c r="J694" s="306"/>
      <c r="K694" s="312" t="str">
        <f>$K$614</f>
        <v xml:space="preserve"> </v>
      </c>
      <c r="L694" s="308" t="s">
        <v>364</v>
      </c>
      <c r="M694" s="306">
        <f>ROUND(K694*$C694/100,0)</f>
        <v>0</v>
      </c>
      <c r="N694" s="306"/>
      <c r="O694" s="312" t="e">
        <f ca="1">$O$614</f>
        <v>#REF!</v>
      </c>
      <c r="P694" s="308" t="s">
        <v>364</v>
      </c>
      <c r="Q694" s="306" t="e">
        <f ca="1">ROUND(O694*$C694/100,0)</f>
        <v>#REF!</v>
      </c>
      <c r="R694" s="306"/>
      <c r="S694" s="312" t="e">
        <f ca="1">$S$614</f>
        <v>#REF!</v>
      </c>
      <c r="T694" s="308" t="s">
        <v>364</v>
      </c>
      <c r="U694" s="306" t="e">
        <f ca="1">ROUND(S694*$C694/100,0)</f>
        <v>#REF!</v>
      </c>
      <c r="V694" s="20"/>
      <c r="W694" s="74"/>
      <c r="X694" s="74"/>
      <c r="Y694" s="74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</row>
    <row r="695" spans="1:44" hidden="1">
      <c r="A695" s="308" t="s">
        <v>390</v>
      </c>
      <c r="B695" s="1"/>
      <c r="C695" s="304">
        <f>'Rate Design Work eff 10-14-16'!C694</f>
        <v>103480.49999999997</v>
      </c>
      <c r="D695" s="956">
        <f>'Rate Design Work eff 9-15-17'!D694</f>
        <v>57</v>
      </c>
      <c r="E695" s="308" t="s">
        <v>364</v>
      </c>
      <c r="F695" s="306">
        <f>ROUND(D695*C695/100,0)</f>
        <v>58984</v>
      </c>
      <c r="G695" s="460">
        <f ca="1">$G$615</f>
        <v>58</v>
      </c>
      <c r="H695" s="308" t="s">
        <v>364</v>
      </c>
      <c r="I695" s="306">
        <f ca="1">ROUND(G695*$C695/100,0)</f>
        <v>60019</v>
      </c>
      <c r="J695" s="306"/>
      <c r="K695" s="460" t="str">
        <f>$K$615</f>
        <v xml:space="preserve"> </v>
      </c>
      <c r="L695" s="308" t="s">
        <v>364</v>
      </c>
      <c r="M695" s="306">
        <f>ROUND(K695*$C695/100,0)</f>
        <v>0</v>
      </c>
      <c r="N695" s="306"/>
      <c r="O695" s="460" t="e">
        <f ca="1">$O$615</f>
        <v>#DIV/0!</v>
      </c>
      <c r="P695" s="308" t="s">
        <v>364</v>
      </c>
      <c r="Q695" s="306" t="e">
        <f ca="1">ROUND(O695*$C695/100,0)</f>
        <v>#DIV/0!</v>
      </c>
      <c r="R695" s="306"/>
      <c r="S695" s="460" t="e">
        <f ca="1">$S$615</f>
        <v>#DIV/0!</v>
      </c>
      <c r="T695" s="308" t="s">
        <v>364</v>
      </c>
      <c r="U695" s="306" t="e">
        <f ca="1">ROUND(S695*$C695/100,0)</f>
        <v>#DIV/0!</v>
      </c>
      <c r="V695" s="20"/>
      <c r="W695" s="74"/>
      <c r="X695" s="74"/>
      <c r="Y695" s="74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</row>
    <row r="696" spans="1:44" s="1118" customFormat="1" hidden="1">
      <c r="A696" s="968" t="s">
        <v>882</v>
      </c>
      <c r="C696" s="1122">
        <f>C693</f>
        <v>41625753.333333328</v>
      </c>
      <c r="D696" s="254">
        <f>'Rate Design Work eff 9-15-17'!D695</f>
        <v>0</v>
      </c>
      <c r="E696" s="1119"/>
      <c r="F696" s="1123"/>
      <c r="G696" s="1128">
        <f>G616</f>
        <v>0</v>
      </c>
      <c r="H696" s="1000" t="s">
        <v>364</v>
      </c>
      <c r="I696" s="1000">
        <f t="shared" ref="I696:I697" si="135">ROUND(G696*$C696/100,0)</f>
        <v>0</v>
      </c>
      <c r="J696" s="1000"/>
      <c r="K696" s="1128" t="str">
        <f>K616</f>
        <v xml:space="preserve"> </v>
      </c>
      <c r="L696" s="1000" t="s">
        <v>364</v>
      </c>
      <c r="M696" s="1000">
        <f t="shared" ref="M696:M697" si="136">ROUND(K696*$C696/100,0)</f>
        <v>0</v>
      </c>
      <c r="N696" s="1000"/>
      <c r="O696" s="1128" t="str">
        <f>O616</f>
        <v xml:space="preserve"> </v>
      </c>
      <c r="P696" s="1000" t="s">
        <v>364</v>
      </c>
      <c r="Q696" s="1000">
        <f t="shared" ref="Q696:Q697" si="137">ROUND(O696*$C696/100,0)</f>
        <v>0</v>
      </c>
      <c r="R696" s="1000"/>
      <c r="S696" s="1128">
        <f>S616</f>
        <v>0</v>
      </c>
      <c r="T696" s="1000" t="s">
        <v>364</v>
      </c>
      <c r="U696" s="1000">
        <f t="shared" ref="U696:U697" si="138">ROUND(S696*$C696/100,0)</f>
        <v>0</v>
      </c>
      <c r="W696" s="784"/>
      <c r="Z696" s="1125"/>
      <c r="AA696" s="1125"/>
      <c r="AF696" s="1119"/>
      <c r="AG696" s="1119"/>
      <c r="AH696" s="1119"/>
      <c r="AI696" s="1119"/>
      <c r="AJ696" s="1119"/>
      <c r="AK696" s="1119"/>
      <c r="AL696" s="1119"/>
      <c r="AM696" s="1119"/>
      <c r="AN696" s="1119"/>
      <c r="AO696" s="1119"/>
      <c r="AP696" s="1119"/>
      <c r="AR696" s="1124"/>
    </row>
    <row r="697" spans="1:44" s="1118" customFormat="1" hidden="1">
      <c r="A697" s="968" t="s">
        <v>883</v>
      </c>
      <c r="C697" s="1122">
        <f>C694</f>
        <v>63576818.666666672</v>
      </c>
      <c r="D697" s="254">
        <f>'Rate Design Work eff 9-15-17'!D696</f>
        <v>0</v>
      </c>
      <c r="E697" s="1119"/>
      <c r="F697" s="1123"/>
      <c r="G697" s="1128">
        <f>G617</f>
        <v>0</v>
      </c>
      <c r="H697" s="1000" t="s">
        <v>364</v>
      </c>
      <c r="I697" s="1000">
        <f t="shared" si="135"/>
        <v>0</v>
      </c>
      <c r="J697" s="1000"/>
      <c r="K697" s="1128" t="str">
        <f>K617</f>
        <v xml:space="preserve"> </v>
      </c>
      <c r="L697" s="1000" t="s">
        <v>364</v>
      </c>
      <c r="M697" s="1000">
        <f t="shared" si="136"/>
        <v>0</v>
      </c>
      <c r="N697" s="1000"/>
      <c r="O697" s="1128" t="str">
        <f>O617</f>
        <v xml:space="preserve"> </v>
      </c>
      <c r="P697" s="1000" t="s">
        <v>364</v>
      </c>
      <c r="Q697" s="1000">
        <f t="shared" si="137"/>
        <v>0</v>
      </c>
      <c r="R697" s="1000"/>
      <c r="S697" s="1128">
        <f>S617</f>
        <v>0</v>
      </c>
      <c r="T697" s="1000" t="s">
        <v>364</v>
      </c>
      <c r="U697" s="1000">
        <f t="shared" si="138"/>
        <v>0</v>
      </c>
      <c r="W697" s="784"/>
      <c r="Z697" s="1125"/>
      <c r="AA697" s="1125"/>
      <c r="AF697" s="1119"/>
      <c r="AG697" s="1119"/>
      <c r="AH697" s="1119"/>
      <c r="AI697" s="1119"/>
      <c r="AJ697" s="1119"/>
      <c r="AK697" s="1119"/>
      <c r="AL697" s="1119"/>
      <c r="AM697" s="1119"/>
      <c r="AN697" s="1119"/>
      <c r="AO697" s="1119"/>
      <c r="AP697" s="1119"/>
      <c r="AR697" s="1124"/>
    </row>
    <row r="698" spans="1:44" hidden="1">
      <c r="A698" s="345" t="s">
        <v>391</v>
      </c>
      <c r="B698" s="1"/>
      <c r="C698" s="304"/>
      <c r="D698" s="317">
        <f>'Rate Design Work eff 9-15-17'!D697</f>
        <v>-0.01</v>
      </c>
      <c r="E698" s="1"/>
      <c r="F698" s="306"/>
      <c r="G698" s="317">
        <v>-0.01</v>
      </c>
      <c r="H698" s="1"/>
      <c r="I698" s="306"/>
      <c r="J698" s="306"/>
      <c r="K698" s="317">
        <v>-0.01</v>
      </c>
      <c r="L698" s="1"/>
      <c r="M698" s="306"/>
      <c r="N698" s="306"/>
      <c r="O698" s="317">
        <v>-0.01</v>
      </c>
      <c r="P698" s="1"/>
      <c r="Q698" s="306"/>
      <c r="R698" s="306"/>
      <c r="S698" s="317">
        <v>-0.01</v>
      </c>
      <c r="T698" s="1"/>
      <c r="U698" s="306"/>
      <c r="V698" s="20"/>
      <c r="W698" s="74"/>
      <c r="X698" s="74"/>
      <c r="Y698" s="74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</row>
    <row r="699" spans="1:44" hidden="1">
      <c r="A699" s="308" t="s">
        <v>411</v>
      </c>
      <c r="B699" s="1"/>
      <c r="C699" s="304">
        <f>'Rate Design Work eff 10-14-16'!C698</f>
        <v>0</v>
      </c>
      <c r="D699" s="289">
        <f>'Rate Design Work eff 9-15-17'!D698</f>
        <v>264</v>
      </c>
      <c r="E699" s="278"/>
      <c r="F699" s="306">
        <f t="shared" ref="F699:F705" si="139">ROUND(D699*C699*$D$660,0)</f>
        <v>0</v>
      </c>
      <c r="G699" s="289">
        <f ca="1">G683</f>
        <v>268</v>
      </c>
      <c r="H699" s="278"/>
      <c r="I699" s="306">
        <f ca="1">ROUND(G699*$C699*G698,0)</f>
        <v>0</v>
      </c>
      <c r="J699" s="306"/>
      <c r="K699" s="289">
        <f ca="1">K683</f>
        <v>264</v>
      </c>
      <c r="L699" s="278"/>
      <c r="M699" s="306">
        <f ca="1">ROUND(K699*$C699*K698,0)</f>
        <v>0</v>
      </c>
      <c r="N699" s="306"/>
      <c r="O699" s="289" t="str">
        <f>O683</f>
        <v xml:space="preserve"> </v>
      </c>
      <c r="P699" s="278"/>
      <c r="Q699" s="306">
        <f>ROUND(O699*$C699*O698,0)</f>
        <v>0</v>
      </c>
      <c r="R699" s="306"/>
      <c r="S699" s="289" t="str">
        <f>S683</f>
        <v xml:space="preserve"> </v>
      </c>
      <c r="T699" s="278"/>
      <c r="U699" s="306">
        <f>ROUND(S699*$C699*S698,0)</f>
        <v>0</v>
      </c>
      <c r="V699" s="20"/>
      <c r="W699" s="74"/>
      <c r="X699" s="74"/>
      <c r="Y699" s="74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</row>
    <row r="700" spans="1:44" hidden="1">
      <c r="A700" s="308" t="s">
        <v>412</v>
      </c>
      <c r="B700" s="1"/>
      <c r="C700" s="304">
        <f>'Rate Design Work eff 10-14-16'!C699</f>
        <v>16.2</v>
      </c>
      <c r="D700" s="289">
        <f>'Rate Design Work eff 9-15-17'!D699</f>
        <v>98</v>
      </c>
      <c r="E700" s="278"/>
      <c r="F700" s="306">
        <f t="shared" si="139"/>
        <v>-16</v>
      </c>
      <c r="G700" s="289">
        <f ca="1">G684</f>
        <v>100</v>
      </c>
      <c r="H700" s="278"/>
      <c r="I700" s="306">
        <f ca="1">ROUND(G700*$C700*G698,0)</f>
        <v>-16</v>
      </c>
      <c r="J700" s="306"/>
      <c r="K700" s="289">
        <f ca="1">K684</f>
        <v>98</v>
      </c>
      <c r="L700" s="278"/>
      <c r="M700" s="306">
        <f ca="1">ROUND(K700*$C700*K698,0)</f>
        <v>-16</v>
      </c>
      <c r="N700" s="306"/>
      <c r="O700" s="289" t="str">
        <f>O684</f>
        <v xml:space="preserve"> </v>
      </c>
      <c r="P700" s="278"/>
      <c r="Q700" s="306">
        <f>ROUND(O700*$C700*O698,0)</f>
        <v>0</v>
      </c>
      <c r="R700" s="306"/>
      <c r="S700" s="289" t="str">
        <f>S684</f>
        <v xml:space="preserve"> </v>
      </c>
      <c r="T700" s="278"/>
      <c r="U700" s="306">
        <f>ROUND(S700*$C700*S698,0)</f>
        <v>0</v>
      </c>
      <c r="V700" s="20"/>
      <c r="W700" s="74"/>
      <c r="X700" s="74"/>
      <c r="Y700" s="74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</row>
    <row r="701" spans="1:44" hidden="1">
      <c r="A701" s="308" t="s">
        <v>413</v>
      </c>
      <c r="B701" s="1"/>
      <c r="C701" s="304">
        <f>'Rate Design Work eff 10-14-16'!C700</f>
        <v>0</v>
      </c>
      <c r="D701" s="289">
        <f>'Rate Design Work eff 9-15-17'!D700</f>
        <v>195</v>
      </c>
      <c r="E701" s="358"/>
      <c r="F701" s="306">
        <f t="shared" si="139"/>
        <v>0</v>
      </c>
      <c r="G701" s="289">
        <f ca="1">G685</f>
        <v>200</v>
      </c>
      <c r="H701" s="358"/>
      <c r="I701" s="306">
        <f ca="1">ROUND(G701*$C701*G698,0)</f>
        <v>0</v>
      </c>
      <c r="J701" s="306"/>
      <c r="K701" s="289">
        <f ca="1">K685</f>
        <v>195</v>
      </c>
      <c r="L701" s="358"/>
      <c r="M701" s="306">
        <f ca="1">ROUND(K701*$C701*K698,0)</f>
        <v>0</v>
      </c>
      <c r="N701" s="306"/>
      <c r="O701" s="289" t="str">
        <f>O685</f>
        <v xml:space="preserve"> </v>
      </c>
      <c r="P701" s="358"/>
      <c r="Q701" s="306">
        <f>ROUND(O701*$C701*O698,0)</f>
        <v>0</v>
      </c>
      <c r="R701" s="306"/>
      <c r="S701" s="289" t="str">
        <f>S685</f>
        <v xml:space="preserve"> </v>
      </c>
      <c r="T701" s="358"/>
      <c r="U701" s="306">
        <f>ROUND(S701*$C701*S698,0)</f>
        <v>0</v>
      </c>
      <c r="V701" s="20"/>
      <c r="W701" s="74"/>
      <c r="X701" s="74"/>
      <c r="Y701" s="74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</row>
    <row r="702" spans="1:44" hidden="1">
      <c r="A702" s="308" t="s">
        <v>412</v>
      </c>
      <c r="B702" s="1"/>
      <c r="C702" s="304">
        <f>'Rate Design Work eff 10-14-16'!C701</f>
        <v>2032</v>
      </c>
      <c r="D702" s="289">
        <f>'Rate Design Work eff 9-15-17'!D701</f>
        <v>1.79</v>
      </c>
      <c r="E702" s="278"/>
      <c r="F702" s="306">
        <f t="shared" si="139"/>
        <v>-36</v>
      </c>
      <c r="G702" s="289">
        <f ca="1">G687</f>
        <v>1.83</v>
      </c>
      <c r="H702" s="278"/>
      <c r="I702" s="306">
        <f ca="1">ROUND(G702*$C702*G698,0)</f>
        <v>-37</v>
      </c>
      <c r="J702" s="306"/>
      <c r="K702" s="289">
        <f ca="1">K687</f>
        <v>1.79</v>
      </c>
      <c r="L702" s="278"/>
      <c r="M702" s="306">
        <f ca="1">ROUND(K702*$C702*K698,0)</f>
        <v>-36</v>
      </c>
      <c r="N702" s="306"/>
      <c r="O702" s="289" t="str">
        <f>O687</f>
        <v xml:space="preserve"> </v>
      </c>
      <c r="P702" s="278"/>
      <c r="Q702" s="306">
        <f>ROUND(O702*$C702*O698,0)</f>
        <v>0</v>
      </c>
      <c r="R702" s="306"/>
      <c r="S702" s="289" t="str">
        <f>S687</f>
        <v xml:space="preserve"> </v>
      </c>
      <c r="T702" s="278"/>
      <c r="U702" s="306">
        <f>ROUND(S702*$C702*S698,0)</f>
        <v>0</v>
      </c>
      <c r="V702" s="20"/>
      <c r="W702" s="74"/>
      <c r="X702" s="74"/>
      <c r="Y702" s="74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</row>
    <row r="703" spans="1:44" hidden="1">
      <c r="A703" s="308" t="s">
        <v>413</v>
      </c>
      <c r="B703" s="1"/>
      <c r="C703" s="304">
        <f>'Rate Design Work eff 10-14-16'!C702</f>
        <v>0</v>
      </c>
      <c r="D703" s="289">
        <f>'Rate Design Work eff 9-15-17'!D702</f>
        <v>1.46</v>
      </c>
      <c r="E703" s="278"/>
      <c r="F703" s="306">
        <f t="shared" si="139"/>
        <v>0</v>
      </c>
      <c r="G703" s="289">
        <f ca="1">G688</f>
        <v>1.5</v>
      </c>
      <c r="H703" s="278"/>
      <c r="I703" s="306">
        <f ca="1">ROUND(G703*$C703*G698,0)</f>
        <v>0</v>
      </c>
      <c r="J703" s="306"/>
      <c r="K703" s="289">
        <f ca="1">K688</f>
        <v>1.46</v>
      </c>
      <c r="L703" s="278"/>
      <c r="M703" s="306">
        <f ca="1">ROUND(K703*$C703*K698,0)</f>
        <v>0</v>
      </c>
      <c r="N703" s="306"/>
      <c r="O703" s="289" t="str">
        <f>O688</f>
        <v xml:space="preserve"> </v>
      </c>
      <c r="P703" s="278"/>
      <c r="Q703" s="306">
        <f>ROUND(O703*$C703*O698,0)</f>
        <v>0</v>
      </c>
      <c r="R703" s="306"/>
      <c r="S703" s="289" t="str">
        <f>S688</f>
        <v xml:space="preserve"> </v>
      </c>
      <c r="T703" s="278"/>
      <c r="U703" s="306">
        <f>ROUND(S703*$C703*S698,0)</f>
        <v>0</v>
      </c>
      <c r="V703" s="20"/>
      <c r="W703" s="74"/>
      <c r="X703" s="74"/>
      <c r="Y703" s="74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</row>
    <row r="704" spans="1:44" hidden="1">
      <c r="A704" s="294" t="s">
        <v>415</v>
      </c>
      <c r="B704" s="1"/>
      <c r="C704" s="304">
        <f>'Rate Design Work eff 10-14-16'!C703</f>
        <v>1286</v>
      </c>
      <c r="D704" s="289">
        <f>'Rate Design Work eff 9-15-17'!D703</f>
        <v>5.47</v>
      </c>
      <c r="E704" s="278"/>
      <c r="F704" s="306">
        <f t="shared" si="139"/>
        <v>-70</v>
      </c>
      <c r="G704" s="289">
        <f ca="1">G690</f>
        <v>5.6</v>
      </c>
      <c r="H704" s="278"/>
      <c r="I704" s="306">
        <f ca="1">ROUND(G704*$C704*G698,0)</f>
        <v>-72</v>
      </c>
      <c r="J704" s="306"/>
      <c r="K704" s="289" t="e">
        <f ca="1">K690</f>
        <v>#REF!</v>
      </c>
      <c r="L704" s="278"/>
      <c r="M704" s="306" t="e">
        <f ca="1">ROUND(K704*$C704*K698,0)</f>
        <v>#REF!</v>
      </c>
      <c r="N704" s="306"/>
      <c r="O704" s="289">
        <f>O690</f>
        <v>0</v>
      </c>
      <c r="P704" s="278"/>
      <c r="Q704" s="306">
        <f>ROUND(O704*$C704*O698,0)</f>
        <v>0</v>
      </c>
      <c r="R704" s="306"/>
      <c r="S704" s="289">
        <f>S690</f>
        <v>0</v>
      </c>
      <c r="T704" s="278"/>
      <c r="U704" s="306">
        <f>ROUND(S704*$C704*S698,0)</f>
        <v>0</v>
      </c>
      <c r="V704" s="20"/>
      <c r="W704" s="74"/>
      <c r="X704" s="74"/>
      <c r="Y704" s="74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</row>
    <row r="705" spans="1:44" hidden="1">
      <c r="A705" s="294" t="s">
        <v>431</v>
      </c>
      <c r="B705" s="1"/>
      <c r="C705" s="304">
        <f>'Rate Design Work eff 10-14-16'!C704</f>
        <v>0</v>
      </c>
      <c r="D705" s="289">
        <f>'Rate Design Work eff 9-15-17'!D704</f>
        <v>5.47</v>
      </c>
      <c r="E705" s="278"/>
      <c r="F705" s="306">
        <f t="shared" si="139"/>
        <v>0</v>
      </c>
      <c r="G705" s="289">
        <f ca="1">G691</f>
        <v>5.6</v>
      </c>
      <c r="H705" s="278"/>
      <c r="I705" s="306">
        <f ca="1">ROUND(G705*$C705*G698,0)</f>
        <v>0</v>
      </c>
      <c r="J705" s="306"/>
      <c r="K705" s="289" t="e">
        <f ca="1">K691</f>
        <v>#REF!</v>
      </c>
      <c r="L705" s="278"/>
      <c r="M705" s="306" t="e">
        <f ca="1">ROUND(K705*$C705*K698,0)</f>
        <v>#REF!</v>
      </c>
      <c r="N705" s="306"/>
      <c r="O705" s="289">
        <f>O691</f>
        <v>0</v>
      </c>
      <c r="P705" s="278"/>
      <c r="Q705" s="306">
        <f>ROUND(O705*$C705*O698,0)</f>
        <v>0</v>
      </c>
      <c r="R705" s="306"/>
      <c r="S705" s="289">
        <f>S691</f>
        <v>0</v>
      </c>
      <c r="T705" s="278"/>
      <c r="U705" s="306">
        <f>ROUND(S705*$C705*S698,0)</f>
        <v>0</v>
      </c>
      <c r="V705" s="20"/>
      <c r="W705" s="74"/>
      <c r="X705" s="74"/>
      <c r="Y705" s="74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</row>
    <row r="706" spans="1:44" hidden="1">
      <c r="A706" s="308" t="s">
        <v>417</v>
      </c>
      <c r="B706" s="1"/>
      <c r="C706" s="304">
        <f>'Rate Design Work eff 10-14-16'!C705</f>
        <v>490733.33333333302</v>
      </c>
      <c r="D706" s="359">
        <f>'Rate Design Work eff 9-15-17'!D705</f>
        <v>5.7730000000000006</v>
      </c>
      <c r="E706" s="308" t="s">
        <v>364</v>
      </c>
      <c r="F706" s="306">
        <f>ROUND(D706*C706/100*$D$660,0)</f>
        <v>-283</v>
      </c>
      <c r="G706" s="359">
        <f ca="1">G693</f>
        <v>5.9119999999999999</v>
      </c>
      <c r="H706" s="308" t="s">
        <v>364</v>
      </c>
      <c r="I706" s="306">
        <f ca="1">ROUND(G706*$C706/100*G698,0)</f>
        <v>-290</v>
      </c>
      <c r="J706" s="306"/>
      <c r="K706" s="359" t="str">
        <f>K693</f>
        <v xml:space="preserve"> </v>
      </c>
      <c r="L706" s="308" t="s">
        <v>364</v>
      </c>
      <c r="M706" s="306">
        <f>ROUND(K706*$C706/100*K698,0)</f>
        <v>0</v>
      </c>
      <c r="N706" s="306"/>
      <c r="O706" s="359" t="e">
        <f ca="1">O693</f>
        <v>#REF!</v>
      </c>
      <c r="P706" s="308" t="s">
        <v>364</v>
      </c>
      <c r="Q706" s="306" t="e">
        <f ca="1">ROUND(O706*$C706/100*O698,0)</f>
        <v>#REF!</v>
      </c>
      <c r="R706" s="306"/>
      <c r="S706" s="359" t="e">
        <f ca="1">S693</f>
        <v>#REF!</v>
      </c>
      <c r="T706" s="308" t="s">
        <v>364</v>
      </c>
      <c r="U706" s="306" t="e">
        <f ca="1">ROUND(S706*$C706/100*S698,0)</f>
        <v>#REF!</v>
      </c>
      <c r="V706" s="20"/>
      <c r="W706" s="74"/>
      <c r="X706" s="74"/>
      <c r="Y706" s="74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</row>
    <row r="707" spans="1:44" hidden="1">
      <c r="A707" s="308" t="s">
        <v>389</v>
      </c>
      <c r="B707" s="1"/>
      <c r="C707" s="304">
        <f>'Rate Design Work eff 10-14-16'!C706</f>
        <v>21066.666666666977</v>
      </c>
      <c r="D707" s="359">
        <f>'Rate Design Work eff 9-15-17'!D706</f>
        <v>5.2879999999999994</v>
      </c>
      <c r="E707" s="308" t="s">
        <v>364</v>
      </c>
      <c r="F707" s="306">
        <f>ROUND(D707*C707/100*$D$660,0)</f>
        <v>-11</v>
      </c>
      <c r="G707" s="359">
        <f ca="1">G694</f>
        <v>5.41</v>
      </c>
      <c r="H707" s="308" t="s">
        <v>364</v>
      </c>
      <c r="I707" s="306">
        <f ca="1">ROUND(G707*$C707/100*G698,0)</f>
        <v>-11</v>
      </c>
      <c r="J707" s="306"/>
      <c r="K707" s="359" t="str">
        <f>K694</f>
        <v xml:space="preserve"> </v>
      </c>
      <c r="L707" s="308" t="s">
        <v>364</v>
      </c>
      <c r="M707" s="306">
        <f>ROUND(K707*$C707/100*K698,0)</f>
        <v>0</v>
      </c>
      <c r="N707" s="306"/>
      <c r="O707" s="359" t="e">
        <f ca="1">O694</f>
        <v>#REF!</v>
      </c>
      <c r="P707" s="308" t="s">
        <v>364</v>
      </c>
      <c r="Q707" s="306" t="e">
        <f ca="1">ROUND(O707*$C707/100*O698,0)</f>
        <v>#REF!</v>
      </c>
      <c r="R707" s="306"/>
      <c r="S707" s="359" t="e">
        <f ca="1">S694</f>
        <v>#REF!</v>
      </c>
      <c r="T707" s="308" t="s">
        <v>364</v>
      </c>
      <c r="U707" s="306" t="e">
        <f ca="1">ROUND(S707*$C707/100*S698,0)</f>
        <v>#REF!</v>
      </c>
      <c r="V707" s="20"/>
      <c r="W707" s="74"/>
      <c r="X707" s="74"/>
      <c r="Y707" s="74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</row>
    <row r="708" spans="1:44" hidden="1">
      <c r="A708" s="308" t="s">
        <v>390</v>
      </c>
      <c r="B708" s="1"/>
      <c r="C708" s="304">
        <f>'Rate Design Work eff 10-14-16'!C707</f>
        <v>955.13333333333298</v>
      </c>
      <c r="D708" s="360">
        <f>'Rate Design Work eff 9-15-17'!D707</f>
        <v>57</v>
      </c>
      <c r="E708" s="308" t="s">
        <v>364</v>
      </c>
      <c r="F708" s="306">
        <f>ROUND(D708*C708/100*$D$660,0)</f>
        <v>-5</v>
      </c>
      <c r="G708" s="360">
        <f ca="1">G695</f>
        <v>58</v>
      </c>
      <c r="H708" s="308" t="s">
        <v>364</v>
      </c>
      <c r="I708" s="306">
        <f ca="1">ROUND(G708*$C708/100*G698,0)</f>
        <v>-6</v>
      </c>
      <c r="J708" s="306"/>
      <c r="K708" s="360" t="str">
        <f>K695</f>
        <v xml:space="preserve"> </v>
      </c>
      <c r="L708" s="308" t="s">
        <v>364</v>
      </c>
      <c r="M708" s="306">
        <f>ROUND(K708*$C708/100*K698,0)</f>
        <v>0</v>
      </c>
      <c r="N708" s="306"/>
      <c r="O708" s="360" t="e">
        <f ca="1">O695</f>
        <v>#DIV/0!</v>
      </c>
      <c r="P708" s="308" t="s">
        <v>364</v>
      </c>
      <c r="Q708" s="306" t="e">
        <f ca="1">ROUND(O708*$C708/100*O698,0)</f>
        <v>#DIV/0!</v>
      </c>
      <c r="R708" s="306"/>
      <c r="S708" s="360" t="e">
        <f ca="1">S695</f>
        <v>#DIV/0!</v>
      </c>
      <c r="T708" s="308" t="s">
        <v>364</v>
      </c>
      <c r="U708" s="306" t="e">
        <f ca="1">ROUND(S708*$C708/100*S698,0)</f>
        <v>#DIV/0!</v>
      </c>
      <c r="V708" s="20"/>
      <c r="W708" s="74"/>
      <c r="X708" s="74"/>
      <c r="Y708" s="74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</row>
    <row r="709" spans="1:44" hidden="1">
      <c r="A709" s="308" t="s">
        <v>433</v>
      </c>
      <c r="B709" s="1"/>
      <c r="C709" s="304">
        <f>'Rate Design Work eff 10-14-16'!C708</f>
        <v>16.2</v>
      </c>
      <c r="D709" s="283">
        <f>'Rate Design Work eff 9-15-17'!D708</f>
        <v>60</v>
      </c>
      <c r="E709" s="1"/>
      <c r="F709" s="306">
        <f>ROUND(D709*C709,0)</f>
        <v>972</v>
      </c>
      <c r="G709" s="283">
        <f>$G$631</f>
        <v>60</v>
      </c>
      <c r="H709" s="1"/>
      <c r="I709" s="306">
        <f>ROUND(G709*$C709,0)</f>
        <v>972</v>
      </c>
      <c r="J709" s="306"/>
      <c r="K709" s="283" t="str">
        <f>$K$631</f>
        <v xml:space="preserve"> </v>
      </c>
      <c r="L709" s="1"/>
      <c r="M709" s="306">
        <f>ROUND(K709*$C709,0)</f>
        <v>0</v>
      </c>
      <c r="N709" s="306"/>
      <c r="O709" s="283" t="e">
        <f>$O$631</f>
        <v>#DIV/0!</v>
      </c>
      <c r="P709" s="1"/>
      <c r="Q709" s="306" t="e">
        <f>ROUND(O709*$C709,0)</f>
        <v>#DIV/0!</v>
      </c>
      <c r="R709" s="306"/>
      <c r="S709" s="283" t="e">
        <f>$S$631</f>
        <v>#DIV/0!</v>
      </c>
      <c r="T709" s="1"/>
      <c r="U709" s="306" t="e">
        <f>ROUND(S709*$C709,0)</f>
        <v>#DIV/0!</v>
      </c>
      <c r="V709" s="20"/>
      <c r="W709" s="74"/>
      <c r="X709" s="74"/>
      <c r="Y709" s="74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</row>
    <row r="710" spans="1:44" hidden="1">
      <c r="A710" s="308" t="s">
        <v>434</v>
      </c>
      <c r="B710" s="1"/>
      <c r="C710" s="304">
        <f>'Rate Design Work eff 10-14-16'!C709</f>
        <v>2032</v>
      </c>
      <c r="D710" s="324">
        <f>'Rate Design Work eff 9-15-17'!D709</f>
        <v>-30</v>
      </c>
      <c r="E710" s="306" t="s">
        <v>364</v>
      </c>
      <c r="F710" s="306">
        <f>-ROUND(D710*C710*$D$660,0)</f>
        <v>-610</v>
      </c>
      <c r="G710" s="324">
        <f>$G$632</f>
        <v>-30</v>
      </c>
      <c r="H710" s="306" t="s">
        <v>364</v>
      </c>
      <c r="I710" s="306">
        <f>ROUND(G710*$C710/100,0)</f>
        <v>-610</v>
      </c>
      <c r="J710" s="306"/>
      <c r="K710" s="324">
        <f>$K$632</f>
        <v>-30</v>
      </c>
      <c r="L710" s="306" t="s">
        <v>364</v>
      </c>
      <c r="M710" s="306">
        <f>ROUND(K710*$C710/100,0)</f>
        <v>-610</v>
      </c>
      <c r="N710" s="306"/>
      <c r="O710" s="324" t="str">
        <f>$O$632</f>
        <v xml:space="preserve"> </v>
      </c>
      <c r="P710" s="306" t="s">
        <v>364</v>
      </c>
      <c r="Q710" s="306">
        <f>ROUND(O710*$C710/100,0)</f>
        <v>0</v>
      </c>
      <c r="R710" s="306"/>
      <c r="S710" s="324">
        <f>$S$632</f>
        <v>0</v>
      </c>
      <c r="T710" s="306" t="s">
        <v>364</v>
      </c>
      <c r="U710" s="306">
        <f>ROUND(S710*$C710/100,0)</f>
        <v>0</v>
      </c>
      <c r="V710" s="20"/>
      <c r="W710" s="74"/>
      <c r="X710" s="74"/>
      <c r="Y710" s="74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</row>
    <row r="711" spans="1:44" s="1118" customFormat="1" hidden="1">
      <c r="A711" s="968" t="s">
        <v>882</v>
      </c>
      <c r="C711" s="1122">
        <f>C706</f>
        <v>490733.33333333302</v>
      </c>
      <c r="D711" s="254">
        <f>'Rate Design Work eff 9-15-17'!D710</f>
        <v>0</v>
      </c>
      <c r="E711" s="1119"/>
      <c r="F711" s="1123"/>
      <c r="G711" s="1128">
        <f>G696</f>
        <v>0</v>
      </c>
      <c r="H711" s="1000" t="s">
        <v>364</v>
      </c>
      <c r="I711" s="1000">
        <f>ROUND(G711*$C711/100*G698,0)</f>
        <v>0</v>
      </c>
      <c r="J711" s="1000"/>
      <c r="K711" s="1128" t="str">
        <f>K696</f>
        <v xml:space="preserve"> </v>
      </c>
      <c r="L711" s="1000" t="s">
        <v>364</v>
      </c>
      <c r="M711" s="1000">
        <f>ROUND(K711*$C711/100*K698,0)</f>
        <v>0</v>
      </c>
      <c r="N711" s="1000"/>
      <c r="O711" s="1128" t="str">
        <f>O696</f>
        <v xml:space="preserve"> </v>
      </c>
      <c r="P711" s="1000" t="s">
        <v>364</v>
      </c>
      <c r="Q711" s="1000">
        <f>ROUND(O711*$C711/100*O698,0)</f>
        <v>0</v>
      </c>
      <c r="R711" s="1000"/>
      <c r="S711" s="1128">
        <f>S696</f>
        <v>0</v>
      </c>
      <c r="T711" s="1000" t="s">
        <v>364</v>
      </c>
      <c r="U711" s="1000">
        <f>ROUND(S711*$C711/100*S698,0)</f>
        <v>0</v>
      </c>
      <c r="W711" s="784"/>
      <c r="Z711" s="1125"/>
      <c r="AA711" s="1125"/>
      <c r="AF711" s="1119"/>
      <c r="AG711" s="1119"/>
      <c r="AH711" s="1119"/>
      <c r="AI711" s="1119"/>
      <c r="AJ711" s="1119"/>
      <c r="AK711" s="1119"/>
      <c r="AL711" s="1119"/>
      <c r="AM711" s="1119"/>
      <c r="AN711" s="1119"/>
      <c r="AO711" s="1119"/>
      <c r="AP711" s="1119"/>
      <c r="AR711" s="1124"/>
    </row>
    <row r="712" spans="1:44" s="1118" customFormat="1" hidden="1">
      <c r="A712" s="968" t="s">
        <v>883</v>
      </c>
      <c r="C712" s="1122">
        <f>C707</f>
        <v>21066.666666666977</v>
      </c>
      <c r="D712" s="254">
        <f>'Rate Design Work eff 9-15-17'!D711</f>
        <v>0</v>
      </c>
      <c r="E712" s="1119"/>
      <c r="F712" s="1123"/>
      <c r="G712" s="1128">
        <f>G697</f>
        <v>0</v>
      </c>
      <c r="H712" s="1000" t="s">
        <v>364</v>
      </c>
      <c r="I712" s="1000">
        <f>ROUND(G712*$C712/100*G698,0)</f>
        <v>0</v>
      </c>
      <c r="J712" s="1000"/>
      <c r="K712" s="1128" t="str">
        <f>K697</f>
        <v xml:space="preserve"> </v>
      </c>
      <c r="L712" s="1000" t="s">
        <v>364</v>
      </c>
      <c r="M712" s="1000">
        <f>ROUND(K712*$C712/100*K698,0)</f>
        <v>0</v>
      </c>
      <c r="N712" s="1000"/>
      <c r="O712" s="1128" t="str">
        <f>O697</f>
        <v xml:space="preserve"> </v>
      </c>
      <c r="P712" s="1000" t="s">
        <v>364</v>
      </c>
      <c r="Q712" s="1000">
        <f>ROUND(O712*$C712/100*O698,0)</f>
        <v>0</v>
      </c>
      <c r="R712" s="1000"/>
      <c r="S712" s="1128">
        <f>S697</f>
        <v>0</v>
      </c>
      <c r="T712" s="1000" t="s">
        <v>364</v>
      </c>
      <c r="U712" s="1000">
        <f>ROUND(S712*$C712/100*S698,0)</f>
        <v>0</v>
      </c>
      <c r="W712" s="784"/>
      <c r="Z712" s="1125"/>
      <c r="AA712" s="1125"/>
      <c r="AF712" s="1119"/>
      <c r="AG712" s="1119"/>
      <c r="AH712" s="1119"/>
      <c r="AI712" s="1119"/>
      <c r="AJ712" s="1119"/>
      <c r="AK712" s="1119"/>
      <c r="AL712" s="1119"/>
      <c r="AM712" s="1119"/>
      <c r="AN712" s="1119"/>
      <c r="AO712" s="1119"/>
      <c r="AP712" s="1119"/>
      <c r="AR712" s="1124"/>
    </row>
    <row r="713" spans="1:44" hidden="1">
      <c r="A713" s="1" t="s">
        <v>371</v>
      </c>
      <c r="B713" s="1"/>
      <c r="C713" s="304">
        <f>SUM(C693:C694)</f>
        <v>105202572</v>
      </c>
      <c r="D713" s="315"/>
      <c r="E713" s="1"/>
      <c r="F713" s="2">
        <f>SUM(F683:F710)</f>
        <v>8566587</v>
      </c>
      <c r="G713" s="315"/>
      <c r="H713" s="1"/>
      <c r="I713" s="2">
        <f ca="1">SUM(I683:I712)</f>
        <v>8769351</v>
      </c>
      <c r="J713" s="2"/>
      <c r="K713" s="315"/>
      <c r="L713" s="1"/>
      <c r="M713" s="2" t="e">
        <f ca="1">SUM(M683:M712)</f>
        <v>#REF!</v>
      </c>
      <c r="N713" s="2"/>
      <c r="O713" s="315"/>
      <c r="P713" s="1"/>
      <c r="Q713" s="2" t="e">
        <f ca="1">SUM(Q683:Q712)</f>
        <v>#REF!</v>
      </c>
      <c r="R713" s="2"/>
      <c r="S713" s="315"/>
      <c r="T713" s="1"/>
      <c r="U713" s="2" t="e">
        <f ca="1">SUM(U683:U712)</f>
        <v>#REF!</v>
      </c>
      <c r="V713" s="20"/>
      <c r="W713" s="74"/>
      <c r="X713" s="74"/>
      <c r="Y713" s="74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</row>
    <row r="714" spans="1:44" hidden="1">
      <c r="A714" s="1" t="s">
        <v>353</v>
      </c>
      <c r="B714" s="1"/>
      <c r="C714" s="334">
        <f ca="1">'Table 2'!H76</f>
        <v>327096.30737224856</v>
      </c>
      <c r="D714" s="294"/>
      <c r="E714" s="294"/>
      <c r="F714" s="295">
        <f ca="1">'Table 3'!E76</f>
        <v>26533.50156434354</v>
      </c>
      <c r="G714" s="294"/>
      <c r="H714" s="294"/>
      <c r="I714" s="295">
        <f ca="1">F714</f>
        <v>26533.50156434354</v>
      </c>
      <c r="J714" s="51"/>
      <c r="K714" s="294"/>
      <c r="L714" s="294"/>
      <c r="M714" s="295" t="e">
        <f ca="1">M636/I636*I714</f>
        <v>#DIV/0!</v>
      </c>
      <c r="N714" s="51"/>
      <c r="O714" s="294"/>
      <c r="P714" s="294"/>
      <c r="Q714" s="295" t="e">
        <f ca="1">Q636/I636*I714</f>
        <v>#DIV/0!</v>
      </c>
      <c r="R714" s="51"/>
      <c r="S714" s="294"/>
      <c r="T714" s="294"/>
      <c r="U714" s="295" t="e">
        <f ca="1">U636/I636*I714</f>
        <v>#DIV/0!</v>
      </c>
      <c r="V714" s="429"/>
      <c r="W714" s="272"/>
      <c r="X714" s="74"/>
      <c r="Y714" s="74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</row>
    <row r="715" spans="1:44" ht="16.5" hidden="1" thickBot="1">
      <c r="A715" s="1" t="s">
        <v>372</v>
      </c>
      <c r="B715" s="1"/>
      <c r="C715" s="351">
        <f ca="1">SUM(C713)+C714</f>
        <v>105529668.30737224</v>
      </c>
      <c r="D715" s="327"/>
      <c r="E715" s="330"/>
      <c r="F715" s="329">
        <f ca="1">F713+F714</f>
        <v>8593120.5015643444</v>
      </c>
      <c r="G715" s="327"/>
      <c r="H715" s="330"/>
      <c r="I715" s="329">
        <f ca="1">I713+I714</f>
        <v>8795884.5015643444</v>
      </c>
      <c r="J715" s="307"/>
      <c r="K715" s="327"/>
      <c r="L715" s="330"/>
      <c r="M715" s="329" t="e">
        <f ca="1">M713+M714</f>
        <v>#REF!</v>
      </c>
      <c r="N715" s="329"/>
      <c r="O715" s="327"/>
      <c r="P715" s="330"/>
      <c r="Q715" s="329" t="e">
        <f ca="1">Q713+Q714</f>
        <v>#REF!</v>
      </c>
      <c r="R715" s="329"/>
      <c r="S715" s="327"/>
      <c r="T715" s="330"/>
      <c r="U715" s="329" t="e">
        <f ca="1">U713+U714</f>
        <v>#REF!</v>
      </c>
      <c r="V715" s="396"/>
      <c r="W715" s="455"/>
      <c r="X715" s="74"/>
      <c r="Y715" s="74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</row>
    <row r="716" spans="1:44" ht="16.5" hidden="1" thickTop="1">
      <c r="A716" s="288"/>
      <c r="B716" s="363"/>
      <c r="C716" s="288"/>
      <c r="D716" s="1"/>
      <c r="E716" s="288"/>
      <c r="F716" s="364"/>
      <c r="G716" s="288"/>
      <c r="H716" s="288"/>
      <c r="I716" s="288"/>
      <c r="J716" s="288"/>
      <c r="K716" s="288"/>
      <c r="L716" s="288"/>
      <c r="M716" s="288"/>
      <c r="N716" s="288"/>
      <c r="O716" s="288"/>
      <c r="P716" s="288"/>
      <c r="Q716" s="288"/>
      <c r="R716" s="288"/>
      <c r="S716" s="288"/>
      <c r="T716" s="288"/>
      <c r="U716" s="288"/>
      <c r="V716" s="20"/>
      <c r="W716" s="74"/>
      <c r="X716" s="74"/>
      <c r="Y716" s="74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</row>
    <row r="717" spans="1:44">
      <c r="A717" s="278" t="s">
        <v>437</v>
      </c>
      <c r="B717" s="1"/>
      <c r="C717" s="21"/>
      <c r="D717" s="322"/>
      <c r="E717" s="1"/>
      <c r="F717" s="2"/>
      <c r="G717" s="322"/>
      <c r="H717" s="1"/>
      <c r="I717" s="2"/>
      <c r="J717" s="2"/>
      <c r="K717" s="322"/>
      <c r="L717" s="1"/>
      <c r="M717" s="2"/>
      <c r="N717" s="2"/>
      <c r="O717" s="322"/>
      <c r="P717" s="1"/>
      <c r="Q717" s="2"/>
      <c r="R717" s="2"/>
      <c r="S717" s="322"/>
      <c r="T717" s="1"/>
      <c r="U717" s="2"/>
      <c r="V717" s="20"/>
      <c r="W717" s="74"/>
      <c r="X717" s="74"/>
      <c r="Y717" s="74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</row>
    <row r="718" spans="1:44">
      <c r="A718" s="294" t="s">
        <v>438</v>
      </c>
      <c r="B718" s="1"/>
      <c r="C718" s="21"/>
      <c r="D718" s="322"/>
      <c r="E718" s="1"/>
      <c r="F718" s="2"/>
      <c r="G718" s="322"/>
      <c r="H718" s="1"/>
      <c r="I718" s="2"/>
      <c r="J718" s="2"/>
      <c r="K718" s="322"/>
      <c r="L718" s="1"/>
      <c r="M718" s="2"/>
      <c r="N718" s="2"/>
      <c r="O718" s="322"/>
      <c r="P718" s="1"/>
      <c r="Q718" s="2"/>
      <c r="R718" s="2"/>
      <c r="S718" s="322"/>
      <c r="T718" s="1"/>
      <c r="U718" s="2"/>
      <c r="V718" s="20"/>
      <c r="W718" s="74"/>
      <c r="X718" s="74"/>
      <c r="Y718" s="74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</row>
    <row r="719" spans="1:44">
      <c r="A719" s="308"/>
      <c r="B719" s="1"/>
      <c r="C719" s="21"/>
      <c r="D719" s="322"/>
      <c r="E719" s="1"/>
      <c r="F719" s="365"/>
      <c r="G719" s="322"/>
      <c r="H719" s="1"/>
      <c r="I719" s="366"/>
      <c r="J719" s="366"/>
      <c r="K719" s="322"/>
      <c r="L719" s="1"/>
      <c r="M719" s="366"/>
      <c r="N719" s="366"/>
      <c r="O719" s="322"/>
      <c r="P719" s="1"/>
      <c r="Q719" s="366"/>
      <c r="R719" s="366"/>
      <c r="S719" s="322"/>
      <c r="T719" s="1"/>
      <c r="U719" s="366"/>
      <c r="V719" s="20"/>
      <c r="W719" s="74"/>
      <c r="X719" s="74"/>
      <c r="Y719" s="74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</row>
    <row r="720" spans="1:44">
      <c r="A720" s="294" t="s">
        <v>439</v>
      </c>
      <c r="B720" s="1"/>
      <c r="C720" s="304"/>
      <c r="D720" s="2" t="s">
        <v>31</v>
      </c>
      <c r="E720" s="1"/>
      <c r="F720" s="1"/>
      <c r="G720" s="2" t="s">
        <v>31</v>
      </c>
      <c r="H720" s="1"/>
      <c r="I720" s="1"/>
      <c r="J720" s="1"/>
      <c r="K720" s="2" t="s">
        <v>31</v>
      </c>
      <c r="L720" s="1"/>
      <c r="M720" s="1"/>
      <c r="N720" s="1"/>
      <c r="O720" s="2" t="s">
        <v>31</v>
      </c>
      <c r="P720" s="1"/>
      <c r="Q720" s="1"/>
      <c r="R720" s="1"/>
      <c r="S720" s="2" t="s">
        <v>31</v>
      </c>
      <c r="T720" s="1"/>
      <c r="U720" s="1"/>
      <c r="V720" s="20"/>
      <c r="W720" s="74"/>
      <c r="X720" s="20"/>
      <c r="Y720" s="20"/>
      <c r="Z720" s="20"/>
      <c r="AA720" s="20"/>
      <c r="AB720" s="20"/>
      <c r="AC720" s="20"/>
      <c r="AD720" s="20"/>
      <c r="AE720" s="20"/>
      <c r="AF720" s="20"/>
      <c r="AJ720" s="20"/>
      <c r="AK720" s="20"/>
      <c r="AL720" s="20"/>
      <c r="AM720" s="20"/>
      <c r="AN720" s="20"/>
      <c r="AO720" s="20"/>
      <c r="AP720" s="20"/>
    </row>
    <row r="721" spans="1:42">
      <c r="A721" s="294" t="s">
        <v>440</v>
      </c>
      <c r="B721" s="1"/>
      <c r="C721" s="304">
        <f>C775+C826</f>
        <v>1019.8115973941144</v>
      </c>
      <c r="D721" s="322">
        <f>'Rate Design Work eff 9-15-17'!D720</f>
        <v>0</v>
      </c>
      <c r="E721" s="309"/>
      <c r="F721" s="306">
        <f>F775+F826</f>
        <v>0</v>
      </c>
      <c r="G721" s="322">
        <f>'Rate Design Work eff 9-15-17'!G720</f>
        <v>0</v>
      </c>
      <c r="H721" s="309"/>
      <c r="I721" s="306">
        <f>I775+I826</f>
        <v>0</v>
      </c>
      <c r="J721" s="306"/>
      <c r="K721" s="322">
        <f>'Rate Design Work eff 10-14-16'!K720</f>
        <v>0</v>
      </c>
      <c r="L721" s="309"/>
      <c r="M721" s="306">
        <f>'Rate Design Work eff 10-14-16'!M720</f>
        <v>0</v>
      </c>
      <c r="N721" s="306"/>
      <c r="O721" s="322" t="str">
        <f>'Rate Design Work eff 10-14-16'!O720</f>
        <v xml:space="preserve"> </v>
      </c>
      <c r="P721" s="309"/>
      <c r="Q721" s="306">
        <f>'Rate Design Work eff 10-14-16'!Q720</f>
        <v>0</v>
      </c>
      <c r="R721" s="306"/>
      <c r="S721" s="322" t="str">
        <f>'Rate Design Work eff 10-14-16'!S720</f>
        <v xml:space="preserve"> </v>
      </c>
      <c r="T721" s="309"/>
      <c r="U721" s="306">
        <f>'Rate Design Work eff 10-14-16'!U720</f>
        <v>0</v>
      </c>
      <c r="X721" s="14"/>
      <c r="Y721" s="14"/>
      <c r="AK721" s="20"/>
      <c r="AL721" s="20"/>
      <c r="AM721" s="20"/>
      <c r="AN721" s="20"/>
      <c r="AO721" s="20"/>
      <c r="AP721" s="20"/>
    </row>
    <row r="722" spans="1:42">
      <c r="A722" s="294" t="s">
        <v>441</v>
      </c>
      <c r="B722" s="1"/>
      <c r="C722" s="304"/>
      <c r="D722" s="322"/>
      <c r="E722" s="309"/>
      <c r="F722" s="306"/>
      <c r="G722" s="322"/>
      <c r="H722" s="309"/>
      <c r="I722" s="306"/>
      <c r="J722" s="306"/>
      <c r="K722" s="322"/>
      <c r="L722" s="309"/>
      <c r="M722" s="306"/>
      <c r="N722" s="306"/>
      <c r="O722" s="322"/>
      <c r="P722" s="309"/>
      <c r="Q722" s="306"/>
      <c r="R722" s="306"/>
      <c r="S722" s="322"/>
      <c r="T722" s="309"/>
      <c r="U722" s="306"/>
      <c r="AA722" s="84"/>
      <c r="AB722" s="642"/>
      <c r="AC722" s="84"/>
      <c r="AD722" s="642"/>
      <c r="AE722" s="84"/>
      <c r="AF722" s="84"/>
      <c r="AG722" s="222"/>
      <c r="AK722" s="20"/>
      <c r="AL722" s="20"/>
      <c r="AM722" s="20"/>
      <c r="AN722" s="20"/>
      <c r="AO722" s="20"/>
      <c r="AP722" s="20"/>
    </row>
    <row r="723" spans="1:42">
      <c r="A723" s="294" t="s">
        <v>442</v>
      </c>
      <c r="B723" s="1"/>
      <c r="C723" s="304">
        <f t="shared" ref="C723:C728" si="140">C777+C828</f>
        <v>3760.393248727928</v>
      </c>
      <c r="D723" s="322">
        <f>'Rate Design Work eff 9-15-17'!D722</f>
        <v>0</v>
      </c>
      <c r="E723" s="309"/>
      <c r="F723" s="306">
        <f>F777+F828</f>
        <v>0</v>
      </c>
      <c r="G723" s="322">
        <f>'Rate Design Work eff 9-15-17'!G722</f>
        <v>0</v>
      </c>
      <c r="H723" s="309"/>
      <c r="I723" s="306">
        <f>I777+I828</f>
        <v>0</v>
      </c>
      <c r="J723" s="306"/>
      <c r="K723" s="322">
        <f>'Rate Design Work eff 10-14-16'!K722</f>
        <v>0</v>
      </c>
      <c r="L723" s="309"/>
      <c r="M723" s="306">
        <f>'Rate Design Work eff 10-14-16'!M722</f>
        <v>0</v>
      </c>
      <c r="N723" s="306"/>
      <c r="O723" s="322" t="str">
        <f>'Rate Design Work eff 10-14-16'!O722</f>
        <v xml:space="preserve"> </v>
      </c>
      <c r="P723" s="309"/>
      <c r="Q723" s="306">
        <f>'Rate Design Work eff 10-14-16'!Q722</f>
        <v>0</v>
      </c>
      <c r="R723" s="306"/>
      <c r="S723" s="322" t="str">
        <f>'Rate Design Work eff 10-14-16'!S722</f>
        <v xml:space="preserve"> </v>
      </c>
      <c r="T723" s="309"/>
      <c r="U723" s="306">
        <f>'Rate Design Work eff 10-14-16'!U722</f>
        <v>0</v>
      </c>
      <c r="V723" s="53"/>
      <c r="X723" s="765" t="s">
        <v>625</v>
      </c>
      <c r="Y723" s="765"/>
      <c r="AA723" s="84"/>
      <c r="AB723" s="642"/>
      <c r="AC723" s="84"/>
      <c r="AD723" s="642"/>
      <c r="AE723" s="84"/>
      <c r="AF723" s="84"/>
      <c r="AG723" s="222"/>
      <c r="AK723" s="20"/>
      <c r="AL723" s="20"/>
      <c r="AM723" s="20"/>
      <c r="AN723" s="20"/>
      <c r="AO723" s="20"/>
      <c r="AP723" s="20"/>
    </row>
    <row r="724" spans="1:42">
      <c r="A724" s="294" t="s">
        <v>443</v>
      </c>
      <c r="B724" s="1"/>
      <c r="C724" s="304">
        <f t="shared" si="140"/>
        <v>431.38877405282796</v>
      </c>
      <c r="D724" s="322">
        <f>'Rate Design Work eff 9-15-17'!D723</f>
        <v>370</v>
      </c>
      <c r="E724" s="309"/>
      <c r="F724" s="306">
        <f>F778+F829</f>
        <v>159614</v>
      </c>
      <c r="G724" s="322">
        <f ca="1">'Rate Design Work eff 9-15-17'!G723</f>
        <v>379</v>
      </c>
      <c r="H724" s="309"/>
      <c r="I724" s="306">
        <f ca="1">I778+I829</f>
        <v>163496</v>
      </c>
      <c r="J724" s="306"/>
      <c r="K724" s="322">
        <f ca="1">'Rate Design Work eff 10-14-16'!K723</f>
        <v>370</v>
      </c>
      <c r="L724" s="309"/>
      <c r="M724" s="306">
        <f ca="1">'Rate Design Work eff 10-14-16'!M723</f>
        <v>159614</v>
      </c>
      <c r="N724" s="306"/>
      <c r="O724" s="322" t="str">
        <f>'Rate Design Work eff 10-14-16'!O723</f>
        <v xml:space="preserve"> </v>
      </c>
      <c r="P724" s="309"/>
      <c r="Q724" s="306">
        <f>'Rate Design Work eff 10-14-16'!Q723</f>
        <v>0</v>
      </c>
      <c r="R724" s="306"/>
      <c r="S724" s="322" t="str">
        <f>'Rate Design Work eff 10-14-16'!S723</f>
        <v xml:space="preserve"> </v>
      </c>
      <c r="T724" s="309"/>
      <c r="U724" s="306">
        <f>'Rate Design Work eff 10-14-16'!U723</f>
        <v>0</v>
      </c>
      <c r="V724" s="69"/>
      <c r="X724" s="14">
        <f ca="1">(G724-D724)/D724</f>
        <v>2.4324324324324326E-2</v>
      </c>
      <c r="Y724" s="14"/>
      <c r="Z724" s="314"/>
      <c r="AA724" s="84"/>
      <c r="AB724" s="305"/>
      <c r="AC724" s="84"/>
      <c r="AD724" s="305"/>
      <c r="AE724" s="84"/>
      <c r="AF724" s="84"/>
      <c r="AG724" s="719"/>
      <c r="AK724" s="20"/>
      <c r="AL724" s="20"/>
      <c r="AM724" s="20"/>
      <c r="AN724" s="20"/>
      <c r="AO724" s="20"/>
      <c r="AP724" s="20"/>
    </row>
    <row r="725" spans="1:42">
      <c r="A725" s="294" t="s">
        <v>444</v>
      </c>
      <c r="B725" s="1"/>
      <c r="C725" s="304">
        <f t="shared" si="140"/>
        <v>13.334244034527019</v>
      </c>
      <c r="D725" s="322">
        <f>'Rate Design Work eff 9-15-17'!D724</f>
        <v>1504</v>
      </c>
      <c r="E725" s="309"/>
      <c r="F725" s="306">
        <f>F779+F830</f>
        <v>20055</v>
      </c>
      <c r="G725" s="322">
        <f ca="1">'Rate Design Work eff 9-15-17'!G724</f>
        <v>1539</v>
      </c>
      <c r="H725" s="309"/>
      <c r="I725" s="306">
        <f ca="1">I779+I830</f>
        <v>20521</v>
      </c>
      <c r="J725" s="306"/>
      <c r="K725" s="322">
        <f ca="1">'Rate Design Work eff 10-14-16'!K724</f>
        <v>1504</v>
      </c>
      <c r="L725" s="309"/>
      <c r="M725" s="306">
        <f ca="1">'Rate Design Work eff 10-14-16'!M724</f>
        <v>20055</v>
      </c>
      <c r="N725" s="306"/>
      <c r="O725" s="322" t="str">
        <f>'Rate Design Work eff 10-14-16'!O724</f>
        <v xml:space="preserve"> </v>
      </c>
      <c r="P725" s="309"/>
      <c r="Q725" s="306">
        <f>'Rate Design Work eff 10-14-16'!Q724</f>
        <v>0</v>
      </c>
      <c r="R725" s="306"/>
      <c r="S725" s="322" t="str">
        <f>'Rate Design Work eff 10-14-16'!S724</f>
        <v xml:space="preserve"> </v>
      </c>
      <c r="T725" s="309"/>
      <c r="U725" s="306">
        <f>'Rate Design Work eff 10-14-16'!U724</f>
        <v>0</v>
      </c>
      <c r="V725" s="69"/>
      <c r="X725" s="14">
        <f ca="1">(G725-D725)/D725</f>
        <v>2.327127659574468E-2</v>
      </c>
      <c r="Y725" s="14"/>
      <c r="AA725" s="84"/>
      <c r="AB725" s="84"/>
      <c r="AG725" s="20"/>
      <c r="AJ725" s="20"/>
      <c r="AK725" s="20"/>
      <c r="AL725" s="20"/>
      <c r="AM725" s="20"/>
      <c r="AN725" s="20"/>
      <c r="AO725" s="20"/>
      <c r="AP725" s="20"/>
    </row>
    <row r="726" spans="1:42">
      <c r="A726" s="294" t="s">
        <v>352</v>
      </c>
      <c r="B726" s="1"/>
      <c r="C726" s="304">
        <f t="shared" si="140"/>
        <v>5224.9278642093977</v>
      </c>
      <c r="D726" s="322"/>
      <c r="E726" s="309"/>
      <c r="F726" s="306"/>
      <c r="G726" s="322"/>
      <c r="H726" s="309"/>
      <c r="I726" s="306"/>
      <c r="J726" s="306"/>
      <c r="K726" s="322"/>
      <c r="L726" s="309"/>
      <c r="M726" s="306"/>
      <c r="N726" s="306"/>
      <c r="O726" s="322"/>
      <c r="P726" s="309"/>
      <c r="Q726" s="306"/>
      <c r="R726" s="306"/>
      <c r="S726" s="322"/>
      <c r="T726" s="309"/>
      <c r="U726" s="306"/>
      <c r="V726" s="69"/>
      <c r="X726" s="305"/>
      <c r="Y726" s="305"/>
      <c r="Z726" s="69"/>
      <c r="AG726" s="314"/>
      <c r="AH726" s="314"/>
      <c r="AI726" s="20"/>
      <c r="AJ726" s="20"/>
      <c r="AK726" s="20"/>
      <c r="AL726" s="20"/>
      <c r="AM726" s="20"/>
      <c r="AN726" s="20"/>
      <c r="AO726" s="20"/>
      <c r="AP726" s="20"/>
    </row>
    <row r="727" spans="1:42">
      <c r="A727" s="294" t="s">
        <v>445</v>
      </c>
      <c r="B727" s="1"/>
      <c r="C727" s="304">
        <f t="shared" si="140"/>
        <v>39964.6016666668</v>
      </c>
      <c r="D727" s="322"/>
      <c r="E727" s="309"/>
      <c r="F727" s="306"/>
      <c r="G727" s="322"/>
      <c r="H727" s="309"/>
      <c r="I727" s="306"/>
      <c r="J727" s="306"/>
      <c r="K727" s="322"/>
      <c r="L727" s="309"/>
      <c r="M727" s="306"/>
      <c r="N727" s="306"/>
      <c r="O727" s="322"/>
      <c r="P727" s="309"/>
      <c r="Q727" s="306"/>
      <c r="R727" s="306"/>
      <c r="S727" s="322"/>
      <c r="T727" s="309"/>
      <c r="U727" s="306"/>
      <c r="V727" s="69"/>
      <c r="Z727" s="69"/>
      <c r="AI727" s="20"/>
      <c r="AJ727" s="20"/>
      <c r="AK727" s="20"/>
      <c r="AL727" s="20"/>
      <c r="AM727" s="20"/>
      <c r="AN727" s="20"/>
      <c r="AO727" s="20"/>
      <c r="AP727" s="20"/>
    </row>
    <row r="728" spans="1:42">
      <c r="A728" s="294" t="s">
        <v>104</v>
      </c>
      <c r="B728" s="1"/>
      <c r="C728" s="304">
        <f t="shared" si="140"/>
        <v>5844</v>
      </c>
      <c r="D728" s="322"/>
      <c r="E728" s="306"/>
      <c r="F728" s="306"/>
      <c r="G728" s="322"/>
      <c r="H728" s="306"/>
      <c r="I728" s="715" t="s">
        <v>31</v>
      </c>
      <c r="J728" s="715"/>
      <c r="K728" s="322"/>
      <c r="L728" s="306"/>
      <c r="M728" s="715" t="s">
        <v>31</v>
      </c>
      <c r="N728" s="715"/>
      <c r="O728" s="322"/>
      <c r="P728" s="306"/>
      <c r="Q728" s="715" t="s">
        <v>31</v>
      </c>
      <c r="R728" s="715"/>
      <c r="S728" s="322"/>
      <c r="T728" s="306"/>
      <c r="U728" s="715" t="s">
        <v>31</v>
      </c>
      <c r="V728" s="69"/>
      <c r="X728" s="305"/>
      <c r="Y728" s="305"/>
      <c r="Z728" s="279"/>
      <c r="AI728" s="20"/>
      <c r="AJ728" s="20"/>
      <c r="AK728" s="20"/>
      <c r="AL728" s="20"/>
      <c r="AM728" s="20"/>
      <c r="AN728" s="20"/>
      <c r="AO728" s="20"/>
      <c r="AP728" s="20"/>
    </row>
    <row r="729" spans="1:42">
      <c r="A729" s="294" t="s">
        <v>446</v>
      </c>
      <c r="B729" s="1"/>
      <c r="C729" s="304"/>
      <c r="D729" s="322"/>
      <c r="E729" s="309"/>
      <c r="F729" s="306"/>
      <c r="G729" s="322"/>
      <c r="H729" s="309"/>
      <c r="I729" s="306"/>
      <c r="J729" s="306"/>
      <c r="K729" s="322"/>
      <c r="L729" s="309"/>
      <c r="M729" s="306"/>
      <c r="N729" s="306"/>
      <c r="O729" s="322"/>
      <c r="P729" s="309"/>
      <c r="Q729" s="306"/>
      <c r="R729" s="306"/>
      <c r="S729" s="322"/>
      <c r="T729" s="309"/>
      <c r="U729" s="306"/>
      <c r="V729" s="69"/>
      <c r="X729" s="305"/>
      <c r="Y729" s="305"/>
      <c r="Z729" s="69"/>
      <c r="AI729" s="20"/>
      <c r="AJ729" s="20"/>
      <c r="AK729" s="20"/>
      <c r="AL729" s="20"/>
      <c r="AM729" s="20"/>
      <c r="AN729" s="20"/>
      <c r="AO729" s="20"/>
      <c r="AP729" s="20"/>
    </row>
    <row r="730" spans="1:42">
      <c r="A730" s="294" t="s">
        <v>447</v>
      </c>
      <c r="B730" s="1"/>
      <c r="C730" s="304">
        <f>C784+C835</f>
        <v>3200.9016113138414</v>
      </c>
      <c r="D730" s="322">
        <f>'Rate Design Work eff 9-15-17'!D729</f>
        <v>26.02</v>
      </c>
      <c r="E730" s="309"/>
      <c r="F730" s="306">
        <f>F784+F835</f>
        <v>83288</v>
      </c>
      <c r="G730" s="322">
        <f ca="1">'Rate Design Work eff 9-15-17'!G729</f>
        <v>26.63</v>
      </c>
      <c r="H730" s="309"/>
      <c r="I730" s="306">
        <f ca="1">I784+I835</f>
        <v>85240</v>
      </c>
      <c r="J730" s="306"/>
      <c r="K730" s="322">
        <f ca="1">'Rate Design Work eff 10-14-16'!K729</f>
        <v>26.02</v>
      </c>
      <c r="L730" s="309"/>
      <c r="M730" s="306">
        <f ca="1">'Rate Design Work eff 10-14-16'!M729</f>
        <v>83288</v>
      </c>
      <c r="N730" s="306"/>
      <c r="O730" s="322" t="str">
        <f>'Rate Design Work eff 10-14-16'!O729</f>
        <v xml:space="preserve"> </v>
      </c>
      <c r="P730" s="309"/>
      <c r="Q730" s="306">
        <f>'Rate Design Work eff 10-14-16'!Q729</f>
        <v>0</v>
      </c>
      <c r="R730" s="306"/>
      <c r="S730" s="322" t="str">
        <f>'Rate Design Work eff 10-14-16'!S729</f>
        <v xml:space="preserve"> </v>
      </c>
      <c r="T730" s="309"/>
      <c r="U730" s="306">
        <f>'Rate Design Work eff 10-14-16'!U729</f>
        <v>0</v>
      </c>
      <c r="V730" s="361"/>
      <c r="X730" s="14">
        <f ca="1">(G730-D730)/D730</f>
        <v>2.3443504996156782E-2</v>
      </c>
      <c r="Y730" s="14"/>
      <c r="Z730" s="69"/>
      <c r="AK730" s="20"/>
      <c r="AL730" s="20"/>
      <c r="AM730" s="20"/>
      <c r="AN730" s="20"/>
      <c r="AO730" s="20"/>
      <c r="AP730" s="20"/>
    </row>
    <row r="731" spans="1:42">
      <c r="A731" s="294" t="s">
        <v>448</v>
      </c>
      <c r="B731" s="1"/>
      <c r="C731" s="304"/>
      <c r="D731" s="322"/>
      <c r="E731" s="309"/>
      <c r="F731" s="306"/>
      <c r="G731" s="322"/>
      <c r="H731" s="309"/>
      <c r="I731" s="306"/>
      <c r="J731" s="306"/>
      <c r="K731" s="322"/>
      <c r="L731" s="309"/>
      <c r="M731" s="306"/>
      <c r="N731" s="306"/>
      <c r="O731" s="322"/>
      <c r="P731" s="309"/>
      <c r="Q731" s="306"/>
      <c r="R731" s="306"/>
      <c r="S731" s="322"/>
      <c r="T731" s="309"/>
      <c r="U731" s="306"/>
      <c r="V731" s="361"/>
      <c r="X731" s="305"/>
      <c r="Y731" s="305"/>
      <c r="Z731" s="69"/>
      <c r="AK731" s="20"/>
      <c r="AL731" s="20"/>
      <c r="AM731" s="20"/>
      <c r="AN731" s="20"/>
      <c r="AO731" s="20"/>
      <c r="AP731" s="20"/>
    </row>
    <row r="732" spans="1:42">
      <c r="A732" s="294" t="s">
        <v>442</v>
      </c>
      <c r="B732" s="1"/>
      <c r="C732" s="304">
        <f>C786+C837</f>
        <v>53216.72760788173</v>
      </c>
      <c r="D732" s="322">
        <f>'Rate Design Work eff 9-15-17'!D731</f>
        <v>26.02</v>
      </c>
      <c r="E732" s="309"/>
      <c r="F732" s="306">
        <f>F786+F837</f>
        <v>1384699</v>
      </c>
      <c r="G732" s="322">
        <f ca="1">'Rate Design Work eff 9-15-17'!G731</f>
        <v>26.63</v>
      </c>
      <c r="H732" s="309"/>
      <c r="I732" s="306">
        <f ca="1">I786+I837</f>
        <v>1417162</v>
      </c>
      <c r="J732" s="306"/>
      <c r="K732" s="322">
        <f ca="1">'Rate Design Work eff 10-14-16'!K731</f>
        <v>26.02</v>
      </c>
      <c r="L732" s="309"/>
      <c r="M732" s="306">
        <f ca="1">'Rate Design Work eff 10-14-16'!M731</f>
        <v>1384699</v>
      </c>
      <c r="N732" s="306"/>
      <c r="O732" s="322" t="str">
        <f>'Rate Design Work eff 10-14-16'!O731</f>
        <v xml:space="preserve"> </v>
      </c>
      <c r="P732" s="309"/>
      <c r="Q732" s="306">
        <f>'Rate Design Work eff 10-14-16'!Q731</f>
        <v>0</v>
      </c>
      <c r="R732" s="306"/>
      <c r="S732" s="322" t="str">
        <f>'Rate Design Work eff 10-14-16'!S731</f>
        <v xml:space="preserve"> </v>
      </c>
      <c r="T732" s="309"/>
      <c r="U732" s="306">
        <f>'Rate Design Work eff 10-14-16'!U731</f>
        <v>0</v>
      </c>
      <c r="V732" s="361"/>
      <c r="X732" s="14">
        <f ca="1">(G732-D732)/D732</f>
        <v>2.3443504996156782E-2</v>
      </c>
      <c r="Y732" s="14"/>
      <c r="Z732" s="69"/>
      <c r="AK732" s="20"/>
      <c r="AL732" s="20"/>
      <c r="AM732" s="20"/>
      <c r="AN732" s="20"/>
      <c r="AO732" s="20"/>
      <c r="AP732" s="20"/>
    </row>
    <row r="733" spans="1:42">
      <c r="A733" s="294" t="s">
        <v>443</v>
      </c>
      <c r="B733" s="1"/>
      <c r="C733" s="304">
        <f>C787+C838</f>
        <v>40819.098454276304</v>
      </c>
      <c r="D733" s="322">
        <f>'Rate Design Work eff 9-15-17'!D732</f>
        <v>18.101388370764003</v>
      </c>
      <c r="E733" s="309"/>
      <c r="F733" s="306">
        <f>F787+F838</f>
        <v>738882</v>
      </c>
      <c r="G733" s="322">
        <f ca="1">'Rate Design Work eff 9-15-17'!G732</f>
        <v>18.526286850528336</v>
      </c>
      <c r="H733" s="309"/>
      <c r="I733" s="306">
        <f ca="1">I787+I838</f>
        <v>756227</v>
      </c>
      <c r="J733" s="306"/>
      <c r="K733" s="322">
        <f ca="1">'Rate Design Work eff 10-14-16'!K732</f>
        <v>18.101388370764003</v>
      </c>
      <c r="L733" s="309"/>
      <c r="M733" s="306">
        <f ca="1">'Rate Design Work eff 10-14-16'!M732</f>
        <v>738882</v>
      </c>
      <c r="N733" s="306"/>
      <c r="O733" s="322" t="str">
        <f>'Rate Design Work eff 10-14-16'!O732</f>
        <v xml:space="preserve"> </v>
      </c>
      <c r="P733" s="309"/>
      <c r="Q733" s="306">
        <f>'Rate Design Work eff 10-14-16'!Q732</f>
        <v>0</v>
      </c>
      <c r="R733" s="306"/>
      <c r="S733" s="322" t="str">
        <f>'Rate Design Work eff 10-14-16'!S732</f>
        <v xml:space="preserve"> </v>
      </c>
      <c r="T733" s="309"/>
      <c r="U733" s="306">
        <f>'Rate Design Work eff 10-14-16'!U732</f>
        <v>0</v>
      </c>
      <c r="V733" s="361"/>
      <c r="X733" s="14">
        <f ca="1">(G733-D733)/D733</f>
        <v>2.3473253601397657E-2</v>
      </c>
      <c r="Y733" s="14"/>
      <c r="Z733" s="69"/>
      <c r="AC733" s="84"/>
      <c r="AD733" s="84"/>
      <c r="AE733" s="84"/>
      <c r="AF733" s="84"/>
      <c r="AG733" s="84"/>
      <c r="AH733" s="222"/>
      <c r="AI733" s="20" t="s">
        <v>31</v>
      </c>
      <c r="AJ733" s="20"/>
      <c r="AK733" s="20"/>
      <c r="AL733" s="20"/>
      <c r="AM733" s="20"/>
      <c r="AN733" s="20"/>
      <c r="AO733" s="20"/>
      <c r="AP733" s="20"/>
    </row>
    <row r="734" spans="1:42">
      <c r="A734" s="294" t="s">
        <v>444</v>
      </c>
      <c r="B734" s="1" t="s">
        <v>31</v>
      </c>
      <c r="C734" s="304">
        <f>C788+C839</f>
        <v>5313.3743371072133</v>
      </c>
      <c r="D734" s="322">
        <f>'Rate Design Work eff 9-15-17'!D733</f>
        <v>14.155824964645021</v>
      </c>
      <c r="E734" s="309"/>
      <c r="F734" s="306">
        <f>F788+F839</f>
        <v>75215</v>
      </c>
      <c r="G734" s="322">
        <f ca="1">'Rate Design Work eff 9-15-17'!G733</f>
        <v>14.48810823397713</v>
      </c>
      <c r="H734" s="309"/>
      <c r="I734" s="306">
        <f ca="1">I788+I839</f>
        <v>76980</v>
      </c>
      <c r="J734" s="306"/>
      <c r="K734" s="322">
        <f ca="1">'Rate Design Work eff 10-14-16'!K733</f>
        <v>14.155824964645021</v>
      </c>
      <c r="L734" s="309"/>
      <c r="M734" s="306">
        <f ca="1">'Rate Design Work eff 10-14-16'!M733</f>
        <v>75215</v>
      </c>
      <c r="N734" s="306"/>
      <c r="O734" s="322" t="str">
        <f>'Rate Design Work eff 10-14-16'!O733</f>
        <v xml:space="preserve"> </v>
      </c>
      <c r="P734" s="309"/>
      <c r="Q734" s="306">
        <f>'Rate Design Work eff 10-14-16'!Q733</f>
        <v>0</v>
      </c>
      <c r="R734" s="306"/>
      <c r="S734" s="322" t="str">
        <f>'Rate Design Work eff 10-14-16'!S733</f>
        <v xml:space="preserve"> </v>
      </c>
      <c r="T734" s="309"/>
      <c r="U734" s="306">
        <f>'Rate Design Work eff 10-14-16'!U733</f>
        <v>0</v>
      </c>
      <c r="V734" s="361"/>
      <c r="X734" s="14">
        <f ca="1">(G734-D734)/D734</f>
        <v>2.3473253601397681E-2</v>
      </c>
      <c r="Y734" s="14"/>
      <c r="Z734" s="69"/>
      <c r="AI734" s="20" t="s">
        <v>31</v>
      </c>
      <c r="AJ734" s="20"/>
      <c r="AK734" s="20"/>
      <c r="AL734" s="20"/>
      <c r="AM734" s="20"/>
      <c r="AN734" s="20"/>
      <c r="AO734" s="20"/>
      <c r="AP734" s="20"/>
    </row>
    <row r="735" spans="1:42">
      <c r="A735" s="294" t="s">
        <v>450</v>
      </c>
      <c r="B735" s="1"/>
      <c r="C735" s="304">
        <f>C789+C840</f>
        <v>559.74429781916001</v>
      </c>
      <c r="D735" s="322">
        <f>'Rate Design Work eff 9-15-17'!D734</f>
        <v>78.06</v>
      </c>
      <c r="E735" s="309"/>
      <c r="F735" s="306">
        <f>F789+F840</f>
        <v>43693</v>
      </c>
      <c r="G735" s="322">
        <f ca="1">'Rate Design Work eff 9-15-17'!G734</f>
        <v>79.89</v>
      </c>
      <c r="H735" s="309"/>
      <c r="I735" s="306">
        <f ca="1">I789+I840</f>
        <v>44718</v>
      </c>
      <c r="J735" s="306"/>
      <c r="K735" s="322">
        <f ca="1">'Rate Design Work eff 10-14-16'!K734</f>
        <v>78.06</v>
      </c>
      <c r="L735" s="309"/>
      <c r="M735" s="306">
        <f ca="1">'Rate Design Work eff 10-14-16'!M734</f>
        <v>43693</v>
      </c>
      <c r="N735" s="306"/>
      <c r="O735" s="322" t="str">
        <f>'Rate Design Work eff 10-14-16'!O734</f>
        <v xml:space="preserve"> </v>
      </c>
      <c r="P735" s="309"/>
      <c r="Q735" s="306">
        <f>'Rate Design Work eff 10-14-16'!Q734</f>
        <v>0</v>
      </c>
      <c r="R735" s="306"/>
      <c r="S735" s="322" t="str">
        <f>'Rate Design Work eff 10-14-16'!S734</f>
        <v xml:space="preserve"> </v>
      </c>
      <c r="T735" s="309"/>
      <c r="U735" s="306">
        <f>'Rate Design Work eff 10-14-16'!U734</f>
        <v>0</v>
      </c>
      <c r="V735" s="69"/>
      <c r="X735" s="14">
        <f ca="1">(G735-D735)/D735</f>
        <v>2.3443504996156779E-2</v>
      </c>
      <c r="Y735" s="14"/>
      <c r="Z735" s="69"/>
      <c r="AI735" s="20"/>
      <c r="AJ735" s="20"/>
      <c r="AK735" s="20"/>
      <c r="AL735" s="20"/>
      <c r="AM735" s="20"/>
      <c r="AN735" s="20"/>
      <c r="AO735" s="20"/>
      <c r="AP735" s="20"/>
    </row>
    <row r="736" spans="1:42">
      <c r="A736" s="294" t="s">
        <v>451</v>
      </c>
      <c r="B736" s="1"/>
      <c r="C736" s="304">
        <f>C790+C841</f>
        <v>984.58847619077994</v>
      </c>
      <c r="D736" s="322">
        <f>'Rate Design Work eff 9-15-17'!D735</f>
        <v>156.12</v>
      </c>
      <c r="E736" s="309"/>
      <c r="F736" s="306">
        <f>F790+F841</f>
        <v>153714</v>
      </c>
      <c r="G736" s="322">
        <f ca="1">'Rate Design Work eff 9-15-17'!G735</f>
        <v>159.78</v>
      </c>
      <c r="H736" s="309"/>
      <c r="I736" s="306">
        <f ca="1">I790+I841</f>
        <v>157318</v>
      </c>
      <c r="J736" s="306"/>
      <c r="K736" s="322">
        <f ca="1">'Rate Design Work eff 10-14-16'!K735</f>
        <v>156.12</v>
      </c>
      <c r="L736" s="309"/>
      <c r="M736" s="306">
        <f ca="1">'Rate Design Work eff 10-14-16'!M735</f>
        <v>153714</v>
      </c>
      <c r="N736" s="306"/>
      <c r="O736" s="322" t="str">
        <f>'Rate Design Work eff 10-14-16'!O735</f>
        <v xml:space="preserve"> </v>
      </c>
      <c r="P736" s="309"/>
      <c r="Q736" s="306">
        <f>'Rate Design Work eff 10-14-16'!Q735</f>
        <v>0</v>
      </c>
      <c r="R736" s="306"/>
      <c r="S736" s="322" t="str">
        <f>'Rate Design Work eff 10-14-16'!S735</f>
        <v xml:space="preserve"> </v>
      </c>
      <c r="T736" s="309"/>
      <c r="U736" s="306">
        <f>'Rate Design Work eff 10-14-16'!U735</f>
        <v>0</v>
      </c>
      <c r="V736" s="69"/>
      <c r="X736" s="14">
        <f ca="1">(G736-D736)/D736</f>
        <v>2.3443504996156779E-2</v>
      </c>
      <c r="Y736" s="14"/>
      <c r="Z736" s="69"/>
      <c r="AI736" s="20"/>
      <c r="AJ736" s="20"/>
      <c r="AK736" s="20"/>
      <c r="AL736" s="20"/>
      <c r="AM736" s="20"/>
      <c r="AN736" s="20"/>
      <c r="AO736" s="20"/>
      <c r="AP736" s="20"/>
    </row>
    <row r="737" spans="1:44">
      <c r="A737" s="294" t="s">
        <v>452</v>
      </c>
      <c r="B737" s="1"/>
      <c r="C737" s="304"/>
      <c r="D737" s="322"/>
      <c r="E737" s="309"/>
      <c r="F737" s="306"/>
      <c r="G737" s="322"/>
      <c r="H737" s="309"/>
      <c r="I737" s="306"/>
      <c r="J737" s="306"/>
      <c r="K737" s="322"/>
      <c r="L737" s="309"/>
      <c r="M737" s="306"/>
      <c r="N737" s="306"/>
      <c r="O737" s="322"/>
      <c r="P737" s="309"/>
      <c r="Q737" s="306"/>
      <c r="R737" s="306"/>
      <c r="S737" s="322"/>
      <c r="T737" s="309"/>
      <c r="U737" s="306"/>
      <c r="V737" s="69"/>
      <c r="X737" s="3"/>
      <c r="Y737" s="3"/>
      <c r="Z737" s="69"/>
      <c r="AI737" s="20"/>
      <c r="AJ737" s="20"/>
      <c r="AK737" s="20"/>
      <c r="AL737" s="20"/>
      <c r="AM737" s="20"/>
      <c r="AN737" s="20"/>
      <c r="AO737" s="20"/>
      <c r="AP737" s="20"/>
    </row>
    <row r="738" spans="1:44">
      <c r="A738" s="294" t="s">
        <v>447</v>
      </c>
      <c r="B738" s="1"/>
      <c r="C738" s="304">
        <f>C792+C843</f>
        <v>40.035839968204996</v>
      </c>
      <c r="D738" s="348">
        <f>'Rate Design Work eff 9-15-17'!D737</f>
        <v>-26.02</v>
      </c>
      <c r="E738" s="309"/>
      <c r="F738" s="306">
        <f>F792+F843</f>
        <v>-1041</v>
      </c>
      <c r="G738" s="348">
        <f ca="1">-G730</f>
        <v>-26.63</v>
      </c>
      <c r="H738" s="309"/>
      <c r="I738" s="306">
        <f ca="1">I792+I843</f>
        <v>-1066</v>
      </c>
      <c r="J738" s="306"/>
      <c r="K738" s="348">
        <f ca="1">-K730</f>
        <v>-26.02</v>
      </c>
      <c r="L738" s="309"/>
      <c r="M738" s="306">
        <f ca="1">'Rate Design Work eff 10-14-16'!M737</f>
        <v>-1041</v>
      </c>
      <c r="N738" s="306"/>
      <c r="O738" s="348">
        <f>-O730</f>
        <v>0</v>
      </c>
      <c r="P738" s="309"/>
      <c r="Q738" s="306">
        <f>'Rate Design Work eff 10-14-16'!Q737</f>
        <v>0</v>
      </c>
      <c r="R738" s="306"/>
      <c r="S738" s="348">
        <f>-S730</f>
        <v>0</v>
      </c>
      <c r="T738" s="309"/>
      <c r="U738" s="306">
        <f>'Rate Design Work eff 10-14-16'!U737</f>
        <v>0</v>
      </c>
      <c r="V738" s="69"/>
      <c r="X738" s="3"/>
      <c r="Y738" s="3"/>
      <c r="Z738" s="69"/>
      <c r="AI738" s="20"/>
      <c r="AJ738" s="20"/>
      <c r="AK738" s="20"/>
      <c r="AL738" s="20"/>
      <c r="AM738" s="20"/>
      <c r="AN738" s="20"/>
      <c r="AO738" s="20"/>
      <c r="AP738" s="20"/>
    </row>
    <row r="739" spans="1:44">
      <c r="A739" s="294" t="s">
        <v>453</v>
      </c>
      <c r="B739" s="1"/>
      <c r="C739" s="304">
        <f>C793+C844</f>
        <v>411.79827649787603</v>
      </c>
      <c r="D739" s="348">
        <f>'Rate Design Work eff 9-15-17'!D738</f>
        <v>-26.02</v>
      </c>
      <c r="E739" s="309"/>
      <c r="F739" s="306">
        <f>F793+F844</f>
        <v>-10715</v>
      </c>
      <c r="G739" s="348">
        <f ca="1">-G732</f>
        <v>-26.63</v>
      </c>
      <c r="H739" s="309"/>
      <c r="I739" s="306">
        <f ca="1">I793+I844</f>
        <v>-10966</v>
      </c>
      <c r="J739" s="306"/>
      <c r="K739" s="348">
        <f ca="1">-K732</f>
        <v>-26.02</v>
      </c>
      <c r="L739" s="309"/>
      <c r="M739" s="306">
        <f ca="1">'Rate Design Work eff 10-14-16'!M738</f>
        <v>-10715</v>
      </c>
      <c r="N739" s="306"/>
      <c r="O739" s="348">
        <f>-O732</f>
        <v>0</v>
      </c>
      <c r="P739" s="309"/>
      <c r="Q739" s="306">
        <f>'Rate Design Work eff 10-14-16'!Q738</f>
        <v>0</v>
      </c>
      <c r="R739" s="306"/>
      <c r="S739" s="348">
        <f>-S732</f>
        <v>0</v>
      </c>
      <c r="T739" s="309"/>
      <c r="U739" s="306">
        <f>'Rate Design Work eff 10-14-16'!U738</f>
        <v>0</v>
      </c>
      <c r="V739" s="69"/>
      <c r="X739" s="3"/>
      <c r="Y739" s="3"/>
      <c r="Z739" s="69"/>
      <c r="AI739" s="20"/>
      <c r="AJ739" s="20"/>
      <c r="AK739" s="20"/>
      <c r="AL739" s="20"/>
      <c r="AM739" s="20"/>
      <c r="AN739" s="20"/>
      <c r="AO739" s="20"/>
      <c r="AP739" s="20"/>
    </row>
    <row r="740" spans="1:44">
      <c r="A740" s="308" t="s">
        <v>416</v>
      </c>
      <c r="B740" s="1"/>
      <c r="C740" s="304">
        <f>C794+C845</f>
        <v>0</v>
      </c>
      <c r="D740" s="322"/>
      <c r="E740" s="306"/>
      <c r="F740" s="306"/>
      <c r="G740" s="322"/>
      <c r="H740" s="306"/>
      <c r="I740" s="306"/>
      <c r="J740" s="306"/>
      <c r="K740" s="322"/>
      <c r="L740" s="306"/>
      <c r="M740" s="306"/>
      <c r="N740" s="850" t="s">
        <v>31</v>
      </c>
      <c r="O740" s="322"/>
      <c r="P740" s="306"/>
      <c r="Q740" s="306"/>
      <c r="R740" s="306"/>
      <c r="S740" s="322"/>
      <c r="T740" s="306"/>
      <c r="U740" s="306"/>
      <c r="V740" s="69"/>
      <c r="X740" s="3"/>
      <c r="Y740" s="3"/>
      <c r="Z740" s="69"/>
      <c r="AA740" s="3" t="s">
        <v>31</v>
      </c>
      <c r="AI740" s="20"/>
      <c r="AJ740" s="20"/>
      <c r="AK740" s="20"/>
      <c r="AL740" s="20"/>
      <c r="AM740" s="20"/>
      <c r="AN740" s="20"/>
      <c r="AO740" s="20"/>
      <c r="AP740" s="20"/>
    </row>
    <row r="741" spans="1:44">
      <c r="A741" s="294" t="s">
        <v>454</v>
      </c>
      <c r="B741" s="1"/>
      <c r="C741" s="304">
        <f>C795+C846</f>
        <v>158323871.89494899</v>
      </c>
      <c r="D741" s="368">
        <f>'Rate Design Work eff 9-15-17'!D740</f>
        <v>7.0350000000000001</v>
      </c>
      <c r="E741" s="306" t="s">
        <v>364</v>
      </c>
      <c r="F741" s="306">
        <f>F795+F846</f>
        <v>11138085</v>
      </c>
      <c r="G741" s="368">
        <f ca="1">'Rate Design Work eff 9-15-17'!G740</f>
        <v>7.2030000000000003</v>
      </c>
      <c r="H741" s="306" t="s">
        <v>364</v>
      </c>
      <c r="I741" s="306">
        <f ca="1">I795+I846</f>
        <v>11404068</v>
      </c>
      <c r="J741" s="306"/>
      <c r="K741" s="368" t="e">
        <f ca="1">'Rate Design Work eff 10-14-16'!K740</f>
        <v>#REF!</v>
      </c>
      <c r="L741" s="850" t="s">
        <v>31</v>
      </c>
      <c r="M741" s="306" t="e">
        <f ca="1">'Rate Design Work eff 10-14-16'!M740</f>
        <v>#REF!</v>
      </c>
      <c r="N741" s="306"/>
      <c r="O741" s="368" t="e">
        <f ca="1">'Rate Design Work eff 10-14-16'!O740</f>
        <v>#DIV/0!</v>
      </c>
      <c r="P741" s="306" t="s">
        <v>364</v>
      </c>
      <c r="Q741" s="306" t="e">
        <f ca="1">'Rate Design Work eff 10-14-16'!Q740</f>
        <v>#DIV/0!</v>
      </c>
      <c r="R741" s="306"/>
      <c r="S741" s="368" t="e">
        <f ca="1">'Rate Design Work eff 10-14-16'!S740</f>
        <v>#DIV/0!</v>
      </c>
      <c r="T741" s="306" t="s">
        <v>364</v>
      </c>
      <c r="U741" s="306" t="e">
        <f ca="1">'Rate Design Work eff 10-14-16'!U740</f>
        <v>#DIV/0!</v>
      </c>
      <c r="V741" s="323"/>
      <c r="X741" s="14">
        <f ca="1">((G741+G743)-D741)/D741</f>
        <v>2.3880597014925394E-2</v>
      </c>
      <c r="Y741" s="14"/>
      <c r="Z741" s="69"/>
      <c r="AI741" s="20"/>
      <c r="AJ741" s="20"/>
      <c r="AK741" s="20"/>
      <c r="AL741" s="20"/>
      <c r="AM741" s="20"/>
      <c r="AN741" s="20"/>
      <c r="AO741" s="20"/>
      <c r="AP741" s="20"/>
    </row>
    <row r="742" spans="1:44">
      <c r="A742" s="308" t="s">
        <v>390</v>
      </c>
      <c r="B742" s="1"/>
      <c r="C742" s="304">
        <f>C796+C847</f>
        <v>60236</v>
      </c>
      <c r="D742" s="591">
        <f>'Rate Design Work eff 9-15-17'!D741</f>
        <v>57</v>
      </c>
      <c r="E742" s="308" t="s">
        <v>364</v>
      </c>
      <c r="F742" s="306">
        <f>F796+F847</f>
        <v>34334</v>
      </c>
      <c r="G742" s="591">
        <f ca="1">'Rate Design Work eff 9-15-17'!G741</f>
        <v>58</v>
      </c>
      <c r="H742" s="308" t="s">
        <v>364</v>
      </c>
      <c r="I742" s="306">
        <f ca="1">I796+I847</f>
        <v>34937</v>
      </c>
      <c r="J742" s="306"/>
      <c r="K742" s="591" t="str">
        <f>'Rate Design Work eff 10-14-16'!K741</f>
        <v xml:space="preserve"> </v>
      </c>
      <c r="L742" s="406" t="s">
        <v>31</v>
      </c>
      <c r="M742" s="306">
        <f>'Rate Design Work eff 10-14-16'!M741</f>
        <v>0</v>
      </c>
      <c r="N742" s="306"/>
      <c r="O742" s="591" t="e">
        <f ca="1">'Rate Design Work eff 10-14-16'!O741</f>
        <v>#DIV/0!</v>
      </c>
      <c r="P742" s="308" t="s">
        <v>364</v>
      </c>
      <c r="Q742" s="306" t="e">
        <f ca="1">'Rate Design Work eff 10-14-16'!Q741</f>
        <v>#DIV/0!</v>
      </c>
      <c r="R742" s="306"/>
      <c r="S742" s="591" t="e">
        <f ca="1">'Rate Design Work eff 10-14-16'!S741</f>
        <v>#DIV/0!</v>
      </c>
      <c r="T742" s="308" t="s">
        <v>364</v>
      </c>
      <c r="U742" s="306" t="e">
        <f ca="1">'Rate Design Work eff 10-14-16'!U741</f>
        <v>#DIV/0!</v>
      </c>
      <c r="X742" s="14">
        <f ca="1">(G742-D742)/D742</f>
        <v>1.7543859649122806E-2</v>
      </c>
      <c r="Y742" s="14"/>
      <c r="Z742" s="69"/>
      <c r="AI742" s="20"/>
      <c r="AJ742" s="20"/>
      <c r="AK742" s="20"/>
      <c r="AL742" s="20"/>
      <c r="AM742" s="20"/>
      <c r="AN742" s="20"/>
      <c r="AO742" s="20"/>
      <c r="AP742" s="20"/>
    </row>
    <row r="743" spans="1:44" s="1118" customFormat="1" hidden="1">
      <c r="A743" s="968" t="s">
        <v>891</v>
      </c>
      <c r="C743" s="987">
        <f>C741</f>
        <v>158323871.89494899</v>
      </c>
      <c r="D743" s="254">
        <f>'Rate Design Work eff 9-15-17'!D742</f>
        <v>0</v>
      </c>
      <c r="E743" s="1119"/>
      <c r="F743" s="1123"/>
      <c r="G743" s="1128">
        <f>'Rate Design Work eff 9-15-17'!G742</f>
        <v>0</v>
      </c>
      <c r="H743" s="972" t="s">
        <v>364</v>
      </c>
      <c r="I743" s="1000" t="e">
        <f>#REF!+I848</f>
        <v>#REF!</v>
      </c>
      <c r="J743" s="1000"/>
      <c r="K743" s="1128" t="str">
        <f>'Rate Design Work eff 10-14-16'!K742</f>
        <v xml:space="preserve"> </v>
      </c>
      <c r="L743" s="972" t="s">
        <v>31</v>
      </c>
      <c r="M743" s="306">
        <f>'Rate Design Work eff 10-14-16'!M742</f>
        <v>0</v>
      </c>
      <c r="N743" s="1000"/>
      <c r="O743" s="1128" t="str">
        <f>'Rate Design Work eff 10-14-16'!O742</f>
        <v xml:space="preserve"> </v>
      </c>
      <c r="P743" s="972" t="s">
        <v>31</v>
      </c>
      <c r="Q743" s="1000" t="e">
        <f>#REF!+Q848</f>
        <v>#REF!</v>
      </c>
      <c r="R743" s="1000"/>
      <c r="S743" s="1128">
        <f>'Rate Design Work eff 10-14-16'!S742</f>
        <v>0</v>
      </c>
      <c r="T743" s="972" t="s">
        <v>364</v>
      </c>
      <c r="U743" s="306">
        <f>'Rate Design Work eff 10-14-16'!U742</f>
        <v>0</v>
      </c>
      <c r="V743" s="1124">
        <f>'NPC Spread'!I33</f>
        <v>4820591.7626756122</v>
      </c>
      <c r="W743" s="784" t="s">
        <v>857</v>
      </c>
      <c r="Z743" s="1125"/>
      <c r="AA743" s="1125"/>
      <c r="AF743" s="1119"/>
      <c r="AG743" s="1119"/>
      <c r="AH743" s="1119"/>
      <c r="AI743" s="1119"/>
      <c r="AJ743" s="1119"/>
      <c r="AK743" s="1119"/>
      <c r="AL743" s="1119"/>
      <c r="AM743" s="1119"/>
      <c r="AN743" s="1119"/>
      <c r="AO743" s="1119"/>
      <c r="AP743" s="1119"/>
      <c r="AR743" s="1124"/>
    </row>
    <row r="744" spans="1:44" s="1118" customFormat="1" hidden="1">
      <c r="A744" s="1255" t="s">
        <v>873</v>
      </c>
      <c r="B744" s="1256"/>
      <c r="C744" s="1262"/>
      <c r="D744" s="1267">
        <f>'Rate Design Work eff 9-15-17'!D743</f>
        <v>7.0350000000000001</v>
      </c>
      <c r="E744" s="1263" t="s">
        <v>364</v>
      </c>
      <c r="F744" s="1259"/>
      <c r="G744" s="1260">
        <f ca="1">G741+G743</f>
        <v>7.2030000000000003</v>
      </c>
      <c r="H744" s="1263" t="s">
        <v>364</v>
      </c>
      <c r="I744" s="1266"/>
      <c r="J744" s="1266"/>
      <c r="K744" s="1260" t="e">
        <f ca="1">K741+K743</f>
        <v>#REF!</v>
      </c>
      <c r="L744" s="1263" t="s">
        <v>364</v>
      </c>
      <c r="M744" s="1266"/>
      <c r="N744" s="1266"/>
      <c r="O744" s="1260" t="e">
        <f ca="1">O741+O743</f>
        <v>#DIV/0!</v>
      </c>
      <c r="P744" s="1263" t="s">
        <v>364</v>
      </c>
      <c r="Q744" s="1266"/>
      <c r="R744" s="1266"/>
      <c r="S744" s="1260" t="e">
        <f ca="1">S741+S743</f>
        <v>#DIV/0!</v>
      </c>
      <c r="T744" s="1263" t="s">
        <v>364</v>
      </c>
      <c r="U744" s="1266"/>
      <c r="V744" s="1124"/>
      <c r="W744" s="784"/>
      <c r="X744" s="55">
        <f ca="1">(G744-D744)/D744</f>
        <v>2.3880597014925394E-2</v>
      </c>
      <c r="Z744" s="1125"/>
      <c r="AA744" s="1125"/>
      <c r="AF744" s="1119"/>
      <c r="AG744" s="1119"/>
      <c r="AH744" s="1119"/>
      <c r="AI744" s="1119"/>
      <c r="AJ744" s="1119"/>
      <c r="AK744" s="1119"/>
      <c r="AL744" s="1119"/>
      <c r="AM744" s="1119"/>
      <c r="AN744" s="1119"/>
      <c r="AO744" s="1119"/>
      <c r="AP744" s="1119"/>
      <c r="AR744" s="1124"/>
    </row>
    <row r="745" spans="1:44">
      <c r="A745" s="345" t="s">
        <v>391</v>
      </c>
      <c r="B745" s="1"/>
      <c r="C745" s="304"/>
      <c r="D745" s="317">
        <f>'Rate Design Work eff 9-15-17'!D744</f>
        <v>-0.01</v>
      </c>
      <c r="E745" s="1"/>
      <c r="F745" s="306"/>
      <c r="G745" s="317">
        <v>-0.01</v>
      </c>
      <c r="H745" s="1"/>
      <c r="I745" s="306"/>
      <c r="J745" s="306"/>
      <c r="K745" s="317">
        <v>-0.01</v>
      </c>
      <c r="L745" s="1"/>
      <c r="M745" s="306"/>
      <c r="N745" s="306"/>
      <c r="O745" s="317">
        <v>-0.01</v>
      </c>
      <c r="P745" s="1"/>
      <c r="Q745" s="306"/>
      <c r="R745" s="306"/>
      <c r="S745" s="317">
        <v>-0.01</v>
      </c>
      <c r="T745" s="1"/>
      <c r="U745" s="306"/>
      <c r="AI745" s="20"/>
      <c r="AJ745" s="20"/>
      <c r="AK745" s="20"/>
      <c r="AL745" s="20"/>
      <c r="AM745" s="20"/>
      <c r="AN745" s="20"/>
      <c r="AO745" s="20"/>
      <c r="AP745" s="20"/>
    </row>
    <row r="746" spans="1:44">
      <c r="A746" s="294" t="s">
        <v>380</v>
      </c>
      <c r="B746" s="1"/>
      <c r="C746" s="304">
        <f>C798+C850</f>
        <v>0</v>
      </c>
      <c r="D746" s="369">
        <f>'Rate Design Work eff 9-15-17'!D745</f>
        <v>0</v>
      </c>
      <c r="E746" s="309"/>
      <c r="F746" s="306">
        <f>F798+F850</f>
        <v>0</v>
      </c>
      <c r="G746" s="369">
        <f>G721</f>
        <v>0</v>
      </c>
      <c r="H746" s="309"/>
      <c r="I746" s="306">
        <f>I798+I850</f>
        <v>0</v>
      </c>
      <c r="J746" s="306"/>
      <c r="K746" s="369">
        <f>K721</f>
        <v>0</v>
      </c>
      <c r="L746" s="309"/>
      <c r="M746" s="306">
        <f>'Rate Design Work eff 10-14-16'!M745</f>
        <v>0</v>
      </c>
      <c r="N746" s="306"/>
      <c r="O746" s="369" t="str">
        <f>O721</f>
        <v xml:space="preserve"> </v>
      </c>
      <c r="P746" s="309"/>
      <c r="Q746" s="306">
        <f>'Rate Design Work eff 10-14-16'!Q745</f>
        <v>0</v>
      </c>
      <c r="R746" s="306"/>
      <c r="S746" s="369" t="str">
        <f>S721</f>
        <v xml:space="preserve"> </v>
      </c>
      <c r="T746" s="309"/>
      <c r="U746" s="306">
        <f>'Rate Design Work eff 10-14-16'!U745</f>
        <v>0</v>
      </c>
      <c r="AI746" s="20"/>
      <c r="AJ746" s="20"/>
      <c r="AK746" s="20"/>
      <c r="AL746" s="20"/>
      <c r="AM746" s="20"/>
      <c r="AN746" s="20"/>
      <c r="AO746" s="20"/>
      <c r="AP746" s="20"/>
    </row>
    <row r="747" spans="1:44">
      <c r="A747" s="294" t="s">
        <v>381</v>
      </c>
      <c r="B747" s="1"/>
      <c r="C747" s="304"/>
      <c r="D747" s="369"/>
      <c r="E747" s="309"/>
      <c r="F747" s="306"/>
      <c r="G747" s="369"/>
      <c r="H747" s="309"/>
      <c r="I747" s="306"/>
      <c r="J747" s="306"/>
      <c r="K747" s="369"/>
      <c r="L747" s="309"/>
      <c r="M747" s="306"/>
      <c r="N747" s="306"/>
      <c r="O747" s="369"/>
      <c r="P747" s="309"/>
      <c r="Q747" s="306"/>
      <c r="R747" s="306"/>
      <c r="S747" s="369"/>
      <c r="T747" s="309"/>
      <c r="U747" s="306"/>
      <c r="AI747" s="20"/>
      <c r="AJ747" s="20"/>
      <c r="AK747" s="20"/>
      <c r="AL747" s="20"/>
      <c r="AM747" s="20"/>
      <c r="AN747" s="20"/>
      <c r="AO747" s="20"/>
      <c r="AP747" s="20"/>
    </row>
    <row r="748" spans="1:44">
      <c r="A748" s="294" t="s">
        <v>442</v>
      </c>
      <c r="B748" s="1"/>
      <c r="C748" s="304">
        <f>C800+C852</f>
        <v>1.0000071591230999</v>
      </c>
      <c r="D748" s="369">
        <f>'Rate Design Work eff 9-15-17'!D747</f>
        <v>0</v>
      </c>
      <c r="E748" s="309"/>
      <c r="F748" s="306">
        <f>F800+F852</f>
        <v>0</v>
      </c>
      <c r="G748" s="369">
        <f>G723</f>
        <v>0</v>
      </c>
      <c r="H748" s="309"/>
      <c r="I748" s="306">
        <f>I800+I852</f>
        <v>0</v>
      </c>
      <c r="J748" s="306"/>
      <c r="K748" s="369">
        <f>K723</f>
        <v>0</v>
      </c>
      <c r="L748" s="309"/>
      <c r="M748" s="306">
        <f>'Rate Design Work eff 10-14-16'!M747</f>
        <v>0</v>
      </c>
      <c r="N748" s="306"/>
      <c r="O748" s="369" t="str">
        <f>O723</f>
        <v xml:space="preserve"> </v>
      </c>
      <c r="P748" s="309"/>
      <c r="Q748" s="306">
        <f>'Rate Design Work eff 10-14-16'!Q747</f>
        <v>0</v>
      </c>
      <c r="R748" s="306"/>
      <c r="S748" s="369" t="str">
        <f>S723</f>
        <v xml:space="preserve"> </v>
      </c>
      <c r="T748" s="309"/>
      <c r="U748" s="306">
        <f>'Rate Design Work eff 10-14-16'!U747</f>
        <v>0</v>
      </c>
      <c r="AI748" s="20"/>
      <c r="AJ748" s="20"/>
      <c r="AK748" s="20"/>
      <c r="AL748" s="20"/>
      <c r="AM748" s="20"/>
      <c r="AN748" s="20"/>
      <c r="AO748" s="20"/>
      <c r="AP748" s="20"/>
    </row>
    <row r="749" spans="1:44">
      <c r="A749" s="294" t="s">
        <v>443</v>
      </c>
      <c r="B749" s="1"/>
      <c r="C749" s="304">
        <f>C801+C853</f>
        <v>0</v>
      </c>
      <c r="D749" s="369">
        <f>'Rate Design Work eff 9-15-17'!D748</f>
        <v>370</v>
      </c>
      <c r="E749" s="309"/>
      <c r="F749" s="306">
        <f>F801+F853</f>
        <v>0</v>
      </c>
      <c r="G749" s="369">
        <f ca="1">G724</f>
        <v>379</v>
      </c>
      <c r="H749" s="309"/>
      <c r="I749" s="306">
        <f ca="1">I801+I853</f>
        <v>0</v>
      </c>
      <c r="J749" s="306"/>
      <c r="K749" s="369">
        <f ca="1">K724</f>
        <v>370</v>
      </c>
      <c r="L749" s="309"/>
      <c r="M749" s="306">
        <f ca="1">'Rate Design Work eff 10-14-16'!M748</f>
        <v>0</v>
      </c>
      <c r="N749" s="306"/>
      <c r="O749" s="369" t="str">
        <f>O724</f>
        <v xml:space="preserve"> </v>
      </c>
      <c r="P749" s="309"/>
      <c r="Q749" s="306">
        <f>'Rate Design Work eff 10-14-16'!Q748</f>
        <v>0</v>
      </c>
      <c r="R749" s="306"/>
      <c r="S749" s="369" t="str">
        <f>S724</f>
        <v xml:space="preserve"> </v>
      </c>
      <c r="T749" s="309"/>
      <c r="U749" s="306">
        <f>'Rate Design Work eff 10-14-16'!U748</f>
        <v>0</v>
      </c>
      <c r="AI749" s="20"/>
      <c r="AJ749" s="20"/>
      <c r="AK749" s="20"/>
      <c r="AL749" s="20"/>
      <c r="AM749" s="20"/>
      <c r="AN749" s="20"/>
      <c r="AO749" s="20"/>
      <c r="AP749" s="20"/>
    </row>
    <row r="750" spans="1:44">
      <c r="A750" s="294" t="s">
        <v>444</v>
      </c>
      <c r="B750" s="1"/>
      <c r="C750" s="304">
        <f>C802+C854</f>
        <v>0</v>
      </c>
      <c r="D750" s="369">
        <f>'Rate Design Work eff 9-15-17'!D749</f>
        <v>1504</v>
      </c>
      <c r="E750" s="309"/>
      <c r="F750" s="306">
        <f>F802+F854</f>
        <v>0</v>
      </c>
      <c r="G750" s="369">
        <f ca="1">G725</f>
        <v>1539</v>
      </c>
      <c r="H750" s="309"/>
      <c r="I750" s="306">
        <f ca="1">I802+I854</f>
        <v>0</v>
      </c>
      <c r="J750" s="306"/>
      <c r="K750" s="369">
        <f ca="1">K725</f>
        <v>1504</v>
      </c>
      <c r="L750" s="309"/>
      <c r="M750" s="306">
        <f ca="1">'Rate Design Work eff 10-14-16'!M749</f>
        <v>0</v>
      </c>
      <c r="N750" s="306"/>
      <c r="O750" s="369" t="str">
        <f>O725</f>
        <v xml:space="preserve"> </v>
      </c>
      <c r="P750" s="309"/>
      <c r="Q750" s="306">
        <f>'Rate Design Work eff 10-14-16'!Q749</f>
        <v>0</v>
      </c>
      <c r="R750" s="306"/>
      <c r="S750" s="369" t="str">
        <f>S725</f>
        <v xml:space="preserve"> </v>
      </c>
      <c r="T750" s="309"/>
      <c r="U750" s="306">
        <f>'Rate Design Work eff 10-14-16'!U749</f>
        <v>0</v>
      </c>
      <c r="AI750" s="20"/>
      <c r="AJ750" s="20"/>
      <c r="AK750" s="20"/>
      <c r="AL750" s="20"/>
      <c r="AM750" s="20"/>
      <c r="AN750" s="20"/>
      <c r="AO750" s="20"/>
      <c r="AP750" s="20"/>
    </row>
    <row r="751" spans="1:44">
      <c r="A751" s="294" t="s">
        <v>380</v>
      </c>
      <c r="B751" s="1"/>
      <c r="C751" s="304">
        <f>C803+C855</f>
        <v>0</v>
      </c>
      <c r="D751" s="369">
        <f>'Rate Design Work eff 9-15-17'!D750</f>
        <v>26.02</v>
      </c>
      <c r="E751" s="309"/>
      <c r="F751" s="306">
        <f>F803+F855</f>
        <v>0</v>
      </c>
      <c r="G751" s="369">
        <f ca="1">G730</f>
        <v>26.63</v>
      </c>
      <c r="H751" s="309"/>
      <c r="I751" s="306">
        <f ca="1">I803+I855</f>
        <v>0</v>
      </c>
      <c r="J751" s="306"/>
      <c r="K751" s="369">
        <f ca="1">K730</f>
        <v>26.02</v>
      </c>
      <c r="L751" s="309"/>
      <c r="M751" s="306">
        <f ca="1">'Rate Design Work eff 10-14-16'!M750</f>
        <v>0</v>
      </c>
      <c r="N751" s="306"/>
      <c r="O751" s="369" t="str">
        <f>O730</f>
        <v xml:space="preserve"> </v>
      </c>
      <c r="P751" s="309"/>
      <c r="Q751" s="306">
        <f>'Rate Design Work eff 10-14-16'!Q750</f>
        <v>0</v>
      </c>
      <c r="R751" s="306"/>
      <c r="S751" s="369" t="str">
        <f>S730</f>
        <v xml:space="preserve"> </v>
      </c>
      <c r="T751" s="309"/>
      <c r="U751" s="306">
        <f>'Rate Design Work eff 10-14-16'!U750</f>
        <v>0</v>
      </c>
      <c r="AI751" s="20"/>
      <c r="AJ751" s="20"/>
      <c r="AK751" s="20"/>
      <c r="AL751" s="20"/>
      <c r="AM751" s="20"/>
      <c r="AN751" s="20"/>
      <c r="AO751" s="20"/>
      <c r="AP751" s="20"/>
    </row>
    <row r="752" spans="1:44">
      <c r="A752" s="294" t="s">
        <v>381</v>
      </c>
      <c r="B752" s="1"/>
      <c r="C752" s="304"/>
      <c r="D752" s="369"/>
      <c r="E752" s="309"/>
      <c r="F752" s="306"/>
      <c r="G752" s="369"/>
      <c r="H752" s="309"/>
      <c r="I752" s="306"/>
      <c r="J752" s="306"/>
      <c r="K752" s="369"/>
      <c r="L752" s="309"/>
      <c r="M752" s="306"/>
      <c r="N752" s="306"/>
      <c r="O752" s="369"/>
      <c r="P752" s="309"/>
      <c r="Q752" s="306"/>
      <c r="R752" s="306"/>
      <c r="S752" s="369"/>
      <c r="T752" s="309"/>
      <c r="U752" s="306"/>
      <c r="AI752" s="20"/>
      <c r="AJ752" s="20"/>
      <c r="AK752" s="20"/>
      <c r="AL752" s="20"/>
      <c r="AM752" s="20"/>
      <c r="AN752" s="20"/>
      <c r="AO752" s="20"/>
      <c r="AP752" s="20"/>
    </row>
    <row r="753" spans="1:44">
      <c r="A753" s="294" t="s">
        <v>442</v>
      </c>
      <c r="B753" s="1"/>
      <c r="C753" s="304">
        <f>C805+C857</f>
        <v>38.0002720466778</v>
      </c>
      <c r="D753" s="369">
        <f>'Rate Design Work eff 9-15-17'!D752</f>
        <v>26.02</v>
      </c>
      <c r="E753" s="309"/>
      <c r="F753" s="306">
        <f>F805+F857</f>
        <v>-10</v>
      </c>
      <c r="G753" s="369">
        <f ca="1">G732</f>
        <v>26.63</v>
      </c>
      <c r="H753" s="309"/>
      <c r="I753" s="306">
        <f ca="1">I805+I857</f>
        <v>-10</v>
      </c>
      <c r="J753" s="306"/>
      <c r="K753" s="369">
        <f ca="1">K732</f>
        <v>26.02</v>
      </c>
      <c r="L753" s="309"/>
      <c r="M753" s="306">
        <f ca="1">'Rate Design Work eff 10-14-16'!M752</f>
        <v>-10</v>
      </c>
      <c r="N753" s="306"/>
      <c r="O753" s="369" t="str">
        <f>O732</f>
        <v xml:space="preserve"> </v>
      </c>
      <c r="P753" s="309"/>
      <c r="Q753" s="306">
        <f>'Rate Design Work eff 10-14-16'!Q752</f>
        <v>0</v>
      </c>
      <c r="R753" s="306"/>
      <c r="S753" s="369" t="str">
        <f>S732</f>
        <v xml:space="preserve"> </v>
      </c>
      <c r="T753" s="309"/>
      <c r="U753" s="306">
        <f>'Rate Design Work eff 10-14-16'!U752</f>
        <v>0</v>
      </c>
      <c r="AI753" s="20"/>
      <c r="AJ753" s="20"/>
      <c r="AK753" s="20"/>
      <c r="AL753" s="20"/>
      <c r="AM753" s="20"/>
      <c r="AN753" s="20"/>
      <c r="AO753" s="20"/>
      <c r="AP753" s="20"/>
    </row>
    <row r="754" spans="1:44">
      <c r="A754" s="294" t="s">
        <v>443</v>
      </c>
      <c r="B754" s="1"/>
      <c r="C754" s="304">
        <f>C806+C858</f>
        <v>0</v>
      </c>
      <c r="D754" s="369">
        <f>'Rate Design Work eff 9-15-17'!D753</f>
        <v>18.101388370764003</v>
      </c>
      <c r="E754" s="309"/>
      <c r="F754" s="306">
        <f>F806+F858</f>
        <v>0</v>
      </c>
      <c r="G754" s="369">
        <f ca="1">G733</f>
        <v>18.526286850528336</v>
      </c>
      <c r="H754" s="309"/>
      <c r="I754" s="306">
        <f ca="1">I806+I858</f>
        <v>0</v>
      </c>
      <c r="J754" s="306"/>
      <c r="K754" s="369">
        <f ca="1">K733</f>
        <v>18.101388370764003</v>
      </c>
      <c r="L754" s="309"/>
      <c r="M754" s="306">
        <f ca="1">'Rate Design Work eff 10-14-16'!M753</f>
        <v>0</v>
      </c>
      <c r="N754" s="306"/>
      <c r="O754" s="369" t="str">
        <f>O733</f>
        <v xml:space="preserve"> </v>
      </c>
      <c r="P754" s="309"/>
      <c r="Q754" s="306">
        <f>'Rate Design Work eff 10-14-16'!Q753</f>
        <v>0</v>
      </c>
      <c r="R754" s="306"/>
      <c r="S754" s="369" t="str">
        <f>S733</f>
        <v xml:space="preserve"> </v>
      </c>
      <c r="T754" s="309"/>
      <c r="U754" s="306">
        <f>'Rate Design Work eff 10-14-16'!U753</f>
        <v>0</v>
      </c>
      <c r="AI754" s="20"/>
      <c r="AJ754" s="20"/>
      <c r="AK754" s="20"/>
      <c r="AL754" s="20"/>
      <c r="AM754" s="20"/>
      <c r="AN754" s="20"/>
      <c r="AO754" s="20"/>
      <c r="AP754" s="20"/>
    </row>
    <row r="755" spans="1:44">
      <c r="A755" s="294" t="s">
        <v>444</v>
      </c>
      <c r="B755" s="1"/>
      <c r="C755" s="304">
        <f>C807+C859</f>
        <v>0</v>
      </c>
      <c r="D755" s="369">
        <f>'Rate Design Work eff 9-15-17'!D754</f>
        <v>14.155824964645021</v>
      </c>
      <c r="E755" s="309"/>
      <c r="F755" s="306">
        <f>F807+F859</f>
        <v>0</v>
      </c>
      <c r="G755" s="369">
        <f ca="1">G734</f>
        <v>14.48810823397713</v>
      </c>
      <c r="H755" s="309"/>
      <c r="I755" s="306">
        <f ca="1">I807+I859</f>
        <v>0</v>
      </c>
      <c r="J755" s="306"/>
      <c r="K755" s="369">
        <f ca="1">K734</f>
        <v>14.155824964645021</v>
      </c>
      <c r="L755" s="309"/>
      <c r="M755" s="306">
        <f ca="1">'Rate Design Work eff 10-14-16'!M754</f>
        <v>0</v>
      </c>
      <c r="N755" s="306"/>
      <c r="O755" s="369" t="str">
        <f>O734</f>
        <v xml:space="preserve"> </v>
      </c>
      <c r="P755" s="309"/>
      <c r="Q755" s="306">
        <f>'Rate Design Work eff 10-14-16'!Q754</f>
        <v>0</v>
      </c>
      <c r="R755" s="306"/>
      <c r="S755" s="369" t="str">
        <f>S734</f>
        <v xml:space="preserve"> </v>
      </c>
      <c r="T755" s="309"/>
      <c r="U755" s="306">
        <f>'Rate Design Work eff 10-14-16'!U754</f>
        <v>0</v>
      </c>
      <c r="AI755" s="20"/>
      <c r="AJ755" s="20"/>
      <c r="AK755" s="20"/>
      <c r="AL755" s="20"/>
      <c r="AM755" s="20"/>
      <c r="AN755" s="20"/>
      <c r="AO755" s="20"/>
      <c r="AP755" s="20"/>
    </row>
    <row r="756" spans="1:44">
      <c r="A756" s="294" t="s">
        <v>455</v>
      </c>
      <c r="B756" s="1"/>
      <c r="C756" s="304">
        <f>C808+C860</f>
        <v>0</v>
      </c>
      <c r="D756" s="338">
        <f>'Rate Design Work eff 9-15-17'!D755</f>
        <v>78.06</v>
      </c>
      <c r="E756" s="309"/>
      <c r="F756" s="306">
        <f>F808+F860</f>
        <v>0</v>
      </c>
      <c r="G756" s="338">
        <f ca="1">G735</f>
        <v>79.89</v>
      </c>
      <c r="H756" s="309"/>
      <c r="I756" s="306">
        <f ca="1">I808+I860</f>
        <v>0</v>
      </c>
      <c r="J756" s="306"/>
      <c r="K756" s="338">
        <f ca="1">K735</f>
        <v>78.06</v>
      </c>
      <c r="L756" s="309"/>
      <c r="M756" s="306">
        <f ca="1">'Rate Design Work eff 10-14-16'!M755</f>
        <v>0</v>
      </c>
      <c r="N756" s="306"/>
      <c r="O756" s="338" t="str">
        <f>O735</f>
        <v xml:space="preserve"> </v>
      </c>
      <c r="P756" s="309"/>
      <c r="Q756" s="306">
        <f>'Rate Design Work eff 10-14-16'!Q755</f>
        <v>0</v>
      </c>
      <c r="R756" s="306"/>
      <c r="S756" s="338" t="str">
        <f>S735</f>
        <v xml:space="preserve"> </v>
      </c>
      <c r="T756" s="309"/>
      <c r="U756" s="306">
        <f>'Rate Design Work eff 10-14-16'!U755</f>
        <v>0</v>
      </c>
      <c r="AI756" s="20"/>
      <c r="AJ756" s="20"/>
      <c r="AK756" s="20"/>
      <c r="AL756" s="20"/>
      <c r="AM756" s="20"/>
      <c r="AN756" s="20"/>
      <c r="AO756" s="20"/>
      <c r="AP756" s="20"/>
    </row>
    <row r="757" spans="1:44">
      <c r="A757" s="294" t="s">
        <v>456</v>
      </c>
      <c r="B757" s="1"/>
      <c r="C757" s="304">
        <f>C809+C861</f>
        <v>0</v>
      </c>
      <c r="D757" s="338">
        <f>'Rate Design Work eff 9-15-17'!D756</f>
        <v>156.12</v>
      </c>
      <c r="E757" s="309"/>
      <c r="F757" s="306">
        <f>F809+F861</f>
        <v>0</v>
      </c>
      <c r="G757" s="338">
        <f ca="1">G736</f>
        <v>159.78</v>
      </c>
      <c r="H757" s="309"/>
      <c r="I757" s="306">
        <f ca="1">I809+I861</f>
        <v>0</v>
      </c>
      <c r="J757" s="306"/>
      <c r="K757" s="338">
        <f ca="1">K736</f>
        <v>156.12</v>
      </c>
      <c r="L757" s="309"/>
      <c r="M757" s="306">
        <f ca="1">'Rate Design Work eff 10-14-16'!M756</f>
        <v>0</v>
      </c>
      <c r="N757" s="306"/>
      <c r="O757" s="338" t="str">
        <f>O736</f>
        <v xml:space="preserve"> </v>
      </c>
      <c r="P757" s="309"/>
      <c r="Q757" s="306">
        <f>'Rate Design Work eff 10-14-16'!Q756</f>
        <v>0</v>
      </c>
      <c r="R757" s="306"/>
      <c r="S757" s="338" t="str">
        <f>S736</f>
        <v xml:space="preserve"> </v>
      </c>
      <c r="T757" s="309"/>
      <c r="U757" s="306">
        <f>'Rate Design Work eff 10-14-16'!U756</f>
        <v>0</v>
      </c>
      <c r="AI757" s="20"/>
      <c r="AJ757" s="20"/>
      <c r="AK757" s="20"/>
      <c r="AL757" s="20"/>
      <c r="AM757" s="20"/>
      <c r="AN757" s="20"/>
      <c r="AO757" s="20"/>
      <c r="AP757" s="20"/>
    </row>
    <row r="758" spans="1:44">
      <c r="A758" s="294" t="s">
        <v>452</v>
      </c>
      <c r="B758" s="1"/>
      <c r="C758" s="304"/>
      <c r="D758" s="322"/>
      <c r="E758" s="309"/>
      <c r="F758" s="306"/>
      <c r="G758" s="322"/>
      <c r="H758" s="309"/>
      <c r="I758" s="306"/>
      <c r="J758" s="306"/>
      <c r="K758" s="322"/>
      <c r="L758" s="309"/>
      <c r="M758" s="306"/>
      <c r="N758" s="306"/>
      <c r="O758" s="322"/>
      <c r="P758" s="309"/>
      <c r="Q758" s="306"/>
      <c r="R758" s="306"/>
      <c r="S758" s="322"/>
      <c r="T758" s="309"/>
      <c r="U758" s="306"/>
      <c r="AI758" s="20"/>
      <c r="AJ758" s="20"/>
      <c r="AK758" s="20"/>
      <c r="AL758" s="20"/>
      <c r="AM758" s="20"/>
      <c r="AN758" s="20"/>
      <c r="AO758" s="20"/>
      <c r="AP758" s="20"/>
    </row>
    <row r="759" spans="1:44">
      <c r="A759" s="294" t="s">
        <v>447</v>
      </c>
      <c r="B759" s="1"/>
      <c r="C759" s="304">
        <f>C811+C863</f>
        <v>0</v>
      </c>
      <c r="D759" s="348">
        <f>'Rate Design Work eff 9-15-17'!D758</f>
        <v>-26.02</v>
      </c>
      <c r="E759" s="309"/>
      <c r="F759" s="306">
        <f>F811+F863</f>
        <v>0</v>
      </c>
      <c r="G759" s="348">
        <f ca="1">G738</f>
        <v>-26.63</v>
      </c>
      <c r="H759" s="309"/>
      <c r="I759" s="306">
        <f ca="1">I811+I863</f>
        <v>0</v>
      </c>
      <c r="J759" s="306"/>
      <c r="K759" s="348">
        <f ca="1">K738</f>
        <v>-26.02</v>
      </c>
      <c r="L759" s="309"/>
      <c r="M759" s="306">
        <f ca="1">'Rate Design Work eff 10-14-16'!M758</f>
        <v>0</v>
      </c>
      <c r="N759" s="306"/>
      <c r="O759" s="348">
        <f>O738</f>
        <v>0</v>
      </c>
      <c r="P759" s="309"/>
      <c r="Q759" s="306">
        <f>'Rate Design Work eff 10-14-16'!Q758</f>
        <v>0</v>
      </c>
      <c r="R759" s="306"/>
      <c r="S759" s="348">
        <f>S738</f>
        <v>0</v>
      </c>
      <c r="T759" s="309"/>
      <c r="U759" s="306">
        <f>'Rate Design Work eff 10-14-16'!U758</f>
        <v>0</v>
      </c>
      <c r="AI759" s="20"/>
      <c r="AJ759" s="20"/>
      <c r="AK759" s="20"/>
      <c r="AL759" s="20"/>
      <c r="AM759" s="20"/>
      <c r="AN759" s="20"/>
      <c r="AO759" s="20"/>
      <c r="AP759" s="20"/>
    </row>
    <row r="760" spans="1:44">
      <c r="A760" s="294" t="s">
        <v>453</v>
      </c>
      <c r="B760" s="1"/>
      <c r="C760" s="304">
        <f>C812+C864</f>
        <v>0</v>
      </c>
      <c r="D760" s="348">
        <f>'Rate Design Work eff 9-15-17'!D759</f>
        <v>-26.02</v>
      </c>
      <c r="E760" s="309"/>
      <c r="F760" s="306">
        <f>F812+F864</f>
        <v>0</v>
      </c>
      <c r="G760" s="348">
        <f ca="1">G739</f>
        <v>-26.63</v>
      </c>
      <c r="H760" s="309"/>
      <c r="I760" s="306">
        <f ca="1">I812+I864</f>
        <v>0</v>
      </c>
      <c r="J760" s="306"/>
      <c r="K760" s="348">
        <f ca="1">K739</f>
        <v>-26.02</v>
      </c>
      <c r="L760" s="309"/>
      <c r="M760" s="306">
        <f ca="1">'Rate Design Work eff 10-14-16'!M759</f>
        <v>0</v>
      </c>
      <c r="N760" s="306"/>
      <c r="O760" s="348">
        <f>O739</f>
        <v>0</v>
      </c>
      <c r="P760" s="309"/>
      <c r="Q760" s="306">
        <f>'Rate Design Work eff 10-14-16'!Q759</f>
        <v>0</v>
      </c>
      <c r="R760" s="306"/>
      <c r="S760" s="348">
        <f>S739</f>
        <v>0</v>
      </c>
      <c r="T760" s="309"/>
      <c r="U760" s="306">
        <f>'Rate Design Work eff 10-14-16'!U759</f>
        <v>0</v>
      </c>
      <c r="AI760" s="20"/>
      <c r="AJ760" s="20"/>
      <c r="AK760" s="20"/>
      <c r="AL760" s="20"/>
      <c r="AM760" s="20"/>
      <c r="AN760" s="20"/>
      <c r="AO760" s="20"/>
      <c r="AP760" s="20"/>
    </row>
    <row r="761" spans="1:44">
      <c r="A761" s="308" t="s">
        <v>416</v>
      </c>
      <c r="B761" s="1"/>
      <c r="C761" s="304"/>
      <c r="D761" s="369"/>
      <c r="E761" s="306"/>
      <c r="F761" s="306"/>
      <c r="G761" s="369"/>
      <c r="H761" s="306"/>
      <c r="I761" s="306"/>
      <c r="J761" s="306"/>
      <c r="K761" s="369"/>
      <c r="L761" s="306"/>
      <c r="M761" s="306"/>
      <c r="N761" s="306"/>
      <c r="O761" s="369"/>
      <c r="P761" s="306"/>
      <c r="Q761" s="306"/>
      <c r="R761" s="306"/>
      <c r="S761" s="369"/>
      <c r="T761" s="306"/>
      <c r="U761" s="306"/>
      <c r="AI761" s="20"/>
      <c r="AJ761" s="20"/>
      <c r="AK761" s="20"/>
      <c r="AL761" s="20"/>
      <c r="AM761" s="20"/>
      <c r="AN761" s="20"/>
      <c r="AO761" s="20"/>
      <c r="AP761" s="20"/>
    </row>
    <row r="762" spans="1:44">
      <c r="A762" s="294" t="s">
        <v>454</v>
      </c>
      <c r="B762" s="1"/>
      <c r="C762" s="304">
        <f>C814+C866</f>
        <v>10034</v>
      </c>
      <c r="D762" s="370">
        <f>'Rate Design Work eff 9-15-17'!D761</f>
        <v>7.0350000000000001</v>
      </c>
      <c r="E762" s="306" t="s">
        <v>364</v>
      </c>
      <c r="F762" s="306">
        <f>F814+F866</f>
        <v>-7</v>
      </c>
      <c r="G762" s="370">
        <f ca="1">G741</f>
        <v>7.2030000000000003</v>
      </c>
      <c r="H762" s="306" t="s">
        <v>364</v>
      </c>
      <c r="I762" s="306">
        <f ca="1">I814+I866</f>
        <v>-7</v>
      </c>
      <c r="J762" s="306"/>
      <c r="K762" s="370" t="e">
        <f ca="1">K741</f>
        <v>#REF!</v>
      </c>
      <c r="L762" s="850" t="s">
        <v>31</v>
      </c>
      <c r="M762" s="306" t="e">
        <f ca="1">'Rate Design Work eff 10-14-16'!M761</f>
        <v>#REF!</v>
      </c>
      <c r="N762" s="306"/>
      <c r="O762" s="370" t="e">
        <f ca="1">O741</f>
        <v>#DIV/0!</v>
      </c>
      <c r="P762" s="306" t="s">
        <v>364</v>
      </c>
      <c r="Q762" s="306" t="e">
        <f ca="1">'Rate Design Work eff 10-14-16'!Q761</f>
        <v>#DIV/0!</v>
      </c>
      <c r="R762" s="306"/>
      <c r="S762" s="370" t="e">
        <f ca="1">S741</f>
        <v>#DIV/0!</v>
      </c>
      <c r="T762" s="306" t="s">
        <v>364</v>
      </c>
      <c r="U762" s="306" t="e">
        <f ca="1">'Rate Design Work eff 10-14-16'!U761</f>
        <v>#DIV/0!</v>
      </c>
      <c r="AI762" s="20"/>
      <c r="AJ762" s="20"/>
      <c r="AK762" s="20"/>
      <c r="AL762" s="20"/>
      <c r="AM762" s="20"/>
      <c r="AN762" s="20"/>
      <c r="AO762" s="20"/>
      <c r="AP762" s="20"/>
    </row>
    <row r="763" spans="1:44">
      <c r="A763" s="308" t="s">
        <v>390</v>
      </c>
      <c r="B763" s="1"/>
      <c r="C763" s="304">
        <f>C815+C867</f>
        <v>0</v>
      </c>
      <c r="D763" s="360">
        <f>'Rate Design Work eff 9-15-17'!D762</f>
        <v>57</v>
      </c>
      <c r="E763" s="308" t="s">
        <v>364</v>
      </c>
      <c r="F763" s="306">
        <f>F815+F867</f>
        <v>0</v>
      </c>
      <c r="G763" s="360">
        <f ca="1">G742</f>
        <v>58</v>
      </c>
      <c r="H763" s="308" t="s">
        <v>364</v>
      </c>
      <c r="I763" s="306">
        <f ca="1">I815+I867</f>
        <v>0</v>
      </c>
      <c r="J763" s="306"/>
      <c r="K763" s="360" t="str">
        <f>K742</f>
        <v xml:space="preserve"> </v>
      </c>
      <c r="L763" s="406" t="s">
        <v>31</v>
      </c>
      <c r="M763" s="306">
        <f>'Rate Design Work eff 10-14-16'!M762</f>
        <v>0</v>
      </c>
      <c r="N763" s="306"/>
      <c r="O763" s="360" t="e">
        <f ca="1">O742</f>
        <v>#DIV/0!</v>
      </c>
      <c r="P763" s="308" t="s">
        <v>364</v>
      </c>
      <c r="Q763" s="306" t="e">
        <f ca="1">'Rate Design Work eff 10-14-16'!Q762</f>
        <v>#DIV/0!</v>
      </c>
      <c r="R763" s="306"/>
      <c r="S763" s="360" t="e">
        <f ca="1">S742</f>
        <v>#DIV/0!</v>
      </c>
      <c r="T763" s="308" t="s">
        <v>364</v>
      </c>
      <c r="U763" s="306" t="e">
        <f ca="1">'Rate Design Work eff 10-14-16'!U762</f>
        <v>#DIV/0!</v>
      </c>
      <c r="AI763" s="20"/>
      <c r="AJ763" s="20"/>
      <c r="AK763" s="20"/>
      <c r="AL763" s="20"/>
      <c r="AM763" s="20"/>
      <c r="AN763" s="20"/>
      <c r="AO763" s="20"/>
      <c r="AP763" s="20"/>
    </row>
    <row r="764" spans="1:44">
      <c r="A764" s="308" t="s">
        <v>433</v>
      </c>
      <c r="B764" s="1"/>
      <c r="C764" s="304">
        <f>C816+C868</f>
        <v>12</v>
      </c>
      <c r="D764" s="322">
        <f>'Rate Design Work eff 9-15-17'!D763</f>
        <v>60</v>
      </c>
      <c r="E764" s="1"/>
      <c r="F764" s="306">
        <f>F816+F868</f>
        <v>720</v>
      </c>
      <c r="G764" s="322">
        <f>'Blocking - detail'!I623</f>
        <v>60</v>
      </c>
      <c r="H764" s="1"/>
      <c r="I764" s="306">
        <f>I816+I868</f>
        <v>720</v>
      </c>
      <c r="J764" s="306"/>
      <c r="K764" s="322" t="str">
        <f>'Rate Design Work eff 10-14-16'!K763</f>
        <v xml:space="preserve"> </v>
      </c>
      <c r="L764" s="1"/>
      <c r="M764" s="306">
        <f>'Rate Design Work eff 10-14-16'!M763</f>
        <v>0</v>
      </c>
      <c r="N764" s="306"/>
      <c r="O764" s="322" t="e">
        <f>'Rate Design Work eff 10-14-16'!O763</f>
        <v>#DIV/0!</v>
      </c>
      <c r="P764" s="1"/>
      <c r="Q764" s="306" t="e">
        <f>'Rate Design Work eff 10-14-16'!Q763</f>
        <v>#DIV/0!</v>
      </c>
      <c r="R764" s="306"/>
      <c r="S764" s="322" t="e">
        <f>'Rate Design Work eff 10-14-16'!S763</f>
        <v>#DIV/0!</v>
      </c>
      <c r="T764" s="1"/>
      <c r="U764" s="306" t="e">
        <f>'Rate Design Work eff 10-14-16'!U763</f>
        <v>#DIV/0!</v>
      </c>
      <c r="AI764" s="20"/>
      <c r="AJ764" s="20"/>
      <c r="AK764" s="20"/>
      <c r="AL764" s="20"/>
      <c r="AM764" s="20"/>
      <c r="AN764" s="20"/>
      <c r="AO764" s="20"/>
      <c r="AP764" s="20"/>
    </row>
    <row r="765" spans="1:44">
      <c r="A765" s="308" t="s">
        <v>434</v>
      </c>
      <c r="B765" s="1"/>
      <c r="C765" s="304">
        <f>C817+C869</f>
        <v>456.00326456013363</v>
      </c>
      <c r="D765" s="591">
        <f>'Rate Design Work eff 9-15-17'!D764</f>
        <v>-30</v>
      </c>
      <c r="E765" s="306" t="s">
        <v>364</v>
      </c>
      <c r="F765" s="306">
        <f>F817+F869</f>
        <v>-137</v>
      </c>
      <c r="G765" s="463">
        <f>'Blocking - detail'!I624</f>
        <v>-30</v>
      </c>
      <c r="H765" s="306" t="s">
        <v>364</v>
      </c>
      <c r="I765" s="306">
        <f>I817+I869</f>
        <v>-137</v>
      </c>
      <c r="J765" s="306"/>
      <c r="K765" s="463">
        <f>'Rate Design Work eff 10-14-16'!K764</f>
        <v>-30</v>
      </c>
      <c r="L765" s="306" t="s">
        <v>364</v>
      </c>
      <c r="M765" s="306">
        <f>'Rate Design Work eff 10-14-16'!M764</f>
        <v>-137</v>
      </c>
      <c r="N765" s="306"/>
      <c r="O765" s="463">
        <f>'Blocking - detail'!Q624</f>
        <v>0</v>
      </c>
      <c r="P765" s="850" t="s">
        <v>31</v>
      </c>
      <c r="Q765" s="306">
        <f>'Rate Design Work eff 10-14-16'!Q764</f>
        <v>0</v>
      </c>
      <c r="R765" s="306"/>
      <c r="S765" s="463">
        <f>'Blocking - detail'!U624</f>
        <v>0</v>
      </c>
      <c r="T765" s="850" t="s">
        <v>31</v>
      </c>
      <c r="U765" s="306">
        <f>'Rate Design Work eff 10-14-16'!U764</f>
        <v>0</v>
      </c>
      <c r="AI765" s="20"/>
      <c r="AJ765" s="20"/>
      <c r="AK765" s="20"/>
      <c r="AL765" s="20"/>
      <c r="AM765" s="20"/>
      <c r="AN765" s="20"/>
      <c r="AO765" s="20"/>
      <c r="AP765" s="20"/>
    </row>
    <row r="766" spans="1:44" s="1118" customFormat="1" hidden="1">
      <c r="A766" s="968" t="s">
        <v>891</v>
      </c>
      <c r="C766" s="987">
        <f>C762</f>
        <v>10034</v>
      </c>
      <c r="D766" s="254">
        <f>'Rate Design Work eff 9-15-17'!D765</f>
        <v>0</v>
      </c>
      <c r="E766" s="1119"/>
      <c r="F766" s="1123"/>
      <c r="G766" s="1128">
        <f>G743</f>
        <v>0</v>
      </c>
      <c r="H766" s="1000" t="s">
        <v>364</v>
      </c>
      <c r="I766" s="1000" t="e">
        <f>#REF!+I870</f>
        <v>#REF!</v>
      </c>
      <c r="J766" s="1000"/>
      <c r="K766" s="1128" t="str">
        <f>K743</f>
        <v xml:space="preserve"> </v>
      </c>
      <c r="L766" s="1000" t="s">
        <v>31</v>
      </c>
      <c r="M766" s="306">
        <f>'Rate Design Work eff 10-14-16'!M765</f>
        <v>0</v>
      </c>
      <c r="N766" s="1000"/>
      <c r="O766" s="1128" t="str">
        <f>O743</f>
        <v xml:space="preserve"> </v>
      </c>
      <c r="P766" s="1000" t="s">
        <v>31</v>
      </c>
      <c r="Q766" s="306">
        <f>'Rate Design Work eff 10-14-16'!Q765</f>
        <v>0</v>
      </c>
      <c r="R766" s="1000"/>
      <c r="S766" s="1128">
        <f>S743</f>
        <v>0</v>
      </c>
      <c r="T766" s="1000" t="s">
        <v>364</v>
      </c>
      <c r="U766" s="306">
        <f>'Rate Design Work eff 10-14-16'!U765</f>
        <v>0</v>
      </c>
      <c r="W766" s="784"/>
      <c r="X766" s="1118" t="s">
        <v>31</v>
      </c>
      <c r="Z766" s="1125"/>
      <c r="AA766" s="1125"/>
      <c r="AF766" s="1119"/>
      <c r="AG766" s="1119"/>
      <c r="AH766" s="1119"/>
      <c r="AI766" s="1119"/>
      <c r="AJ766" s="1119"/>
      <c r="AK766" s="1119"/>
      <c r="AL766" s="1119"/>
      <c r="AM766" s="1119"/>
      <c r="AN766" s="1119"/>
      <c r="AO766" s="1119"/>
      <c r="AP766" s="1119"/>
      <c r="AR766" s="1124"/>
    </row>
    <row r="767" spans="1:44">
      <c r="A767" s="1" t="s">
        <v>371</v>
      </c>
      <c r="B767" s="1"/>
      <c r="C767" s="304">
        <f>C818+C871</f>
        <v>158323871.89494899</v>
      </c>
      <c r="D767" s="309"/>
      <c r="E767" s="308"/>
      <c r="F767" s="2">
        <f>F818+F871</f>
        <v>13820389</v>
      </c>
      <c r="G767" s="2"/>
      <c r="H767" s="308"/>
      <c r="I767" s="1000">
        <f ca="1">I818+I871</f>
        <v>14149201</v>
      </c>
      <c r="J767" s="1000"/>
      <c r="K767" s="2"/>
      <c r="L767" s="308"/>
      <c r="M767" s="1000" t="e">
        <f ca="1">SUM(M721:M766)</f>
        <v>#REF!</v>
      </c>
      <c r="N767" s="1000"/>
      <c r="O767" s="2"/>
      <c r="P767" s="308"/>
      <c r="Q767" s="1000" t="e">
        <f ca="1">SUM(Q721:Q766)</f>
        <v>#DIV/0!</v>
      </c>
      <c r="R767" s="1000"/>
      <c r="S767" s="2"/>
      <c r="T767" s="308"/>
      <c r="U767" s="1000" t="e">
        <f ca="1">SUM(U721:U766)</f>
        <v>#DIV/0!</v>
      </c>
      <c r="X767" s="261"/>
      <c r="Y767" s="261"/>
      <c r="AI767" s="20"/>
      <c r="AJ767" s="20"/>
      <c r="AK767" s="20"/>
      <c r="AL767" s="20"/>
      <c r="AM767" s="20"/>
      <c r="AN767" s="20"/>
      <c r="AO767" s="20"/>
      <c r="AP767" s="20"/>
    </row>
    <row r="768" spans="1:44" ht="14.25" customHeight="1">
      <c r="A768" s="1" t="s">
        <v>353</v>
      </c>
      <c r="B768" s="1"/>
      <c r="C768" s="325">
        <f ca="1">C819+C872</f>
        <v>2550999.9999999995</v>
      </c>
      <c r="D768" s="294"/>
      <c r="E768" s="294"/>
      <c r="F768" s="295">
        <f ca="1">F819+F872</f>
        <v>193000</v>
      </c>
      <c r="G768" s="294"/>
      <c r="H768" s="294"/>
      <c r="I768" s="1272">
        <f ca="1">I819+I872</f>
        <v>193000</v>
      </c>
      <c r="J768" s="999"/>
      <c r="K768" s="294"/>
      <c r="L768" s="294"/>
      <c r="M768" s="1272" t="e">
        <f ca="1">'Rate Design Work eff 10-14-16'!M767</f>
        <v>#DIV/0!</v>
      </c>
      <c r="N768" s="51"/>
      <c r="O768" s="294"/>
      <c r="P768" s="294"/>
      <c r="Q768" s="1272" t="e">
        <f ca="1">'Rate Design Work eff 10-14-16'!Q767</f>
        <v>#DIV/0!</v>
      </c>
      <c r="R768" s="51"/>
      <c r="S768" s="294"/>
      <c r="T768" s="294"/>
      <c r="U768" s="1272" t="e">
        <f ca="1">'Rate Design Work eff 10-14-16'!U767</f>
        <v>#DIV/0!</v>
      </c>
      <c r="AI768" s="20"/>
      <c r="AJ768" s="20"/>
      <c r="AK768" s="20"/>
      <c r="AL768" s="20"/>
      <c r="AM768" s="20"/>
      <c r="AN768" s="20"/>
      <c r="AO768" s="20"/>
      <c r="AP768" s="20"/>
    </row>
    <row r="769" spans="1:42" ht="17.25" customHeight="1" thickBot="1">
      <c r="A769" s="1" t="s">
        <v>372</v>
      </c>
      <c r="B769" s="1"/>
      <c r="C769" s="351">
        <f ca="1">SUM(C767:C768)</f>
        <v>160874871.89494899</v>
      </c>
      <c r="D769" s="327"/>
      <c r="E769" s="330"/>
      <c r="F769" s="329">
        <f ca="1">F767+F768</f>
        <v>14013389</v>
      </c>
      <c r="G769" s="327"/>
      <c r="H769" s="330"/>
      <c r="I769" s="329">
        <f ca="1">I820+I873</f>
        <v>14342201</v>
      </c>
      <c r="J769" s="329"/>
      <c r="K769" s="327"/>
      <c r="L769" s="330"/>
      <c r="M769" s="329" t="e">
        <f ca="1">SUM(M767:M768)</f>
        <v>#REF!</v>
      </c>
      <c r="N769" s="329"/>
      <c r="O769" s="327"/>
      <c r="P769" s="330"/>
      <c r="Q769" s="329" t="e">
        <f ca="1">SUM(Q767:Q768)</f>
        <v>#DIV/0!</v>
      </c>
      <c r="R769" s="329"/>
      <c r="S769" s="327"/>
      <c r="T769" s="330"/>
      <c r="U769" s="329" t="e">
        <f ca="1">SUM(U767:U768)</f>
        <v>#DIV/0!</v>
      </c>
      <c r="V769" s="757" t="s">
        <v>354</v>
      </c>
      <c r="W769" s="1082">
        <f ca="1">'Rate Spread targets'!X27*1000</f>
        <v>14342145.747581676</v>
      </c>
      <c r="X769" s="787">
        <f ca="1">'Rate Spread targets'!V27-0.3722</f>
        <v>-0.35525855139044399</v>
      </c>
      <c r="Y769" s="751"/>
      <c r="Z769" s="305" t="s">
        <v>31</v>
      </c>
      <c r="AA769" s="305"/>
      <c r="AI769" s="20"/>
      <c r="AJ769" s="20"/>
      <c r="AK769" s="20"/>
      <c r="AL769" s="20"/>
      <c r="AM769" s="20"/>
      <c r="AN769" s="20"/>
      <c r="AO769" s="20"/>
      <c r="AP769" s="20"/>
    </row>
    <row r="770" spans="1:42" ht="16.5" thickTop="1">
      <c r="A770" s="1"/>
      <c r="B770" s="1"/>
      <c r="C770" s="26"/>
      <c r="D770" s="336" t="s">
        <v>31</v>
      </c>
      <c r="E770" s="23"/>
      <c r="F770" s="307"/>
      <c r="G770" s="371" t="s">
        <v>31</v>
      </c>
      <c r="H770" s="23"/>
      <c r="I770" s="257" t="s">
        <v>31</v>
      </c>
      <c r="J770" s="257"/>
      <c r="K770" s="371" t="s">
        <v>31</v>
      </c>
      <c r="L770" s="23"/>
      <c r="M770" s="257" t="s">
        <v>31</v>
      </c>
      <c r="N770" s="257"/>
      <c r="O770" s="371" t="s">
        <v>31</v>
      </c>
      <c r="P770" s="23"/>
      <c r="Q770" s="257" t="s">
        <v>31</v>
      </c>
      <c r="R770" s="257"/>
      <c r="S770" s="371" t="s">
        <v>31</v>
      </c>
      <c r="T770" s="23"/>
      <c r="U770" s="257" t="s">
        <v>31</v>
      </c>
      <c r="V770" s="112" t="s">
        <v>257</v>
      </c>
      <c r="W770" s="780">
        <f ca="1">W769-I769</f>
        <v>-55.252418324351311</v>
      </c>
      <c r="X770" s="782" t="s">
        <v>31</v>
      </c>
      <c r="Y770" s="792"/>
      <c r="AI770" s="20"/>
      <c r="AJ770" s="20"/>
      <c r="AK770" s="20"/>
      <c r="AL770" s="20"/>
      <c r="AM770" s="20"/>
      <c r="AN770" s="20"/>
      <c r="AO770" s="20"/>
      <c r="AP770" s="20"/>
    </row>
    <row r="771" spans="1:42" hidden="1">
      <c r="A771" s="278" t="s">
        <v>437</v>
      </c>
      <c r="B771" s="1"/>
      <c r="C771" s="21"/>
      <c r="D771" s="322"/>
      <c r="E771" s="1"/>
      <c r="F771" s="2"/>
      <c r="G771" s="322"/>
      <c r="H771" s="1"/>
      <c r="I771" s="2"/>
      <c r="J771" s="2"/>
      <c r="K771" s="322"/>
      <c r="L771" s="1"/>
      <c r="M771" s="2"/>
      <c r="N771" s="2"/>
      <c r="O771" s="322"/>
      <c r="P771" s="1"/>
      <c r="Q771" s="2"/>
      <c r="R771" s="2"/>
      <c r="S771" s="322"/>
      <c r="T771" s="1"/>
      <c r="U771" s="2" t="s">
        <v>31</v>
      </c>
      <c r="AI771" s="20"/>
      <c r="AJ771" s="20"/>
      <c r="AK771" s="20"/>
      <c r="AL771" s="20"/>
      <c r="AM771" s="20"/>
      <c r="AN771" s="20"/>
      <c r="AO771" s="20"/>
      <c r="AP771" s="20"/>
    </row>
    <row r="772" spans="1:42" hidden="1">
      <c r="A772" s="294" t="s">
        <v>190</v>
      </c>
      <c r="B772" s="1"/>
      <c r="C772" s="21"/>
      <c r="D772" s="322"/>
      <c r="E772" s="1"/>
      <c r="F772" s="2"/>
      <c r="G772" s="322"/>
      <c r="H772" s="1"/>
      <c r="I772" s="2"/>
      <c r="J772" s="2"/>
      <c r="K772" s="322"/>
      <c r="L772" s="1"/>
      <c r="M772" s="2"/>
      <c r="N772" s="2"/>
      <c r="O772" s="322"/>
      <c r="P772" s="1"/>
      <c r="Q772" s="2"/>
      <c r="R772" s="2"/>
      <c r="S772" s="322"/>
      <c r="T772" s="1"/>
      <c r="U772" s="2"/>
      <c r="V772" s="84"/>
      <c r="W772" s="331" t="s">
        <v>31</v>
      </c>
      <c r="X772" s="222"/>
      <c r="Y772" s="222"/>
      <c r="AI772" s="20"/>
      <c r="AJ772" s="20"/>
      <c r="AK772" s="20"/>
      <c r="AL772" s="20"/>
      <c r="AM772" s="20"/>
      <c r="AN772" s="20"/>
      <c r="AO772" s="20"/>
      <c r="AP772" s="20"/>
    </row>
    <row r="773" spans="1:42" hidden="1">
      <c r="A773" s="308"/>
      <c r="B773" s="1"/>
      <c r="C773" s="21"/>
      <c r="D773" s="322"/>
      <c r="E773" s="1"/>
      <c r="F773" s="365"/>
      <c r="G773" s="322"/>
      <c r="H773" s="1"/>
      <c r="I773" s="366"/>
      <c r="J773" s="366"/>
      <c r="K773" s="322"/>
      <c r="L773" s="1"/>
      <c r="M773" s="366"/>
      <c r="N773" s="366"/>
      <c r="O773" s="322"/>
      <c r="P773" s="1"/>
      <c r="Q773" s="366"/>
      <c r="R773" s="366"/>
      <c r="S773" s="322"/>
      <c r="T773" s="1"/>
      <c r="U773" s="366"/>
      <c r="V773" s="20"/>
      <c r="W773" s="74"/>
      <c r="X773" s="74"/>
      <c r="Y773" s="74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</row>
    <row r="774" spans="1:42" hidden="1">
      <c r="A774" s="294" t="s">
        <v>439</v>
      </c>
      <c r="B774" s="1"/>
      <c r="C774" s="304"/>
      <c r="D774" s="2" t="s">
        <v>31</v>
      </c>
      <c r="E774" s="1"/>
      <c r="F774" s="1"/>
      <c r="G774" s="2" t="s">
        <v>31</v>
      </c>
      <c r="H774" s="1"/>
      <c r="I774" s="1"/>
      <c r="J774" s="1"/>
      <c r="K774" s="2" t="s">
        <v>31</v>
      </c>
      <c r="L774" s="1"/>
      <c r="M774" s="1"/>
      <c r="N774" s="1"/>
      <c r="O774" s="2" t="s">
        <v>31</v>
      </c>
      <c r="P774" s="1"/>
      <c r="Q774" s="1"/>
      <c r="R774" s="1"/>
      <c r="S774" s="2" t="s">
        <v>31</v>
      </c>
      <c r="T774" s="1"/>
      <c r="U774" s="1"/>
      <c r="V774" s="20"/>
      <c r="W774" s="74"/>
      <c r="X774" s="74"/>
      <c r="Y774" s="74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</row>
    <row r="775" spans="1:42" hidden="1">
      <c r="A775" s="294" t="s">
        <v>440</v>
      </c>
      <c r="B775" s="1"/>
      <c r="C775" s="304">
        <f>'Rate Design Work eff 10-14-16'!C774</f>
        <v>585.32901446738447</v>
      </c>
      <c r="D775" s="322">
        <f>'Rate Design Work eff 9-15-17'!D774</f>
        <v>0</v>
      </c>
      <c r="E775" s="309"/>
      <c r="F775" s="306">
        <f>ROUND(D775*C775,0)</f>
        <v>0</v>
      </c>
      <c r="G775" s="322">
        <f>$G$721</f>
        <v>0</v>
      </c>
      <c r="H775" s="309"/>
      <c r="I775" s="306">
        <f>ROUND(G775*$C775,0)</f>
        <v>0</v>
      </c>
      <c r="J775" s="306"/>
      <c r="K775" s="322">
        <f>$G$721</f>
        <v>0</v>
      </c>
      <c r="L775" s="309"/>
      <c r="M775" s="306">
        <f>ROUND(K775*$C775,0)</f>
        <v>0</v>
      </c>
      <c r="N775" s="306"/>
      <c r="O775" s="322" t="str">
        <f>$O$721</f>
        <v xml:space="preserve"> </v>
      </c>
      <c r="P775" s="309"/>
      <c r="Q775" s="306">
        <f>ROUND(O775*$C775,0)</f>
        <v>0</v>
      </c>
      <c r="R775" s="306"/>
      <c r="S775" s="322" t="str">
        <f>$S$721</f>
        <v xml:space="preserve"> </v>
      </c>
      <c r="T775" s="309"/>
      <c r="U775" s="306">
        <f>ROUND(S775*$C775,0)</f>
        <v>0</v>
      </c>
      <c r="V775" s="20"/>
      <c r="W775" s="74"/>
      <c r="X775" s="74"/>
      <c r="Y775" s="74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</row>
    <row r="776" spans="1:42" hidden="1">
      <c r="A776" s="294" t="s">
        <v>441</v>
      </c>
      <c r="B776" s="1"/>
      <c r="C776" s="304"/>
      <c r="D776" s="322"/>
      <c r="E776" s="309"/>
      <c r="F776" s="306"/>
      <c r="G776" s="322"/>
      <c r="H776" s="309"/>
      <c r="I776" s="306"/>
      <c r="J776" s="306"/>
      <c r="K776" s="322"/>
      <c r="L776" s="309"/>
      <c r="M776" s="306"/>
      <c r="N776" s="306"/>
      <c r="O776" s="322"/>
      <c r="P776" s="309"/>
      <c r="Q776" s="306"/>
      <c r="R776" s="306"/>
      <c r="S776" s="322"/>
      <c r="T776" s="309"/>
      <c r="U776" s="306"/>
      <c r="V776" s="20"/>
      <c r="W776" s="74"/>
      <c r="X776" s="74"/>
      <c r="Y776" s="74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</row>
    <row r="777" spans="1:42" hidden="1">
      <c r="A777" s="294" t="s">
        <v>442</v>
      </c>
      <c r="B777" s="1"/>
      <c r="C777" s="304">
        <f>'Rate Design Work eff 10-14-16'!C776</f>
        <v>2639.7847546294379</v>
      </c>
      <c r="D777" s="322">
        <f>'Rate Design Work eff 9-15-17'!D776</f>
        <v>0</v>
      </c>
      <c r="E777" s="309"/>
      <c r="F777" s="306">
        <f>ROUND(D777*C777,0)</f>
        <v>0</v>
      </c>
      <c r="G777" s="322">
        <f>$G$723</f>
        <v>0</v>
      </c>
      <c r="H777" s="309"/>
      <c r="I777" s="306">
        <f>ROUND(G777*$C777,0)</f>
        <v>0</v>
      </c>
      <c r="J777" s="306"/>
      <c r="K777" s="322">
        <f>$G$723</f>
        <v>0</v>
      </c>
      <c r="L777" s="309"/>
      <c r="M777" s="306">
        <f>ROUND(K777*$C777,0)</f>
        <v>0</v>
      </c>
      <c r="N777" s="306"/>
      <c r="O777" s="322" t="str">
        <f>$O$723</f>
        <v xml:space="preserve"> </v>
      </c>
      <c r="P777" s="309"/>
      <c r="Q777" s="306">
        <f>ROUND(O777*$C777,0)</f>
        <v>0</v>
      </c>
      <c r="R777" s="306"/>
      <c r="S777" s="322" t="str">
        <f>$S$723</f>
        <v xml:space="preserve"> </v>
      </c>
      <c r="T777" s="309"/>
      <c r="U777" s="306">
        <f>ROUND(S777*$C777,0)</f>
        <v>0</v>
      </c>
      <c r="V777" s="20"/>
      <c r="W777" s="74"/>
      <c r="X777" s="74"/>
      <c r="Y777" s="74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</row>
    <row r="778" spans="1:42" hidden="1">
      <c r="A778" s="294" t="s">
        <v>443</v>
      </c>
      <c r="B778" s="1"/>
      <c r="C778" s="304">
        <f>'Rate Design Work eff 10-14-16'!C777</f>
        <v>314.59706558952797</v>
      </c>
      <c r="D778" s="322">
        <f>'Rate Design Work eff 9-15-17'!D777</f>
        <v>370</v>
      </c>
      <c r="E778" s="309"/>
      <c r="F778" s="306">
        <f>ROUND(D778*C778,0)</f>
        <v>116401</v>
      </c>
      <c r="G778" s="322">
        <f ca="1">$G$724</f>
        <v>379</v>
      </c>
      <c r="H778" s="309"/>
      <c r="I778" s="306">
        <f ca="1">ROUND(G778*$C778,0)</f>
        <v>119232</v>
      </c>
      <c r="J778" s="306"/>
      <c r="K778" s="322">
        <f ca="1">$G$724</f>
        <v>379</v>
      </c>
      <c r="L778" s="309"/>
      <c r="M778" s="306">
        <f ca="1">ROUND(K778*$C778,0)</f>
        <v>119232</v>
      </c>
      <c r="N778" s="306"/>
      <c r="O778" s="322" t="str">
        <f>$O$724</f>
        <v xml:space="preserve"> </v>
      </c>
      <c r="P778" s="309"/>
      <c r="Q778" s="306">
        <f>ROUND(O778*$C778,0)</f>
        <v>0</v>
      </c>
      <c r="R778" s="306"/>
      <c r="S778" s="322" t="str">
        <f>$S$724</f>
        <v xml:space="preserve"> </v>
      </c>
      <c r="T778" s="309"/>
      <c r="U778" s="306">
        <f>ROUND(S778*$C778,0)</f>
        <v>0</v>
      </c>
      <c r="V778" s="20"/>
      <c r="W778" s="74"/>
      <c r="X778" s="74"/>
      <c r="Y778" s="74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</row>
    <row r="779" spans="1:42" hidden="1">
      <c r="A779" s="294" t="s">
        <v>444</v>
      </c>
      <c r="B779" s="1"/>
      <c r="C779" s="304">
        <f>'Rate Design Work eff 10-14-16'!C778</f>
        <v>10.9999976307206</v>
      </c>
      <c r="D779" s="322">
        <f>'Rate Design Work eff 9-15-17'!D778</f>
        <v>1504</v>
      </c>
      <c r="E779" s="309"/>
      <c r="F779" s="306">
        <f>ROUND(D779*C779,0)</f>
        <v>16544</v>
      </c>
      <c r="G779" s="322">
        <f ca="1">$G$725</f>
        <v>1539</v>
      </c>
      <c r="H779" s="309"/>
      <c r="I779" s="306">
        <f ca="1">ROUND(G779*$C779,0)</f>
        <v>16929</v>
      </c>
      <c r="J779" s="306"/>
      <c r="K779" s="322">
        <f ca="1">$G$725</f>
        <v>1539</v>
      </c>
      <c r="L779" s="309"/>
      <c r="M779" s="306">
        <f ca="1">ROUND(K779*$C779,0)</f>
        <v>16929</v>
      </c>
      <c r="N779" s="306"/>
      <c r="O779" s="322" t="str">
        <f>$O$725</f>
        <v xml:space="preserve"> </v>
      </c>
      <c r="P779" s="309"/>
      <c r="Q779" s="306">
        <f>ROUND(O779*$C779,0)</f>
        <v>0</v>
      </c>
      <c r="R779" s="306"/>
      <c r="S779" s="322" t="str">
        <f>$S$725</f>
        <v xml:space="preserve"> </v>
      </c>
      <c r="T779" s="309"/>
      <c r="U779" s="306">
        <f>ROUND(S779*$C779,0)</f>
        <v>0</v>
      </c>
      <c r="V779" s="20"/>
      <c r="W779" s="74"/>
      <c r="X779" s="74"/>
      <c r="Y779" s="74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</row>
    <row r="780" spans="1:42" hidden="1">
      <c r="A780" s="294" t="s">
        <v>352</v>
      </c>
      <c r="B780" s="1"/>
      <c r="C780" s="304">
        <f>SUM(C775:C779)</f>
        <v>3550.7108323170714</v>
      </c>
      <c r="D780" s="322"/>
      <c r="E780" s="309"/>
      <c r="F780" s="306"/>
      <c r="G780" s="322"/>
      <c r="H780" s="309"/>
      <c r="I780" s="306"/>
      <c r="J780" s="306"/>
      <c r="K780" s="322"/>
      <c r="L780" s="309"/>
      <c r="M780" s="306"/>
      <c r="N780" s="306"/>
      <c r="O780" s="322"/>
      <c r="P780" s="309"/>
      <c r="Q780" s="306"/>
      <c r="R780" s="306"/>
      <c r="S780" s="322"/>
      <c r="T780" s="309"/>
      <c r="U780" s="306"/>
      <c r="V780" s="20"/>
      <c r="W780" s="74"/>
      <c r="X780" s="74"/>
      <c r="Y780" s="74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</row>
    <row r="781" spans="1:42" hidden="1">
      <c r="A781" s="294" t="s">
        <v>445</v>
      </c>
      <c r="B781" s="1"/>
      <c r="C781" s="304">
        <f>'Rate Design Work eff 10-14-16'!C780</f>
        <v>26978.440555555677</v>
      </c>
      <c r="D781" s="322"/>
      <c r="E781" s="306"/>
      <c r="F781" s="306"/>
      <c r="G781" s="322"/>
      <c r="H781" s="306"/>
      <c r="I781" s="306"/>
      <c r="J781" s="306"/>
      <c r="K781" s="322"/>
      <c r="L781" s="306"/>
      <c r="M781" s="306"/>
      <c r="N781" s="306"/>
      <c r="O781" s="322"/>
      <c r="P781" s="306"/>
      <c r="Q781" s="306"/>
      <c r="R781" s="306"/>
      <c r="S781" s="322"/>
      <c r="T781" s="306"/>
      <c r="U781" s="306"/>
      <c r="V781" s="20"/>
      <c r="W781" s="74"/>
      <c r="X781" s="74"/>
      <c r="Y781" s="74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</row>
    <row r="782" spans="1:42" hidden="1">
      <c r="A782" s="294" t="s">
        <v>104</v>
      </c>
      <c r="B782" s="1"/>
      <c r="C782" s="304">
        <f>'Rate Design Work eff 10-14-16'!C781</f>
        <v>3789</v>
      </c>
      <c r="D782" s="322"/>
      <c r="E782" s="306"/>
      <c r="F782" s="306"/>
      <c r="G782" s="322"/>
      <c r="H782" s="306"/>
      <c r="I782" s="306"/>
      <c r="J782" s="306"/>
      <c r="K782" s="322"/>
      <c r="L782" s="306"/>
      <c r="M782" s="306"/>
      <c r="N782" s="306"/>
      <c r="O782" s="322"/>
      <c r="P782" s="306"/>
      <c r="Q782" s="306"/>
      <c r="R782" s="306"/>
      <c r="S782" s="322"/>
      <c r="T782" s="306"/>
      <c r="U782" s="306"/>
      <c r="V782" s="20"/>
      <c r="W782" s="74"/>
      <c r="X782" s="74"/>
      <c r="Y782" s="74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</row>
    <row r="783" spans="1:42" hidden="1">
      <c r="A783" s="294" t="s">
        <v>446</v>
      </c>
      <c r="B783" s="1"/>
      <c r="C783" s="304"/>
      <c r="D783" s="322"/>
      <c r="E783" s="309"/>
      <c r="F783" s="306"/>
      <c r="G783" s="322"/>
      <c r="H783" s="309"/>
      <c r="I783" s="306"/>
      <c r="J783" s="306"/>
      <c r="K783" s="322"/>
      <c r="L783" s="309"/>
      <c r="M783" s="306"/>
      <c r="N783" s="306"/>
      <c r="O783" s="322"/>
      <c r="P783" s="309"/>
      <c r="Q783" s="306"/>
      <c r="R783" s="306"/>
      <c r="S783" s="322"/>
      <c r="T783" s="309"/>
      <c r="U783" s="306"/>
      <c r="V783" s="20"/>
      <c r="W783" s="74"/>
      <c r="X783" s="74"/>
      <c r="Y783" s="74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</row>
    <row r="784" spans="1:42" hidden="1">
      <c r="A784" s="294" t="s">
        <v>447</v>
      </c>
      <c r="B784" s="1"/>
      <c r="C784" s="304">
        <f>'Rate Design Work eff 10-14-16'!C783</f>
        <v>2076.8587101006215</v>
      </c>
      <c r="D784" s="322">
        <f>'Rate Design Work eff 9-15-17'!D783</f>
        <v>26.02</v>
      </c>
      <c r="E784" s="309"/>
      <c r="F784" s="306">
        <f>ROUND(D784*C784,0)</f>
        <v>54040</v>
      </c>
      <c r="G784" s="322">
        <f ca="1">$G$730</f>
        <v>26.63</v>
      </c>
      <c r="H784" s="309"/>
      <c r="I784" s="306">
        <f ca="1">ROUND(G784*$C784,0)</f>
        <v>55307</v>
      </c>
      <c r="J784" s="306"/>
      <c r="K784" s="322">
        <f ca="1">$K$730</f>
        <v>26.02</v>
      </c>
      <c r="L784" s="309"/>
      <c r="M784" s="306">
        <f ca="1">ROUND(K784*$C784,0)</f>
        <v>54040</v>
      </c>
      <c r="N784" s="306"/>
      <c r="O784" s="322" t="str">
        <f>$O$730</f>
        <v xml:space="preserve"> </v>
      </c>
      <c r="P784" s="309"/>
      <c r="Q784" s="306">
        <f>ROUND(O784*$C784,0)</f>
        <v>0</v>
      </c>
      <c r="R784" s="306"/>
      <c r="S784" s="322" t="str">
        <f>$S$730</f>
        <v xml:space="preserve"> </v>
      </c>
      <c r="T784" s="309"/>
      <c r="U784" s="306">
        <f>ROUND(S784*$C784,0)</f>
        <v>0</v>
      </c>
      <c r="V784" s="20"/>
      <c r="W784" s="74"/>
      <c r="X784" s="74"/>
      <c r="Y784" s="74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</row>
    <row r="785" spans="1:42" hidden="1">
      <c r="A785" s="294" t="s">
        <v>448</v>
      </c>
      <c r="B785" s="1"/>
      <c r="C785" s="304"/>
      <c r="D785" s="322"/>
      <c r="E785" s="309"/>
      <c r="F785" s="306"/>
      <c r="G785" s="322"/>
      <c r="H785" s="309"/>
      <c r="I785" s="306"/>
      <c r="J785" s="306"/>
      <c r="K785" s="322"/>
      <c r="L785" s="309"/>
      <c r="M785" s="306"/>
      <c r="N785" s="306"/>
      <c r="O785" s="322"/>
      <c r="P785" s="309"/>
      <c r="Q785" s="306"/>
      <c r="R785" s="306"/>
      <c r="S785" s="322"/>
      <c r="T785" s="309"/>
      <c r="U785" s="306"/>
      <c r="V785" s="20"/>
      <c r="W785" s="74"/>
      <c r="X785" s="74"/>
      <c r="Y785" s="74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</row>
    <row r="786" spans="1:42" hidden="1">
      <c r="A786" s="294" t="s">
        <v>442</v>
      </c>
      <c r="B786" s="1"/>
      <c r="C786" s="304">
        <f>'Rate Design Work eff 10-14-16'!C785</f>
        <v>39873.252848561533</v>
      </c>
      <c r="D786" s="322">
        <f>'Rate Design Work eff 9-15-17'!D785</f>
        <v>26.02</v>
      </c>
      <c r="E786" s="309"/>
      <c r="F786" s="306">
        <f>ROUND(D786*C786,0)</f>
        <v>1037502</v>
      </c>
      <c r="G786" s="322">
        <f ca="1">$G$732</f>
        <v>26.63</v>
      </c>
      <c r="H786" s="309"/>
      <c r="I786" s="306">
        <f ca="1">ROUND(G786*$C786,0)</f>
        <v>1061825</v>
      </c>
      <c r="J786" s="306"/>
      <c r="K786" s="322">
        <f ca="1">$K$732</f>
        <v>26.02</v>
      </c>
      <c r="L786" s="309"/>
      <c r="M786" s="306">
        <f ca="1">ROUND(K786*$C786,0)</f>
        <v>1037502</v>
      </c>
      <c r="N786" s="306"/>
      <c r="O786" s="322" t="str">
        <f>$O$732</f>
        <v xml:space="preserve"> </v>
      </c>
      <c r="P786" s="309"/>
      <c r="Q786" s="306">
        <f>ROUND(O786*$C786,0)</f>
        <v>0</v>
      </c>
      <c r="R786" s="306"/>
      <c r="S786" s="322" t="str">
        <f>$S$732</f>
        <v xml:space="preserve"> </v>
      </c>
      <c r="T786" s="309"/>
      <c r="U786" s="306">
        <f>ROUND(S786*$C786,0)</f>
        <v>0</v>
      </c>
      <c r="V786" s="20"/>
      <c r="W786" s="74"/>
      <c r="X786" s="74"/>
      <c r="Y786" s="74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</row>
    <row r="787" spans="1:42" hidden="1">
      <c r="A787" s="294" t="s">
        <v>443</v>
      </c>
      <c r="B787" s="1"/>
      <c r="C787" s="304">
        <f>'Rate Design Work eff 10-14-16'!C786</f>
        <v>29185.4347915853</v>
      </c>
      <c r="D787" s="322">
        <f>'Rate Design Work eff 9-15-17'!D786</f>
        <v>18.101388370764003</v>
      </c>
      <c r="E787" s="309"/>
      <c r="F787" s="306">
        <f>ROUND(D787*C787,0)</f>
        <v>528297</v>
      </c>
      <c r="G787" s="322">
        <f ca="1">$G$733</f>
        <v>18.526286850528336</v>
      </c>
      <c r="H787" s="309"/>
      <c r="I787" s="306">
        <f ca="1">ROUND(G787*$C787,0)</f>
        <v>540698</v>
      </c>
      <c r="J787" s="306"/>
      <c r="K787" s="322">
        <f ca="1">$K$733</f>
        <v>18.101388370764003</v>
      </c>
      <c r="L787" s="309"/>
      <c r="M787" s="306">
        <f ca="1">ROUND(K787*$C787,0)</f>
        <v>528297</v>
      </c>
      <c r="N787" s="306"/>
      <c r="O787" s="322" t="str">
        <f>$O$733</f>
        <v xml:space="preserve"> </v>
      </c>
      <c r="P787" s="309"/>
      <c r="Q787" s="306">
        <f>ROUND(O787*$C787,0)</f>
        <v>0</v>
      </c>
      <c r="R787" s="306"/>
      <c r="S787" s="322" t="str">
        <f>$S$733</f>
        <v xml:space="preserve"> </v>
      </c>
      <c r="T787" s="309"/>
      <c r="U787" s="306">
        <f>ROUND(S787*$C787,0)</f>
        <v>0</v>
      </c>
      <c r="V787" s="20"/>
      <c r="W787" s="74"/>
      <c r="X787" s="74"/>
      <c r="Y787" s="74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</row>
    <row r="788" spans="1:42" hidden="1">
      <c r="A788" s="294" t="s">
        <v>444</v>
      </c>
      <c r="B788" s="1"/>
      <c r="C788" s="304">
        <f>'Rate Design Work eff 10-14-16'!C787</f>
        <v>4458.9991006743103</v>
      </c>
      <c r="D788" s="322">
        <f>'Rate Design Work eff 9-15-17'!D787</f>
        <v>14.155824964645021</v>
      </c>
      <c r="E788" s="309"/>
      <c r="F788" s="306">
        <f>ROUND(D788*C788,0)</f>
        <v>63121</v>
      </c>
      <c r="G788" s="322">
        <f ca="1">$G$734</f>
        <v>14.48810823397713</v>
      </c>
      <c r="H788" s="309"/>
      <c r="I788" s="306">
        <f ca="1">ROUND(G788*$C788,0)</f>
        <v>64602</v>
      </c>
      <c r="J788" s="306"/>
      <c r="K788" s="322">
        <f ca="1">$K$734</f>
        <v>14.155824964645021</v>
      </c>
      <c r="L788" s="309"/>
      <c r="M788" s="306">
        <f ca="1">ROUND(K788*$C788,0)</f>
        <v>63121</v>
      </c>
      <c r="N788" s="306"/>
      <c r="O788" s="322" t="str">
        <f>$O$734</f>
        <v xml:space="preserve"> </v>
      </c>
      <c r="P788" s="309"/>
      <c r="Q788" s="306">
        <f>ROUND(O788*$C788,0)</f>
        <v>0</v>
      </c>
      <c r="R788" s="306"/>
      <c r="S788" s="322" t="str">
        <f>$S$734</f>
        <v xml:space="preserve"> </v>
      </c>
      <c r="T788" s="309"/>
      <c r="U788" s="306">
        <f>ROUND(S788*$C788,0)</f>
        <v>0</v>
      </c>
      <c r="V788" s="20"/>
      <c r="W788" s="74"/>
      <c r="X788" s="74"/>
      <c r="Y788" s="74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</row>
    <row r="789" spans="1:42" hidden="1">
      <c r="A789" s="294" t="s">
        <v>450</v>
      </c>
      <c r="B789" s="1"/>
      <c r="C789" s="304">
        <f>'Rate Design Work eff 10-14-16'!C788</f>
        <v>287.38362640647603</v>
      </c>
      <c r="D789" s="322">
        <f>'Rate Design Work eff 9-15-17'!D788</f>
        <v>78.06</v>
      </c>
      <c r="E789" s="309"/>
      <c r="F789" s="306">
        <f>ROUND(D789*C789,0)</f>
        <v>22433</v>
      </c>
      <c r="G789" s="322">
        <f ca="1">$G$735</f>
        <v>79.89</v>
      </c>
      <c r="H789" s="309"/>
      <c r="I789" s="306">
        <f ca="1">ROUND(G789*$C789,0)</f>
        <v>22959</v>
      </c>
      <c r="J789" s="306"/>
      <c r="K789" s="322">
        <f ca="1">$K$735</f>
        <v>78.06</v>
      </c>
      <c r="L789" s="309"/>
      <c r="M789" s="306">
        <f ca="1">ROUND(K789*$C789,0)</f>
        <v>22433</v>
      </c>
      <c r="N789" s="306"/>
      <c r="O789" s="322" t="str">
        <f>$O$735</f>
        <v xml:space="preserve"> </v>
      </c>
      <c r="P789" s="309"/>
      <c r="Q789" s="306">
        <f>ROUND(O789*$C789,0)</f>
        <v>0</v>
      </c>
      <c r="R789" s="306"/>
      <c r="S789" s="322" t="str">
        <f>$S$735</f>
        <v xml:space="preserve"> </v>
      </c>
      <c r="T789" s="309"/>
      <c r="U789" s="306">
        <f>ROUND(S789*$C789,0)</f>
        <v>0</v>
      </c>
      <c r="V789" s="20"/>
      <c r="W789" s="74"/>
      <c r="X789" s="74"/>
      <c r="Y789" s="74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</row>
    <row r="790" spans="1:42" hidden="1">
      <c r="A790" s="294" t="s">
        <v>451</v>
      </c>
      <c r="B790" s="1"/>
      <c r="C790" s="304">
        <f>'Rate Design Work eff 10-14-16'!C789</f>
        <v>596.26328693931896</v>
      </c>
      <c r="D790" s="322">
        <f>'Rate Design Work eff 9-15-17'!D789</f>
        <v>156.12</v>
      </c>
      <c r="E790" s="309"/>
      <c r="F790" s="306">
        <f>ROUND(D790*C790,0)</f>
        <v>93089</v>
      </c>
      <c r="G790" s="322">
        <f ca="1">$G$736</f>
        <v>159.78</v>
      </c>
      <c r="H790" s="309"/>
      <c r="I790" s="306">
        <f ca="1">ROUND(G790*$C790,0)</f>
        <v>95271</v>
      </c>
      <c r="J790" s="306"/>
      <c r="K790" s="322">
        <f ca="1">$K$736</f>
        <v>156.12</v>
      </c>
      <c r="L790" s="309"/>
      <c r="M790" s="306">
        <f ca="1">ROUND(K790*$C790,0)</f>
        <v>93089</v>
      </c>
      <c r="N790" s="306"/>
      <c r="O790" s="322" t="str">
        <f>$O$736</f>
        <v xml:space="preserve"> </v>
      </c>
      <c r="P790" s="309"/>
      <c r="Q790" s="306">
        <f>ROUND(O790*$C790,0)</f>
        <v>0</v>
      </c>
      <c r="R790" s="306"/>
      <c r="S790" s="322" t="str">
        <f>$S$736</f>
        <v xml:space="preserve"> </v>
      </c>
      <c r="T790" s="309"/>
      <c r="U790" s="306">
        <f>ROUND(S790*$C790,0)</f>
        <v>0</v>
      </c>
      <c r="V790" s="20"/>
      <c r="W790" s="74"/>
      <c r="X790" s="74"/>
      <c r="Y790" s="74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</row>
    <row r="791" spans="1:42" hidden="1">
      <c r="A791" s="294" t="s">
        <v>452</v>
      </c>
      <c r="B791" s="1"/>
      <c r="C791" s="304"/>
      <c r="D791" s="322"/>
      <c r="E791" s="309"/>
      <c r="F791" s="306"/>
      <c r="G791" s="322"/>
      <c r="H791" s="309"/>
      <c r="I791" s="306"/>
      <c r="J791" s="306"/>
      <c r="K791" s="322"/>
      <c r="L791" s="309"/>
      <c r="M791" s="306"/>
      <c r="N791" s="306"/>
      <c r="O791" s="322"/>
      <c r="P791" s="309"/>
      <c r="Q791" s="306"/>
      <c r="R791" s="306"/>
      <c r="S791" s="322"/>
      <c r="T791" s="309"/>
      <c r="U791" s="306"/>
      <c r="V791" s="20"/>
      <c r="W791" s="74"/>
      <c r="X791" s="74"/>
      <c r="Y791" s="74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</row>
    <row r="792" spans="1:42" hidden="1">
      <c r="A792" s="294" t="s">
        <v>447</v>
      </c>
      <c r="B792" s="1"/>
      <c r="C792" s="304">
        <f>'Rate Design Work eff 10-14-16'!C791</f>
        <v>13.885153858261599</v>
      </c>
      <c r="D792" s="348">
        <f>'Rate Design Work eff 9-15-17'!D791</f>
        <v>-26.02</v>
      </c>
      <c r="E792" s="309"/>
      <c r="F792" s="306">
        <f>ROUND(D792*C792,0)</f>
        <v>-361</v>
      </c>
      <c r="G792" s="348">
        <f ca="1">-G784</f>
        <v>-26.63</v>
      </c>
      <c r="H792" s="309"/>
      <c r="I792" s="306">
        <f ca="1">ROUND(G792*$C792,0)</f>
        <v>-370</v>
      </c>
      <c r="J792" s="306"/>
      <c r="K792" s="348">
        <f ca="1">-K784</f>
        <v>-26.02</v>
      </c>
      <c r="L792" s="309"/>
      <c r="M792" s="306">
        <f ca="1">ROUND(K792*$C792,0)</f>
        <v>-361</v>
      </c>
      <c r="N792" s="306"/>
      <c r="O792" s="348">
        <f>-O784</f>
        <v>0</v>
      </c>
      <c r="P792" s="309"/>
      <c r="Q792" s="306">
        <f>ROUND(O792*$C792,0)</f>
        <v>0</v>
      </c>
      <c r="R792" s="306"/>
      <c r="S792" s="348">
        <f>-S784</f>
        <v>0</v>
      </c>
      <c r="T792" s="309"/>
      <c r="U792" s="306">
        <f>ROUND(S792*$C792,0)</f>
        <v>0</v>
      </c>
      <c r="V792" s="20"/>
      <c r="W792" s="74"/>
      <c r="X792" s="74"/>
      <c r="Y792" s="74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</row>
    <row r="793" spans="1:42" hidden="1">
      <c r="A793" s="294" t="s">
        <v>453</v>
      </c>
      <c r="B793" s="1"/>
      <c r="C793" s="304">
        <f>'Rate Design Work eff 10-14-16'!C792</f>
        <v>218.78375922302399</v>
      </c>
      <c r="D793" s="348">
        <f>'Rate Design Work eff 9-15-17'!D792</f>
        <v>-26.02</v>
      </c>
      <c r="E793" s="309"/>
      <c r="F793" s="306">
        <f>ROUND(D793*C793,0)</f>
        <v>-5693</v>
      </c>
      <c r="G793" s="348">
        <f ca="1">-G786</f>
        <v>-26.63</v>
      </c>
      <c r="H793" s="309"/>
      <c r="I793" s="306">
        <f ca="1">ROUND(G793*$C793,0)</f>
        <v>-5826</v>
      </c>
      <c r="J793" s="306"/>
      <c r="K793" s="348">
        <f ca="1">-K786</f>
        <v>-26.02</v>
      </c>
      <c r="L793" s="309"/>
      <c r="M793" s="306">
        <f ca="1">ROUND(K793*$C793,0)</f>
        <v>-5693</v>
      </c>
      <c r="N793" s="306"/>
      <c r="O793" s="348">
        <f>-O786</f>
        <v>0</v>
      </c>
      <c r="P793" s="309"/>
      <c r="Q793" s="306">
        <f>ROUND(O793*$C793,0)</f>
        <v>0</v>
      </c>
      <c r="R793" s="306"/>
      <c r="S793" s="348">
        <f>-S786</f>
        <v>0</v>
      </c>
      <c r="T793" s="309"/>
      <c r="U793" s="306">
        <f>ROUND(S793*$C793,0)</f>
        <v>0</v>
      </c>
      <c r="V793" s="20"/>
      <c r="W793" s="74"/>
      <c r="X793" s="74"/>
      <c r="Y793" s="74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</row>
    <row r="794" spans="1:42" hidden="1">
      <c r="A794" s="308" t="s">
        <v>416</v>
      </c>
      <c r="B794" s="1"/>
      <c r="C794" s="64" t="s">
        <v>31</v>
      </c>
      <c r="D794" s="322"/>
      <c r="E794" s="306"/>
      <c r="F794" s="306"/>
      <c r="G794" s="322"/>
      <c r="H794" s="306"/>
      <c r="I794" s="306"/>
      <c r="J794" s="306"/>
      <c r="K794" s="322"/>
      <c r="L794" s="306"/>
      <c r="M794" s="306"/>
      <c r="N794" s="306"/>
      <c r="O794" s="322"/>
      <c r="P794" s="306"/>
      <c r="Q794" s="306"/>
      <c r="R794" s="306"/>
      <c r="S794" s="322"/>
      <c r="T794" s="306"/>
      <c r="U794" s="306"/>
      <c r="V794" s="20"/>
      <c r="W794" s="74"/>
      <c r="X794" s="74"/>
      <c r="Y794" s="74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</row>
    <row r="795" spans="1:42" hidden="1">
      <c r="A795" s="294" t="s">
        <v>454</v>
      </c>
      <c r="B795" s="1"/>
      <c r="C795" s="304">
        <f>'Rate Design Work eff 10-14-16'!C794</f>
        <v>110142584.89494899</v>
      </c>
      <c r="D795" s="367">
        <f>'Rate Design Work eff 9-15-17'!D794</f>
        <v>7.0350000000000001</v>
      </c>
      <c r="E795" s="306" t="s">
        <v>364</v>
      </c>
      <c r="F795" s="306">
        <f>ROUND(D795/100*C795,0)</f>
        <v>7748531</v>
      </c>
      <c r="G795" s="367">
        <f ca="1">$G$741</f>
        <v>7.2030000000000003</v>
      </c>
      <c r="H795" s="306" t="s">
        <v>364</v>
      </c>
      <c r="I795" s="306">
        <f ca="1">ROUND(G795/100*$C795,0)</f>
        <v>7933570</v>
      </c>
      <c r="J795" s="306"/>
      <c r="K795" s="367" t="e">
        <f ca="1">$K$741</f>
        <v>#REF!</v>
      </c>
      <c r="L795" s="306" t="s">
        <v>364</v>
      </c>
      <c r="M795" s="306" t="e">
        <f ca="1">ROUND(K795/100*$C795,0)</f>
        <v>#REF!</v>
      </c>
      <c r="N795" s="306"/>
      <c r="O795" s="367" t="e">
        <f ca="1">$O$741</f>
        <v>#DIV/0!</v>
      </c>
      <c r="P795" s="306" t="s">
        <v>364</v>
      </c>
      <c r="Q795" s="306" t="e">
        <f ca="1">ROUND(O795/100*$C795,0)</f>
        <v>#DIV/0!</v>
      </c>
      <c r="R795" s="306"/>
      <c r="S795" s="367" t="e">
        <f ca="1">$S$741</f>
        <v>#DIV/0!</v>
      </c>
      <c r="T795" s="306" t="s">
        <v>364</v>
      </c>
      <c r="U795" s="306" t="e">
        <f ca="1">ROUND(S795/100*$C795,0)</f>
        <v>#DIV/0!</v>
      </c>
      <c r="V795" s="20"/>
      <c r="W795" s="74"/>
      <c r="X795" s="74"/>
      <c r="Y795" s="74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</row>
    <row r="796" spans="1:42" hidden="1">
      <c r="A796" s="308" t="s">
        <v>390</v>
      </c>
      <c r="B796" s="1"/>
      <c r="C796" s="304">
        <f>'Rate Design Work eff 10-14-16'!C795</f>
        <v>43439</v>
      </c>
      <c r="D796" s="324">
        <f>'Rate Design Work eff 9-15-17'!D795</f>
        <v>57</v>
      </c>
      <c r="E796" s="308" t="s">
        <v>364</v>
      </c>
      <c r="F796" s="306">
        <f>ROUND(D796/100*C796,0)</f>
        <v>24760</v>
      </c>
      <c r="G796" s="324">
        <f ca="1">$G$742</f>
        <v>58</v>
      </c>
      <c r="H796" s="308" t="s">
        <v>364</v>
      </c>
      <c r="I796" s="306">
        <f ca="1">ROUND(G796*$C796/100,0)</f>
        <v>25195</v>
      </c>
      <c r="J796" s="306"/>
      <c r="K796" s="324" t="str">
        <f>$K$742</f>
        <v xml:space="preserve"> </v>
      </c>
      <c r="L796" s="308" t="s">
        <v>364</v>
      </c>
      <c r="M796" s="306">
        <f>ROUND(K796*$C796/100,0)</f>
        <v>0</v>
      </c>
      <c r="N796" s="306"/>
      <c r="O796" s="324" t="e">
        <f ca="1">$O$742</f>
        <v>#DIV/0!</v>
      </c>
      <c r="P796" s="308" t="s">
        <v>364</v>
      </c>
      <c r="Q796" s="306" t="e">
        <f ca="1">ROUND(O796*$C796/100,0)</f>
        <v>#DIV/0!</v>
      </c>
      <c r="R796" s="306"/>
      <c r="S796" s="324" t="e">
        <f ca="1">$S$742</f>
        <v>#DIV/0!</v>
      </c>
      <c r="T796" s="308" t="s">
        <v>364</v>
      </c>
      <c r="U796" s="306" t="e">
        <f ca="1">ROUND(S796*$C796/100,0)</f>
        <v>#DIV/0!</v>
      </c>
      <c r="V796" s="20"/>
      <c r="W796" s="74"/>
      <c r="X796" s="74"/>
      <c r="Y796" s="74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</row>
    <row r="797" spans="1:42" hidden="1">
      <c r="A797" s="345" t="s">
        <v>391</v>
      </c>
      <c r="B797" s="1"/>
      <c r="C797" s="304"/>
      <c r="D797" s="317">
        <f>'Rate Design Work eff 9-15-17'!D797</f>
        <v>-0.01</v>
      </c>
      <c r="E797" s="1"/>
      <c r="F797" s="306"/>
      <c r="G797" s="317">
        <v>-0.01</v>
      </c>
      <c r="H797" s="1"/>
      <c r="I797" s="306"/>
      <c r="J797" s="306"/>
      <c r="K797" s="317">
        <v>-0.01</v>
      </c>
      <c r="L797" s="1"/>
      <c r="M797" s="306"/>
      <c r="N797" s="306"/>
      <c r="O797" s="317">
        <v>-0.01</v>
      </c>
      <c r="P797" s="1"/>
      <c r="Q797" s="306"/>
      <c r="R797" s="306"/>
      <c r="S797" s="317">
        <v>-0.01</v>
      </c>
      <c r="T797" s="1"/>
      <c r="U797" s="306"/>
      <c r="V797" s="20"/>
      <c r="W797" s="74"/>
      <c r="X797" s="74"/>
      <c r="Y797" s="74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</row>
    <row r="798" spans="1:42" hidden="1">
      <c r="A798" s="294" t="s">
        <v>380</v>
      </c>
      <c r="B798" s="1"/>
      <c r="C798" s="304">
        <f>'Rate Design Work eff 10-14-16'!C798</f>
        <v>0</v>
      </c>
      <c r="D798" s="369">
        <f>'Rate Design Work eff 9-15-17'!D798</f>
        <v>0</v>
      </c>
      <c r="E798" s="309"/>
      <c r="F798" s="306">
        <f>ROUND(D798*C798*$D$745,0)</f>
        <v>0</v>
      </c>
      <c r="G798" s="369">
        <f>G775</f>
        <v>0</v>
      </c>
      <c r="H798" s="309"/>
      <c r="I798" s="306">
        <f>ROUND(G798*$C798*$G$797,0)</f>
        <v>0</v>
      </c>
      <c r="J798" s="306"/>
      <c r="K798" s="369">
        <f>K775</f>
        <v>0</v>
      </c>
      <c r="L798" s="309"/>
      <c r="M798" s="306">
        <f>ROUND(K798*$C798*$G$797,0)</f>
        <v>0</v>
      </c>
      <c r="N798" s="306"/>
      <c r="O798" s="369" t="str">
        <f>O775</f>
        <v xml:space="preserve"> </v>
      </c>
      <c r="P798" s="309"/>
      <c r="Q798" s="306">
        <f>ROUND(O798*$C798*$G$797,0)</f>
        <v>0</v>
      </c>
      <c r="R798" s="306"/>
      <c r="S798" s="369" t="str">
        <f>S775</f>
        <v xml:space="preserve"> </v>
      </c>
      <c r="T798" s="309"/>
      <c r="U798" s="306">
        <f>ROUND(S798*$C798*$G$797,0)</f>
        <v>0</v>
      </c>
      <c r="V798" s="20"/>
      <c r="W798" s="74"/>
      <c r="X798" s="74"/>
      <c r="Y798" s="74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</row>
    <row r="799" spans="1:42" hidden="1">
      <c r="A799" s="294" t="s">
        <v>381</v>
      </c>
      <c r="B799" s="1"/>
      <c r="C799" s="304"/>
      <c r="D799" s="369"/>
      <c r="E799" s="309"/>
      <c r="F799" s="306"/>
      <c r="G799" s="369"/>
      <c r="H799" s="309"/>
      <c r="I799" s="306"/>
      <c r="J799" s="306"/>
      <c r="K799" s="369"/>
      <c r="L799" s="309"/>
      <c r="M799" s="306"/>
      <c r="N799" s="306"/>
      <c r="O799" s="369"/>
      <c r="P799" s="309"/>
      <c r="Q799" s="306"/>
      <c r="R799" s="306"/>
      <c r="S799" s="369"/>
      <c r="T799" s="309"/>
      <c r="U799" s="306"/>
      <c r="V799" s="20"/>
      <c r="W799" s="74"/>
      <c r="X799" s="74"/>
      <c r="Y799" s="74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</row>
    <row r="800" spans="1:42" hidden="1">
      <c r="A800" s="294" t="s">
        <v>442</v>
      </c>
      <c r="B800" s="1"/>
      <c r="C800" s="304">
        <f>'Rate Design Work eff 10-14-16'!C800</f>
        <v>1.0000071591230999</v>
      </c>
      <c r="D800" s="369">
        <f>'Rate Design Work eff 9-15-17'!D800</f>
        <v>0</v>
      </c>
      <c r="E800" s="309"/>
      <c r="F800" s="306">
        <f>ROUND(D800*C800*$D$745,0)</f>
        <v>0</v>
      </c>
      <c r="G800" s="369">
        <f>G777</f>
        <v>0</v>
      </c>
      <c r="H800" s="309"/>
      <c r="I800" s="306">
        <f>ROUND(G800*$C800*$G$797,0)</f>
        <v>0</v>
      </c>
      <c r="J800" s="306"/>
      <c r="K800" s="369">
        <f>K777</f>
        <v>0</v>
      </c>
      <c r="L800" s="309"/>
      <c r="M800" s="306">
        <f>ROUND(K800*$C800*$G$797,0)</f>
        <v>0</v>
      </c>
      <c r="N800" s="306"/>
      <c r="O800" s="369" t="str">
        <f>O777</f>
        <v xml:space="preserve"> </v>
      </c>
      <c r="P800" s="309"/>
      <c r="Q800" s="306">
        <f>ROUND(O800*$C800*$G$797,0)</f>
        <v>0</v>
      </c>
      <c r="R800" s="306"/>
      <c r="S800" s="369" t="str">
        <f>S777</f>
        <v xml:space="preserve"> </v>
      </c>
      <c r="T800" s="309"/>
      <c r="U800" s="306">
        <f>ROUND(S800*$C800*$G$797,0)</f>
        <v>0</v>
      </c>
      <c r="V800" s="20"/>
      <c r="W800" s="74"/>
      <c r="X800" s="74"/>
      <c r="Y800" s="74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</row>
    <row r="801" spans="1:42" hidden="1">
      <c r="A801" s="294" t="s">
        <v>443</v>
      </c>
      <c r="B801" s="1"/>
      <c r="C801" s="304">
        <f>'Rate Design Work eff 10-14-16'!C801</f>
        <v>0</v>
      </c>
      <c r="D801" s="369">
        <f>'Rate Design Work eff 9-15-17'!D801</f>
        <v>370</v>
      </c>
      <c r="E801" s="309"/>
      <c r="F801" s="306">
        <f>ROUND(D801*C801*$D$745,0)</f>
        <v>0</v>
      </c>
      <c r="G801" s="369">
        <f ca="1">G778</f>
        <v>379</v>
      </c>
      <c r="H801" s="309"/>
      <c r="I801" s="306">
        <f ca="1">ROUND(G801*$C801*$G$797,0)</f>
        <v>0</v>
      </c>
      <c r="J801" s="306"/>
      <c r="K801" s="369">
        <f ca="1">K778</f>
        <v>379</v>
      </c>
      <c r="L801" s="309"/>
      <c r="M801" s="306">
        <f ca="1">ROUND(K801*$C801*$G$797,0)</f>
        <v>0</v>
      </c>
      <c r="N801" s="306"/>
      <c r="O801" s="369" t="str">
        <f>O778</f>
        <v xml:space="preserve"> </v>
      </c>
      <c r="P801" s="309"/>
      <c r="Q801" s="306">
        <f>ROUND(O801*$C801*$G$797,0)</f>
        <v>0</v>
      </c>
      <c r="R801" s="306"/>
      <c r="S801" s="369" t="str">
        <f>S778</f>
        <v xml:space="preserve"> </v>
      </c>
      <c r="T801" s="309"/>
      <c r="U801" s="306">
        <f>ROUND(S801*$C801*$G$797,0)</f>
        <v>0</v>
      </c>
      <c r="V801" s="20"/>
      <c r="W801" s="74"/>
      <c r="X801" s="74"/>
      <c r="Y801" s="74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</row>
    <row r="802" spans="1:42" hidden="1">
      <c r="A802" s="294" t="s">
        <v>444</v>
      </c>
      <c r="B802" s="1"/>
      <c r="C802" s="304">
        <f>'Rate Design Work eff 10-14-16'!C802</f>
        <v>0</v>
      </c>
      <c r="D802" s="369">
        <f>'Rate Design Work eff 9-15-17'!D802</f>
        <v>1504</v>
      </c>
      <c r="E802" s="309"/>
      <c r="F802" s="306">
        <f>ROUND(D802*C802*$D$745,0)</f>
        <v>0</v>
      </c>
      <c r="G802" s="369">
        <f ca="1">G779</f>
        <v>1539</v>
      </c>
      <c r="H802" s="309"/>
      <c r="I802" s="306">
        <f ca="1">ROUND(G802*$C802*$G$797,0)</f>
        <v>0</v>
      </c>
      <c r="J802" s="306"/>
      <c r="K802" s="369">
        <f ca="1">K779</f>
        <v>1539</v>
      </c>
      <c r="L802" s="309"/>
      <c r="M802" s="306">
        <f ca="1">ROUND(K802*$C802*$G$797,0)</f>
        <v>0</v>
      </c>
      <c r="N802" s="306"/>
      <c r="O802" s="369" t="str">
        <f>O779</f>
        <v xml:space="preserve"> </v>
      </c>
      <c r="P802" s="309"/>
      <c r="Q802" s="306">
        <f>ROUND(O802*$C802*$G$797,0)</f>
        <v>0</v>
      </c>
      <c r="R802" s="306"/>
      <c r="S802" s="369" t="str">
        <f>S779</f>
        <v xml:space="preserve"> </v>
      </c>
      <c r="T802" s="309"/>
      <c r="U802" s="306">
        <f>ROUND(S802*$C802*$G$797,0)</f>
        <v>0</v>
      </c>
      <c r="V802" s="20"/>
      <c r="W802" s="74"/>
      <c r="X802" s="74"/>
      <c r="Y802" s="74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</row>
    <row r="803" spans="1:42" hidden="1">
      <c r="A803" s="294" t="s">
        <v>380</v>
      </c>
      <c r="B803" s="1"/>
      <c r="C803" s="304">
        <f>'Rate Design Work eff 10-14-16'!C803</f>
        <v>0</v>
      </c>
      <c r="D803" s="369">
        <f>'Rate Design Work eff 9-15-17'!D803</f>
        <v>26.02</v>
      </c>
      <c r="E803" s="309"/>
      <c r="F803" s="306">
        <f>ROUND(D803*C803*$D$745,0)</f>
        <v>0</v>
      </c>
      <c r="G803" s="369">
        <f ca="1">G784</f>
        <v>26.63</v>
      </c>
      <c r="H803" s="309"/>
      <c r="I803" s="306">
        <f ca="1">ROUND(G803*$C803*$G$797,0)</f>
        <v>0</v>
      </c>
      <c r="J803" s="306"/>
      <c r="K803" s="369">
        <f ca="1">K784</f>
        <v>26.02</v>
      </c>
      <c r="L803" s="309"/>
      <c r="M803" s="306">
        <f ca="1">ROUND(K803*$C803*$G$797,0)</f>
        <v>0</v>
      </c>
      <c r="N803" s="306"/>
      <c r="O803" s="369" t="str">
        <f>O784</f>
        <v xml:space="preserve"> </v>
      </c>
      <c r="P803" s="309"/>
      <c r="Q803" s="306">
        <f>ROUND(O803*$C803*$G$797,0)</f>
        <v>0</v>
      </c>
      <c r="R803" s="306"/>
      <c r="S803" s="369" t="str">
        <f>S784</f>
        <v xml:space="preserve"> </v>
      </c>
      <c r="T803" s="309"/>
      <c r="U803" s="306">
        <f>ROUND(S803*$C803*$G$797,0)</f>
        <v>0</v>
      </c>
      <c r="V803" s="20"/>
      <c r="W803" s="74"/>
      <c r="X803" s="74"/>
      <c r="Y803" s="74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</row>
    <row r="804" spans="1:42" hidden="1">
      <c r="A804" s="294" t="s">
        <v>381</v>
      </c>
      <c r="B804" s="1"/>
      <c r="C804" s="304"/>
      <c r="D804" s="369"/>
      <c r="E804" s="309"/>
      <c r="F804" s="306"/>
      <c r="G804" s="369"/>
      <c r="H804" s="309"/>
      <c r="I804" s="306"/>
      <c r="J804" s="306"/>
      <c r="K804" s="369"/>
      <c r="L804" s="309"/>
      <c r="M804" s="306"/>
      <c r="N804" s="306"/>
      <c r="O804" s="369"/>
      <c r="P804" s="309"/>
      <c r="Q804" s="306"/>
      <c r="R804" s="306"/>
      <c r="S804" s="369"/>
      <c r="T804" s="309"/>
      <c r="U804" s="306"/>
      <c r="V804" s="20"/>
      <c r="W804" s="74"/>
      <c r="X804" s="74"/>
      <c r="Y804" s="74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</row>
    <row r="805" spans="1:42" hidden="1">
      <c r="A805" s="294" t="s">
        <v>442</v>
      </c>
      <c r="B805" s="1"/>
      <c r="C805" s="304">
        <f>'Rate Design Work eff 10-14-16'!C805</f>
        <v>38.0002720466778</v>
      </c>
      <c r="D805" s="369">
        <f>'Rate Design Work eff 9-15-17'!D805</f>
        <v>26.02</v>
      </c>
      <c r="E805" s="309"/>
      <c r="F805" s="306">
        <f>ROUND(D805*C805*$D$745,0)</f>
        <v>-10</v>
      </c>
      <c r="G805" s="369">
        <f ca="1">G786</f>
        <v>26.63</v>
      </c>
      <c r="H805" s="309"/>
      <c r="I805" s="306">
        <f ca="1">ROUND(G805*$C805*$G$797,0)</f>
        <v>-10</v>
      </c>
      <c r="J805" s="306"/>
      <c r="K805" s="369">
        <f ca="1">K786</f>
        <v>26.02</v>
      </c>
      <c r="L805" s="309"/>
      <c r="M805" s="306">
        <f ca="1">ROUND(K805*$C805*$G$797,0)</f>
        <v>-10</v>
      </c>
      <c r="N805" s="306"/>
      <c r="O805" s="369" t="str">
        <f>O786</f>
        <v xml:space="preserve"> </v>
      </c>
      <c r="P805" s="309"/>
      <c r="Q805" s="306">
        <f>ROUND(O805*$C805*$G$797,0)</f>
        <v>0</v>
      </c>
      <c r="R805" s="306"/>
      <c r="S805" s="369" t="str">
        <f>S786</f>
        <v xml:space="preserve"> </v>
      </c>
      <c r="T805" s="309"/>
      <c r="U805" s="306">
        <f>ROUND(S805*$C805*$G$797,0)</f>
        <v>0</v>
      </c>
      <c r="V805" s="20"/>
      <c r="W805" s="74"/>
      <c r="X805" s="74"/>
      <c r="Y805" s="74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</row>
    <row r="806" spans="1:42" hidden="1">
      <c r="A806" s="294" t="s">
        <v>443</v>
      </c>
      <c r="B806" s="1"/>
      <c r="C806" s="304">
        <f>'Rate Design Work eff 10-14-16'!C806</f>
        <v>0</v>
      </c>
      <c r="D806" s="369">
        <f>'Rate Design Work eff 9-15-17'!D806</f>
        <v>18.101388370764003</v>
      </c>
      <c r="E806" s="309"/>
      <c r="F806" s="306">
        <f>ROUND(D806*C806*$D$745,0)</f>
        <v>0</v>
      </c>
      <c r="G806" s="369">
        <f ca="1">G787</f>
        <v>18.526286850528336</v>
      </c>
      <c r="H806" s="309"/>
      <c r="I806" s="306">
        <f ca="1">ROUND(G806*$C806*$G$797,0)</f>
        <v>0</v>
      </c>
      <c r="J806" s="306"/>
      <c r="K806" s="369">
        <f ca="1">K787</f>
        <v>18.101388370764003</v>
      </c>
      <c r="L806" s="309"/>
      <c r="M806" s="306">
        <f ca="1">ROUND(K806*$C806*$G$797,0)</f>
        <v>0</v>
      </c>
      <c r="N806" s="306"/>
      <c r="O806" s="369" t="str">
        <f>O787</f>
        <v xml:space="preserve"> </v>
      </c>
      <c r="P806" s="309"/>
      <c r="Q806" s="306">
        <f>ROUND(O806*$C806*$G$797,0)</f>
        <v>0</v>
      </c>
      <c r="R806" s="306"/>
      <c r="S806" s="369" t="str">
        <f>S787</f>
        <v xml:space="preserve"> </v>
      </c>
      <c r="T806" s="309"/>
      <c r="U806" s="306">
        <f>ROUND(S806*$C806*$G$797,0)</f>
        <v>0</v>
      </c>
      <c r="V806" s="20"/>
      <c r="W806" s="74"/>
      <c r="X806" s="74"/>
      <c r="Y806" s="74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</row>
    <row r="807" spans="1:42" hidden="1">
      <c r="A807" s="294" t="s">
        <v>444</v>
      </c>
      <c r="B807" s="1"/>
      <c r="C807" s="304">
        <f>'Rate Design Work eff 10-14-16'!C807</f>
        <v>0</v>
      </c>
      <c r="D807" s="369">
        <f>'Rate Design Work eff 9-15-17'!D807</f>
        <v>14.155824964645021</v>
      </c>
      <c r="E807" s="309"/>
      <c r="F807" s="306">
        <f>ROUND(D807*C807*$D$745,0)</f>
        <v>0</v>
      </c>
      <c r="G807" s="369">
        <f ca="1">G788</f>
        <v>14.48810823397713</v>
      </c>
      <c r="H807" s="309"/>
      <c r="I807" s="306">
        <f ca="1">ROUND(G807*$C807*$G$797,0)</f>
        <v>0</v>
      </c>
      <c r="J807" s="306"/>
      <c r="K807" s="369">
        <f ca="1">K788</f>
        <v>14.155824964645021</v>
      </c>
      <c r="L807" s="309"/>
      <c r="M807" s="306">
        <f ca="1">ROUND(K807*$C807*$G$797,0)</f>
        <v>0</v>
      </c>
      <c r="N807" s="306"/>
      <c r="O807" s="369" t="str">
        <f>O788</f>
        <v xml:space="preserve"> </v>
      </c>
      <c r="P807" s="309"/>
      <c r="Q807" s="306">
        <f>ROUND(O807*$C807*$G$797,0)</f>
        <v>0</v>
      </c>
      <c r="R807" s="306"/>
      <c r="S807" s="369" t="str">
        <f>S788</f>
        <v xml:space="preserve"> </v>
      </c>
      <c r="T807" s="309"/>
      <c r="U807" s="306">
        <f>ROUND(S807*$C807*$G$797,0)</f>
        <v>0</v>
      </c>
      <c r="V807" s="20"/>
      <c r="W807" s="74"/>
      <c r="X807" s="74"/>
      <c r="Y807" s="74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</row>
    <row r="808" spans="1:42" hidden="1">
      <c r="A808" s="294" t="s">
        <v>455</v>
      </c>
      <c r="B808" s="1"/>
      <c r="C808" s="304">
        <v>0</v>
      </c>
      <c r="D808" s="338">
        <f>'Rate Design Work eff 9-15-17'!D808</f>
        <v>78.06</v>
      </c>
      <c r="E808" s="309"/>
      <c r="F808" s="306">
        <f>ROUND(D808*C808*$D$745,0)</f>
        <v>0</v>
      </c>
      <c r="G808" s="338">
        <f ca="1">G789</f>
        <v>79.89</v>
      </c>
      <c r="H808" s="309"/>
      <c r="I808" s="306">
        <f ca="1">ROUND(G808*$C808*$G$797,0)</f>
        <v>0</v>
      </c>
      <c r="J808" s="306"/>
      <c r="K808" s="338">
        <f ca="1">K789</f>
        <v>78.06</v>
      </c>
      <c r="L808" s="309"/>
      <c r="M808" s="306">
        <f ca="1">ROUND(K808*$C808*$G$797,0)</f>
        <v>0</v>
      </c>
      <c r="N808" s="306"/>
      <c r="O808" s="338" t="str">
        <f>O789</f>
        <v xml:space="preserve"> </v>
      </c>
      <c r="P808" s="309"/>
      <c r="Q808" s="306">
        <f>ROUND(O808*$C808*$G$797,0)</f>
        <v>0</v>
      </c>
      <c r="R808" s="306"/>
      <c r="S808" s="338" t="str">
        <f>S789</f>
        <v xml:space="preserve"> </v>
      </c>
      <c r="T808" s="309"/>
      <c r="U808" s="306">
        <f>ROUND(S808*$C808*$G$797,0)</f>
        <v>0</v>
      </c>
      <c r="V808" s="20"/>
      <c r="W808" s="74"/>
      <c r="X808" s="74"/>
      <c r="Y808" s="74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</row>
    <row r="809" spans="1:42" hidden="1">
      <c r="A809" s="294" t="s">
        <v>456</v>
      </c>
      <c r="B809" s="1"/>
      <c r="C809" s="304">
        <v>0</v>
      </c>
      <c r="D809" s="338">
        <f>'Rate Design Work eff 9-15-17'!D809</f>
        <v>156.12</v>
      </c>
      <c r="E809" s="309"/>
      <c r="F809" s="306">
        <f>ROUND(D809*C809*$D$745,0)</f>
        <v>0</v>
      </c>
      <c r="G809" s="338">
        <f ca="1">G790</f>
        <v>159.78</v>
      </c>
      <c r="H809" s="309"/>
      <c r="I809" s="306">
        <f ca="1">ROUND(G809*$C809*$G$797,0)</f>
        <v>0</v>
      </c>
      <c r="J809" s="306"/>
      <c r="K809" s="338">
        <f ca="1">K790</f>
        <v>156.12</v>
      </c>
      <c r="L809" s="309"/>
      <c r="M809" s="306">
        <f ca="1">ROUND(K809*$C809*$G$797,0)</f>
        <v>0</v>
      </c>
      <c r="N809" s="306"/>
      <c r="O809" s="338" t="str">
        <f>O790</f>
        <v xml:space="preserve"> </v>
      </c>
      <c r="P809" s="309"/>
      <c r="Q809" s="306">
        <f>ROUND(O809*$C809*$G$797,0)</f>
        <v>0</v>
      </c>
      <c r="R809" s="306"/>
      <c r="S809" s="338" t="str">
        <f>S790</f>
        <v xml:space="preserve"> </v>
      </c>
      <c r="T809" s="309"/>
      <c r="U809" s="306">
        <f>ROUND(S809*$C809*$G$797,0)</f>
        <v>0</v>
      </c>
      <c r="V809" s="20"/>
      <c r="W809" s="74"/>
      <c r="X809" s="74"/>
      <c r="Y809" s="74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</row>
    <row r="810" spans="1:42" hidden="1">
      <c r="A810" s="294" t="s">
        <v>452</v>
      </c>
      <c r="B810" s="1"/>
      <c r="C810" s="304"/>
      <c r="D810" s="322"/>
      <c r="E810" s="309"/>
      <c r="F810" s="306"/>
      <c r="G810" s="322"/>
      <c r="H810" s="309"/>
      <c r="I810" s="306"/>
      <c r="J810" s="306"/>
      <c r="K810" s="322"/>
      <c r="L810" s="309"/>
      <c r="M810" s="306"/>
      <c r="N810" s="306"/>
      <c r="O810" s="322"/>
      <c r="P810" s="309"/>
      <c r="Q810" s="306"/>
      <c r="R810" s="306"/>
      <c r="S810" s="322"/>
      <c r="T810" s="309"/>
      <c r="U810" s="306"/>
      <c r="V810" s="20"/>
      <c r="W810" s="74"/>
      <c r="X810" s="74"/>
      <c r="Y810" s="74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</row>
    <row r="811" spans="1:42" hidden="1">
      <c r="A811" s="294" t="s">
        <v>447</v>
      </c>
      <c r="B811" s="1"/>
      <c r="C811" s="304">
        <v>0</v>
      </c>
      <c r="D811" s="348">
        <f>'Rate Design Work eff 9-15-17'!D811</f>
        <v>-26.02</v>
      </c>
      <c r="E811" s="309"/>
      <c r="F811" s="306">
        <f>ROUND(D811*C811*$D$745,0)</f>
        <v>0</v>
      </c>
      <c r="G811" s="348">
        <f ca="1">G792</f>
        <v>-26.63</v>
      </c>
      <c r="H811" s="309"/>
      <c r="I811" s="306">
        <f ca="1">ROUND(G811*$C811*$G$797,0)</f>
        <v>0</v>
      </c>
      <c r="J811" s="306"/>
      <c r="K811" s="348">
        <f ca="1">K792</f>
        <v>-26.02</v>
      </c>
      <c r="L811" s="309"/>
      <c r="M811" s="306">
        <f ca="1">ROUND(K811*$C811*$G$797,0)</f>
        <v>0</v>
      </c>
      <c r="N811" s="306"/>
      <c r="O811" s="348">
        <f>O792</f>
        <v>0</v>
      </c>
      <c r="P811" s="309"/>
      <c r="Q811" s="306">
        <f>ROUND(O811*$C811*$G$797,0)</f>
        <v>0</v>
      </c>
      <c r="R811" s="306"/>
      <c r="S811" s="348">
        <f>S792</f>
        <v>0</v>
      </c>
      <c r="T811" s="309"/>
      <c r="U811" s="306">
        <f>ROUND(S811*$C811*$G$797,0)</f>
        <v>0</v>
      </c>
      <c r="V811" s="20"/>
      <c r="W811" s="74"/>
      <c r="X811" s="74"/>
      <c r="Y811" s="74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</row>
    <row r="812" spans="1:42" hidden="1">
      <c r="A812" s="294" t="s">
        <v>453</v>
      </c>
      <c r="B812" s="1"/>
      <c r="C812" s="304">
        <v>0</v>
      </c>
      <c r="D812" s="348">
        <f>'Rate Design Work eff 9-15-17'!D812</f>
        <v>-26.02</v>
      </c>
      <c r="E812" s="309"/>
      <c r="F812" s="306">
        <f>ROUND(D812*C812*$D$745,0)</f>
        <v>0</v>
      </c>
      <c r="G812" s="348">
        <f ca="1">G793</f>
        <v>-26.63</v>
      </c>
      <c r="H812" s="309"/>
      <c r="I812" s="306">
        <f ca="1">ROUND(G812*$C812*$G$797,0)</f>
        <v>0</v>
      </c>
      <c r="J812" s="306"/>
      <c r="K812" s="348">
        <f ca="1">K793</f>
        <v>-26.02</v>
      </c>
      <c r="L812" s="309"/>
      <c r="M812" s="306">
        <f ca="1">ROUND(K812*$C812*$G$797,0)</f>
        <v>0</v>
      </c>
      <c r="N812" s="306"/>
      <c r="O812" s="348">
        <f>O793</f>
        <v>0</v>
      </c>
      <c r="P812" s="309"/>
      <c r="Q812" s="306">
        <f>ROUND(O812*$C812*$G$797,0)</f>
        <v>0</v>
      </c>
      <c r="R812" s="306"/>
      <c r="S812" s="348">
        <f>S793</f>
        <v>0</v>
      </c>
      <c r="T812" s="309"/>
      <c r="U812" s="306">
        <f>ROUND(S812*$C812*$G$797,0)</f>
        <v>0</v>
      </c>
      <c r="V812" s="20"/>
      <c r="W812" s="74"/>
      <c r="X812" s="74"/>
      <c r="Y812" s="74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</row>
    <row r="813" spans="1:42" hidden="1">
      <c r="A813" s="308" t="s">
        <v>416</v>
      </c>
      <c r="B813" s="1"/>
      <c r="C813" s="304"/>
      <c r="D813" s="369"/>
      <c r="E813" s="306"/>
      <c r="F813" s="306"/>
      <c r="G813" s="369"/>
      <c r="H813" s="306"/>
      <c r="I813" s="306"/>
      <c r="J813" s="306"/>
      <c r="K813" s="369"/>
      <c r="L813" s="306"/>
      <c r="M813" s="306"/>
      <c r="N813" s="306"/>
      <c r="O813" s="369"/>
      <c r="P813" s="306"/>
      <c r="Q813" s="306"/>
      <c r="R813" s="306"/>
      <c r="S813" s="369"/>
      <c r="T813" s="306"/>
      <c r="U813" s="306"/>
      <c r="V813" s="20"/>
      <c r="W813" s="74"/>
      <c r="X813" s="74"/>
      <c r="Y813" s="74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</row>
    <row r="814" spans="1:42" hidden="1">
      <c r="A814" s="294" t="s">
        <v>454</v>
      </c>
      <c r="B814" s="1"/>
      <c r="C814" s="304">
        <f>'Rate Design Work eff 10-14-16'!C814</f>
        <v>10034</v>
      </c>
      <c r="D814" s="370">
        <f>'Rate Design Work eff 9-15-17'!D814</f>
        <v>7.0350000000000001</v>
      </c>
      <c r="E814" s="306" t="s">
        <v>364</v>
      </c>
      <c r="F814" s="306">
        <f>ROUND(D814*C814/100*D797,0)</f>
        <v>-7</v>
      </c>
      <c r="G814" s="370">
        <f ca="1">G795</f>
        <v>7.2030000000000003</v>
      </c>
      <c r="H814" s="306" t="s">
        <v>364</v>
      </c>
      <c r="I814" s="306">
        <f ca="1">ROUND(G814/100*$C814*$G$797,0)</f>
        <v>-7</v>
      </c>
      <c r="J814" s="306"/>
      <c r="K814" s="370" t="e">
        <f ca="1">K795</f>
        <v>#REF!</v>
      </c>
      <c r="L814" s="306" t="s">
        <v>364</v>
      </c>
      <c r="M814" s="306" t="e">
        <f ca="1">ROUND(K814/100*$C814*$G$797,0)</f>
        <v>#REF!</v>
      </c>
      <c r="N814" s="306"/>
      <c r="O814" s="370" t="e">
        <f ca="1">O795</f>
        <v>#DIV/0!</v>
      </c>
      <c r="P814" s="306" t="s">
        <v>364</v>
      </c>
      <c r="Q814" s="306" t="e">
        <f ca="1">ROUND(O814/100*$C814*$G$797,0)</f>
        <v>#DIV/0!</v>
      </c>
      <c r="R814" s="306"/>
      <c r="S814" s="370" t="e">
        <f ca="1">S795</f>
        <v>#DIV/0!</v>
      </c>
      <c r="T814" s="306" t="s">
        <v>364</v>
      </c>
      <c r="U814" s="306" t="e">
        <f ca="1">ROUND(S814/100*$C814*$G$797,0)</f>
        <v>#DIV/0!</v>
      </c>
      <c r="V814" s="20"/>
      <c r="W814" s="74"/>
      <c r="X814" s="74"/>
      <c r="Y814" s="74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</row>
    <row r="815" spans="1:42" hidden="1">
      <c r="A815" s="308" t="s">
        <v>390</v>
      </c>
      <c r="B815" s="1"/>
      <c r="C815" s="304">
        <v>0</v>
      </c>
      <c r="D815" s="360">
        <f>'Rate Design Work eff 9-15-17'!D815</f>
        <v>57</v>
      </c>
      <c r="E815" s="308" t="s">
        <v>364</v>
      </c>
      <c r="F815" s="306">
        <f>ROUND(D815*C815,0)</f>
        <v>0</v>
      </c>
      <c r="G815" s="360">
        <f ca="1">G796</f>
        <v>58</v>
      </c>
      <c r="H815" s="308" t="s">
        <v>364</v>
      </c>
      <c r="I815" s="306">
        <f ca="1">ROUND(G815/100*$C815*$G$797,0)</f>
        <v>0</v>
      </c>
      <c r="J815" s="306"/>
      <c r="K815" s="360" t="str">
        <f>K796</f>
        <v xml:space="preserve"> </v>
      </c>
      <c r="L815" s="308" t="s">
        <v>364</v>
      </c>
      <c r="M815" s="306">
        <f>ROUND(K815/100*$C815*$G$797,0)</f>
        <v>0</v>
      </c>
      <c r="N815" s="306"/>
      <c r="O815" s="360" t="e">
        <f ca="1">O796</f>
        <v>#DIV/0!</v>
      </c>
      <c r="P815" s="308" t="s">
        <v>364</v>
      </c>
      <c r="Q815" s="306" t="e">
        <f ca="1">ROUND(O815/100*$C815*$G$797,0)</f>
        <v>#DIV/0!</v>
      </c>
      <c r="R815" s="306"/>
      <c r="S815" s="360" t="e">
        <f ca="1">S796</f>
        <v>#DIV/0!</v>
      </c>
      <c r="T815" s="308" t="s">
        <v>364</v>
      </c>
      <c r="U815" s="306" t="e">
        <f ca="1">ROUND(S815/100*$C815*$G$797,0)</f>
        <v>#DIV/0!</v>
      </c>
      <c r="V815" s="20"/>
      <c r="W815" s="74"/>
      <c r="X815" s="74"/>
      <c r="Y815" s="74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</row>
    <row r="816" spans="1:42" hidden="1">
      <c r="A816" s="308" t="s">
        <v>433</v>
      </c>
      <c r="B816" s="1"/>
      <c r="C816" s="304">
        <f>'Rate Design Work eff 10-14-16'!C816</f>
        <v>12</v>
      </c>
      <c r="D816" s="283">
        <f>'Rate Design Work eff 9-15-17'!D816</f>
        <v>60</v>
      </c>
      <c r="E816" s="1"/>
      <c r="F816" s="306">
        <f>ROUND(D816*$C816,0)</f>
        <v>720</v>
      </c>
      <c r="G816" s="283">
        <f>$G$764</f>
        <v>60</v>
      </c>
      <c r="H816" s="1"/>
      <c r="I816" s="306">
        <f>ROUND(G816*$C816,0)</f>
        <v>720</v>
      </c>
      <c r="J816" s="306"/>
      <c r="K816" s="283" t="str">
        <f>$K$764</f>
        <v xml:space="preserve"> </v>
      </c>
      <c r="L816" s="1"/>
      <c r="M816" s="306">
        <f>ROUND(K816*$C816,0)</f>
        <v>0</v>
      </c>
      <c r="N816" s="306"/>
      <c r="O816" s="283" t="e">
        <f>$O$764</f>
        <v>#DIV/0!</v>
      </c>
      <c r="P816" s="1"/>
      <c r="Q816" s="306" t="e">
        <f>ROUND(O816*$C816,0)</f>
        <v>#DIV/0!</v>
      </c>
      <c r="R816" s="306"/>
      <c r="S816" s="283" t="e">
        <f>$S$764</f>
        <v>#DIV/0!</v>
      </c>
      <c r="T816" s="1"/>
      <c r="U816" s="306" t="e">
        <f>ROUND(S816*$C816,0)</f>
        <v>#DIV/0!</v>
      </c>
      <c r="V816" s="20"/>
      <c r="W816" s="74"/>
      <c r="X816" s="74"/>
      <c r="Y816" s="74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</row>
    <row r="817" spans="1:42" hidden="1">
      <c r="A817" s="308" t="s">
        <v>434</v>
      </c>
      <c r="B817" s="1"/>
      <c r="C817" s="304">
        <f>'Rate Design Work eff 10-14-16'!C817</f>
        <v>456.00326456013363</v>
      </c>
      <c r="D817" s="324">
        <f>'Rate Design Work eff 9-15-17'!D817</f>
        <v>-30</v>
      </c>
      <c r="E817" s="306" t="s">
        <v>364</v>
      </c>
      <c r="F817" s="306">
        <f>ROUND(D817*$C817/100,0)</f>
        <v>-137</v>
      </c>
      <c r="G817" s="324">
        <f>$G$765</f>
        <v>-30</v>
      </c>
      <c r="H817" s="306" t="s">
        <v>364</v>
      </c>
      <c r="I817" s="306">
        <f>ROUND(G817*$C817/100,0)</f>
        <v>-137</v>
      </c>
      <c r="J817" s="306"/>
      <c r="K817" s="324">
        <f>$K$765</f>
        <v>-30</v>
      </c>
      <c r="L817" s="306" t="s">
        <v>364</v>
      </c>
      <c r="M817" s="306">
        <f>ROUND(K817*$C817/100,0)</f>
        <v>-137</v>
      </c>
      <c r="N817" s="306"/>
      <c r="O817" s="324">
        <f>$O$765</f>
        <v>0</v>
      </c>
      <c r="P817" s="306" t="s">
        <v>364</v>
      </c>
      <c r="Q817" s="306">
        <f>ROUND(O817*$C817/100,0)</f>
        <v>0</v>
      </c>
      <c r="R817" s="306"/>
      <c r="S817" s="324">
        <f>$S$765</f>
        <v>0</v>
      </c>
      <c r="T817" s="306" t="s">
        <v>364</v>
      </c>
      <c r="U817" s="306">
        <f>ROUND(S817*$C817/100,0)</f>
        <v>0</v>
      </c>
      <c r="V817" s="20"/>
      <c r="W817" s="74"/>
      <c r="X817" s="74"/>
      <c r="Y817" s="74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</row>
    <row r="818" spans="1:42" hidden="1">
      <c r="A818" s="1" t="s">
        <v>371</v>
      </c>
      <c r="B818" s="1"/>
      <c r="C818" s="304">
        <f>SUM(C795:C795)</f>
        <v>110142584.89494899</v>
      </c>
      <c r="D818" s="315"/>
      <c r="E818" s="308"/>
      <c r="F818" s="2">
        <f>SUM(F775:F817)</f>
        <v>9699230</v>
      </c>
      <c r="G818" s="315"/>
      <c r="H818" s="308"/>
      <c r="I818" s="2">
        <f ca="1">SUM(I775:I817)</f>
        <v>9929958</v>
      </c>
      <c r="J818" s="2"/>
      <c r="K818" s="315"/>
      <c r="L818" s="308"/>
      <c r="M818" s="2" t="e">
        <f ca="1">SUM(M775:M817)</f>
        <v>#REF!</v>
      </c>
      <c r="N818" s="2"/>
      <c r="O818" s="315"/>
      <c r="P818" s="308"/>
      <c r="Q818" s="2" t="e">
        <f ca="1">SUM(Q775:Q817)</f>
        <v>#DIV/0!</v>
      </c>
      <c r="R818" s="2"/>
      <c r="S818" s="315"/>
      <c r="T818" s="308"/>
      <c r="U818" s="2" t="e">
        <f ca="1">SUM(U775:U817)</f>
        <v>#DIV/0!</v>
      </c>
      <c r="V818" s="20"/>
      <c r="W818" s="74"/>
      <c r="X818" s="74"/>
      <c r="Y818" s="74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</row>
    <row r="819" spans="1:42" hidden="1">
      <c r="A819" s="1" t="s">
        <v>353</v>
      </c>
      <c r="B819" s="1"/>
      <c r="C819" s="334">
        <f ca="1">'Table 2'!H101</f>
        <v>1885731.2072950637</v>
      </c>
      <c r="D819" s="294"/>
      <c r="E819" s="294"/>
      <c r="F819" s="295">
        <f ca="1">'Table 3'!E101</f>
        <v>142267.21150160185</v>
      </c>
      <c r="G819" s="294"/>
      <c r="H819" s="294"/>
      <c r="I819" s="295">
        <f ca="1">F819</f>
        <v>142267.21150160185</v>
      </c>
      <c r="J819" s="51"/>
      <c r="K819" s="294"/>
      <c r="L819" s="294"/>
      <c r="M819" s="295" t="e">
        <f ca="1">M768/I768*I819</f>
        <v>#DIV/0!</v>
      </c>
      <c r="N819" s="51"/>
      <c r="O819" s="294"/>
      <c r="P819" s="294"/>
      <c r="Q819" s="295" t="e">
        <f ca="1">Q768/I768*I819</f>
        <v>#DIV/0!</v>
      </c>
      <c r="R819" s="51"/>
      <c r="S819" s="294"/>
      <c r="T819" s="294"/>
      <c r="U819" s="295" t="e">
        <f ca="1">U768/I768*I819</f>
        <v>#DIV/0!</v>
      </c>
      <c r="V819" s="429"/>
      <c r="W819" s="272"/>
      <c r="X819" s="74"/>
      <c r="Y819" s="74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</row>
    <row r="820" spans="1:42" ht="16.5" hidden="1" thickBot="1">
      <c r="A820" s="1" t="s">
        <v>372</v>
      </c>
      <c r="B820" s="1"/>
      <c r="C820" s="351">
        <f ca="1">SUM(C818:C819)</f>
        <v>112028316.10224405</v>
      </c>
      <c r="D820" s="327"/>
      <c r="E820" s="330"/>
      <c r="F820" s="329">
        <f ca="1">F818+F819</f>
        <v>9841497.2115016021</v>
      </c>
      <c r="G820" s="327"/>
      <c r="H820" s="330"/>
      <c r="I820" s="329">
        <f ca="1">I818+I819</f>
        <v>10072225.211501602</v>
      </c>
      <c r="J820" s="307"/>
      <c r="K820" s="327"/>
      <c r="L820" s="330"/>
      <c r="M820" s="329" t="e">
        <f ca="1">M818+M819</f>
        <v>#REF!</v>
      </c>
      <c r="N820" s="329"/>
      <c r="O820" s="327"/>
      <c r="P820" s="330"/>
      <c r="Q820" s="329" t="e">
        <f ca="1">Q818+Q819</f>
        <v>#DIV/0!</v>
      </c>
      <c r="R820" s="329"/>
      <c r="S820" s="327"/>
      <c r="T820" s="330"/>
      <c r="U820" s="329" t="e">
        <f ca="1">U818+U819</f>
        <v>#DIV/0!</v>
      </c>
      <c r="V820" s="396"/>
      <c r="W820" s="455"/>
      <c r="X820" s="74"/>
      <c r="Y820" s="74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</row>
    <row r="821" spans="1:42" ht="16.5" hidden="1" thickTop="1">
      <c r="A821" s="1"/>
      <c r="B821" s="1"/>
      <c r="C821" s="26"/>
      <c r="D821" s="336" t="s">
        <v>31</v>
      </c>
      <c r="E821" s="23"/>
      <c r="F821" s="307"/>
      <c r="G821" s="371" t="s">
        <v>31</v>
      </c>
      <c r="H821" s="23"/>
      <c r="I821" s="257" t="s">
        <v>31</v>
      </c>
      <c r="J821" s="257"/>
      <c r="K821" s="371" t="s">
        <v>31</v>
      </c>
      <c r="L821" s="23"/>
      <c r="M821" s="257" t="s">
        <v>31</v>
      </c>
      <c r="N821" s="257"/>
      <c r="O821" s="371" t="s">
        <v>31</v>
      </c>
      <c r="P821" s="23"/>
      <c r="Q821" s="257" t="s">
        <v>31</v>
      </c>
      <c r="R821" s="257"/>
      <c r="S821" s="371" t="s">
        <v>31</v>
      </c>
      <c r="T821" s="23"/>
      <c r="U821" s="257" t="s">
        <v>31</v>
      </c>
      <c r="V821" s="20"/>
      <c r="W821" s="74"/>
      <c r="X821" s="74"/>
      <c r="Y821" s="74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</row>
    <row r="822" spans="1:42" hidden="1">
      <c r="A822" s="278" t="s">
        <v>457</v>
      </c>
      <c r="B822" s="1"/>
      <c r="C822" s="21"/>
      <c r="D822" s="322"/>
      <c r="E822" s="1"/>
      <c r="F822" s="2"/>
      <c r="G822" s="322"/>
      <c r="H822" s="1"/>
      <c r="I822" s="2"/>
      <c r="J822" s="2"/>
      <c r="K822" s="322"/>
      <c r="L822" s="1"/>
      <c r="M822" s="2"/>
      <c r="N822" s="2"/>
      <c r="O822" s="322"/>
      <c r="P822" s="1"/>
      <c r="Q822" s="2"/>
      <c r="R822" s="2"/>
      <c r="S822" s="322"/>
      <c r="T822" s="1"/>
      <c r="U822" s="2"/>
      <c r="V822" s="20"/>
      <c r="W822" s="74"/>
      <c r="X822" s="74"/>
      <c r="Y822" s="74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</row>
    <row r="823" spans="1:42" hidden="1">
      <c r="A823" s="294" t="s">
        <v>458</v>
      </c>
      <c r="B823" s="1"/>
      <c r="C823" s="21"/>
      <c r="D823" s="322"/>
      <c r="E823" s="1"/>
      <c r="F823" s="2"/>
      <c r="G823" s="322"/>
      <c r="H823" s="1"/>
      <c r="I823" s="2"/>
      <c r="J823" s="2"/>
      <c r="K823" s="322"/>
      <c r="L823" s="1"/>
      <c r="M823" s="2"/>
      <c r="N823" s="2"/>
      <c r="O823" s="322"/>
      <c r="P823" s="1"/>
      <c r="Q823" s="2"/>
      <c r="R823" s="2"/>
      <c r="S823" s="322"/>
      <c r="T823" s="1"/>
      <c r="U823" s="2"/>
      <c r="V823" s="20"/>
      <c r="W823" s="74"/>
      <c r="X823" s="74"/>
      <c r="Y823" s="74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</row>
    <row r="824" spans="1:42" hidden="1">
      <c r="A824" s="308"/>
      <c r="B824" s="1"/>
      <c r="C824" s="21"/>
      <c r="D824" s="322"/>
      <c r="E824" s="1"/>
      <c r="F824" s="365"/>
      <c r="G824" s="322"/>
      <c r="H824" s="1"/>
      <c r="I824" s="366"/>
      <c r="J824" s="366"/>
      <c r="K824" s="322"/>
      <c r="L824" s="1"/>
      <c r="M824" s="366"/>
      <c r="N824" s="366"/>
      <c r="O824" s="322"/>
      <c r="P824" s="1"/>
      <c r="Q824" s="366"/>
      <c r="R824" s="366"/>
      <c r="S824" s="322"/>
      <c r="T824" s="1"/>
      <c r="U824" s="366"/>
      <c r="V824" s="20"/>
      <c r="W824" s="74"/>
      <c r="X824" s="74"/>
      <c r="Y824" s="74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</row>
    <row r="825" spans="1:42" hidden="1">
      <c r="A825" s="294" t="s">
        <v>439</v>
      </c>
      <c r="B825" s="1"/>
      <c r="C825" s="304"/>
      <c r="D825" s="2" t="s">
        <v>31</v>
      </c>
      <c r="E825" s="1"/>
      <c r="F825" s="1"/>
      <c r="G825" s="2" t="s">
        <v>31</v>
      </c>
      <c r="H825" s="1"/>
      <c r="I825" s="1"/>
      <c r="J825" s="1"/>
      <c r="K825" s="2" t="s">
        <v>31</v>
      </c>
      <c r="L825" s="1"/>
      <c r="M825" s="1"/>
      <c r="N825" s="1"/>
      <c r="O825" s="2" t="s">
        <v>31</v>
      </c>
      <c r="P825" s="1"/>
      <c r="Q825" s="1"/>
      <c r="R825" s="1"/>
      <c r="S825" s="2" t="s">
        <v>31</v>
      </c>
      <c r="T825" s="1"/>
      <c r="U825" s="1"/>
      <c r="V825" s="20"/>
      <c r="W825" s="74"/>
      <c r="X825" s="74"/>
      <c r="Y825" s="74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</row>
    <row r="826" spans="1:42" hidden="1">
      <c r="A826" s="294" t="s">
        <v>440</v>
      </c>
      <c r="B826" s="1"/>
      <c r="C826" s="304">
        <f>'Rate Design Work eff 10-14-16'!C827</f>
        <v>434.48258292673</v>
      </c>
      <c r="D826" s="322">
        <f>'Rate Design Work eff 9-15-17'!D827</f>
        <v>0</v>
      </c>
      <c r="E826" s="309"/>
      <c r="F826" s="306">
        <f>ROUND(D826*C826,0)</f>
        <v>0</v>
      </c>
      <c r="G826" s="322">
        <f>$G$721</f>
        <v>0</v>
      </c>
      <c r="H826" s="309"/>
      <c r="I826" s="306">
        <f>ROUND(G826*$C826,0)</f>
        <v>0</v>
      </c>
      <c r="J826" s="306"/>
      <c r="K826" s="322">
        <f>$K$721</f>
        <v>0</v>
      </c>
      <c r="L826" s="309"/>
      <c r="M826" s="306">
        <f>ROUND(K826*$C826,0)</f>
        <v>0</v>
      </c>
      <c r="N826" s="306"/>
      <c r="O826" s="322" t="str">
        <f>$O$721</f>
        <v xml:space="preserve"> </v>
      </c>
      <c r="P826" s="309"/>
      <c r="Q826" s="306">
        <f>ROUND(O826*$C826,0)</f>
        <v>0</v>
      </c>
      <c r="R826" s="306"/>
      <c r="S826" s="322" t="str">
        <f>$S$721</f>
        <v xml:space="preserve"> </v>
      </c>
      <c r="T826" s="309"/>
      <c r="U826" s="306">
        <f>ROUND(S826*$C826,0)</f>
        <v>0</v>
      </c>
      <c r="V826" s="20"/>
      <c r="W826" s="74"/>
      <c r="X826" s="74"/>
      <c r="Y826" s="74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</row>
    <row r="827" spans="1:42" hidden="1">
      <c r="A827" s="294" t="s">
        <v>441</v>
      </c>
      <c r="B827" s="1"/>
      <c r="C827" s="304">
        <f>'Rate Design Work eff 10-14-16'!C828</f>
        <v>0</v>
      </c>
      <c r="D827" s="322"/>
      <c r="E827" s="309"/>
      <c r="F827" s="306"/>
      <c r="G827" s="322"/>
      <c r="H827" s="309"/>
      <c r="I827" s="306"/>
      <c r="J827" s="306"/>
      <c r="K827" s="322"/>
      <c r="L827" s="309"/>
      <c r="M827" s="306"/>
      <c r="N827" s="306"/>
      <c r="O827" s="322"/>
      <c r="P827" s="309"/>
      <c r="Q827" s="306"/>
      <c r="R827" s="306"/>
      <c r="S827" s="322"/>
      <c r="T827" s="309"/>
      <c r="U827" s="306"/>
      <c r="V827" s="20"/>
      <c r="W827" s="74"/>
      <c r="X827" s="74"/>
      <c r="Y827" s="74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</row>
    <row r="828" spans="1:42" hidden="1">
      <c r="A828" s="294" t="s">
        <v>442</v>
      </c>
      <c r="B828" s="1"/>
      <c r="C828" s="304">
        <f>'Rate Design Work eff 10-14-16'!C829</f>
        <v>1120.6084940984899</v>
      </c>
      <c r="D828" s="322">
        <f>'Rate Design Work eff 9-15-17'!D829</f>
        <v>0</v>
      </c>
      <c r="E828" s="309"/>
      <c r="F828" s="306">
        <f>ROUND(D828*C828,0)</f>
        <v>0</v>
      </c>
      <c r="G828" s="322">
        <f>$G$723</f>
        <v>0</v>
      </c>
      <c r="H828" s="309"/>
      <c r="I828" s="306">
        <f>ROUND(G828*$C828,0)</f>
        <v>0</v>
      </c>
      <c r="J828" s="306"/>
      <c r="K828" s="322">
        <f>$K$723</f>
        <v>0</v>
      </c>
      <c r="L828" s="309"/>
      <c r="M828" s="306">
        <f>ROUND(K828*$C828,0)</f>
        <v>0</v>
      </c>
      <c r="N828" s="306"/>
      <c r="O828" s="322" t="str">
        <f>$O$723</f>
        <v xml:space="preserve"> </v>
      </c>
      <c r="P828" s="309"/>
      <c r="Q828" s="306">
        <f>ROUND(O828*$C828,0)</f>
        <v>0</v>
      </c>
      <c r="R828" s="306"/>
      <c r="S828" s="322" t="str">
        <f>$S$723</f>
        <v xml:space="preserve"> </v>
      </c>
      <c r="T828" s="309"/>
      <c r="U828" s="306">
        <f>ROUND(S828*$C828,0)</f>
        <v>0</v>
      </c>
      <c r="V828" s="20"/>
      <c r="W828" s="74"/>
      <c r="X828" s="74"/>
      <c r="Y828" s="74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</row>
    <row r="829" spans="1:42" hidden="1">
      <c r="A829" s="294" t="s">
        <v>443</v>
      </c>
      <c r="B829" s="1"/>
      <c r="C829" s="304">
        <f>'Rate Design Work eff 10-14-16'!C830</f>
        <v>116.7917084633</v>
      </c>
      <c r="D829" s="322">
        <f>'Rate Design Work eff 9-15-17'!D830</f>
        <v>370</v>
      </c>
      <c r="E829" s="309"/>
      <c r="F829" s="306">
        <f>ROUND(D829*C829,0)</f>
        <v>43213</v>
      </c>
      <c r="G829" s="322">
        <f ca="1">$G$724</f>
        <v>379</v>
      </c>
      <c r="H829" s="309"/>
      <c r="I829" s="306">
        <f ca="1">ROUND(G829*$C829,0)</f>
        <v>44264</v>
      </c>
      <c r="J829" s="306"/>
      <c r="K829" s="322">
        <f ca="1">$K$724</f>
        <v>370</v>
      </c>
      <c r="L829" s="309"/>
      <c r="M829" s="306">
        <f ca="1">ROUND(K829*$C829,0)</f>
        <v>43213</v>
      </c>
      <c r="N829" s="306"/>
      <c r="O829" s="322" t="str">
        <f>$O$724</f>
        <v xml:space="preserve"> </v>
      </c>
      <c r="P829" s="309"/>
      <c r="Q829" s="306">
        <f>ROUND(O829*$C829,0)</f>
        <v>0</v>
      </c>
      <c r="R829" s="306"/>
      <c r="S829" s="322" t="str">
        <f>$S$724</f>
        <v xml:space="preserve"> </v>
      </c>
      <c r="T829" s="309"/>
      <c r="U829" s="306">
        <f>ROUND(S829*$C829,0)</f>
        <v>0</v>
      </c>
      <c r="V829" s="20"/>
      <c r="W829" s="74"/>
      <c r="X829" s="74"/>
      <c r="Y829" s="74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</row>
    <row r="830" spans="1:42" hidden="1">
      <c r="A830" s="294" t="s">
        <v>444</v>
      </c>
      <c r="B830" s="1"/>
      <c r="C830" s="304">
        <f>'Rate Design Work eff 10-14-16'!C831</f>
        <v>2.3342464038064201</v>
      </c>
      <c r="D830" s="322">
        <f>'Rate Design Work eff 9-15-17'!D831</f>
        <v>1504</v>
      </c>
      <c r="E830" s="309"/>
      <c r="F830" s="306">
        <f>ROUND(D830*C830,0)</f>
        <v>3511</v>
      </c>
      <c r="G830" s="322">
        <f ca="1">$G$725</f>
        <v>1539</v>
      </c>
      <c r="H830" s="309"/>
      <c r="I830" s="306">
        <f ca="1">ROUND(G830*$C830,0)</f>
        <v>3592</v>
      </c>
      <c r="J830" s="306"/>
      <c r="K830" s="322">
        <f ca="1">$K$725</f>
        <v>1504</v>
      </c>
      <c r="L830" s="309"/>
      <c r="M830" s="306">
        <f ca="1">ROUND(K830*$C830,0)</f>
        <v>3511</v>
      </c>
      <c r="N830" s="306"/>
      <c r="O830" s="322" t="str">
        <f>$O$725</f>
        <v xml:space="preserve"> </v>
      </c>
      <c r="P830" s="309"/>
      <c r="Q830" s="306">
        <f>ROUND(O830*$C830,0)</f>
        <v>0</v>
      </c>
      <c r="R830" s="306"/>
      <c r="S830" s="322" t="str">
        <f>$S$725</f>
        <v xml:space="preserve"> </v>
      </c>
      <c r="T830" s="309"/>
      <c r="U830" s="306">
        <f>ROUND(S830*$C830,0)</f>
        <v>0</v>
      </c>
      <c r="V830" s="20"/>
      <c r="W830" s="74"/>
      <c r="X830" s="74"/>
      <c r="Y830" s="74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</row>
    <row r="831" spans="1:42" hidden="1">
      <c r="A831" s="294" t="s">
        <v>352</v>
      </c>
      <c r="B831" s="1"/>
      <c r="C831" s="304">
        <f>SUM(C826:C830)</f>
        <v>1674.2170318923263</v>
      </c>
      <c r="D831" s="322"/>
      <c r="E831" s="309"/>
      <c r="F831" s="306"/>
      <c r="G831" s="322"/>
      <c r="H831" s="309"/>
      <c r="I831" s="306"/>
      <c r="J831" s="306"/>
      <c r="K831" s="322"/>
      <c r="L831" s="309"/>
      <c r="M831" s="306"/>
      <c r="N831" s="306"/>
      <c r="O831" s="322"/>
      <c r="P831" s="309"/>
      <c r="Q831" s="306"/>
      <c r="R831" s="306"/>
      <c r="S831" s="322"/>
      <c r="T831" s="309"/>
      <c r="U831" s="306"/>
      <c r="V831" s="20"/>
      <c r="W831" s="74"/>
      <c r="X831" s="74"/>
      <c r="Y831" s="74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</row>
    <row r="832" spans="1:42" hidden="1">
      <c r="A832" s="294" t="s">
        <v>445</v>
      </c>
      <c r="B832" s="1"/>
      <c r="C832" s="304">
        <f>'Rate Design Work eff 10-14-16'!C833</f>
        <v>12986.161111111121</v>
      </c>
      <c r="D832" s="322"/>
      <c r="E832" s="306"/>
      <c r="F832" s="306"/>
      <c r="G832" s="322"/>
      <c r="H832" s="306"/>
      <c r="I832" s="306"/>
      <c r="J832" s="306"/>
      <c r="K832" s="322"/>
      <c r="L832" s="306"/>
      <c r="M832" s="306"/>
      <c r="N832" s="306"/>
      <c r="O832" s="322"/>
      <c r="P832" s="306"/>
      <c r="Q832" s="306"/>
      <c r="R832" s="306"/>
      <c r="S832" s="322"/>
      <c r="T832" s="306"/>
      <c r="U832" s="306"/>
      <c r="V832" s="20"/>
      <c r="W832" s="74"/>
      <c r="X832" s="74"/>
      <c r="Y832" s="74"/>
      <c r="Z832" s="20"/>
      <c r="AA832" s="20"/>
      <c r="AB832" s="20"/>
      <c r="AC832" s="20"/>
      <c r="AD832" s="20"/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</row>
    <row r="833" spans="1:44" hidden="1">
      <c r="A833" s="294" t="s">
        <v>104</v>
      </c>
      <c r="B833" s="1"/>
      <c r="C833" s="304">
        <f>'Rate Design Work eff 10-14-16'!C834</f>
        <v>2055</v>
      </c>
      <c r="D833" s="322"/>
      <c r="E833" s="306"/>
      <c r="F833" s="306"/>
      <c r="G833" s="322"/>
      <c r="H833" s="306"/>
      <c r="I833" s="306"/>
      <c r="J833" s="306"/>
      <c r="K833" s="322"/>
      <c r="L833" s="306"/>
      <c r="M833" s="306"/>
      <c r="N833" s="306"/>
      <c r="O833" s="322"/>
      <c r="P833" s="306"/>
      <c r="Q833" s="306"/>
      <c r="R833" s="306"/>
      <c r="S833" s="322"/>
      <c r="T833" s="306"/>
      <c r="U833" s="306"/>
      <c r="V833" s="20"/>
      <c r="W833" s="74"/>
      <c r="X833" s="74"/>
      <c r="Y833" s="74"/>
      <c r="Z833" s="20"/>
      <c r="AA833" s="20"/>
      <c r="AB833" s="20"/>
      <c r="AC833" s="20"/>
      <c r="AD833" s="20"/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</row>
    <row r="834" spans="1:44" hidden="1">
      <c r="A834" s="294" t="s">
        <v>446</v>
      </c>
      <c r="B834" s="1"/>
      <c r="C834" s="304"/>
      <c r="D834" s="322"/>
      <c r="E834" s="309"/>
      <c r="F834" s="306"/>
      <c r="G834" s="322"/>
      <c r="H834" s="309"/>
      <c r="I834" s="306"/>
      <c r="J834" s="306"/>
      <c r="K834" s="322"/>
      <c r="L834" s="309"/>
      <c r="M834" s="306"/>
      <c r="N834" s="306"/>
      <c r="O834" s="322"/>
      <c r="P834" s="309"/>
      <c r="Q834" s="306"/>
      <c r="R834" s="306"/>
      <c r="S834" s="322"/>
      <c r="T834" s="309"/>
      <c r="U834" s="306"/>
      <c r="V834" s="20"/>
      <c r="W834" s="74"/>
      <c r="X834" s="74"/>
      <c r="Y834" s="74"/>
      <c r="Z834" s="20"/>
      <c r="AA834" s="20"/>
      <c r="AB834" s="20"/>
      <c r="AC834" s="20"/>
      <c r="AD834" s="20"/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</row>
    <row r="835" spans="1:44" hidden="1">
      <c r="A835" s="294" t="s">
        <v>447</v>
      </c>
      <c r="B835" s="1"/>
      <c r="C835" s="304">
        <f>'Rate Design Work eff 10-14-16'!C836</f>
        <v>1124.0429012132199</v>
      </c>
      <c r="D835" s="322">
        <f>'Rate Design Work eff 9-15-17'!D836</f>
        <v>26.02</v>
      </c>
      <c r="E835" s="309"/>
      <c r="F835" s="306">
        <f>ROUND(D835*C835,0)</f>
        <v>29248</v>
      </c>
      <c r="G835" s="322">
        <f ca="1">$G$730</f>
        <v>26.63</v>
      </c>
      <c r="H835" s="309"/>
      <c r="I835" s="306">
        <f ca="1">ROUND(G835*$C835,0)</f>
        <v>29933</v>
      </c>
      <c r="J835" s="306"/>
      <c r="K835" s="322">
        <f ca="1">$K$730</f>
        <v>26.02</v>
      </c>
      <c r="L835" s="309"/>
      <c r="M835" s="306">
        <f ca="1">ROUND(K835*$C835,0)</f>
        <v>29248</v>
      </c>
      <c r="N835" s="306"/>
      <c r="O835" s="322" t="str">
        <f>$O$730</f>
        <v xml:space="preserve"> </v>
      </c>
      <c r="P835" s="309"/>
      <c r="Q835" s="306">
        <f>ROUND(O835*$C835,0)</f>
        <v>0</v>
      </c>
      <c r="R835" s="306"/>
      <c r="S835" s="322" t="str">
        <f>$S$730</f>
        <v xml:space="preserve"> </v>
      </c>
      <c r="T835" s="309"/>
      <c r="U835" s="306">
        <f>ROUND(S835*$C835,0)</f>
        <v>0</v>
      </c>
      <c r="V835" s="20"/>
      <c r="W835" s="74"/>
      <c r="X835" s="74"/>
      <c r="Y835" s="74"/>
      <c r="Z835" s="20"/>
      <c r="AA835" s="20"/>
      <c r="AB835" s="2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</row>
    <row r="836" spans="1:44" hidden="1">
      <c r="A836" s="294" t="s">
        <v>448</v>
      </c>
      <c r="B836" s="1"/>
      <c r="C836" s="304"/>
      <c r="D836" s="322"/>
      <c r="E836" s="309"/>
      <c r="F836" s="306"/>
      <c r="G836" s="322"/>
      <c r="H836" s="309"/>
      <c r="I836" s="306"/>
      <c r="J836" s="306"/>
      <c r="K836" s="322"/>
      <c r="L836" s="309"/>
      <c r="M836" s="306"/>
      <c r="N836" s="306"/>
      <c r="O836" s="322"/>
      <c r="P836" s="309"/>
      <c r="Q836" s="306"/>
      <c r="R836" s="306"/>
      <c r="S836" s="322"/>
      <c r="T836" s="309"/>
      <c r="U836" s="306"/>
      <c r="V836" s="20"/>
      <c r="W836" s="74"/>
      <c r="X836" s="74"/>
      <c r="Y836" s="74"/>
      <c r="Z836" s="20"/>
      <c r="AA836" s="20"/>
      <c r="AB836" s="20"/>
      <c r="AC836" s="20"/>
      <c r="AD836" s="20"/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</row>
    <row r="837" spans="1:44" hidden="1">
      <c r="A837" s="294" t="s">
        <v>442</v>
      </c>
      <c r="B837" s="1"/>
      <c r="C837" s="304">
        <f>'Rate Design Work eff 10-14-16'!C838</f>
        <v>13343.474759320199</v>
      </c>
      <c r="D837" s="322">
        <f>'Rate Design Work eff 9-15-17'!D838</f>
        <v>26.02</v>
      </c>
      <c r="E837" s="309"/>
      <c r="F837" s="306">
        <f>ROUND(D837*C837,0)</f>
        <v>347197</v>
      </c>
      <c r="G837" s="322">
        <f ca="1">$G$732</f>
        <v>26.63</v>
      </c>
      <c r="H837" s="309"/>
      <c r="I837" s="306">
        <f ca="1">ROUND(G837*$C837,0)</f>
        <v>355337</v>
      </c>
      <c r="J837" s="306"/>
      <c r="K837" s="322">
        <f ca="1">$K$732</f>
        <v>26.02</v>
      </c>
      <c r="L837" s="309"/>
      <c r="M837" s="306">
        <f ca="1">ROUND(K837*$C837,0)</f>
        <v>347197</v>
      </c>
      <c r="N837" s="306"/>
      <c r="O837" s="322" t="str">
        <f>$O$732</f>
        <v xml:space="preserve"> </v>
      </c>
      <c r="P837" s="309"/>
      <c r="Q837" s="306">
        <f>ROUND(O837*$C837,0)</f>
        <v>0</v>
      </c>
      <c r="R837" s="306"/>
      <c r="S837" s="322" t="str">
        <f>$S$732</f>
        <v xml:space="preserve"> </v>
      </c>
      <c r="T837" s="309"/>
      <c r="U837" s="306">
        <f>ROUND(S837*$C837,0)</f>
        <v>0</v>
      </c>
      <c r="V837" s="20"/>
      <c r="W837" s="74"/>
      <c r="X837" s="74"/>
      <c r="Y837" s="74"/>
      <c r="Z837" s="20"/>
      <c r="AA837" s="20"/>
      <c r="AB837" s="20"/>
      <c r="AC837" s="20"/>
      <c r="AD837" s="20"/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</row>
    <row r="838" spans="1:44" hidden="1">
      <c r="A838" s="294" t="s">
        <v>443</v>
      </c>
      <c r="B838" s="1"/>
      <c r="C838" s="304">
        <f>'Rate Design Work eff 10-14-16'!C839</f>
        <v>11633.663662691</v>
      </c>
      <c r="D838" s="322">
        <f>'Rate Design Work eff 9-15-17'!D839</f>
        <v>18.101388370764003</v>
      </c>
      <c r="E838" s="309"/>
      <c r="F838" s="306">
        <f>ROUND(D838*C838,0)</f>
        <v>210585</v>
      </c>
      <c r="G838" s="322">
        <f ca="1">$G$733</f>
        <v>18.526286850528336</v>
      </c>
      <c r="H838" s="309"/>
      <c r="I838" s="306">
        <f ca="1">ROUND(G838*$C838,0)</f>
        <v>215529</v>
      </c>
      <c r="J838" s="306"/>
      <c r="K838" s="322">
        <f ca="1">$K$733</f>
        <v>18.101388370764003</v>
      </c>
      <c r="L838" s="309"/>
      <c r="M838" s="306">
        <f ca="1">ROUND(K838*$C838,0)</f>
        <v>210585</v>
      </c>
      <c r="N838" s="306"/>
      <c r="O838" s="322" t="str">
        <f>$O$733</f>
        <v xml:space="preserve"> </v>
      </c>
      <c r="P838" s="309"/>
      <c r="Q838" s="306">
        <f>ROUND(O838*$C838,0)</f>
        <v>0</v>
      </c>
      <c r="R838" s="306"/>
      <c r="S838" s="322" t="str">
        <f>$S$733</f>
        <v xml:space="preserve"> </v>
      </c>
      <c r="T838" s="309"/>
      <c r="U838" s="306">
        <f>ROUND(S838*$C838,0)</f>
        <v>0</v>
      </c>
      <c r="V838" s="20"/>
      <c r="W838" s="74"/>
      <c r="X838" s="74"/>
      <c r="Y838" s="74"/>
      <c r="Z838" s="20"/>
      <c r="AA838" s="20"/>
      <c r="AB838" s="20"/>
      <c r="AC838" s="20"/>
      <c r="AD838" s="20"/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</row>
    <row r="839" spans="1:44" hidden="1">
      <c r="A839" s="294" t="s">
        <v>444</v>
      </c>
      <c r="B839" s="1"/>
      <c r="C839" s="304">
        <f>'Rate Design Work eff 10-14-16'!C840</f>
        <v>854.37523643290297</v>
      </c>
      <c r="D839" s="322">
        <f>'Rate Design Work eff 9-15-17'!D840</f>
        <v>14.155824964645021</v>
      </c>
      <c r="E839" s="309"/>
      <c r="F839" s="306">
        <f>ROUND(D839*C839,0)</f>
        <v>12094</v>
      </c>
      <c r="G839" s="322">
        <f ca="1">$G$734</f>
        <v>14.48810823397713</v>
      </c>
      <c r="H839" s="309"/>
      <c r="I839" s="306">
        <f ca="1">ROUND(G839*$C839,0)</f>
        <v>12378</v>
      </c>
      <c r="J839" s="306"/>
      <c r="K839" s="322">
        <f ca="1">$K$734</f>
        <v>14.155824964645021</v>
      </c>
      <c r="L839" s="309"/>
      <c r="M839" s="306">
        <f ca="1">ROUND(K839*$C839,0)</f>
        <v>12094</v>
      </c>
      <c r="N839" s="306"/>
      <c r="O839" s="322" t="str">
        <f>$O$734</f>
        <v xml:space="preserve"> </v>
      </c>
      <c r="P839" s="309"/>
      <c r="Q839" s="306">
        <f>ROUND(O839*$C839,0)</f>
        <v>0</v>
      </c>
      <c r="R839" s="306"/>
      <c r="S839" s="322" t="str">
        <f>$S$734</f>
        <v xml:space="preserve"> </v>
      </c>
      <c r="T839" s="309"/>
      <c r="U839" s="306">
        <f>ROUND(S839*$C839,0)</f>
        <v>0</v>
      </c>
      <c r="V839" s="20"/>
      <c r="W839" s="74"/>
      <c r="X839" s="74"/>
      <c r="Y839" s="74"/>
      <c r="Z839" s="20"/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</row>
    <row r="840" spans="1:44" hidden="1">
      <c r="A840" s="294" t="s">
        <v>450</v>
      </c>
      <c r="B840" s="1"/>
      <c r="C840" s="304">
        <f>'Rate Design Work eff 10-14-16'!C841</f>
        <v>272.36067141268398</v>
      </c>
      <c r="D840" s="322">
        <f>'Rate Design Work eff 9-15-17'!D841</f>
        <v>78.06</v>
      </c>
      <c r="E840" s="309"/>
      <c r="F840" s="306">
        <f>ROUND(D840*C840,0)</f>
        <v>21260</v>
      </c>
      <c r="G840" s="322">
        <f ca="1">$G$735</f>
        <v>79.89</v>
      </c>
      <c r="H840" s="309"/>
      <c r="I840" s="306">
        <f ca="1">ROUND(G840*$C840,0)</f>
        <v>21759</v>
      </c>
      <c r="J840" s="306"/>
      <c r="K840" s="322">
        <f ca="1">$K$735</f>
        <v>78.06</v>
      </c>
      <c r="L840" s="309"/>
      <c r="M840" s="306">
        <f ca="1">ROUND(K840*$C840,0)</f>
        <v>21260</v>
      </c>
      <c r="N840" s="306"/>
      <c r="O840" s="322" t="str">
        <f>$O$735</f>
        <v xml:space="preserve"> </v>
      </c>
      <c r="P840" s="309"/>
      <c r="Q840" s="306">
        <f>ROUND(O840*$C840,0)</f>
        <v>0</v>
      </c>
      <c r="R840" s="306"/>
      <c r="S840" s="322" t="str">
        <f>$S$735</f>
        <v xml:space="preserve"> </v>
      </c>
      <c r="T840" s="309"/>
      <c r="U840" s="306">
        <f>ROUND(S840*$C840,0)</f>
        <v>0</v>
      </c>
      <c r="V840" s="20"/>
      <c r="W840" s="74"/>
      <c r="X840" s="74"/>
      <c r="Y840" s="74"/>
      <c r="Z840" s="20"/>
      <c r="AA840" s="20"/>
      <c r="AB840" s="20"/>
      <c r="AC840" s="20"/>
      <c r="AD840" s="20"/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</row>
    <row r="841" spans="1:44" hidden="1">
      <c r="A841" s="294" t="s">
        <v>451</v>
      </c>
      <c r="B841" s="1"/>
      <c r="C841" s="304">
        <f>'Rate Design Work eff 10-14-16'!C842</f>
        <v>388.32518925146098</v>
      </c>
      <c r="D841" s="322">
        <f>'Rate Design Work eff 9-15-17'!D842</f>
        <v>156.12</v>
      </c>
      <c r="E841" s="309"/>
      <c r="F841" s="306">
        <f>ROUND(D841*C841,0)</f>
        <v>60625</v>
      </c>
      <c r="G841" s="322">
        <f ca="1">$G$736</f>
        <v>159.78</v>
      </c>
      <c r="H841" s="309"/>
      <c r="I841" s="306">
        <f ca="1">ROUND(G841*$C841,0)</f>
        <v>62047</v>
      </c>
      <c r="J841" s="306"/>
      <c r="K841" s="322">
        <f ca="1">$K$736</f>
        <v>156.12</v>
      </c>
      <c r="L841" s="309"/>
      <c r="M841" s="306">
        <f ca="1">ROUND(K841*$C841,0)</f>
        <v>60625</v>
      </c>
      <c r="N841" s="306"/>
      <c r="O841" s="322" t="str">
        <f>$O$736</f>
        <v xml:space="preserve"> </v>
      </c>
      <c r="P841" s="309"/>
      <c r="Q841" s="306">
        <f>ROUND(O841*$C841,0)</f>
        <v>0</v>
      </c>
      <c r="R841" s="306"/>
      <c r="S841" s="322" t="str">
        <f>$S$736</f>
        <v xml:space="preserve"> </v>
      </c>
      <c r="T841" s="309"/>
      <c r="U841" s="306">
        <f>ROUND(S841*$C841,0)</f>
        <v>0</v>
      </c>
      <c r="V841" s="20"/>
      <c r="W841" s="74"/>
      <c r="X841" s="74"/>
      <c r="Y841" s="74"/>
      <c r="Z841" s="20"/>
      <c r="AA841" s="20"/>
      <c r="AB841" s="20"/>
      <c r="AC841" s="20"/>
      <c r="AD841" s="20"/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</row>
    <row r="842" spans="1:44" hidden="1">
      <c r="A842" s="294" t="s">
        <v>452</v>
      </c>
      <c r="B842" s="1"/>
      <c r="C842" s="304"/>
      <c r="D842" s="322"/>
      <c r="E842" s="309"/>
      <c r="F842" s="306"/>
      <c r="G842" s="322"/>
      <c r="H842" s="309"/>
      <c r="I842" s="306"/>
      <c r="J842" s="306"/>
      <c r="K842" s="322"/>
      <c r="L842" s="309"/>
      <c r="M842" s="306"/>
      <c r="N842" s="306"/>
      <c r="O842" s="322"/>
      <c r="P842" s="309"/>
      <c r="Q842" s="306"/>
      <c r="R842" s="306"/>
      <c r="S842" s="322"/>
      <c r="T842" s="309"/>
      <c r="U842" s="306"/>
      <c r="V842" s="20"/>
      <c r="W842" s="74"/>
      <c r="X842" s="74"/>
      <c r="Y842" s="74"/>
      <c r="Z842" s="20"/>
      <c r="AA842" s="20"/>
      <c r="AB842" s="20"/>
      <c r="AC842" s="20"/>
      <c r="AD842" s="20"/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</row>
    <row r="843" spans="1:44" hidden="1">
      <c r="A843" s="294" t="s">
        <v>447</v>
      </c>
      <c r="B843" s="1"/>
      <c r="C843" s="304">
        <f>'Rate Design Work eff 10-14-16'!C844</f>
        <v>26.1506861099434</v>
      </c>
      <c r="D843" s="348">
        <f>'Rate Design Work eff 9-15-17'!D844</f>
        <v>-26.02</v>
      </c>
      <c r="E843" s="309"/>
      <c r="F843" s="306">
        <f>ROUND(D843*C843,0)</f>
        <v>-680</v>
      </c>
      <c r="G843" s="348">
        <f ca="1">-G835</f>
        <v>-26.63</v>
      </c>
      <c r="H843" s="309"/>
      <c r="I843" s="306">
        <f ca="1">ROUND(G843*$C843,0)</f>
        <v>-696</v>
      </c>
      <c r="J843" s="306"/>
      <c r="K843" s="348">
        <f ca="1">-K835</f>
        <v>-26.02</v>
      </c>
      <c r="L843" s="309"/>
      <c r="M843" s="306">
        <f ca="1">ROUND(K843*$C843,0)</f>
        <v>-680</v>
      </c>
      <c r="N843" s="306"/>
      <c r="O843" s="348">
        <f>-O835</f>
        <v>0</v>
      </c>
      <c r="P843" s="309"/>
      <c r="Q843" s="306">
        <f>ROUND(O843*$C843,0)</f>
        <v>0</v>
      </c>
      <c r="R843" s="306"/>
      <c r="S843" s="348">
        <f>-S835</f>
        <v>0</v>
      </c>
      <c r="T843" s="309"/>
      <c r="U843" s="306">
        <f>ROUND(S843*$C843,0)</f>
        <v>0</v>
      </c>
      <c r="V843" s="20"/>
      <c r="W843" s="74"/>
      <c r="X843" s="74"/>
      <c r="Y843" s="74"/>
      <c r="Z843" s="20"/>
      <c r="AA843" s="20"/>
      <c r="AB843" s="2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</row>
    <row r="844" spans="1:44" hidden="1">
      <c r="A844" s="294" t="s">
        <v>453</v>
      </c>
      <c r="B844" s="1"/>
      <c r="C844" s="304">
        <f>'Rate Design Work eff 10-14-16'!C845</f>
        <v>193.01451727485201</v>
      </c>
      <c r="D844" s="348">
        <f>'Rate Design Work eff 9-15-17'!D845</f>
        <v>-26.02</v>
      </c>
      <c r="E844" s="309"/>
      <c r="F844" s="306">
        <f>ROUND(D844*C844,0)</f>
        <v>-5022</v>
      </c>
      <c r="G844" s="348">
        <f ca="1">-G837</f>
        <v>-26.63</v>
      </c>
      <c r="H844" s="309"/>
      <c r="I844" s="306">
        <f ca="1">ROUND(G844*$C844,0)</f>
        <v>-5140</v>
      </c>
      <c r="J844" s="306"/>
      <c r="K844" s="348">
        <f ca="1">-K837</f>
        <v>-26.02</v>
      </c>
      <c r="L844" s="309"/>
      <c r="M844" s="306">
        <f ca="1">ROUND(K844*$C844,0)</f>
        <v>-5022</v>
      </c>
      <c r="N844" s="306"/>
      <c r="O844" s="348">
        <f>-O837</f>
        <v>0</v>
      </c>
      <c r="P844" s="309"/>
      <c r="Q844" s="306">
        <f>ROUND(O844*$C844,0)</f>
        <v>0</v>
      </c>
      <c r="R844" s="306"/>
      <c r="S844" s="348">
        <f>-S837</f>
        <v>0</v>
      </c>
      <c r="T844" s="309"/>
      <c r="U844" s="306">
        <f>ROUND(S844*$C844,0)</f>
        <v>0</v>
      </c>
      <c r="V844" s="20"/>
      <c r="W844" s="74"/>
      <c r="X844" s="74"/>
      <c r="Y844" s="74"/>
      <c r="Z844" s="20"/>
      <c r="AA844" s="20"/>
      <c r="AB844" s="20"/>
      <c r="AC844" s="20"/>
      <c r="AD844" s="20"/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</row>
    <row r="845" spans="1:44" hidden="1">
      <c r="A845" s="308" t="s">
        <v>416</v>
      </c>
      <c r="B845" s="1"/>
      <c r="C845" s="304"/>
      <c r="D845" s="322"/>
      <c r="E845" s="306"/>
      <c r="F845" s="306"/>
      <c r="G845" s="322"/>
      <c r="H845" s="306"/>
      <c r="I845" s="306"/>
      <c r="J845" s="306"/>
      <c r="K845" s="322"/>
      <c r="L845" s="306"/>
      <c r="M845" s="306"/>
      <c r="N845" s="306"/>
      <c r="O845" s="322"/>
      <c r="P845" s="306"/>
      <c r="Q845" s="306"/>
      <c r="R845" s="306"/>
      <c r="S845" s="322"/>
      <c r="T845" s="306"/>
      <c r="U845" s="306"/>
      <c r="V845" s="20"/>
      <c r="W845" s="74"/>
      <c r="X845" s="74"/>
      <c r="Y845" s="74"/>
      <c r="Z845" s="20"/>
      <c r="AA845" s="20"/>
      <c r="AB845" s="20"/>
      <c r="AC845" s="20"/>
      <c r="AD845" s="20"/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</row>
    <row r="846" spans="1:44" hidden="1">
      <c r="A846" s="294" t="s">
        <v>454</v>
      </c>
      <c r="B846" s="1"/>
      <c r="C846" s="304">
        <f>'Rate Design Work eff 10-14-16'!C847</f>
        <v>48181287</v>
      </c>
      <c r="D846" s="367">
        <f>'Rate Design Work eff 9-15-17'!D847</f>
        <v>7.0350000000000001</v>
      </c>
      <c r="E846" s="306" t="s">
        <v>364</v>
      </c>
      <c r="F846" s="306">
        <f>ROUND(D846/100*C846,0)</f>
        <v>3389554</v>
      </c>
      <c r="G846" s="367">
        <f ca="1">$G$741</f>
        <v>7.2030000000000003</v>
      </c>
      <c r="H846" s="306" t="s">
        <v>364</v>
      </c>
      <c r="I846" s="306">
        <f ca="1">ROUND(G846/100*$C846,0)</f>
        <v>3470498</v>
      </c>
      <c r="J846" s="306"/>
      <c r="K846" s="367" t="e">
        <f ca="1">$K$741</f>
        <v>#REF!</v>
      </c>
      <c r="L846" s="306" t="s">
        <v>364</v>
      </c>
      <c r="M846" s="306" t="e">
        <f ca="1">ROUND(K846/100*$C846,0)</f>
        <v>#REF!</v>
      </c>
      <c r="N846" s="306"/>
      <c r="O846" s="367" t="e">
        <f ca="1">$O$741</f>
        <v>#DIV/0!</v>
      </c>
      <c r="P846" s="306" t="s">
        <v>364</v>
      </c>
      <c r="Q846" s="306" t="e">
        <f ca="1">ROUND(O846/100*$C846,0)</f>
        <v>#DIV/0!</v>
      </c>
      <c r="R846" s="306"/>
      <c r="S846" s="367" t="e">
        <f ca="1">$S$741</f>
        <v>#DIV/0!</v>
      </c>
      <c r="T846" s="306" t="s">
        <v>364</v>
      </c>
      <c r="U846" s="306" t="e">
        <f ca="1">ROUND(S846/100*$C846,0)</f>
        <v>#DIV/0!</v>
      </c>
      <c r="V846" s="20"/>
      <c r="W846" s="74"/>
      <c r="X846" s="74"/>
      <c r="Y846" s="74"/>
      <c r="Z846" s="20"/>
      <c r="AA846" s="20"/>
      <c r="AB846" s="20"/>
      <c r="AC846" s="20"/>
      <c r="AD846" s="20"/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</row>
    <row r="847" spans="1:44" hidden="1">
      <c r="A847" s="308" t="s">
        <v>390</v>
      </c>
      <c r="B847" s="1"/>
      <c r="C847" s="304">
        <f>'Rate Design Work eff 10-14-16'!C848</f>
        <v>16797</v>
      </c>
      <c r="D847" s="324">
        <f>'Rate Design Work eff 9-15-17'!D848</f>
        <v>57</v>
      </c>
      <c r="E847" s="308" t="s">
        <v>364</v>
      </c>
      <c r="F847" s="306">
        <f>ROUND(D847*C847/100,0)</f>
        <v>9574</v>
      </c>
      <c r="G847" s="324">
        <f ca="1">$G$742</f>
        <v>58</v>
      </c>
      <c r="H847" s="308" t="s">
        <v>364</v>
      </c>
      <c r="I847" s="306">
        <f ca="1">ROUND(G847*$C847/100,0)</f>
        <v>9742</v>
      </c>
      <c r="J847" s="306"/>
      <c r="K847" s="324" t="str">
        <f>$K$742</f>
        <v xml:space="preserve"> </v>
      </c>
      <c r="L847" s="308" t="s">
        <v>364</v>
      </c>
      <c r="M847" s="306">
        <f>ROUND(K847*$C847/100,0)</f>
        <v>0</v>
      </c>
      <c r="N847" s="306"/>
      <c r="O847" s="324" t="e">
        <f ca="1">$O$742</f>
        <v>#DIV/0!</v>
      </c>
      <c r="P847" s="308" t="s">
        <v>364</v>
      </c>
      <c r="Q847" s="306" t="e">
        <f ca="1">ROUND(O847*$C847/100,0)</f>
        <v>#DIV/0!</v>
      </c>
      <c r="R847" s="306"/>
      <c r="S847" s="324" t="e">
        <f ca="1">$S$742</f>
        <v>#DIV/0!</v>
      </c>
      <c r="T847" s="308" t="s">
        <v>364</v>
      </c>
      <c r="U847" s="306" t="e">
        <f ca="1">ROUND(S847*$C847/100,0)</f>
        <v>#DIV/0!</v>
      </c>
      <c r="V847" s="20"/>
      <c r="W847" s="74"/>
      <c r="X847" s="74"/>
      <c r="Y847" s="74"/>
      <c r="Z847" s="20"/>
      <c r="AA847" s="20"/>
      <c r="AB847" s="20"/>
      <c r="AC847" s="20"/>
      <c r="AD847" s="20"/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</row>
    <row r="848" spans="1:44" s="1118" customFormat="1" hidden="1">
      <c r="A848" s="968" t="s">
        <v>891</v>
      </c>
      <c r="C848" s="1122">
        <f>C846</f>
        <v>48181287</v>
      </c>
      <c r="D848" s="254">
        <f>'Rate Design Work eff 9-15-17'!D849</f>
        <v>0</v>
      </c>
      <c r="E848" s="1119"/>
      <c r="F848" s="1123"/>
      <c r="G848" s="1135">
        <f>G743</f>
        <v>0</v>
      </c>
      <c r="H848" s="1000" t="s">
        <v>364</v>
      </c>
      <c r="I848" s="1000">
        <f>ROUND(G848*$C848/100,0)</f>
        <v>0</v>
      </c>
      <c r="J848" s="1000"/>
      <c r="K848" s="1135" t="str">
        <f>K743</f>
        <v xml:space="preserve"> </v>
      </c>
      <c r="L848" s="1000" t="s">
        <v>364</v>
      </c>
      <c r="M848" s="1000">
        <f>ROUND(K848*$C848/100,0)</f>
        <v>0</v>
      </c>
      <c r="N848" s="1000"/>
      <c r="O848" s="1135" t="str">
        <f>O743</f>
        <v xml:space="preserve"> </v>
      </c>
      <c r="P848" s="1000" t="s">
        <v>364</v>
      </c>
      <c r="Q848" s="1000">
        <f>ROUND(O848*$C848/100,0)</f>
        <v>0</v>
      </c>
      <c r="R848" s="1000"/>
      <c r="S848" s="1135">
        <f>S743</f>
        <v>0</v>
      </c>
      <c r="T848" s="1000" t="s">
        <v>364</v>
      </c>
      <c r="U848" s="1000">
        <f>ROUND(S848*$C848/100,0)</f>
        <v>0</v>
      </c>
      <c r="W848" s="784"/>
      <c r="Z848" s="1125"/>
      <c r="AA848" s="1125"/>
      <c r="AF848" s="1119"/>
      <c r="AG848" s="1119"/>
      <c r="AH848" s="1119"/>
      <c r="AI848" s="1119"/>
      <c r="AJ848" s="1119"/>
      <c r="AK848" s="1119"/>
      <c r="AL848" s="1119"/>
      <c r="AM848" s="1119"/>
      <c r="AN848" s="1119"/>
      <c r="AO848" s="1119"/>
      <c r="AP848" s="1119"/>
      <c r="AR848" s="1124"/>
    </row>
    <row r="849" spans="1:42" hidden="1">
      <c r="A849" s="345" t="s">
        <v>391</v>
      </c>
      <c r="B849" s="1"/>
      <c r="C849" s="304"/>
      <c r="D849" s="317">
        <f>'Rate Design Work eff 9-15-17'!D850</f>
        <v>-0.01</v>
      </c>
      <c r="E849" s="1"/>
      <c r="F849" s="306"/>
      <c r="G849" s="317">
        <v>-0.01</v>
      </c>
      <c r="H849" s="1"/>
      <c r="I849" s="306"/>
      <c r="J849" s="306"/>
      <c r="K849" s="317">
        <v>-0.01</v>
      </c>
      <c r="L849" s="1"/>
      <c r="M849" s="306"/>
      <c r="N849" s="306"/>
      <c r="O849" s="317">
        <v>-0.01</v>
      </c>
      <c r="P849" s="1"/>
      <c r="Q849" s="306"/>
      <c r="R849" s="306"/>
      <c r="S849" s="317">
        <v>-0.01</v>
      </c>
      <c r="T849" s="1"/>
      <c r="U849" s="306"/>
      <c r="V849" s="20"/>
      <c r="W849" s="74"/>
      <c r="X849" s="74"/>
      <c r="Y849" s="74"/>
      <c r="Z849" s="20"/>
      <c r="AA849" s="20"/>
      <c r="AB849" s="20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</row>
    <row r="850" spans="1:42" hidden="1">
      <c r="A850" s="294" t="s">
        <v>380</v>
      </c>
      <c r="B850" s="1"/>
      <c r="C850" s="304">
        <v>0</v>
      </c>
      <c r="D850" s="369">
        <f>'Rate Design Work eff 9-15-17'!D851</f>
        <v>0</v>
      </c>
      <c r="E850" s="309"/>
      <c r="F850" s="306">
        <f>ROUND(D850*C850,0)</f>
        <v>0</v>
      </c>
      <c r="G850" s="369">
        <f>G826</f>
        <v>0</v>
      </c>
      <c r="H850" s="309"/>
      <c r="I850" s="306">
        <f>ROUND(G850*$C850*$G$849,0)</f>
        <v>0</v>
      </c>
      <c r="J850" s="306"/>
      <c r="K850" s="369">
        <f>K826</f>
        <v>0</v>
      </c>
      <c r="L850" s="309"/>
      <c r="M850" s="306">
        <f>ROUND(K850*$C850*$G$849,0)</f>
        <v>0</v>
      </c>
      <c r="N850" s="306"/>
      <c r="O850" s="369" t="str">
        <f>O826</f>
        <v xml:space="preserve"> </v>
      </c>
      <c r="P850" s="309"/>
      <c r="Q850" s="306">
        <f>ROUND(O850*$C850*$G$849,0)</f>
        <v>0</v>
      </c>
      <c r="R850" s="306"/>
      <c r="S850" s="369" t="str">
        <f>S826</f>
        <v xml:space="preserve"> </v>
      </c>
      <c r="T850" s="309"/>
      <c r="U850" s="306">
        <f>ROUND(S850*$C850*$G$849,0)</f>
        <v>0</v>
      </c>
      <c r="V850" s="20"/>
      <c r="W850" s="74"/>
      <c r="X850" s="74"/>
      <c r="Y850" s="74"/>
      <c r="Z850" s="20"/>
      <c r="AA850" s="20"/>
      <c r="AB850" s="20"/>
      <c r="AC850" s="20"/>
      <c r="AD850" s="20"/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</row>
    <row r="851" spans="1:42" hidden="1">
      <c r="A851" s="294" t="s">
        <v>381</v>
      </c>
      <c r="B851" s="1"/>
      <c r="C851" s="304"/>
      <c r="D851" s="369"/>
      <c r="E851" s="309"/>
      <c r="F851" s="306"/>
      <c r="G851" s="369"/>
      <c r="H851" s="309"/>
      <c r="I851" s="306"/>
      <c r="J851" s="306"/>
      <c r="K851" s="369"/>
      <c r="L851" s="309"/>
      <c r="M851" s="306"/>
      <c r="N851" s="306"/>
      <c r="O851" s="369"/>
      <c r="P851" s="309"/>
      <c r="Q851" s="306"/>
      <c r="R851" s="306"/>
      <c r="S851" s="369"/>
      <c r="T851" s="309"/>
      <c r="U851" s="306"/>
      <c r="V851" s="20"/>
      <c r="W851" s="74"/>
      <c r="X851" s="74"/>
      <c r="Y851" s="74"/>
      <c r="Z851" s="20"/>
      <c r="AA851" s="20"/>
      <c r="AB851" s="2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</row>
    <row r="852" spans="1:42" hidden="1">
      <c r="A852" s="294" t="s">
        <v>442</v>
      </c>
      <c r="B852" s="1"/>
      <c r="C852" s="304">
        <v>0</v>
      </c>
      <c r="D852" s="369">
        <f>'Rate Design Work eff 9-15-17'!D853</f>
        <v>0</v>
      </c>
      <c r="E852" s="309"/>
      <c r="F852" s="306">
        <f>ROUND(D852*C852,0)</f>
        <v>0</v>
      </c>
      <c r="G852" s="369">
        <f>G828</f>
        <v>0</v>
      </c>
      <c r="H852" s="309"/>
      <c r="I852" s="306">
        <f>ROUND(G852*$C852*$G$849,0)</f>
        <v>0</v>
      </c>
      <c r="J852" s="306"/>
      <c r="K852" s="369">
        <f>K828</f>
        <v>0</v>
      </c>
      <c r="L852" s="309"/>
      <c r="M852" s="306">
        <f>ROUND(K852*$C852*$G$849,0)</f>
        <v>0</v>
      </c>
      <c r="N852" s="306"/>
      <c r="O852" s="369" t="str">
        <f>O828</f>
        <v xml:space="preserve"> </v>
      </c>
      <c r="P852" s="309"/>
      <c r="Q852" s="306">
        <f>ROUND(O852*$C852*$G$849,0)</f>
        <v>0</v>
      </c>
      <c r="R852" s="306"/>
      <c r="S852" s="369" t="str">
        <f>S828</f>
        <v xml:space="preserve"> </v>
      </c>
      <c r="T852" s="309"/>
      <c r="U852" s="306">
        <f>ROUND(S852*$C852*$G$849,0)</f>
        <v>0</v>
      </c>
      <c r="V852" s="20"/>
      <c r="W852" s="74"/>
      <c r="X852" s="74"/>
      <c r="Y852" s="74"/>
      <c r="Z852" s="20"/>
      <c r="AA852" s="20"/>
      <c r="AB852" s="20"/>
      <c r="AC852" s="20"/>
      <c r="AD852" s="20"/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</row>
    <row r="853" spans="1:42" hidden="1">
      <c r="A853" s="294" t="s">
        <v>443</v>
      </c>
      <c r="B853" s="1"/>
      <c r="C853" s="304">
        <v>0</v>
      </c>
      <c r="D853" s="369">
        <f>'Rate Design Work eff 9-15-17'!D854</f>
        <v>370</v>
      </c>
      <c r="E853" s="309"/>
      <c r="F853" s="306">
        <f>ROUND(D853*C853,0)</f>
        <v>0</v>
      </c>
      <c r="G853" s="369">
        <f ca="1">G829</f>
        <v>379</v>
      </c>
      <c r="H853" s="309"/>
      <c r="I853" s="306">
        <f ca="1">ROUND(G853*$C853*$G$849,0)</f>
        <v>0</v>
      </c>
      <c r="J853" s="306"/>
      <c r="K853" s="369">
        <f ca="1">K829</f>
        <v>370</v>
      </c>
      <c r="L853" s="309"/>
      <c r="M853" s="306">
        <f ca="1">ROUND(K853*$C853*$G$849,0)</f>
        <v>0</v>
      </c>
      <c r="N853" s="306"/>
      <c r="O853" s="369" t="str">
        <f>O829</f>
        <v xml:space="preserve"> </v>
      </c>
      <c r="P853" s="309"/>
      <c r="Q853" s="306">
        <f>ROUND(O853*$C853*$G$849,0)</f>
        <v>0</v>
      </c>
      <c r="R853" s="306"/>
      <c r="S853" s="369" t="str">
        <f>S829</f>
        <v xml:space="preserve"> </v>
      </c>
      <c r="T853" s="309"/>
      <c r="U853" s="306">
        <f>ROUND(S853*$C853*$G$849,0)</f>
        <v>0</v>
      </c>
      <c r="V853" s="20"/>
      <c r="W853" s="74"/>
      <c r="X853" s="74"/>
      <c r="Y853" s="74"/>
      <c r="Z853" s="20"/>
      <c r="AA853" s="20"/>
      <c r="AB853" s="20"/>
      <c r="AC853" s="20"/>
      <c r="AD853" s="20"/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</row>
    <row r="854" spans="1:42" hidden="1">
      <c r="A854" s="294" t="s">
        <v>444</v>
      </c>
      <c r="B854" s="1"/>
      <c r="C854" s="304">
        <v>0</v>
      </c>
      <c r="D854" s="369">
        <f>'Rate Design Work eff 9-15-17'!D855</f>
        <v>1504</v>
      </c>
      <c r="E854" s="309"/>
      <c r="F854" s="306">
        <f>ROUND(D854*C854,0)</f>
        <v>0</v>
      </c>
      <c r="G854" s="369">
        <f ca="1">G830</f>
        <v>1539</v>
      </c>
      <c r="H854" s="309"/>
      <c r="I854" s="306">
        <f ca="1">ROUND(G854*$C854*$G$849,0)</f>
        <v>0</v>
      </c>
      <c r="J854" s="306"/>
      <c r="K854" s="369">
        <f ca="1">K830</f>
        <v>1504</v>
      </c>
      <c r="L854" s="309"/>
      <c r="M854" s="306">
        <f ca="1">ROUND(K854*$C854*$G$849,0)</f>
        <v>0</v>
      </c>
      <c r="N854" s="306"/>
      <c r="O854" s="369" t="str">
        <f>O830</f>
        <v xml:space="preserve"> </v>
      </c>
      <c r="P854" s="309"/>
      <c r="Q854" s="306">
        <f>ROUND(O854*$C854*$G$849,0)</f>
        <v>0</v>
      </c>
      <c r="R854" s="306"/>
      <c r="S854" s="369" t="str">
        <f>S830</f>
        <v xml:space="preserve"> </v>
      </c>
      <c r="T854" s="309"/>
      <c r="U854" s="306">
        <f>ROUND(S854*$C854*$G$849,0)</f>
        <v>0</v>
      </c>
      <c r="V854" s="20"/>
      <c r="W854" s="74"/>
      <c r="X854" s="74"/>
      <c r="Y854" s="74"/>
      <c r="Z854" s="20"/>
      <c r="AA854" s="20"/>
      <c r="AB854" s="20"/>
      <c r="AC854" s="20"/>
      <c r="AD854" s="20"/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</row>
    <row r="855" spans="1:42" hidden="1">
      <c r="A855" s="294" t="s">
        <v>380</v>
      </c>
      <c r="B855" s="1"/>
      <c r="C855" s="304">
        <v>0</v>
      </c>
      <c r="D855" s="369">
        <f>'Rate Design Work eff 9-15-17'!D856</f>
        <v>26.02</v>
      </c>
      <c r="E855" s="309"/>
      <c r="F855" s="306">
        <f>ROUND(D855*C855,0)</f>
        <v>0</v>
      </c>
      <c r="G855" s="369">
        <f ca="1">G835</f>
        <v>26.63</v>
      </c>
      <c r="H855" s="309"/>
      <c r="I855" s="306">
        <f ca="1">ROUND(G855*$C855*$G$849,0)</f>
        <v>0</v>
      </c>
      <c r="J855" s="306"/>
      <c r="K855" s="369">
        <f ca="1">K835</f>
        <v>26.02</v>
      </c>
      <c r="L855" s="309"/>
      <c r="M855" s="306">
        <f ca="1">ROUND(K855*$C855*$G$849,0)</f>
        <v>0</v>
      </c>
      <c r="N855" s="306"/>
      <c r="O855" s="369" t="str">
        <f>O835</f>
        <v xml:space="preserve"> </v>
      </c>
      <c r="P855" s="309"/>
      <c r="Q855" s="306">
        <f>ROUND(O855*$C855*$G$849,0)</f>
        <v>0</v>
      </c>
      <c r="R855" s="306"/>
      <c r="S855" s="369" t="str">
        <f>S835</f>
        <v xml:space="preserve"> </v>
      </c>
      <c r="T855" s="309"/>
      <c r="U855" s="306">
        <f>ROUND(S855*$C855*$G$849,0)</f>
        <v>0</v>
      </c>
      <c r="V855" s="20"/>
      <c r="W855" s="74"/>
      <c r="X855" s="74"/>
      <c r="Y855" s="74"/>
      <c r="Z855" s="20"/>
      <c r="AA855" s="20"/>
      <c r="AB855" s="20"/>
      <c r="AC855" s="20"/>
      <c r="AD855" s="20"/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</row>
    <row r="856" spans="1:42" hidden="1">
      <c r="A856" s="294" t="s">
        <v>381</v>
      </c>
      <c r="B856" s="1"/>
      <c r="C856" s="304"/>
      <c r="D856" s="369"/>
      <c r="E856" s="309"/>
      <c r="F856" s="306"/>
      <c r="G856" s="369"/>
      <c r="H856" s="309"/>
      <c r="I856" s="306"/>
      <c r="J856" s="306"/>
      <c r="K856" s="369"/>
      <c r="L856" s="309"/>
      <c r="M856" s="306"/>
      <c r="N856" s="306"/>
      <c r="O856" s="369"/>
      <c r="P856" s="309"/>
      <c r="Q856" s="306"/>
      <c r="R856" s="306"/>
      <c r="S856" s="369"/>
      <c r="T856" s="309"/>
      <c r="U856" s="306"/>
      <c r="V856" s="20"/>
      <c r="W856" s="74"/>
      <c r="X856" s="74"/>
      <c r="Y856" s="74"/>
      <c r="Z856" s="20"/>
      <c r="AA856" s="20"/>
      <c r="AB856" s="20"/>
      <c r="AC856" s="20"/>
      <c r="AD856" s="20"/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</row>
    <row r="857" spans="1:42" hidden="1">
      <c r="A857" s="294" t="s">
        <v>442</v>
      </c>
      <c r="B857" s="1"/>
      <c r="C857" s="304">
        <v>0</v>
      </c>
      <c r="D857" s="369">
        <f>'Rate Design Work eff 9-15-17'!D858</f>
        <v>26.02</v>
      </c>
      <c r="E857" s="309"/>
      <c r="F857" s="306">
        <f>ROUND(D857*$C857*$D$745,0)</f>
        <v>0</v>
      </c>
      <c r="G857" s="369">
        <f ca="1">G837</f>
        <v>26.63</v>
      </c>
      <c r="H857" s="309"/>
      <c r="I857" s="306">
        <f ca="1">ROUND(G857*$C857*$G$849,0)</f>
        <v>0</v>
      </c>
      <c r="J857" s="306"/>
      <c r="K857" s="369">
        <f ca="1">K837</f>
        <v>26.02</v>
      </c>
      <c r="L857" s="309"/>
      <c r="M857" s="306">
        <f ca="1">ROUND(K857*$C857*$G$849,0)</f>
        <v>0</v>
      </c>
      <c r="N857" s="306"/>
      <c r="O857" s="369" t="str">
        <f>O837</f>
        <v xml:space="preserve"> </v>
      </c>
      <c r="P857" s="309"/>
      <c r="Q857" s="306">
        <f>ROUND(O857*$C857*$G$849,0)</f>
        <v>0</v>
      </c>
      <c r="R857" s="306"/>
      <c r="S857" s="369" t="str">
        <f>S837</f>
        <v xml:space="preserve"> </v>
      </c>
      <c r="T857" s="309"/>
      <c r="U857" s="306">
        <f>ROUND(S857*$C857*$G$849,0)</f>
        <v>0</v>
      </c>
      <c r="V857" s="20"/>
      <c r="W857" s="74"/>
      <c r="X857" s="74"/>
      <c r="Y857" s="74"/>
      <c r="Z857" s="20"/>
      <c r="AA857" s="20"/>
      <c r="AB857" s="20"/>
      <c r="AC857" s="20"/>
      <c r="AD857" s="20"/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</row>
    <row r="858" spans="1:42" hidden="1">
      <c r="A858" s="294" t="s">
        <v>443</v>
      </c>
      <c r="B858" s="1"/>
      <c r="C858" s="304">
        <v>0</v>
      </c>
      <c r="D858" s="369">
        <f>'Rate Design Work eff 9-15-17'!D859</f>
        <v>18.101388370764003</v>
      </c>
      <c r="E858" s="309"/>
      <c r="F858" s="306">
        <f>ROUND(D858*$C858*$D$745,0)</f>
        <v>0</v>
      </c>
      <c r="G858" s="369">
        <f ca="1">G838</f>
        <v>18.526286850528336</v>
      </c>
      <c r="H858" s="309"/>
      <c r="I858" s="306">
        <f ca="1">ROUND(G858*$C858*$G$849,0)</f>
        <v>0</v>
      </c>
      <c r="J858" s="306"/>
      <c r="K858" s="369">
        <f ca="1">K838</f>
        <v>18.101388370764003</v>
      </c>
      <c r="L858" s="309"/>
      <c r="M858" s="306">
        <f ca="1">ROUND(K858*$C858*$G$849,0)</f>
        <v>0</v>
      </c>
      <c r="N858" s="306"/>
      <c r="O858" s="369" t="str">
        <f>O838</f>
        <v xml:space="preserve"> </v>
      </c>
      <c r="P858" s="309"/>
      <c r="Q858" s="306">
        <f>ROUND(O858*$C858*$G$849,0)</f>
        <v>0</v>
      </c>
      <c r="R858" s="306"/>
      <c r="S858" s="369" t="str">
        <f>S838</f>
        <v xml:space="preserve"> </v>
      </c>
      <c r="T858" s="309"/>
      <c r="U858" s="306">
        <f>ROUND(S858*$C858*$G$849,0)</f>
        <v>0</v>
      </c>
      <c r="V858" s="20"/>
      <c r="W858" s="74"/>
      <c r="X858" s="74"/>
      <c r="Y858" s="74"/>
      <c r="Z858" s="20"/>
      <c r="AA858" s="20"/>
      <c r="AB858" s="20"/>
      <c r="AC858" s="20"/>
      <c r="AD858" s="20"/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</row>
    <row r="859" spans="1:42" hidden="1">
      <c r="A859" s="294" t="s">
        <v>444</v>
      </c>
      <c r="B859" s="1"/>
      <c r="C859" s="304">
        <v>0</v>
      </c>
      <c r="D859" s="369">
        <f>'Rate Design Work eff 9-15-17'!D860</f>
        <v>14.155824964645021</v>
      </c>
      <c r="E859" s="309"/>
      <c r="F859" s="306">
        <f>ROUND(D859*$C859*$D$745,0)</f>
        <v>0</v>
      </c>
      <c r="G859" s="369">
        <f ca="1">G839</f>
        <v>14.48810823397713</v>
      </c>
      <c r="H859" s="309"/>
      <c r="I859" s="306">
        <f ca="1">ROUND(G859*$C859*$G$849,0)</f>
        <v>0</v>
      </c>
      <c r="J859" s="306"/>
      <c r="K859" s="369">
        <f ca="1">K839</f>
        <v>14.155824964645021</v>
      </c>
      <c r="L859" s="309"/>
      <c r="M859" s="306">
        <f ca="1">ROUND(K859*$C859*$G$849,0)</f>
        <v>0</v>
      </c>
      <c r="N859" s="306"/>
      <c r="O859" s="369" t="str">
        <f>O839</f>
        <v xml:space="preserve"> </v>
      </c>
      <c r="P859" s="309"/>
      <c r="Q859" s="306">
        <f>ROUND(O859*$C859*$G$849,0)</f>
        <v>0</v>
      </c>
      <c r="R859" s="306"/>
      <c r="S859" s="369" t="str">
        <f>S839</f>
        <v xml:space="preserve"> </v>
      </c>
      <c r="T859" s="309"/>
      <c r="U859" s="306">
        <f>ROUND(S859*$C859*$G$849,0)</f>
        <v>0</v>
      </c>
      <c r="V859" s="20"/>
      <c r="W859" s="74"/>
      <c r="X859" s="74"/>
      <c r="Y859" s="74"/>
      <c r="Z859" s="20"/>
      <c r="AA859" s="20"/>
      <c r="AB859" s="2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</row>
    <row r="860" spans="1:42" hidden="1">
      <c r="A860" s="294" t="s">
        <v>455</v>
      </c>
      <c r="B860" s="1"/>
      <c r="C860" s="304">
        <v>0</v>
      </c>
      <c r="D860" s="338">
        <f>'Rate Design Work eff 9-15-17'!D861</f>
        <v>78.06</v>
      </c>
      <c r="E860" s="309"/>
      <c r="F860" s="306">
        <f>ROUND(D860*$C860*$D$745,0)</f>
        <v>0</v>
      </c>
      <c r="G860" s="338">
        <f ca="1">G840</f>
        <v>79.89</v>
      </c>
      <c r="H860" s="309"/>
      <c r="I860" s="306">
        <f ca="1">ROUND(G860*$C860*$G$849,0)</f>
        <v>0</v>
      </c>
      <c r="J860" s="306"/>
      <c r="K860" s="338">
        <f ca="1">K840</f>
        <v>78.06</v>
      </c>
      <c r="L860" s="309"/>
      <c r="M860" s="306">
        <f ca="1">ROUND(K860*$C860*$G$849,0)</f>
        <v>0</v>
      </c>
      <c r="N860" s="306"/>
      <c r="O860" s="338" t="str">
        <f>O840</f>
        <v xml:space="preserve"> </v>
      </c>
      <c r="P860" s="309"/>
      <c r="Q860" s="306">
        <f>ROUND(O860*$C860*$G$849,0)</f>
        <v>0</v>
      </c>
      <c r="R860" s="306"/>
      <c r="S860" s="338" t="str">
        <f>S840</f>
        <v xml:space="preserve"> </v>
      </c>
      <c r="T860" s="309"/>
      <c r="U860" s="306">
        <f>ROUND(S860*$C860*$G$849,0)</f>
        <v>0</v>
      </c>
      <c r="V860" s="20"/>
      <c r="W860" s="74"/>
      <c r="X860" s="74"/>
      <c r="Y860" s="74"/>
      <c r="Z860" s="20"/>
      <c r="AA860" s="20"/>
      <c r="AB860" s="20"/>
      <c r="AC860" s="20"/>
      <c r="AD860" s="20"/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</row>
    <row r="861" spans="1:42" hidden="1">
      <c r="A861" s="294" t="s">
        <v>456</v>
      </c>
      <c r="B861" s="1"/>
      <c r="C861" s="304">
        <v>0</v>
      </c>
      <c r="D861" s="338">
        <f>'Rate Design Work eff 9-15-17'!D862</f>
        <v>156.12</v>
      </c>
      <c r="E861" s="309"/>
      <c r="F861" s="306">
        <f>ROUND(D861*$C861*$D$745,0)</f>
        <v>0</v>
      </c>
      <c r="G861" s="338">
        <f ca="1">G841</f>
        <v>159.78</v>
      </c>
      <c r="H861" s="309"/>
      <c r="I861" s="306">
        <f ca="1">ROUND(G861*$C861*$G$849,0)</f>
        <v>0</v>
      </c>
      <c r="J861" s="306"/>
      <c r="K861" s="338">
        <f ca="1">K841</f>
        <v>156.12</v>
      </c>
      <c r="L861" s="309"/>
      <c r="M861" s="306">
        <f ca="1">ROUND(K861*$C861*$G$849,0)</f>
        <v>0</v>
      </c>
      <c r="N861" s="306"/>
      <c r="O861" s="338" t="str">
        <f>O841</f>
        <v xml:space="preserve"> </v>
      </c>
      <c r="P861" s="309"/>
      <c r="Q861" s="306">
        <f>ROUND(O861*$C861*$G$849,0)</f>
        <v>0</v>
      </c>
      <c r="R861" s="306"/>
      <c r="S861" s="338" t="str">
        <f>S841</f>
        <v xml:space="preserve"> </v>
      </c>
      <c r="T861" s="309"/>
      <c r="U861" s="306">
        <f>ROUND(S861*$C861*$G$849,0)</f>
        <v>0</v>
      </c>
      <c r="V861" s="20"/>
      <c r="W861" s="74"/>
      <c r="X861" s="74"/>
      <c r="Y861" s="74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</row>
    <row r="862" spans="1:42" hidden="1">
      <c r="A862" s="294" t="s">
        <v>452</v>
      </c>
      <c r="B862" s="1"/>
      <c r="C862" s="304"/>
      <c r="D862" s="322"/>
      <c r="E862" s="309"/>
      <c r="F862" s="306"/>
      <c r="G862" s="322"/>
      <c r="H862" s="309"/>
      <c r="I862" s="306"/>
      <c r="J862" s="306"/>
      <c r="K862" s="322"/>
      <c r="L862" s="309"/>
      <c r="M862" s="306"/>
      <c r="N862" s="306"/>
      <c r="O862" s="322"/>
      <c r="P862" s="309"/>
      <c r="Q862" s="306"/>
      <c r="R862" s="306"/>
      <c r="S862" s="322"/>
      <c r="T862" s="309"/>
      <c r="U862" s="306"/>
      <c r="V862" s="20"/>
      <c r="W862" s="74"/>
      <c r="X862" s="74"/>
      <c r="Y862" s="74"/>
      <c r="Z862" s="20"/>
      <c r="AA862" s="20"/>
      <c r="AB862" s="20"/>
      <c r="AC862" s="20"/>
      <c r="AD862" s="20"/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</row>
    <row r="863" spans="1:42" hidden="1">
      <c r="A863" s="294" t="s">
        <v>447</v>
      </c>
      <c r="B863" s="1"/>
      <c r="C863" s="304">
        <v>0</v>
      </c>
      <c r="D863" s="348">
        <f>'Rate Design Work eff 9-15-17'!D864</f>
        <v>-26.02</v>
      </c>
      <c r="E863" s="309"/>
      <c r="F863" s="306">
        <f>ROUND(D863*$C863*$D$745,0)</f>
        <v>0</v>
      </c>
      <c r="G863" s="348">
        <f ca="1">G843</f>
        <v>-26.63</v>
      </c>
      <c r="H863" s="309"/>
      <c r="I863" s="306">
        <f ca="1">ROUND(G863*$C863*$G$849,0)</f>
        <v>0</v>
      </c>
      <c r="J863" s="306"/>
      <c r="K863" s="348">
        <f ca="1">K843</f>
        <v>-26.02</v>
      </c>
      <c r="L863" s="309"/>
      <c r="M863" s="306">
        <f ca="1">ROUND(K863*$C863*$G$849,0)</f>
        <v>0</v>
      </c>
      <c r="N863" s="306"/>
      <c r="O863" s="348">
        <f>O843</f>
        <v>0</v>
      </c>
      <c r="P863" s="309"/>
      <c r="Q863" s="306">
        <f>ROUND(O863*$C863*$G$849,0)</f>
        <v>0</v>
      </c>
      <c r="R863" s="306"/>
      <c r="S863" s="348">
        <f>S843</f>
        <v>0</v>
      </c>
      <c r="T863" s="309"/>
      <c r="U863" s="306">
        <f>ROUND(S863*$C863*$G$849,0)</f>
        <v>0</v>
      </c>
      <c r="V863" s="20"/>
      <c r="W863" s="74"/>
      <c r="X863" s="74"/>
      <c r="Y863" s="74"/>
      <c r="Z863" s="20"/>
      <c r="AA863" s="20"/>
      <c r="AB863" s="20"/>
      <c r="AC863" s="20"/>
      <c r="AD863" s="20"/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</row>
    <row r="864" spans="1:42" hidden="1">
      <c r="A864" s="294" t="s">
        <v>453</v>
      </c>
      <c r="B864" s="1"/>
      <c r="C864" s="304">
        <v>0</v>
      </c>
      <c r="D864" s="348">
        <f>'Rate Design Work eff 9-15-17'!D865</f>
        <v>-26.02</v>
      </c>
      <c r="E864" s="309"/>
      <c r="F864" s="306">
        <f>ROUND(D864*$C864*$D$745,0)</f>
        <v>0</v>
      </c>
      <c r="G864" s="348">
        <f ca="1">G844</f>
        <v>-26.63</v>
      </c>
      <c r="H864" s="309"/>
      <c r="I864" s="306">
        <f ca="1">ROUND(G864*$C864*$G$849,0)</f>
        <v>0</v>
      </c>
      <c r="J864" s="306"/>
      <c r="K864" s="348">
        <f ca="1">K844</f>
        <v>-26.02</v>
      </c>
      <c r="L864" s="309"/>
      <c r="M864" s="306">
        <f ca="1">ROUND(K864*$C864*$G$849,0)</f>
        <v>0</v>
      </c>
      <c r="N864" s="306"/>
      <c r="O864" s="348">
        <f>O844</f>
        <v>0</v>
      </c>
      <c r="P864" s="309"/>
      <c r="Q864" s="306">
        <f>ROUND(O864*$C864*$G$849,0)</f>
        <v>0</v>
      </c>
      <c r="R864" s="306"/>
      <c r="S864" s="348">
        <f>S844</f>
        <v>0</v>
      </c>
      <c r="T864" s="309"/>
      <c r="U864" s="306">
        <f>ROUND(S864*$C864*$G$849,0)</f>
        <v>0</v>
      </c>
      <c r="V864" s="20"/>
      <c r="W864" s="74"/>
      <c r="X864" s="74"/>
      <c r="Y864" s="74"/>
      <c r="Z864" s="20"/>
      <c r="AA864" s="20"/>
      <c r="AB864" s="20"/>
      <c r="AC864" s="20"/>
      <c r="AD864" s="20"/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</row>
    <row r="865" spans="1:44" hidden="1">
      <c r="A865" s="308" t="s">
        <v>416</v>
      </c>
      <c r="B865" s="1"/>
      <c r="C865" s="304"/>
      <c r="D865" s="369"/>
      <c r="E865" s="306"/>
      <c r="F865" s="306"/>
      <c r="G865" s="369"/>
      <c r="H865" s="306"/>
      <c r="I865" s="306"/>
      <c r="J865" s="306"/>
      <c r="K865" s="369"/>
      <c r="L865" s="306"/>
      <c r="M865" s="306"/>
      <c r="N865" s="306"/>
      <c r="O865" s="369"/>
      <c r="P865" s="306"/>
      <c r="Q865" s="306"/>
      <c r="R865" s="306"/>
      <c r="S865" s="369"/>
      <c r="T865" s="306"/>
      <c r="U865" s="306"/>
      <c r="V865" s="20"/>
      <c r="W865" s="74"/>
      <c r="X865" s="74"/>
      <c r="Y865" s="74"/>
      <c r="Z865" s="20"/>
      <c r="AA865" s="20"/>
      <c r="AB865" s="20"/>
      <c r="AC865" s="20"/>
      <c r="AD865" s="20"/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</row>
    <row r="866" spans="1:44" hidden="1">
      <c r="A866" s="294" t="s">
        <v>454</v>
      </c>
      <c r="B866" s="1"/>
      <c r="C866" s="304">
        <v>0</v>
      </c>
      <c r="D866" s="370">
        <f>'Rate Design Work eff 9-15-17'!D867</f>
        <v>7.0350000000000001</v>
      </c>
      <c r="E866" s="306" t="s">
        <v>364</v>
      </c>
      <c r="F866" s="306">
        <f>ROUND(D866/100*C866*$D$745,0)</f>
        <v>0</v>
      </c>
      <c r="G866" s="370">
        <f ca="1">G846</f>
        <v>7.2030000000000003</v>
      </c>
      <c r="H866" s="306" t="s">
        <v>364</v>
      </c>
      <c r="I866" s="306">
        <f ca="1">ROUND(G866/100*$C866*$G$849,0)</f>
        <v>0</v>
      </c>
      <c r="J866" s="306"/>
      <c r="K866" s="370" t="e">
        <f ca="1">K846</f>
        <v>#REF!</v>
      </c>
      <c r="L866" s="306" t="s">
        <v>364</v>
      </c>
      <c r="M866" s="306" t="e">
        <f ca="1">ROUND(K866/100*$C866*$G$849,0)</f>
        <v>#REF!</v>
      </c>
      <c r="N866" s="306"/>
      <c r="O866" s="370" t="e">
        <f ca="1">O846</f>
        <v>#DIV/0!</v>
      </c>
      <c r="P866" s="306" t="s">
        <v>364</v>
      </c>
      <c r="Q866" s="306" t="e">
        <f ca="1">ROUND(O866/100*$C866*$G$849,0)</f>
        <v>#DIV/0!</v>
      </c>
      <c r="R866" s="306"/>
      <c r="S866" s="370" t="e">
        <f ca="1">S846</f>
        <v>#DIV/0!</v>
      </c>
      <c r="T866" s="306" t="s">
        <v>364</v>
      </c>
      <c r="U866" s="306" t="e">
        <f ca="1">ROUND(S866/100*$C866*$G$849,0)</f>
        <v>#DIV/0!</v>
      </c>
      <c r="V866" s="20"/>
      <c r="W866" s="74"/>
      <c r="X866" s="74"/>
      <c r="Y866" s="74"/>
      <c r="Z866" s="20"/>
      <c r="AA866" s="20"/>
      <c r="AB866" s="20"/>
      <c r="AC866" s="20"/>
      <c r="AD866" s="20"/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</row>
    <row r="867" spans="1:44" hidden="1">
      <c r="A867" s="308" t="s">
        <v>390</v>
      </c>
      <c r="B867" s="1"/>
      <c r="C867" s="304">
        <v>0</v>
      </c>
      <c r="D867" s="360">
        <f>'Rate Design Work eff 9-15-17'!D868</f>
        <v>57</v>
      </c>
      <c r="E867" s="308" t="s">
        <v>364</v>
      </c>
      <c r="F867" s="306">
        <f>ROUND(D867/100*C867*$D$745,0)</f>
        <v>0</v>
      </c>
      <c r="G867" s="360">
        <f ca="1">G847</f>
        <v>58</v>
      </c>
      <c r="H867" s="308" t="s">
        <v>364</v>
      </c>
      <c r="I867" s="306">
        <f ca="1">ROUND(G867/100*$C867*$G$849,0)</f>
        <v>0</v>
      </c>
      <c r="J867" s="306"/>
      <c r="K867" s="360" t="str">
        <f>K847</f>
        <v xml:space="preserve"> </v>
      </c>
      <c r="L867" s="308" t="s">
        <v>364</v>
      </c>
      <c r="M867" s="306">
        <f>ROUND(K867/100*$C867*$G$849,0)</f>
        <v>0</v>
      </c>
      <c r="N867" s="306"/>
      <c r="O867" s="360" t="e">
        <f ca="1">O847</f>
        <v>#DIV/0!</v>
      </c>
      <c r="P867" s="308" t="s">
        <v>364</v>
      </c>
      <c r="Q867" s="306" t="e">
        <f ca="1">ROUND(O867/100*$C867*$G$849,0)</f>
        <v>#DIV/0!</v>
      </c>
      <c r="R867" s="306"/>
      <c r="S867" s="360" t="e">
        <f ca="1">S847</f>
        <v>#DIV/0!</v>
      </c>
      <c r="T867" s="308" t="s">
        <v>364</v>
      </c>
      <c r="U867" s="306" t="e">
        <f ca="1">ROUND(S867/100*$C867*$G$849,0)</f>
        <v>#DIV/0!</v>
      </c>
      <c r="V867" s="20"/>
      <c r="W867" s="74"/>
      <c r="X867" s="74"/>
      <c r="Y867" s="74"/>
      <c r="Z867" s="20"/>
      <c r="AA867" s="20"/>
      <c r="AB867" s="2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</row>
    <row r="868" spans="1:44" hidden="1">
      <c r="A868" s="308" t="s">
        <v>433</v>
      </c>
      <c r="B868" s="1"/>
      <c r="C868" s="304">
        <v>0</v>
      </c>
      <c r="D868" s="283">
        <f>'Rate Design Work eff 9-15-17'!D869</f>
        <v>60</v>
      </c>
      <c r="E868" s="1"/>
      <c r="F868" s="306">
        <f>ROUND(D868*$C868,0)</f>
        <v>0</v>
      </c>
      <c r="G868" s="283">
        <f>$G$764</f>
        <v>60</v>
      </c>
      <c r="H868" s="1"/>
      <c r="I868" s="306">
        <f>ROUND(G868*$C868,0)</f>
        <v>0</v>
      </c>
      <c r="J868" s="306"/>
      <c r="K868" s="283" t="str">
        <f>$K$764</f>
        <v xml:space="preserve"> </v>
      </c>
      <c r="L868" s="1"/>
      <c r="M868" s="306">
        <f>ROUND(K868*$C868,0)</f>
        <v>0</v>
      </c>
      <c r="N868" s="306"/>
      <c r="O868" s="283" t="e">
        <f>$O$764</f>
        <v>#DIV/0!</v>
      </c>
      <c r="P868" s="1"/>
      <c r="Q868" s="306" t="e">
        <f>ROUND(O868*$C868,0)</f>
        <v>#DIV/0!</v>
      </c>
      <c r="R868" s="306"/>
      <c r="S868" s="283" t="e">
        <f>$S$764</f>
        <v>#DIV/0!</v>
      </c>
      <c r="T868" s="1"/>
      <c r="U868" s="306" t="e">
        <f>ROUND(S868*$C868,0)</f>
        <v>#DIV/0!</v>
      </c>
      <c r="V868" s="20"/>
      <c r="W868" s="32" t="s">
        <v>31</v>
      </c>
      <c r="X868" s="74"/>
      <c r="Y868" s="74"/>
      <c r="Z868" s="20"/>
      <c r="AA868" s="20"/>
      <c r="AB868" s="20"/>
      <c r="AC868" s="20"/>
      <c r="AD868" s="20"/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</row>
    <row r="869" spans="1:44" hidden="1">
      <c r="A869" s="308" t="s">
        <v>434</v>
      </c>
      <c r="B869" s="1"/>
      <c r="C869" s="304">
        <v>0</v>
      </c>
      <c r="D869" s="324">
        <f>'Rate Design Work eff 9-15-17'!D870</f>
        <v>-30</v>
      </c>
      <c r="E869" s="306" t="s">
        <v>364</v>
      </c>
      <c r="F869" s="306">
        <f>ROUND(D869*$C869/100,0)</f>
        <v>0</v>
      </c>
      <c r="G869" s="324">
        <f>$G$765</f>
        <v>-30</v>
      </c>
      <c r="H869" s="306" t="s">
        <v>364</v>
      </c>
      <c r="I869" s="306">
        <f>ROUND(G869*$C869/100,0)</f>
        <v>0</v>
      </c>
      <c r="J869" s="306"/>
      <c r="K869" s="324">
        <f>$K$765</f>
        <v>-30</v>
      </c>
      <c r="L869" s="306" t="s">
        <v>364</v>
      </c>
      <c r="M869" s="306">
        <f>ROUND(K869*$C869/100,0)</f>
        <v>0</v>
      </c>
      <c r="N869" s="306"/>
      <c r="O869" s="324">
        <f>$O$765</f>
        <v>0</v>
      </c>
      <c r="P869" s="306" t="s">
        <v>364</v>
      </c>
      <c r="Q869" s="306">
        <f>ROUND(O869*$C869/100,0)</f>
        <v>0</v>
      </c>
      <c r="R869" s="306"/>
      <c r="S869" s="324">
        <f>$S$765</f>
        <v>0</v>
      </c>
      <c r="T869" s="306" t="s">
        <v>364</v>
      </c>
      <c r="U869" s="306">
        <f>ROUND(S869*$C869/100,0)</f>
        <v>0</v>
      </c>
      <c r="V869" s="20"/>
      <c r="W869" s="74"/>
      <c r="X869" s="74"/>
      <c r="Y869" s="74"/>
      <c r="Z869" s="20"/>
      <c r="AA869" s="20"/>
      <c r="AB869" s="20"/>
      <c r="AC869" s="20"/>
      <c r="AD869" s="20"/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</row>
    <row r="870" spans="1:44" s="1118" customFormat="1" hidden="1">
      <c r="A870" s="968" t="s">
        <v>891</v>
      </c>
      <c r="C870" s="1122">
        <f>C866</f>
        <v>0</v>
      </c>
      <c r="D870" s="254">
        <f>'Rate Design Work eff 9-15-17'!D871</f>
        <v>0</v>
      </c>
      <c r="E870" s="1119"/>
      <c r="F870" s="1123"/>
      <c r="G870" s="1135">
        <f>G766</f>
        <v>0</v>
      </c>
      <c r="H870" s="1000" t="s">
        <v>364</v>
      </c>
      <c r="I870" s="306">
        <f>ROUND(G870/100*$C870*$G$849,0)</f>
        <v>0</v>
      </c>
      <c r="J870" s="306"/>
      <c r="K870" s="1135" t="str">
        <f>K766</f>
        <v xml:space="preserve"> </v>
      </c>
      <c r="L870" s="1000" t="s">
        <v>364</v>
      </c>
      <c r="M870" s="306">
        <f>ROUND(K870/100*$C870*$G$849,0)</f>
        <v>0</v>
      </c>
      <c r="N870" s="306"/>
      <c r="O870" s="1135" t="str">
        <f>O766</f>
        <v xml:space="preserve"> </v>
      </c>
      <c r="P870" s="1000" t="s">
        <v>364</v>
      </c>
      <c r="Q870" s="306">
        <f>ROUND(O870/100*$C870*$G$849,0)</f>
        <v>0</v>
      </c>
      <c r="R870" s="306"/>
      <c r="S870" s="1135">
        <f>S766</f>
        <v>0</v>
      </c>
      <c r="T870" s="1000" t="s">
        <v>364</v>
      </c>
      <c r="U870" s="306">
        <f>ROUND(S870/100*$C870*$G$849,0)</f>
        <v>0</v>
      </c>
      <c r="W870" s="784"/>
      <c r="Z870" s="1125"/>
      <c r="AA870" s="1125"/>
      <c r="AF870" s="1119"/>
      <c r="AG870" s="1119"/>
      <c r="AH870" s="1119"/>
      <c r="AI870" s="1119"/>
      <c r="AJ870" s="1119"/>
      <c r="AK870" s="1119"/>
      <c r="AL870" s="1119"/>
      <c r="AM870" s="1119"/>
      <c r="AN870" s="1119"/>
      <c r="AO870" s="1119"/>
      <c r="AP870" s="1119"/>
      <c r="AR870" s="1124"/>
    </row>
    <row r="871" spans="1:44" hidden="1">
      <c r="A871" s="1" t="s">
        <v>371</v>
      </c>
      <c r="B871" s="1"/>
      <c r="C871" s="304">
        <f>SUM(C846:C846)</f>
        <v>48181287</v>
      </c>
      <c r="D871" s="315"/>
      <c r="E871" s="308"/>
      <c r="F871" s="2">
        <f>SUM(F826:F869)</f>
        <v>4121159</v>
      </c>
      <c r="G871" s="315"/>
      <c r="H871" s="308"/>
      <c r="I871" s="2">
        <f ca="1">SUM(I826:I870)</f>
        <v>4219243</v>
      </c>
      <c r="J871" s="2"/>
      <c r="K871" s="315"/>
      <c r="L871" s="308"/>
      <c r="M871" s="2" t="e">
        <f ca="1">SUM(M826:M870)</f>
        <v>#REF!</v>
      </c>
      <c r="N871" s="2"/>
      <c r="O871" s="315"/>
      <c r="P871" s="308"/>
      <c r="Q871" s="2" t="e">
        <f ca="1">SUM(Q826:Q870)</f>
        <v>#DIV/0!</v>
      </c>
      <c r="R871" s="2"/>
      <c r="S871" s="315"/>
      <c r="T871" s="308"/>
      <c r="U871" s="2" t="e">
        <f ca="1">SUM(U826:U870)</f>
        <v>#DIV/0!</v>
      </c>
      <c r="V871" s="20"/>
      <c r="W871" s="74"/>
      <c r="X871" s="74"/>
      <c r="Y871" s="74"/>
      <c r="Z871" s="20"/>
      <c r="AA871" s="20"/>
      <c r="AB871" s="20"/>
      <c r="AC871" s="20"/>
      <c r="AD871" s="20"/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</row>
    <row r="872" spans="1:44" hidden="1">
      <c r="A872" s="1" t="s">
        <v>353</v>
      </c>
      <c r="B872" s="1"/>
      <c r="C872" s="334">
        <f ca="1">'Table 2'!H102</f>
        <v>665268.792704936</v>
      </c>
      <c r="D872" s="294"/>
      <c r="E872" s="294"/>
      <c r="F872" s="295">
        <f ca="1">'Table 3'!E102</f>
        <v>50732.788498398135</v>
      </c>
      <c r="G872" s="294"/>
      <c r="H872" s="294"/>
      <c r="I872" s="295">
        <f ca="1">F872</f>
        <v>50732.788498398135</v>
      </c>
      <c r="J872" s="51"/>
      <c r="K872" s="294"/>
      <c r="L872" s="294"/>
      <c r="M872" s="295" t="e">
        <f ca="1">M768/I768*I872</f>
        <v>#DIV/0!</v>
      </c>
      <c r="N872" s="51"/>
      <c r="O872" s="294"/>
      <c r="P872" s="294"/>
      <c r="Q872" s="295" t="e">
        <f ca="1">Q768/I768*I872</f>
        <v>#DIV/0!</v>
      </c>
      <c r="R872" s="51"/>
      <c r="S872" s="294"/>
      <c r="T872" s="294"/>
      <c r="U872" s="295" t="e">
        <f ca="1">U768/I768*I872</f>
        <v>#DIV/0!</v>
      </c>
      <c r="V872" s="429"/>
      <c r="W872" s="272"/>
      <c r="X872" s="74"/>
      <c r="Y872" s="74"/>
      <c r="Z872" s="20"/>
      <c r="AA872" s="20"/>
      <c r="AB872" s="20"/>
      <c r="AC872" s="20"/>
      <c r="AD872" s="20"/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</row>
    <row r="873" spans="1:44" ht="16.5" hidden="1" thickBot="1">
      <c r="A873" s="1" t="s">
        <v>372</v>
      </c>
      <c r="B873" s="1"/>
      <c r="C873" s="351">
        <f ca="1">SUM(C871:C872)</f>
        <v>48846555.792704932</v>
      </c>
      <c r="D873" s="327"/>
      <c r="E873" s="330"/>
      <c r="F873" s="329">
        <f ca="1">F871+F872</f>
        <v>4171891.7884983979</v>
      </c>
      <c r="G873" s="327"/>
      <c r="H873" s="330"/>
      <c r="I873" s="329">
        <f ca="1">I871+I872</f>
        <v>4269975.7884983979</v>
      </c>
      <c r="J873" s="307"/>
      <c r="K873" s="327"/>
      <c r="L873" s="330"/>
      <c r="M873" s="329" t="e">
        <f ca="1">M871+M872</f>
        <v>#REF!</v>
      </c>
      <c r="N873" s="329"/>
      <c r="O873" s="327"/>
      <c r="P873" s="330"/>
      <c r="Q873" s="329" t="e">
        <f ca="1">Q871+Q872</f>
        <v>#DIV/0!</v>
      </c>
      <c r="R873" s="329"/>
      <c r="S873" s="327"/>
      <c r="T873" s="330"/>
      <c r="U873" s="329" t="e">
        <f ca="1">U871+U872</f>
        <v>#DIV/0!</v>
      </c>
      <c r="V873" s="396"/>
      <c r="W873" s="455"/>
      <c r="X873" s="74"/>
      <c r="Y873" s="74"/>
      <c r="Z873" s="20"/>
      <c r="AA873" s="20"/>
      <c r="AB873" s="20"/>
      <c r="AC873" s="20"/>
      <c r="AD873" s="20"/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</row>
    <row r="874" spans="1:44" ht="16.5" hidden="1" thickTop="1">
      <c r="A874" s="1"/>
      <c r="B874" s="1"/>
      <c r="C874" s="26"/>
      <c r="D874" s="336"/>
      <c r="E874" s="23"/>
      <c r="F874" s="307"/>
      <c r="G874" s="336"/>
      <c r="H874" s="23"/>
      <c r="I874" s="307"/>
      <c r="J874" s="307"/>
      <c r="K874" s="336"/>
      <c r="L874" s="23"/>
      <c r="M874" s="307"/>
      <c r="N874" s="307"/>
      <c r="O874" s="336"/>
      <c r="P874" s="23"/>
      <c r="Q874" s="307"/>
      <c r="R874" s="307"/>
      <c r="S874" s="336"/>
      <c r="T874" s="23"/>
      <c r="U874" s="307"/>
      <c r="V874" s="1280"/>
      <c r="W874" s="1280"/>
      <c r="X874" s="1280"/>
      <c r="Y874" s="74"/>
      <c r="Z874" s="20"/>
      <c r="AA874" s="20"/>
      <c r="AB874" s="20"/>
      <c r="AC874" s="20"/>
      <c r="AD874" s="20"/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</row>
    <row r="875" spans="1:44" hidden="1">
      <c r="A875" s="1"/>
      <c r="B875" s="1"/>
      <c r="C875" s="26"/>
      <c r="D875" s="336"/>
      <c r="E875" s="23"/>
      <c r="F875" s="307"/>
      <c r="G875" s="336"/>
      <c r="H875" s="23"/>
      <c r="I875" s="307"/>
      <c r="J875" s="307"/>
      <c r="K875" s="336"/>
      <c r="L875" s="23"/>
      <c r="M875" s="307"/>
      <c r="N875" s="307"/>
      <c r="O875" s="336"/>
      <c r="P875" s="23"/>
      <c r="Q875" s="307"/>
      <c r="R875" s="307"/>
      <c r="S875" s="336"/>
      <c r="T875" s="23"/>
      <c r="U875" s="307"/>
      <c r="V875" s="396"/>
      <c r="W875" s="396"/>
      <c r="X875" s="396"/>
      <c r="Y875" s="32"/>
      <c r="Z875" s="20"/>
      <c r="AA875" s="20"/>
      <c r="AB875" s="2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</row>
    <row r="876" spans="1:44" hidden="1">
      <c r="A876" s="288"/>
      <c r="B876" s="363"/>
      <c r="C876" s="288"/>
      <c r="D876" s="1"/>
      <c r="E876" s="288"/>
      <c r="F876" s="364" t="s">
        <v>31</v>
      </c>
      <c r="G876" s="288"/>
      <c r="H876" s="288"/>
      <c r="I876" s="288"/>
      <c r="J876" s="288"/>
      <c r="K876" s="288"/>
      <c r="L876" s="288"/>
      <c r="M876" s="288"/>
      <c r="N876" s="288"/>
      <c r="O876" s="288"/>
      <c r="P876" s="288"/>
      <c r="Q876" s="288"/>
      <c r="R876" s="288"/>
      <c r="S876" s="288"/>
      <c r="T876" s="288"/>
      <c r="U876" s="288"/>
      <c r="V876" s="20"/>
      <c r="W876" s="74"/>
      <c r="X876" s="74"/>
      <c r="Y876" s="74"/>
      <c r="Z876" s="20"/>
      <c r="AA876" s="20"/>
      <c r="AB876" s="20"/>
      <c r="AC876" s="20"/>
      <c r="AD876" s="20"/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</row>
    <row r="877" spans="1:44">
      <c r="A877" s="278" t="s">
        <v>459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20"/>
      <c r="W877" s="74"/>
      <c r="X877" s="74"/>
      <c r="Y877" s="74"/>
      <c r="Z877" s="20"/>
      <c r="AA877" s="20"/>
      <c r="AB877" s="20"/>
      <c r="AC877" s="20"/>
      <c r="AD877" s="20"/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</row>
    <row r="878" spans="1:44">
      <c r="A878" s="406" t="s">
        <v>900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20"/>
      <c r="W878" s="74"/>
      <c r="X878" s="74"/>
      <c r="Y878" s="74"/>
      <c r="Z878" s="20"/>
      <c r="AA878" s="20"/>
      <c r="AB878" s="20"/>
      <c r="AC878" s="20"/>
      <c r="AD878" s="20"/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</row>
    <row r="879" spans="1:44">
      <c r="A879" s="308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20"/>
      <c r="W879" s="74"/>
      <c r="X879" s="74"/>
      <c r="Y879" s="74"/>
      <c r="Z879" s="20"/>
      <c r="AA879" s="20"/>
      <c r="AB879" s="20"/>
      <c r="AC879" s="20"/>
      <c r="AD879" s="20"/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</row>
    <row r="880" spans="1:44">
      <c r="A880" s="308" t="s">
        <v>383</v>
      </c>
      <c r="B880" s="1"/>
      <c r="C880" s="304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20"/>
      <c r="W880" s="74"/>
      <c r="X880" s="74"/>
      <c r="Y880" s="74"/>
      <c r="Z880" s="20"/>
      <c r="AA880" s="20"/>
      <c r="AB880" s="20"/>
      <c r="AC880" s="20"/>
      <c r="AD880" s="20"/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</row>
    <row r="881" spans="1:44">
      <c r="A881" s="308" t="s">
        <v>461</v>
      </c>
      <c r="B881" s="1"/>
      <c r="C881" s="304">
        <f>'Rate Design Work eff 10-14-16'!C882</f>
        <v>12</v>
      </c>
      <c r="D881" s="369">
        <f>'Rate Design Work eff 9-15-17'!D882</f>
        <v>1411</v>
      </c>
      <c r="E881" s="306"/>
      <c r="F881" s="2">
        <f>ROUND(D881*C881,0)</f>
        <v>16932</v>
      </c>
      <c r="G881" s="369">
        <f ca="1">G960</f>
        <v>1442</v>
      </c>
      <c r="H881" s="306"/>
      <c r="I881" s="2">
        <f ca="1">ROUND(G881*$C881,0)</f>
        <v>17304</v>
      </c>
      <c r="J881" s="2"/>
      <c r="K881" s="369">
        <f ca="1">K960</f>
        <v>1411</v>
      </c>
      <c r="L881" s="306"/>
      <c r="M881" s="2">
        <f ca="1">'Rate Design Work eff 10-14-16'!M882</f>
        <v>16932</v>
      </c>
      <c r="N881" s="2"/>
      <c r="O881" s="369" t="str">
        <f>O960</f>
        <v xml:space="preserve"> </v>
      </c>
      <c r="P881" s="306"/>
      <c r="Q881" s="2">
        <f>'Rate Design Work eff 10-14-16'!Q882</f>
        <v>0</v>
      </c>
      <c r="R881" s="2"/>
      <c r="S881" s="369" t="str">
        <f>S960</f>
        <v xml:space="preserve"> </v>
      </c>
      <c r="T881" s="306"/>
      <c r="U881" s="2">
        <f>'Rate Design Work eff 10-14-16'!U882</f>
        <v>0</v>
      </c>
      <c r="W881" s="14"/>
      <c r="Z881" s="20"/>
      <c r="AA881" s="20"/>
      <c r="AB881" s="20"/>
      <c r="AC881" s="20"/>
      <c r="AD881" s="20"/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</row>
    <row r="882" spans="1:44">
      <c r="A882" s="308" t="s">
        <v>462</v>
      </c>
      <c r="B882" s="1"/>
      <c r="C882" s="304">
        <f>'Rate Design Work eff 10-14-16'!C883</f>
        <v>0</v>
      </c>
      <c r="D882" s="369">
        <f>'Rate Design Work eff 9-15-17'!D883</f>
        <v>1703</v>
      </c>
      <c r="E882" s="309"/>
      <c r="F882" s="2">
        <f>ROUND(D882*C882,0)</f>
        <v>0</v>
      </c>
      <c r="G882" s="369">
        <f ca="1">G961</f>
        <v>1743</v>
      </c>
      <c r="H882" s="309"/>
      <c r="I882" s="2">
        <f ca="1">ROUND(G882*$C882,0)</f>
        <v>0</v>
      </c>
      <c r="J882" s="2"/>
      <c r="K882" s="369">
        <f ca="1">K961</f>
        <v>1703</v>
      </c>
      <c r="L882" s="309"/>
      <c r="M882" s="2">
        <f ca="1">'Rate Design Work eff 10-14-16'!M883</f>
        <v>0</v>
      </c>
      <c r="N882" s="2"/>
      <c r="O882" s="369" t="str">
        <f>O961</f>
        <v xml:space="preserve"> </v>
      </c>
      <c r="P882" s="309"/>
      <c r="Q882" s="2">
        <f>'Rate Design Work eff 10-14-16'!Q883</f>
        <v>0</v>
      </c>
      <c r="R882" s="2"/>
      <c r="S882" s="369" t="str">
        <f>S961</f>
        <v xml:space="preserve"> </v>
      </c>
      <c r="T882" s="309"/>
      <c r="U882" s="2">
        <f>'Rate Design Work eff 10-14-16'!U883</f>
        <v>0</v>
      </c>
      <c r="W882" s="14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</row>
    <row r="883" spans="1:44">
      <c r="A883" s="308" t="s">
        <v>384</v>
      </c>
      <c r="B883" s="1"/>
      <c r="C883" s="304">
        <f>SUM(C881:C882)</f>
        <v>12</v>
      </c>
      <c r="D883" s="369"/>
      <c r="E883" s="306"/>
      <c r="F883" s="2" t="s">
        <v>31</v>
      </c>
      <c r="G883" s="369" t="str">
        <f>W924</f>
        <v xml:space="preserve"> </v>
      </c>
      <c r="H883" s="306"/>
      <c r="I883" s="2" t="s">
        <v>31</v>
      </c>
      <c r="J883" s="2"/>
      <c r="K883" s="369">
        <f>Z924</f>
        <v>0</v>
      </c>
      <c r="L883" s="306"/>
      <c r="M883" s="2" t="s">
        <v>31</v>
      </c>
      <c r="N883" s="2"/>
      <c r="O883" s="369">
        <f>AD924</f>
        <v>0</v>
      </c>
      <c r="P883" s="306"/>
      <c r="Q883" s="2" t="s">
        <v>31</v>
      </c>
      <c r="R883" s="2"/>
      <c r="S883" s="369">
        <f>AH924</f>
        <v>0</v>
      </c>
      <c r="T883" s="306"/>
      <c r="U883" s="2" t="s">
        <v>31</v>
      </c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</row>
    <row r="884" spans="1:44">
      <c r="A884" s="308" t="s">
        <v>463</v>
      </c>
      <c r="B884" s="1"/>
      <c r="C884" s="304">
        <f>'Rate Design Work eff 10-14-16'!C885</f>
        <v>23896</v>
      </c>
      <c r="D884" s="369">
        <f>'Rate Design Work eff 9-15-17'!D885</f>
        <v>1.1200000000000001</v>
      </c>
      <c r="E884" s="306"/>
      <c r="F884" s="2">
        <f>ROUND(D884*C884,0)</f>
        <v>26764</v>
      </c>
      <c r="G884" s="369">
        <f ca="1">G963</f>
        <v>1.1499999999999999</v>
      </c>
      <c r="H884" s="306"/>
      <c r="I884" s="2">
        <f ca="1">ROUND(G884*$C884,0)</f>
        <v>27480</v>
      </c>
      <c r="J884" s="2"/>
      <c r="K884" s="369">
        <f ca="1">K963</f>
        <v>1.1200000000000001</v>
      </c>
      <c r="L884" s="306"/>
      <c r="M884" s="2">
        <f ca="1">'Rate Design Work eff 10-14-16'!M885</f>
        <v>26764</v>
      </c>
      <c r="N884" s="2"/>
      <c r="O884" s="369" t="str">
        <f>O963</f>
        <v xml:space="preserve"> </v>
      </c>
      <c r="P884" s="306"/>
      <c r="Q884" s="2">
        <f>'Rate Design Work eff 10-14-16'!Q885</f>
        <v>0</v>
      </c>
      <c r="R884" s="2"/>
      <c r="S884" s="369" t="str">
        <f>S963</f>
        <v xml:space="preserve"> </v>
      </c>
      <c r="T884" s="306"/>
      <c r="U884" s="2">
        <f>'Rate Design Work eff 10-14-16'!U885</f>
        <v>0</v>
      </c>
      <c r="W884" s="14"/>
      <c r="Z884" s="20"/>
      <c r="AA884" s="20"/>
      <c r="AB884" s="20"/>
      <c r="AC884" s="20"/>
      <c r="AD884" s="20"/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</row>
    <row r="885" spans="1:44">
      <c r="A885" s="308" t="s">
        <v>464</v>
      </c>
      <c r="B885" s="1"/>
      <c r="C885" s="304">
        <f>'Rate Design Work eff 10-14-16'!C886</f>
        <v>0</v>
      </c>
      <c r="D885" s="369">
        <f>'Rate Design Work eff 9-15-17'!D886</f>
        <v>1.01</v>
      </c>
      <c r="E885" s="306"/>
      <c r="F885" s="2">
        <f>ROUND(D885*C885,0)</f>
        <v>0</v>
      </c>
      <c r="G885" s="369">
        <f ca="1">G964</f>
        <v>1.03</v>
      </c>
      <c r="H885" s="306"/>
      <c r="I885" s="2">
        <f ca="1">ROUND(G885*$C885,0)</f>
        <v>0</v>
      </c>
      <c r="J885" s="2"/>
      <c r="K885" s="369">
        <f ca="1">K964</f>
        <v>1.01</v>
      </c>
      <c r="L885" s="306"/>
      <c r="M885" s="2">
        <f ca="1">'Rate Design Work eff 10-14-16'!M886</f>
        <v>0</v>
      </c>
      <c r="N885" s="2"/>
      <c r="O885" s="369" t="str">
        <f>O964</f>
        <v xml:space="preserve"> </v>
      </c>
      <c r="P885" s="306"/>
      <c r="Q885" s="2">
        <f>'Rate Design Work eff 10-14-16'!Q886</f>
        <v>0</v>
      </c>
      <c r="R885" s="2"/>
      <c r="S885" s="369" t="str">
        <f>S964</f>
        <v xml:space="preserve"> </v>
      </c>
      <c r="T885" s="306"/>
      <c r="U885" s="2">
        <f>'Rate Design Work eff 10-14-16'!U886</f>
        <v>0</v>
      </c>
      <c r="Z885" s="20"/>
      <c r="AA885" s="20"/>
      <c r="AB885" s="20"/>
      <c r="AC885" s="20"/>
      <c r="AD885" s="20"/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</row>
    <row r="886" spans="1:44">
      <c r="A886" s="294" t="s">
        <v>393</v>
      </c>
      <c r="B886" s="1"/>
      <c r="C886" s="304">
        <f>'Rate Design Work eff 10-14-16'!C887</f>
        <v>19015</v>
      </c>
      <c r="D886" s="369">
        <f>'Rate Design Work eff 9-15-17'!D887</f>
        <v>7.97</v>
      </c>
      <c r="E886" s="306"/>
      <c r="F886" s="2">
        <f>ROUND(D886*C886,0)</f>
        <v>151550</v>
      </c>
      <c r="G886" s="369">
        <f ca="1">G965</f>
        <v>8.16</v>
      </c>
      <c r="H886" s="306"/>
      <c r="I886" s="2">
        <f ca="1">ROUND(G886*$C886,0)</f>
        <v>155162</v>
      </c>
      <c r="J886" s="2"/>
      <c r="K886" s="369" t="e">
        <f ca="1">K965</f>
        <v>#DIV/0!</v>
      </c>
      <c r="L886" s="306"/>
      <c r="M886" s="2" t="e">
        <f ca="1">'Rate Design Work eff 10-14-16'!M887</f>
        <v>#DIV/0!</v>
      </c>
      <c r="N886" s="2"/>
      <c r="O886" s="369" t="e">
        <f ca="1">O965</f>
        <v>#DIV/0!</v>
      </c>
      <c r="P886" s="306"/>
      <c r="Q886" s="2" t="e">
        <f ca="1">'Rate Design Work eff 10-14-16'!Q887</f>
        <v>#DIV/0!</v>
      </c>
      <c r="R886" s="2"/>
      <c r="S886" s="369" t="e">
        <f ca="1">S965</f>
        <v>#DIV/0!</v>
      </c>
      <c r="T886" s="306"/>
      <c r="U886" s="2" t="e">
        <f ca="1">'Rate Design Work eff 10-14-16'!U887</f>
        <v>#DIV/0!</v>
      </c>
      <c r="Z886" s="20"/>
      <c r="AA886" s="20"/>
      <c r="AB886" s="20"/>
      <c r="AC886" s="20"/>
      <c r="AD886" s="20"/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</row>
    <row r="887" spans="1:44">
      <c r="A887" s="308" t="s">
        <v>416</v>
      </c>
      <c r="B887" s="1"/>
      <c r="C887" s="304"/>
      <c r="D887" s="369"/>
      <c r="E887" s="306"/>
      <c r="F887" s="2"/>
      <c r="G887" s="369"/>
      <c r="H887" s="306"/>
      <c r="I887" s="2"/>
      <c r="J887" s="2"/>
      <c r="K887" s="369"/>
      <c r="L887" s="306"/>
      <c r="M887" s="2"/>
      <c r="N887" s="2"/>
      <c r="O887" s="369"/>
      <c r="P887" s="306"/>
      <c r="Q887" s="2"/>
      <c r="R887" s="2"/>
      <c r="S887" s="369"/>
      <c r="T887" s="306"/>
      <c r="U887" s="2"/>
      <c r="Z887" s="20"/>
      <c r="AA887" s="20"/>
      <c r="AB887" s="20"/>
      <c r="AC887" s="20"/>
      <c r="AD887" s="20"/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</row>
    <row r="888" spans="1:44">
      <c r="A888" s="308" t="s">
        <v>454</v>
      </c>
      <c r="B888" s="1"/>
      <c r="C888" s="304">
        <f>'Rate Design Work eff 10-14-16'!C889</f>
        <v>2245825</v>
      </c>
      <c r="D888" s="372">
        <f>'Rate Design Work eff 9-15-17'!D889</f>
        <v>4.7409999999999997</v>
      </c>
      <c r="E888" s="306" t="s">
        <v>364</v>
      </c>
      <c r="F888" s="2">
        <f>ROUND(D888/100*C888,0)</f>
        <v>106475</v>
      </c>
      <c r="G888" s="372">
        <f ca="1">G967</f>
        <v>4.8520000000000003</v>
      </c>
      <c r="H888" s="306" t="s">
        <v>364</v>
      </c>
      <c r="I888" s="2">
        <f ca="1">ROUND(G888/100*$C888,0)</f>
        <v>108967</v>
      </c>
      <c r="J888" s="2"/>
      <c r="K888" s="372" t="str">
        <f>K967</f>
        <v xml:space="preserve"> </v>
      </c>
      <c r="L888" s="306" t="s">
        <v>31</v>
      </c>
      <c r="M888" s="2">
        <f>'Rate Design Work eff 10-14-16'!M889</f>
        <v>0</v>
      </c>
      <c r="N888" s="2"/>
      <c r="O888" s="372" t="e">
        <f ca="1">O967</f>
        <v>#DIV/0!</v>
      </c>
      <c r="P888" s="306" t="s">
        <v>364</v>
      </c>
      <c r="Q888" s="2" t="e">
        <f ca="1">'Rate Design Work eff 10-14-16'!Q889</f>
        <v>#DIV/0!</v>
      </c>
      <c r="R888" s="2"/>
      <c r="S888" s="372" t="e">
        <f ca="1">S967</f>
        <v>#DIV/0!</v>
      </c>
      <c r="T888" s="306" t="s">
        <v>364</v>
      </c>
      <c r="U888" s="2" t="e">
        <f ca="1">'Rate Design Work eff 10-14-16'!U889</f>
        <v>#DIV/0!</v>
      </c>
      <c r="Z888" s="20"/>
      <c r="AA888" s="20"/>
      <c r="AB888" s="20"/>
      <c r="AC888" s="20"/>
      <c r="AD888" s="20"/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</row>
    <row r="889" spans="1:44">
      <c r="A889" s="308" t="s">
        <v>390</v>
      </c>
      <c r="B889" s="1"/>
      <c r="C889" s="304">
        <f>'Rate Design Work eff 10-14-16'!C890</f>
        <v>0</v>
      </c>
      <c r="D889" s="369">
        <f>'Rate Design Work eff 9-15-17'!D890</f>
        <v>0.56000000000000005</v>
      </c>
      <c r="E889" s="306"/>
      <c r="F889" s="2">
        <f>ROUND(D889*C889,0)</f>
        <v>0</v>
      </c>
      <c r="G889" s="369">
        <f ca="1">G968</f>
        <v>0.56999999999999995</v>
      </c>
      <c r="H889" s="306"/>
      <c r="I889" s="2">
        <f ca="1">ROUND(G889*$C889,0)</f>
        <v>0</v>
      </c>
      <c r="J889" s="2"/>
      <c r="K889" s="369" t="str">
        <f>K968</f>
        <v xml:space="preserve"> </v>
      </c>
      <c r="L889" s="306"/>
      <c r="M889" s="2">
        <f>'Rate Design Work eff 10-14-16'!M890</f>
        <v>0</v>
      </c>
      <c r="N889" s="2"/>
      <c r="O889" s="369" t="e">
        <f ca="1">O968</f>
        <v>#DIV/0!</v>
      </c>
      <c r="P889" s="306"/>
      <c r="Q889" s="2" t="e">
        <f ca="1">'Rate Design Work eff 10-14-16'!Q890</f>
        <v>#DIV/0!</v>
      </c>
      <c r="R889" s="2"/>
      <c r="S889" s="369" t="e">
        <f ca="1">S968</f>
        <v>#DIV/0!</v>
      </c>
      <c r="T889" s="306"/>
      <c r="U889" s="2" t="e">
        <f ca="1">'Rate Design Work eff 10-14-16'!U890</f>
        <v>#DIV/0!</v>
      </c>
      <c r="V889" s="304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</row>
    <row r="890" spans="1:44">
      <c r="A890" s="294" t="s">
        <v>418</v>
      </c>
      <c r="B890" s="1"/>
      <c r="C890" s="304">
        <f>'Rate Design Work eff 10-14-16'!C891</f>
        <v>0</v>
      </c>
      <c r="D890" s="373">
        <f>'Rate Design Work eff 9-15-17'!D891</f>
        <v>5.9999999999999995E-4</v>
      </c>
      <c r="E890" s="306"/>
      <c r="F890" s="2">
        <f>ROUND(D890*C890,0)</f>
        <v>0</v>
      </c>
      <c r="G890" s="373">
        <v>5.9999999999999995E-4</v>
      </c>
      <c r="H890" s="306"/>
      <c r="I890" s="2">
        <f>ROUND(G890*$C890,0)</f>
        <v>0</v>
      </c>
      <c r="J890" s="2"/>
      <c r="K890" s="373">
        <v>0</v>
      </c>
      <c r="L890" s="306"/>
      <c r="M890" s="2">
        <f>'Rate Design Work eff 10-14-16'!M891</f>
        <v>0</v>
      </c>
      <c r="N890" s="2"/>
      <c r="O890" s="373" t="e">
        <f ca="1">O889/G889*G890</f>
        <v>#DIV/0!</v>
      </c>
      <c r="P890" s="306"/>
      <c r="Q890" s="2">
        <f>'Rate Design Work eff 10-14-16'!Q891</f>
        <v>0</v>
      </c>
      <c r="R890" s="2"/>
      <c r="S890" s="373" t="e">
        <f ca="1">S889/G889*G890</f>
        <v>#DIV/0!</v>
      </c>
      <c r="T890" s="306"/>
      <c r="U890" s="2">
        <f>'Rate Design Work eff 10-14-16'!U891</f>
        <v>0</v>
      </c>
      <c r="V890" s="304"/>
      <c r="Z890" s="20"/>
      <c r="AA890" s="20"/>
      <c r="AB890" s="20"/>
      <c r="AC890" s="20"/>
      <c r="AD890" s="20"/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</row>
    <row r="891" spans="1:44">
      <c r="A891" s="294" t="s">
        <v>423</v>
      </c>
      <c r="B891" s="1"/>
      <c r="C891" s="304">
        <f>'Rate Design Work eff 10-14-16'!C892</f>
        <v>4985</v>
      </c>
      <c r="D891" s="319">
        <f>'Rate Design Work eff 9-15-17'!D892</f>
        <v>3.9849999999999999</v>
      </c>
      <c r="E891" s="306"/>
      <c r="F891" s="306">
        <f>ROUND(D891*$C891,0)</f>
        <v>19865</v>
      </c>
      <c r="G891" s="319">
        <f ca="1">ROUND(G886/2,3)</f>
        <v>4.08</v>
      </c>
      <c r="H891" s="306"/>
      <c r="I891" s="306">
        <f ca="1">ROUND($C891*G891,0)</f>
        <v>20339</v>
      </c>
      <c r="J891" s="306"/>
      <c r="K891" s="319" t="e">
        <f ca="1">ROUND(K886/2,3)</f>
        <v>#DIV/0!</v>
      </c>
      <c r="L891" s="306"/>
      <c r="M891" s="2" t="e">
        <f ca="1">'Rate Design Work eff 10-14-16'!M892</f>
        <v>#DIV/0!</v>
      </c>
      <c r="N891" s="306"/>
      <c r="O891" s="319" t="e">
        <f ca="1">ROUND(O886/2,3)</f>
        <v>#DIV/0!</v>
      </c>
      <c r="P891" s="306"/>
      <c r="Q891" s="2" t="e">
        <f ca="1">'Rate Design Work eff 10-14-16'!Q892</f>
        <v>#DIV/0!</v>
      </c>
      <c r="R891" s="306"/>
      <c r="S891" s="319" t="e">
        <f ca="1">ROUND(S886/2,3)</f>
        <v>#DIV/0!</v>
      </c>
      <c r="T891" s="306"/>
      <c r="U891" s="2" t="e">
        <f ca="1">'Rate Design Work eff 10-14-16'!U892</f>
        <v>#DIV/0!</v>
      </c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</row>
    <row r="892" spans="1:44">
      <c r="A892" s="294" t="s">
        <v>424</v>
      </c>
      <c r="B892" s="1"/>
      <c r="C892" s="304">
        <f>'Rate Design Work eff 10-14-16'!C893</f>
        <v>100</v>
      </c>
      <c r="D892" s="319">
        <f>'Rate Design Work eff 9-15-17'!D893</f>
        <v>31.88</v>
      </c>
      <c r="E892" s="306"/>
      <c r="F892" s="306">
        <f>ROUND(D892*$C892,0)</f>
        <v>3188</v>
      </c>
      <c r="G892" s="319">
        <f ca="1">G886*4</f>
        <v>32.64</v>
      </c>
      <c r="H892" s="306"/>
      <c r="I892" s="306">
        <f ca="1">ROUND($C892*G892,0)</f>
        <v>3264</v>
      </c>
      <c r="J892" s="306"/>
      <c r="K892" s="319" t="e">
        <f ca="1">K886*4</f>
        <v>#DIV/0!</v>
      </c>
      <c r="L892" s="306"/>
      <c r="M892" s="2" t="e">
        <f ca="1">'Rate Design Work eff 10-14-16'!M893</f>
        <v>#DIV/0!</v>
      </c>
      <c r="N892" s="306"/>
      <c r="O892" s="319" t="e">
        <f ca="1">O886*4</f>
        <v>#DIV/0!</v>
      </c>
      <c r="P892" s="306"/>
      <c r="Q892" s="2" t="e">
        <f ca="1">'Rate Design Work eff 10-14-16'!Q893</f>
        <v>#DIV/0!</v>
      </c>
      <c r="R892" s="306"/>
      <c r="S892" s="319" t="e">
        <f ca="1">S886*4</f>
        <v>#DIV/0!</v>
      </c>
      <c r="T892" s="306"/>
      <c r="U892" s="2" t="e">
        <f ca="1">'Rate Design Work eff 10-14-16'!U893</f>
        <v>#DIV/0!</v>
      </c>
      <c r="Z892" s="20"/>
      <c r="AA892" s="20"/>
      <c r="AB892" s="20"/>
      <c r="AC892" s="20"/>
      <c r="AD892" s="20"/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</row>
    <row r="893" spans="1:44">
      <c r="A893" s="3" t="s">
        <v>425</v>
      </c>
      <c r="B893" s="288"/>
      <c r="C893" s="304">
        <f>'Rate Design Work eff 10-14-16'!C894</f>
        <v>175</v>
      </c>
      <c r="D893" s="377">
        <f>'Rate Design Work eff 9-15-17'!D894</f>
        <v>18.963999999999999</v>
      </c>
      <c r="E893" s="306" t="s">
        <v>364</v>
      </c>
      <c r="F893" s="306">
        <f>ROUND($C893*D893/100,0)</f>
        <v>33</v>
      </c>
      <c r="G893" s="377">
        <f ca="1">(G888+G894)*4</f>
        <v>19.408000000000001</v>
      </c>
      <c r="H893" s="306" t="s">
        <v>364</v>
      </c>
      <c r="I893" s="306">
        <f ca="1">ROUND($C893*G893/100,0)</f>
        <v>34</v>
      </c>
      <c r="J893" s="306"/>
      <c r="K893" s="377" t="s">
        <v>31</v>
      </c>
      <c r="L893" s="306" t="s">
        <v>31</v>
      </c>
      <c r="M893" s="2">
        <f>'Rate Design Work eff 10-14-16'!M894</f>
        <v>0</v>
      </c>
      <c r="N893" s="306"/>
      <c r="O893" s="377" t="e">
        <f ca="1">(O888+O894)*4</f>
        <v>#DIV/0!</v>
      </c>
      <c r="P893" s="306" t="s">
        <v>364</v>
      </c>
      <c r="Q893" s="2" t="e">
        <f ca="1">'Rate Design Work eff 10-14-16'!Q894</f>
        <v>#DIV/0!</v>
      </c>
      <c r="R893" s="306"/>
      <c r="S893" s="377" t="e">
        <f ca="1">(S888+S894)*4</f>
        <v>#DIV/0!</v>
      </c>
      <c r="T893" s="306" t="s">
        <v>364</v>
      </c>
      <c r="U893" s="2" t="e">
        <f ca="1">'Rate Design Work eff 10-14-16'!U894</f>
        <v>#DIV/0!</v>
      </c>
      <c r="Z893" s="20"/>
      <c r="AA893" s="20"/>
      <c r="AB893" s="20"/>
      <c r="AC893" s="20"/>
      <c r="AD893" s="20"/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</row>
    <row r="894" spans="1:44" s="1118" customFormat="1" hidden="1">
      <c r="A894" s="968" t="s">
        <v>891</v>
      </c>
      <c r="C894" s="1122">
        <f>C888</f>
        <v>2245825</v>
      </c>
      <c r="D894" s="254">
        <f>'Rate Design Work eff 9-15-17'!D895</f>
        <v>0</v>
      </c>
      <c r="E894" s="1119"/>
      <c r="F894" s="1123"/>
      <c r="G894" s="1136">
        <f>G949</f>
        <v>0</v>
      </c>
      <c r="H894" s="1000" t="s">
        <v>364</v>
      </c>
      <c r="I894" s="1123">
        <f>ROUND(G894/100*$C894,0)</f>
        <v>0</v>
      </c>
      <c r="J894" s="1123"/>
      <c r="K894" s="1136" t="str">
        <f>K949</f>
        <v xml:space="preserve"> </v>
      </c>
      <c r="L894" s="1000" t="s">
        <v>31</v>
      </c>
      <c r="M894" s="2">
        <f>'Rate Design Work eff 10-14-16'!M895</f>
        <v>0</v>
      </c>
      <c r="N894" s="1123"/>
      <c r="O894" s="1136" t="str">
        <f>O949</f>
        <v xml:space="preserve"> </v>
      </c>
      <c r="P894" s="1000" t="s">
        <v>31</v>
      </c>
      <c r="Q894" s="2">
        <f>'Rate Design Work eff 10-14-16'!Q895</f>
        <v>0</v>
      </c>
      <c r="R894" s="1123"/>
      <c r="S894" s="1136">
        <f>S949</f>
        <v>0</v>
      </c>
      <c r="T894" s="1000" t="s">
        <v>364</v>
      </c>
      <c r="U894" s="2">
        <f>'Rate Design Work eff 10-14-16'!U895</f>
        <v>0</v>
      </c>
      <c r="W894" s="784"/>
      <c r="Z894" s="1125"/>
      <c r="AA894" s="1125"/>
      <c r="AF894" s="1119"/>
      <c r="AG894" s="1119"/>
      <c r="AH894" s="1119"/>
      <c r="AI894" s="1119"/>
      <c r="AJ894" s="1119"/>
      <c r="AK894" s="1119"/>
      <c r="AL894" s="1119"/>
      <c r="AM894" s="1119"/>
      <c r="AN894" s="1119"/>
      <c r="AO894" s="1119"/>
      <c r="AP894" s="1119"/>
      <c r="AR894" s="1124"/>
    </row>
    <row r="895" spans="1:44">
      <c r="A895" s="1" t="s">
        <v>371</v>
      </c>
      <c r="B895" s="1"/>
      <c r="C895" s="304">
        <f>C894</f>
        <v>2245825</v>
      </c>
      <c r="D895" s="315"/>
      <c r="E895" s="1"/>
      <c r="F895" s="2">
        <f>SUM(F881:F893)</f>
        <v>324807</v>
      </c>
      <c r="G895" s="315"/>
      <c r="H895" s="1"/>
      <c r="I895" s="2">
        <f ca="1">SUM(I881:I894)</f>
        <v>332550</v>
      </c>
      <c r="J895" s="2"/>
      <c r="K895" s="315"/>
      <c r="L895" s="1"/>
      <c r="M895" s="2" t="e">
        <f ca="1">SUM(M881:M894)</f>
        <v>#DIV/0!</v>
      </c>
      <c r="N895" s="2"/>
      <c r="O895" s="315"/>
      <c r="P895" s="1"/>
      <c r="Q895" s="2" t="e">
        <f ca="1">SUM(Q881:Q894)</f>
        <v>#DIV/0!</v>
      </c>
      <c r="R895" s="2"/>
      <c r="S895" s="315"/>
      <c r="T895" s="1"/>
      <c r="U895" s="2" t="e">
        <f ca="1">SUM(U881:U894)</f>
        <v>#DIV/0!</v>
      </c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</row>
    <row r="896" spans="1:44">
      <c r="A896" s="1" t="s">
        <v>353</v>
      </c>
      <c r="B896" s="1"/>
      <c r="C896" s="304">
        <f ca="1">'Table 2'!H79</f>
        <v>6982.7291342675553</v>
      </c>
      <c r="D896" s="294"/>
      <c r="E896" s="294"/>
      <c r="F896" s="326">
        <f ca="1">'Table 3'!E79</f>
        <v>1009.9054190115011</v>
      </c>
      <c r="G896" s="294"/>
      <c r="H896" s="294"/>
      <c r="I896" s="326">
        <f ca="1">F896</f>
        <v>1009.9054190115011</v>
      </c>
      <c r="J896" s="307"/>
      <c r="K896" s="294"/>
      <c r="L896" s="294"/>
      <c r="M896" s="738" t="e">
        <f ca="1">$I$896*V954/(V954+$W$954+$X$954)</f>
        <v>#DIV/0!</v>
      </c>
      <c r="N896" s="51"/>
      <c r="O896" s="294"/>
      <c r="P896" s="294"/>
      <c r="Q896" s="738" t="e">
        <f ca="1">$I$896*W954/(V954+$W$954+$X$954)</f>
        <v>#DIV/0!</v>
      </c>
      <c r="R896" s="51"/>
      <c r="S896" s="294"/>
      <c r="T896" s="294"/>
      <c r="U896" s="738" t="e">
        <f ca="1">$I$896*X954/($V$954+$W$954+$X$954)</f>
        <v>#DIV/0!</v>
      </c>
      <c r="Z896" s="20"/>
      <c r="AA896" s="20"/>
      <c r="AB896" s="20"/>
      <c r="AC896" s="20"/>
      <c r="AD896" s="20"/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</row>
    <row r="897" spans="1:45" ht="16.5" thickBot="1">
      <c r="A897" s="1" t="s">
        <v>372</v>
      </c>
      <c r="B897" s="1"/>
      <c r="C897" s="378">
        <f ca="1">SUM(C895)+C896</f>
        <v>2252807.7291342677</v>
      </c>
      <c r="D897" s="327"/>
      <c r="E897" s="330"/>
      <c r="F897" s="329">
        <f ca="1">F895+F896</f>
        <v>325816.90541901148</v>
      </c>
      <c r="G897" s="327"/>
      <c r="H897" s="330"/>
      <c r="I897" s="329">
        <f ca="1">I895+I896</f>
        <v>333559.90541901148</v>
      </c>
      <c r="J897" s="329"/>
      <c r="K897" s="327"/>
      <c r="L897" s="330"/>
      <c r="M897" s="329" t="e">
        <f ca="1">M895+M896</f>
        <v>#DIV/0!</v>
      </c>
      <c r="N897" s="329"/>
      <c r="O897" s="327"/>
      <c r="P897" s="330"/>
      <c r="Q897" s="329" t="e">
        <f ca="1">Q895+Q896</f>
        <v>#DIV/0!</v>
      </c>
      <c r="R897" s="329"/>
      <c r="S897" s="327"/>
      <c r="T897" s="330"/>
      <c r="U897" s="329" t="e">
        <f ca="1">U895+U896</f>
        <v>#DIV/0!</v>
      </c>
      <c r="V897" s="757" t="s">
        <v>354</v>
      </c>
      <c r="W897" s="778">
        <f ca="1">'Rate Spread targets'!X28*1000</f>
        <v>333313.81917975377</v>
      </c>
      <c r="X897" s="787">
        <f ca="1">'Rate Spread targets'!V28</f>
        <v>1.6941448609556001E-2</v>
      </c>
      <c r="Y897" s="751"/>
      <c r="Z897" s="20"/>
      <c r="AA897" s="20"/>
      <c r="AB897" s="20"/>
      <c r="AC897" s="20"/>
      <c r="AD897" s="20"/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</row>
    <row r="898" spans="1:45" ht="16.5" thickTop="1">
      <c r="A898" s="1"/>
      <c r="B898" s="1"/>
      <c r="C898" s="21"/>
      <c r="D898" s="322"/>
      <c r="E898" s="1"/>
      <c r="F898" s="2"/>
      <c r="G898" s="322"/>
      <c r="H898" s="1"/>
      <c r="I898" s="365"/>
      <c r="J898" s="365"/>
      <c r="K898" s="322"/>
      <c r="L898" s="1"/>
      <c r="M898" s="365"/>
      <c r="N898" s="365"/>
      <c r="O898" s="322"/>
      <c r="P898" s="1"/>
      <c r="Q898" s="365"/>
      <c r="R898" s="365"/>
      <c r="S898" s="322"/>
      <c r="T898" s="1"/>
      <c r="U898" s="365"/>
      <c r="V898" s="112" t="s">
        <v>257</v>
      </c>
      <c r="W898" s="780">
        <f ca="1">W897-I897</f>
        <v>-246.08623925771099</v>
      </c>
      <c r="X898" s="785" t="s">
        <v>31</v>
      </c>
      <c r="Y898" s="795"/>
      <c r="Z898" s="20"/>
      <c r="AA898" s="20"/>
      <c r="AB898" s="20"/>
      <c r="AC898" s="20"/>
      <c r="AD898" s="20"/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</row>
    <row r="899" spans="1:45">
      <c r="A899" s="278" t="s">
        <v>466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20"/>
      <c r="W899" s="74"/>
      <c r="X899" s="74"/>
      <c r="Y899" s="74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</row>
    <row r="900" spans="1:45">
      <c r="A900" s="294" t="s">
        <v>467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20"/>
      <c r="W900" s="74"/>
      <c r="X900" s="74"/>
      <c r="Y900" s="74"/>
      <c r="Z900" s="20"/>
      <c r="AA900" s="20"/>
      <c r="AB900" s="20"/>
      <c r="AC900" s="20"/>
      <c r="AD900" s="20"/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</row>
    <row r="901" spans="1:45">
      <c r="A901" s="308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20"/>
      <c r="W901" s="74"/>
      <c r="X901" s="74"/>
      <c r="Y901" s="74"/>
      <c r="Z901" s="20"/>
      <c r="AA901" s="20"/>
      <c r="AB901" s="20"/>
      <c r="AC901" s="20"/>
      <c r="AD901" s="20"/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</row>
    <row r="902" spans="1:45">
      <c r="A902" s="308" t="s">
        <v>383</v>
      </c>
      <c r="B902" s="1"/>
      <c r="C902" s="304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20"/>
      <c r="W902" s="74"/>
      <c r="X902" s="74"/>
      <c r="Y902" s="74"/>
      <c r="Z902" s="20"/>
      <c r="AA902" s="20"/>
      <c r="AB902" s="20"/>
      <c r="AC902" s="20"/>
      <c r="AD902" s="20"/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</row>
    <row r="903" spans="1:45">
      <c r="A903" s="308" t="s">
        <v>461</v>
      </c>
      <c r="B903" s="1"/>
      <c r="C903" s="304">
        <f t="shared" ref="C903:C908" si="141">C922+C1091</f>
        <v>781.84848484848533</v>
      </c>
      <c r="D903" s="322"/>
      <c r="E903" s="306"/>
      <c r="F903" s="2">
        <f>F922+F1091</f>
        <v>1107359</v>
      </c>
      <c r="G903" s="322"/>
      <c r="H903" s="306"/>
      <c r="I903" s="2">
        <f ca="1">I922+I1091</f>
        <v>1131987</v>
      </c>
      <c r="J903" s="2"/>
      <c r="K903" s="322"/>
      <c r="L903" s="306"/>
      <c r="M903" s="2">
        <f ca="1">M922+M1091</f>
        <v>1107359</v>
      </c>
      <c r="N903" s="2"/>
      <c r="O903" s="322"/>
      <c r="P903" s="306"/>
      <c r="Q903" s="2">
        <f>Q922+Q1091</f>
        <v>0</v>
      </c>
      <c r="R903" s="2"/>
      <c r="S903" s="322"/>
      <c r="T903" s="306"/>
      <c r="U903" s="2">
        <f>U922+U1091</f>
        <v>0</v>
      </c>
      <c r="W903" s="55" t="s">
        <v>31</v>
      </c>
      <c r="X903" s="3"/>
      <c r="Y903" s="3"/>
      <c r="AG903" s="314"/>
      <c r="AH903" s="314"/>
      <c r="AN903" s="20"/>
      <c r="AO903" s="20"/>
      <c r="AP903" s="20"/>
      <c r="AQ903" s="20"/>
      <c r="AR903" s="20"/>
      <c r="AS903" s="20"/>
    </row>
    <row r="904" spans="1:45">
      <c r="A904" s="308" t="s">
        <v>462</v>
      </c>
      <c r="B904" s="1"/>
      <c r="C904" s="304">
        <f t="shared" si="141"/>
        <v>12.033333333333299</v>
      </c>
      <c r="D904" s="322"/>
      <c r="E904" s="309"/>
      <c r="F904" s="2">
        <f>F923+F1092</f>
        <v>32237</v>
      </c>
      <c r="G904" s="322"/>
      <c r="H904" s="309"/>
      <c r="I904" s="2">
        <f ca="1">I923+I1092</f>
        <v>34283</v>
      </c>
      <c r="J904" s="2"/>
      <c r="K904" s="322"/>
      <c r="L904" s="309"/>
      <c r="M904" s="2">
        <f ca="1">M923+M1092</f>
        <v>32237</v>
      </c>
      <c r="N904" s="2"/>
      <c r="O904" s="322"/>
      <c r="P904" s="309"/>
      <c r="Q904" s="2">
        <f>Q923+Q1092</f>
        <v>0</v>
      </c>
      <c r="R904" s="2"/>
      <c r="S904" s="322"/>
      <c r="T904" s="309"/>
      <c r="U904" s="2">
        <f>U923+U1092</f>
        <v>0</v>
      </c>
      <c r="W904" s="55" t="s">
        <v>31</v>
      </c>
      <c r="X904" s="3"/>
      <c r="Y904" s="3"/>
      <c r="Z904" s="106"/>
      <c r="AA904" s="106"/>
      <c r="AB904" s="106"/>
      <c r="AC904" s="106"/>
      <c r="AD904" s="106"/>
      <c r="AE904" s="106"/>
      <c r="AF904" s="222"/>
      <c r="AG904" s="314"/>
      <c r="AH904" s="314"/>
      <c r="AN904" s="20"/>
      <c r="AO904" s="20"/>
      <c r="AP904" s="20"/>
      <c r="AQ904" s="20"/>
      <c r="AR904" s="20"/>
      <c r="AS904" s="20"/>
    </row>
    <row r="905" spans="1:45">
      <c r="A905" s="308" t="s">
        <v>384</v>
      </c>
      <c r="B905" s="1"/>
      <c r="C905" s="304">
        <f t="shared" si="141"/>
        <v>793.88181818181874</v>
      </c>
      <c r="D905" s="322"/>
      <c r="E905" s="306"/>
      <c r="F905" s="2"/>
      <c r="G905" s="322"/>
      <c r="H905" s="306"/>
      <c r="I905" s="2"/>
      <c r="J905" s="2"/>
      <c r="K905" s="322"/>
      <c r="L905" s="306"/>
      <c r="M905" s="2"/>
      <c r="N905" s="2"/>
      <c r="O905" s="322"/>
      <c r="P905" s="306"/>
      <c r="Q905" s="2"/>
      <c r="R905" s="2"/>
      <c r="S905" s="322"/>
      <c r="T905" s="306"/>
      <c r="U905" s="2"/>
      <c r="W905" s="305"/>
      <c r="X905" s="3"/>
      <c r="Y905" s="3"/>
      <c r="Z905" s="106"/>
      <c r="AA905" s="106"/>
      <c r="AB905" s="106"/>
      <c r="AC905" s="106"/>
      <c r="AD905" s="106"/>
      <c r="AE905" s="106"/>
      <c r="AF905" s="222"/>
      <c r="AN905" s="20"/>
      <c r="AO905" s="20"/>
      <c r="AP905" s="20"/>
      <c r="AQ905" s="20"/>
      <c r="AR905" s="20"/>
      <c r="AS905" s="20"/>
    </row>
    <row r="906" spans="1:45">
      <c r="A906" s="308" t="s">
        <v>463</v>
      </c>
      <c r="B906" s="1"/>
      <c r="C906" s="304">
        <f t="shared" si="141"/>
        <v>1152406.7586206889</v>
      </c>
      <c r="D906" s="322"/>
      <c r="E906" s="306"/>
      <c r="F906" s="2">
        <f>F925+F1094</f>
        <v>1163685</v>
      </c>
      <c r="G906" s="322"/>
      <c r="H906" s="306"/>
      <c r="I906" s="2">
        <f ca="1">I925+I1094</f>
        <v>1193640</v>
      </c>
      <c r="J906" s="2"/>
      <c r="K906" s="322"/>
      <c r="L906" s="306"/>
      <c r="M906" s="2">
        <f ca="1">M925+M1094</f>
        <v>1163685</v>
      </c>
      <c r="N906" s="2"/>
      <c r="O906" s="322"/>
      <c r="P906" s="306"/>
      <c r="Q906" s="2">
        <f>Q925+Q1094</f>
        <v>0</v>
      </c>
      <c r="R906" s="2"/>
      <c r="S906" s="322"/>
      <c r="T906" s="306"/>
      <c r="U906" s="2">
        <f>U925+U1094</f>
        <v>0</v>
      </c>
      <c r="W906" s="55" t="s">
        <v>31</v>
      </c>
      <c r="X906" s="3"/>
      <c r="Y906" s="3"/>
      <c r="Z906" s="106"/>
      <c r="AA906" s="106"/>
      <c r="AB906" s="106"/>
      <c r="AC906" s="106"/>
      <c r="AD906" s="106"/>
      <c r="AE906" s="106"/>
      <c r="AF906" s="222"/>
      <c r="AN906" s="20"/>
      <c r="AO906" s="20"/>
      <c r="AP906" s="20"/>
      <c r="AQ906" s="20"/>
      <c r="AR906" s="20"/>
      <c r="AS906" s="20"/>
    </row>
    <row r="907" spans="1:45">
      <c r="A907" s="308" t="s">
        <v>464</v>
      </c>
      <c r="B907" s="1"/>
      <c r="C907" s="304">
        <f t="shared" si="141"/>
        <v>703485</v>
      </c>
      <c r="D907" s="322"/>
      <c r="E907" s="306"/>
      <c r="F907" s="2">
        <f>F926+F1095</f>
        <v>175871</v>
      </c>
      <c r="G907" s="322"/>
      <c r="H907" s="306"/>
      <c r="I907" s="2">
        <f ca="1">I926+I1095</f>
        <v>182906</v>
      </c>
      <c r="J907" s="2"/>
      <c r="K907" s="322"/>
      <c r="L907" s="306"/>
      <c r="M907" s="2">
        <f ca="1">M926+M1095</f>
        <v>175871</v>
      </c>
      <c r="N907" s="2"/>
      <c r="O907" s="322"/>
      <c r="P907" s="306"/>
      <c r="Q907" s="2">
        <f>Q926+Q1095</f>
        <v>0</v>
      </c>
      <c r="R907" s="2"/>
      <c r="S907" s="322"/>
      <c r="T907" s="306"/>
      <c r="U907" s="2">
        <f>U926+U1095</f>
        <v>0</v>
      </c>
      <c r="W907" s="55" t="s">
        <v>31</v>
      </c>
      <c r="X907" s="3"/>
      <c r="Y907" s="3"/>
      <c r="Z907" s="106"/>
      <c r="AA907" s="106"/>
      <c r="AB907" s="106"/>
      <c r="AC907" s="106"/>
      <c r="AD907" s="106"/>
      <c r="AE907" s="106"/>
      <c r="AF907" s="222"/>
      <c r="AN907" s="20"/>
      <c r="AO907" s="20"/>
      <c r="AP907" s="20"/>
      <c r="AQ907" s="20"/>
      <c r="AR907" s="20"/>
      <c r="AS907" s="20"/>
    </row>
    <row r="908" spans="1:45">
      <c r="A908" s="294" t="s">
        <v>393</v>
      </c>
      <c r="B908" s="1"/>
      <c r="C908" s="304">
        <f t="shared" si="141"/>
        <v>1624150.3448275861</v>
      </c>
      <c r="D908" s="322"/>
      <c r="E908" s="306"/>
      <c r="F908" s="2">
        <f>F927+F1096</f>
        <v>12753358</v>
      </c>
      <c r="G908" s="322"/>
      <c r="H908" s="306"/>
      <c r="I908" s="2">
        <f ca="1">I927+I1096</f>
        <v>13055100</v>
      </c>
      <c r="J908" s="2"/>
      <c r="K908" s="322"/>
      <c r="L908" s="306"/>
      <c r="M908" s="2" t="e">
        <f ca="1">M927+M1096</f>
        <v>#DIV/0!</v>
      </c>
      <c r="N908" s="2"/>
      <c r="O908" s="322"/>
      <c r="P908" s="306"/>
      <c r="Q908" s="2" t="e">
        <f ca="1">Q927+Q1096</f>
        <v>#DIV/0!</v>
      </c>
      <c r="R908" s="2"/>
      <c r="S908" s="322"/>
      <c r="T908" s="306"/>
      <c r="U908" s="2" t="e">
        <f ca="1">U927+U1096</f>
        <v>#DIV/0!</v>
      </c>
      <c r="W908" s="55" t="s">
        <v>31</v>
      </c>
      <c r="X908" s="3"/>
      <c r="Y908" s="3"/>
      <c r="Z908" s="106"/>
      <c r="AA908" s="106"/>
      <c r="AB908" s="106"/>
      <c r="AC908" s="106"/>
      <c r="AD908" s="106"/>
      <c r="AE908" s="106"/>
      <c r="AF908" s="222"/>
      <c r="AN908" s="20"/>
      <c r="AO908" s="20"/>
      <c r="AP908" s="20"/>
      <c r="AQ908" s="20"/>
      <c r="AR908" s="20"/>
      <c r="AS908" s="20"/>
    </row>
    <row r="909" spans="1:45">
      <c r="A909" s="308" t="s">
        <v>416</v>
      </c>
      <c r="B909" s="1"/>
      <c r="C909" s="304"/>
      <c r="D909" s="322"/>
      <c r="E909" s="306"/>
      <c r="F909" s="2"/>
      <c r="G909" s="322"/>
      <c r="H909" s="306"/>
      <c r="I909" s="2"/>
      <c r="J909" s="2"/>
      <c r="K909" s="322"/>
      <c r="L909" s="306"/>
      <c r="M909" s="2"/>
      <c r="N909" s="2"/>
      <c r="O909" s="322"/>
      <c r="P909" s="306"/>
      <c r="Q909" s="2"/>
      <c r="R909" s="2"/>
      <c r="S909" s="322"/>
      <c r="T909" s="306"/>
      <c r="U909" s="2"/>
      <c r="W909" s="305"/>
      <c r="AI909" s="20"/>
      <c r="AJ909" s="20"/>
      <c r="AK909" s="20"/>
      <c r="AL909" s="20"/>
      <c r="AM909" s="20"/>
      <c r="AN909" s="20"/>
      <c r="AO909" s="20"/>
      <c r="AP909" s="20"/>
    </row>
    <row r="910" spans="1:45">
      <c r="A910" s="308" t="s">
        <v>454</v>
      </c>
      <c r="B910" s="1"/>
      <c r="C910" s="304">
        <f>C929+C1098</f>
        <v>869720303.16002488</v>
      </c>
      <c r="D910" s="957"/>
      <c r="E910" s="306"/>
      <c r="F910" s="2">
        <f>F929+F1098</f>
        <v>40771202</v>
      </c>
      <c r="G910" s="380"/>
      <c r="H910" s="306"/>
      <c r="I910" s="2">
        <f ca="1">I929+I1098</f>
        <v>41726660</v>
      </c>
      <c r="J910" s="2"/>
      <c r="K910" s="380"/>
      <c r="L910" s="306"/>
      <c r="M910" s="2">
        <f>M929+M1098</f>
        <v>0</v>
      </c>
      <c r="N910" s="2"/>
      <c r="O910" s="380"/>
      <c r="P910" s="306"/>
      <c r="Q910" s="2" t="e">
        <f ca="1">Q929+Q1098</f>
        <v>#DIV/0!</v>
      </c>
      <c r="R910" s="2"/>
      <c r="S910" s="380"/>
      <c r="T910" s="306"/>
      <c r="U910" s="2" t="e">
        <f ca="1">U929+U1098</f>
        <v>#DIV/0!</v>
      </c>
      <c r="W910" s="55" t="s">
        <v>31</v>
      </c>
      <c r="AI910" s="20"/>
      <c r="AJ910" s="20"/>
      <c r="AK910" s="20"/>
      <c r="AL910" s="20"/>
      <c r="AM910" s="20"/>
      <c r="AN910" s="20"/>
      <c r="AO910" s="20"/>
      <c r="AP910" s="20"/>
    </row>
    <row r="911" spans="1:45">
      <c r="A911" s="308" t="s">
        <v>390</v>
      </c>
      <c r="B911" s="1"/>
      <c r="C911" s="304">
        <f>C930+C1099</f>
        <v>359083.13939393929</v>
      </c>
      <c r="D911" s="322"/>
      <c r="E911" s="306"/>
      <c r="F911" s="2">
        <f>F930+F1099</f>
        <v>197256</v>
      </c>
      <c r="G911" s="322"/>
      <c r="H911" s="306"/>
      <c r="I911" s="2">
        <f ca="1">I930+I1099</f>
        <v>200846</v>
      </c>
      <c r="J911" s="2"/>
      <c r="K911" s="322"/>
      <c r="L911" s="306"/>
      <c r="M911" s="2">
        <f>M930+M1099</f>
        <v>0</v>
      </c>
      <c r="N911" s="2"/>
      <c r="O911" s="322"/>
      <c r="P911" s="306"/>
      <c r="Q911" s="2" t="e">
        <f ca="1">Q930+Q1099</f>
        <v>#DIV/0!</v>
      </c>
      <c r="R911" s="2"/>
      <c r="S911" s="322"/>
      <c r="T911" s="306"/>
      <c r="U911" s="2" t="e">
        <f ca="1">U930+U1099</f>
        <v>#DIV/0!</v>
      </c>
      <c r="V911" s="305"/>
      <c r="W911" s="55" t="s">
        <v>31</v>
      </c>
      <c r="AI911" s="20"/>
      <c r="AJ911" s="20"/>
      <c r="AK911" s="20"/>
      <c r="AL911" s="20"/>
      <c r="AM911" s="20"/>
      <c r="AN911" s="20"/>
      <c r="AO911" s="20"/>
      <c r="AP911" s="20"/>
    </row>
    <row r="912" spans="1:45" s="1118" customFormat="1" hidden="1">
      <c r="A912" s="968" t="s">
        <v>891</v>
      </c>
      <c r="C912" s="987">
        <f>C932+C1115</f>
        <v>411242303.16002488</v>
      </c>
      <c r="D912" s="254"/>
      <c r="E912" s="1119"/>
      <c r="F912" s="1123"/>
      <c r="G912" s="250"/>
      <c r="H912" s="1119"/>
      <c r="I912" s="1123">
        <f ca="1">I932+I1115</f>
        <v>29970919</v>
      </c>
      <c r="J912" s="1123"/>
      <c r="K912" s="250"/>
      <c r="L912" s="1119"/>
      <c r="M912" s="1123" t="e">
        <f ca="1">M932+M1115</f>
        <v>#DIV/0!</v>
      </c>
      <c r="N912" s="1123"/>
      <c r="O912" s="250"/>
      <c r="P912" s="1119"/>
      <c r="Q912" s="1123" t="e">
        <f ca="1">Q932+Q1115</f>
        <v>#DIV/0!</v>
      </c>
      <c r="R912" s="1123"/>
      <c r="S912" s="250"/>
      <c r="T912" s="1119"/>
      <c r="U912" s="1123" t="e">
        <f ca="1">U932+U1115</f>
        <v>#DIV/0!</v>
      </c>
      <c r="W912" s="784"/>
      <c r="Z912" s="1125"/>
      <c r="AA912" s="1125"/>
      <c r="AF912" s="1119"/>
      <c r="AG912" s="1119"/>
      <c r="AH912" s="1119"/>
      <c r="AI912" s="1119"/>
      <c r="AJ912" s="1119"/>
      <c r="AK912" s="1119"/>
      <c r="AL912" s="1119"/>
      <c r="AM912" s="1119"/>
      <c r="AN912" s="1119"/>
      <c r="AO912" s="1119"/>
      <c r="AP912" s="1119"/>
      <c r="AR912" s="1124"/>
    </row>
    <row r="913" spans="1:44">
      <c r="A913" s="1" t="s">
        <v>371</v>
      </c>
      <c r="B913" s="1"/>
      <c r="C913" s="304">
        <f>C932+C1102</f>
        <v>869720303.16002488</v>
      </c>
      <c r="D913" s="309"/>
      <c r="E913" s="1"/>
      <c r="F913" s="2">
        <f>F932+F1102</f>
        <v>56200968</v>
      </c>
      <c r="G913" s="2"/>
      <c r="H913" s="1"/>
      <c r="I913" s="2">
        <f ca="1">I932+I1102</f>
        <v>57525422</v>
      </c>
      <c r="J913" s="2"/>
      <c r="K913" s="2"/>
      <c r="L913" s="1"/>
      <c r="M913" s="2" t="e">
        <f ca="1">M932+M1102</f>
        <v>#DIV/0!</v>
      </c>
      <c r="N913" s="2"/>
      <c r="O913" s="2"/>
      <c r="P913" s="1"/>
      <c r="Q913" s="2" t="e">
        <f ca="1">Q932+Q1102</f>
        <v>#DIV/0!</v>
      </c>
      <c r="R913" s="2"/>
      <c r="S913" s="2"/>
      <c r="T913" s="1"/>
      <c r="U913" s="2" t="e">
        <f ca="1">U932+U1102</f>
        <v>#DIV/0!</v>
      </c>
      <c r="AI913" s="20"/>
      <c r="AJ913" s="20"/>
      <c r="AK913" s="20"/>
      <c r="AL913" s="20"/>
      <c r="AM913" s="20"/>
      <c r="AN913" s="20"/>
      <c r="AO913" s="20"/>
      <c r="AP913" s="20"/>
    </row>
    <row r="914" spans="1:44">
      <c r="A914" s="1" t="s">
        <v>353</v>
      </c>
      <c r="B914" s="1"/>
      <c r="C914" s="325">
        <f ca="1">C933+C1103</f>
        <v>3474016.6711449809</v>
      </c>
      <c r="D914" s="294"/>
      <c r="E914" s="294"/>
      <c r="F914" s="738">
        <f ca="1">F933+F1103</f>
        <v>239959.44409985474</v>
      </c>
      <c r="G914" s="294"/>
      <c r="H914" s="294"/>
      <c r="I914" s="738">
        <f ca="1">I933+I1103</f>
        <v>239959.44409985474</v>
      </c>
      <c r="J914" s="51"/>
      <c r="K914" s="294"/>
      <c r="L914" s="294"/>
      <c r="M914" s="738" t="e">
        <f ca="1">M933+M1103</f>
        <v>#DIV/0!</v>
      </c>
      <c r="N914" s="51"/>
      <c r="O914" s="294"/>
      <c r="P914" s="294"/>
      <c r="Q914" s="738" t="e">
        <f ca="1">Q933+Q1103</f>
        <v>#DIV/0!</v>
      </c>
      <c r="R914" s="51"/>
      <c r="S914" s="294"/>
      <c r="T914" s="294"/>
      <c r="U914" s="738" t="e">
        <f ca="1">U933+U1103</f>
        <v>#DIV/0!</v>
      </c>
      <c r="Z914" s="261"/>
      <c r="AA914" s="261"/>
      <c r="AI914" s="20"/>
      <c r="AJ914" s="20"/>
      <c r="AK914" s="20"/>
      <c r="AL914" s="20"/>
      <c r="AM914" s="20"/>
      <c r="AN914" s="20"/>
      <c r="AO914" s="20"/>
      <c r="AP914" s="20"/>
    </row>
    <row r="915" spans="1:44" ht="16.5" thickBot="1">
      <c r="A915" s="1" t="s">
        <v>372</v>
      </c>
      <c r="B915" s="1"/>
      <c r="C915" s="741">
        <f ca="1">SUM(C913:C914)</f>
        <v>873194319.83116984</v>
      </c>
      <c r="D915" s="327"/>
      <c r="E915" s="330"/>
      <c r="F915" s="739">
        <f ca="1">F913+F914</f>
        <v>56440927.444099858</v>
      </c>
      <c r="G915" s="327"/>
      <c r="H915" s="330"/>
      <c r="I915" s="739">
        <f ca="1">I913+I914</f>
        <v>57765381.444099858</v>
      </c>
      <c r="J915" s="51"/>
      <c r="K915" s="327"/>
      <c r="L915" s="330"/>
      <c r="M915" s="739" t="e">
        <f ca="1">M913+M914</f>
        <v>#DIV/0!</v>
      </c>
      <c r="N915" s="51"/>
      <c r="O915" s="327"/>
      <c r="P915" s="330"/>
      <c r="Q915" s="739" t="e">
        <f ca="1">Q913+Q914</f>
        <v>#DIV/0!</v>
      </c>
      <c r="R915" s="51"/>
      <c r="S915" s="327"/>
      <c r="T915" s="330"/>
      <c r="U915" s="739" t="e">
        <f ca="1">U913+U914</f>
        <v>#DIV/0!</v>
      </c>
      <c r="V915" s="757" t="s">
        <v>354</v>
      </c>
      <c r="W915" s="778">
        <f ca="1">('Rate Spread targets'!X28+'Rate Spread targets'!X29+'Rate Spread targets'!X30)*1000</f>
        <v>58099015.069449544</v>
      </c>
      <c r="X915" s="787">
        <f ca="1">'Rate Spread targets'!V29</f>
        <v>1.6941448609556001E-2</v>
      </c>
      <c r="Y915" s="751"/>
      <c r="AI915" s="20"/>
      <c r="AJ915" s="20"/>
      <c r="AK915" s="20"/>
      <c r="AL915" s="20"/>
      <c r="AM915" s="20"/>
      <c r="AN915" s="20"/>
      <c r="AO915" s="20"/>
      <c r="AP915" s="20"/>
    </row>
    <row r="916" spans="1:44" ht="16.5" thickTop="1">
      <c r="A916" s="1"/>
      <c r="B916" s="1"/>
      <c r="C916" s="21"/>
      <c r="D916" s="322" t="s">
        <v>31</v>
      </c>
      <c r="E916" s="1"/>
      <c r="F916" s="2"/>
      <c r="G916" s="338" t="s">
        <v>31</v>
      </c>
      <c r="H916" s="1"/>
      <c r="I916" s="2" t="s">
        <v>31</v>
      </c>
      <c r="J916" s="2"/>
      <c r="K916" s="338" t="s">
        <v>31</v>
      </c>
      <c r="L916" s="1"/>
      <c r="M916" s="2" t="s">
        <v>31</v>
      </c>
      <c r="N916" s="2"/>
      <c r="O916" s="338" t="s">
        <v>31</v>
      </c>
      <c r="P916" s="1"/>
      <c r="Q916" s="2" t="s">
        <v>31</v>
      </c>
      <c r="R916" s="2"/>
      <c r="S916" s="338" t="s">
        <v>31</v>
      </c>
      <c r="T916" s="1"/>
      <c r="U916" s="2" t="s">
        <v>31</v>
      </c>
      <c r="V916" s="112" t="s">
        <v>257</v>
      </c>
      <c r="W916" s="780">
        <f ca="1">W915-I915-I897</f>
        <v>73.719930674065836</v>
      </c>
      <c r="X916" s="783" t="s">
        <v>31</v>
      </c>
      <c r="Y916" s="794"/>
      <c r="AI916" s="20"/>
      <c r="AJ916" s="20"/>
      <c r="AK916" s="20"/>
      <c r="AL916" s="20"/>
      <c r="AM916" s="20"/>
      <c r="AN916" s="20"/>
      <c r="AO916" s="20"/>
      <c r="AP916" s="20"/>
    </row>
    <row r="917" spans="1:44">
      <c r="A917" s="1"/>
      <c r="B917" s="1"/>
      <c r="C917" s="21"/>
      <c r="D917" s="322"/>
      <c r="E917" s="1"/>
      <c r="F917" s="2" t="s">
        <v>31</v>
      </c>
      <c r="G917" s="322"/>
      <c r="H917" s="1"/>
      <c r="I917" s="365"/>
      <c r="J917" s="365"/>
      <c r="K917" s="322"/>
      <c r="L917" s="1"/>
      <c r="M917" s="365"/>
      <c r="N917" s="365"/>
      <c r="O917" s="322"/>
      <c r="P917" s="1"/>
      <c r="Q917" s="365"/>
      <c r="R917" s="365"/>
      <c r="S917" s="322"/>
      <c r="T917" s="1"/>
      <c r="U917" s="365"/>
      <c r="X917" s="74"/>
      <c r="Y917" s="74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</row>
    <row r="918" spans="1:44">
      <c r="A918" s="278" t="s">
        <v>466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401"/>
      <c r="W918" s="74"/>
      <c r="X918" s="74"/>
      <c r="Y918" s="74"/>
      <c r="Z918" s="20"/>
      <c r="AA918" s="20"/>
      <c r="AB918" s="20"/>
      <c r="AC918" s="20"/>
      <c r="AD918" s="20"/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</row>
    <row r="919" spans="1:44">
      <c r="A919" s="294" t="s">
        <v>468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20"/>
      <c r="X919" s="74"/>
      <c r="Y919" s="74"/>
      <c r="Z919" s="20"/>
      <c r="AA919" s="20"/>
      <c r="AB919" s="20"/>
      <c r="AC919" s="20"/>
      <c r="AD919" s="20"/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</row>
    <row r="920" spans="1:44">
      <c r="A920" s="308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20"/>
      <c r="W920" s="74"/>
      <c r="X920" s="74"/>
      <c r="Y920" s="74"/>
      <c r="Z920" s="20"/>
      <c r="AA920" s="20"/>
      <c r="AB920" s="20"/>
      <c r="AC920" s="20"/>
      <c r="AD920" s="20"/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</row>
    <row r="921" spans="1:44">
      <c r="A921" s="308" t="s">
        <v>383</v>
      </c>
      <c r="B921" s="1"/>
      <c r="C921" s="304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20"/>
      <c r="Y921" s="20"/>
      <c r="Z921" s="69" t="s">
        <v>31</v>
      </c>
      <c r="AH921" s="19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</row>
    <row r="922" spans="1:44">
      <c r="A922" s="308" t="s">
        <v>461</v>
      </c>
      <c r="B922" s="1"/>
      <c r="C922" s="304">
        <f>C940+C997</f>
        <v>781.84848484848533</v>
      </c>
      <c r="D922" s="398"/>
      <c r="E922" s="306"/>
      <c r="F922" s="306">
        <f>F940+F997</f>
        <v>1107359</v>
      </c>
      <c r="H922" s="306"/>
      <c r="I922" s="306">
        <f ca="1">I940+I997</f>
        <v>1131987</v>
      </c>
      <c r="J922" s="2"/>
      <c r="L922" s="306"/>
      <c r="M922" s="306">
        <f ca="1">M940+M997</f>
        <v>1107359</v>
      </c>
      <c r="N922" s="2"/>
      <c r="P922" s="306"/>
      <c r="Q922" s="306">
        <f>Q940+Q997</f>
        <v>0</v>
      </c>
      <c r="R922" s="2"/>
      <c r="T922" s="306"/>
      <c r="U922" s="306">
        <f>U940+U997</f>
        <v>0</v>
      </c>
      <c r="W922" s="322">
        <f ca="1">G960</f>
        <v>1442</v>
      </c>
      <c r="X922" s="14">
        <f ca="1">(W922-D940)/D940</f>
        <v>2.1970233876683204E-2</v>
      </c>
      <c r="Y922" s="14"/>
      <c r="AB922" s="106"/>
      <c r="AC922" s="222"/>
      <c r="AD922" s="106"/>
      <c r="AE922" s="222"/>
      <c r="AF922" s="106"/>
      <c r="AG922" s="106"/>
      <c r="AH922" s="71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</row>
    <row r="923" spans="1:44">
      <c r="A923" s="308" t="s">
        <v>462</v>
      </c>
      <c r="B923" s="1"/>
      <c r="C923" s="304">
        <f>C941+C998</f>
        <v>0</v>
      </c>
      <c r="D923" s="398"/>
      <c r="E923" s="309"/>
      <c r="F923" s="306">
        <f>F941+F998</f>
        <v>0</v>
      </c>
      <c r="H923" s="309"/>
      <c r="I923" s="306">
        <f ca="1">I941+I998</f>
        <v>0</v>
      </c>
      <c r="J923" s="2"/>
      <c r="L923" s="309"/>
      <c r="M923" s="306">
        <f ca="1">M941+M998</f>
        <v>0</v>
      </c>
      <c r="N923" s="2"/>
      <c r="P923" s="309"/>
      <c r="Q923" s="306">
        <f>Q941+Q998</f>
        <v>0</v>
      </c>
      <c r="R923" s="2"/>
      <c r="T923" s="309"/>
      <c r="U923" s="306">
        <f>U941+U998</f>
        <v>0</v>
      </c>
      <c r="W923" s="322">
        <f ca="1">G961</f>
        <v>1743</v>
      </c>
      <c r="X923" s="14">
        <f ca="1">(W923-D941)/D941</f>
        <v>2.3487962419260128E-2</v>
      </c>
      <c r="Y923" s="14"/>
      <c r="AB923" s="106"/>
      <c r="AC923" s="222"/>
      <c r="AD923" s="106"/>
      <c r="AE923" s="222"/>
      <c r="AF923" s="106"/>
      <c r="AG923" s="106"/>
      <c r="AH923" s="71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</row>
    <row r="924" spans="1:44">
      <c r="A924" s="308" t="s">
        <v>384</v>
      </c>
      <c r="B924" s="1"/>
      <c r="C924" s="304">
        <f t="shared" ref="C924" si="142">C1056+C1075</f>
        <v>781.84848484848544</v>
      </c>
      <c r="D924" s="398"/>
      <c r="E924" s="306"/>
      <c r="F924" s="306">
        <f t="shared" ref="F924" si="143">F1056+F1075</f>
        <v>0</v>
      </c>
      <c r="H924" s="306"/>
      <c r="I924" s="306">
        <f t="shared" ref="I924" si="144">I1056+I1075</f>
        <v>0</v>
      </c>
      <c r="J924" s="2"/>
      <c r="L924" s="306"/>
      <c r="M924" s="306">
        <f t="shared" ref="M924" si="145">M1056+M1075</f>
        <v>0</v>
      </c>
      <c r="N924" s="2"/>
      <c r="P924" s="306"/>
      <c r="Q924" s="306">
        <f t="shared" ref="Q924" si="146">Q1056+Q1075</f>
        <v>0</v>
      </c>
      <c r="R924" s="2"/>
      <c r="T924" s="306"/>
      <c r="U924" s="306">
        <f t="shared" ref="U924" si="147">U1056+U1075</f>
        <v>0</v>
      </c>
      <c r="W924" s="322" t="s">
        <v>31</v>
      </c>
      <c r="X924" s="305"/>
      <c r="Y924" s="305"/>
      <c r="AB924" s="106"/>
      <c r="AC924" s="222"/>
      <c r="AD924" s="106"/>
      <c r="AE924" s="222"/>
      <c r="AF924" s="106"/>
      <c r="AG924" s="106"/>
      <c r="AH924" s="71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</row>
    <row r="925" spans="1:44">
      <c r="A925" s="308" t="s">
        <v>463</v>
      </c>
      <c r="B925" s="1"/>
      <c r="C925" s="304">
        <f>C943+C1000</f>
        <v>1152406.7586206889</v>
      </c>
      <c r="D925" s="398"/>
      <c r="E925" s="306"/>
      <c r="F925" s="306">
        <f>F943+F1000</f>
        <v>1163685</v>
      </c>
      <c r="H925" s="306"/>
      <c r="I925" s="306">
        <f ca="1">I943+I1000</f>
        <v>1193640</v>
      </c>
      <c r="J925" s="2"/>
      <c r="L925" s="306"/>
      <c r="M925" s="306">
        <f ca="1">M943+M1000</f>
        <v>1163685</v>
      </c>
      <c r="N925" s="2"/>
      <c r="P925" s="306"/>
      <c r="Q925" s="306">
        <f>Q943+Q1000</f>
        <v>0</v>
      </c>
      <c r="R925" s="2"/>
      <c r="T925" s="306"/>
      <c r="U925" s="306">
        <f>U943+U1000</f>
        <v>0</v>
      </c>
      <c r="W925" s="322">
        <f ca="1">G963</f>
        <v>1.1499999999999999</v>
      </c>
      <c r="X925" s="14">
        <f ca="1">(W925-D943)/D943</f>
        <v>2.6785714285714107E-2</v>
      </c>
      <c r="Y925" s="14"/>
      <c r="AB925" s="106"/>
      <c r="AC925" s="222"/>
      <c r="AD925" s="106"/>
      <c r="AE925" s="222"/>
      <c r="AF925" s="106"/>
      <c r="AG925" s="106"/>
      <c r="AH925" s="71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</row>
    <row r="926" spans="1:44">
      <c r="A926" s="308" t="s">
        <v>464</v>
      </c>
      <c r="B926" s="1"/>
      <c r="C926" s="304">
        <f>C944+C1001</f>
        <v>0</v>
      </c>
      <c r="D926" s="398"/>
      <c r="E926" s="306"/>
      <c r="F926" s="306">
        <f>F944+F1001</f>
        <v>0</v>
      </c>
      <c r="H926" s="306"/>
      <c r="I926" s="306">
        <f ca="1">I944+I1001</f>
        <v>0</v>
      </c>
      <c r="J926" s="2"/>
      <c r="L926" s="306"/>
      <c r="M926" s="306">
        <f ca="1">M944+M1001</f>
        <v>0</v>
      </c>
      <c r="N926" s="2"/>
      <c r="P926" s="306"/>
      <c r="Q926" s="306">
        <f>Q944+Q1001</f>
        <v>0</v>
      </c>
      <c r="R926" s="2"/>
      <c r="T926" s="306"/>
      <c r="U926" s="306">
        <f>U944+U1001</f>
        <v>0</v>
      </c>
      <c r="W926" s="322">
        <f ca="1">G964</f>
        <v>1.03</v>
      </c>
      <c r="X926" s="14">
        <f ca="1">(W926-D944)/D944</f>
        <v>1.980198019801982E-2</v>
      </c>
      <c r="Y926" s="14"/>
      <c r="AB926" s="106"/>
      <c r="AC926" s="222"/>
      <c r="AD926" s="106"/>
      <c r="AE926" s="222"/>
      <c r="AF926" s="106"/>
      <c r="AG926" s="106"/>
      <c r="AH926" s="71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</row>
    <row r="927" spans="1:44">
      <c r="A927" s="294" t="s">
        <v>393</v>
      </c>
      <c r="B927" s="1"/>
      <c r="C927" s="304">
        <f>C945+C1002</f>
        <v>939556.34482758609</v>
      </c>
      <c r="D927" s="398"/>
      <c r="E927" s="306"/>
      <c r="F927" s="306">
        <f>F945+F1002</f>
        <v>7454600</v>
      </c>
      <c r="H927" s="306"/>
      <c r="I927" s="306">
        <f ca="1">I945+I1002</f>
        <v>7633116</v>
      </c>
      <c r="J927" s="2"/>
      <c r="L927" s="306"/>
      <c r="M927" s="306" t="e">
        <f ca="1">M945+M1002</f>
        <v>#DIV/0!</v>
      </c>
      <c r="N927" s="2"/>
      <c r="P927" s="306"/>
      <c r="Q927" s="306" t="e">
        <f ca="1">Q945+Q1002</f>
        <v>#DIV/0!</v>
      </c>
      <c r="R927" s="2"/>
      <c r="T927" s="306"/>
      <c r="U927" s="306" t="e">
        <f ca="1">U945+U1002</f>
        <v>#DIV/0!</v>
      </c>
      <c r="W927" s="322">
        <f ca="1">G965</f>
        <v>8.16</v>
      </c>
      <c r="X927" s="14">
        <f ca="1">(W927-D945)/D945</f>
        <v>2.383939774153079E-2</v>
      </c>
      <c r="Y927" s="14"/>
      <c r="AA927" s="74"/>
      <c r="AB927" s="714"/>
      <c r="AC927" s="710"/>
      <c r="AD927" s="714"/>
      <c r="AE927" s="710"/>
      <c r="AF927" s="714"/>
      <c r="AG927" s="74"/>
      <c r="AH927" s="710"/>
      <c r="AI927" s="20"/>
      <c r="AJ927" s="20"/>
      <c r="AK927" s="20"/>
      <c r="AL927" s="20"/>
      <c r="AM927" s="20"/>
      <c r="AN927" s="20"/>
      <c r="AO927" s="20"/>
      <c r="AP927" s="20"/>
    </row>
    <row r="928" spans="1:44">
      <c r="A928" s="308" t="s">
        <v>416</v>
      </c>
      <c r="B928" s="1"/>
      <c r="C928" s="64" t="s">
        <v>31</v>
      </c>
      <c r="D928" s="398"/>
      <c r="E928" s="306"/>
      <c r="F928" s="850" t="s">
        <v>31</v>
      </c>
      <c r="H928" s="306"/>
      <c r="I928" s="850" t="s">
        <v>31</v>
      </c>
      <c r="J928" s="2"/>
      <c r="L928" s="306"/>
      <c r="M928" s="850" t="s">
        <v>31</v>
      </c>
      <c r="N928" s="2"/>
      <c r="P928" s="306"/>
      <c r="Q928" s="850" t="s">
        <v>31</v>
      </c>
      <c r="R928" s="2"/>
      <c r="T928" s="306"/>
      <c r="U928" s="850" t="s">
        <v>31</v>
      </c>
      <c r="W928" s="322" t="s">
        <v>31</v>
      </c>
      <c r="X928" s="305"/>
      <c r="Y928" s="305"/>
      <c r="AA928" s="74"/>
      <c r="AB928" s="20"/>
      <c r="AC928" s="20"/>
      <c r="AD928" s="401"/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</row>
    <row r="929" spans="1:44">
      <c r="A929" s="308" t="s">
        <v>454</v>
      </c>
      <c r="B929" s="1"/>
      <c r="C929" s="304">
        <f>C947+C1004</f>
        <v>411242303.16002488</v>
      </c>
      <c r="D929" s="398"/>
      <c r="E929" s="306"/>
      <c r="F929" s="306">
        <f>F947+F1004</f>
        <v>19456560</v>
      </c>
      <c r="H929" s="306"/>
      <c r="I929" s="306">
        <f ca="1">I947+I1004</f>
        <v>19912277</v>
      </c>
      <c r="J929" s="2"/>
      <c r="L929" s="306"/>
      <c r="M929" s="306">
        <f>M947+M1004</f>
        <v>0</v>
      </c>
      <c r="N929" s="2"/>
      <c r="P929" s="306"/>
      <c r="Q929" s="306" t="e">
        <f ca="1">Q947+Q1004</f>
        <v>#DIV/0!</v>
      </c>
      <c r="R929" s="2"/>
      <c r="T929" s="306"/>
      <c r="U929" s="306" t="e">
        <f ca="1">U947+U1004</f>
        <v>#DIV/0!</v>
      </c>
      <c r="W929" s="777" t="s">
        <v>31</v>
      </c>
      <c r="X929" s="55" t="s">
        <v>31</v>
      </c>
      <c r="Y929" s="14"/>
      <c r="AA929" s="74"/>
      <c r="AB929" s="20"/>
      <c r="AC929" s="20"/>
      <c r="AD929" s="714"/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</row>
    <row r="930" spans="1:44">
      <c r="A930" s="308" t="s">
        <v>390</v>
      </c>
      <c r="B930" s="1"/>
      <c r="C930" s="304">
        <f>C948+C1005</f>
        <v>175542.2727272723</v>
      </c>
      <c r="D930" s="398"/>
      <c r="E930" s="306"/>
      <c r="F930" s="306">
        <f>F948+F1005</f>
        <v>98144</v>
      </c>
      <c r="H930" s="306"/>
      <c r="I930" s="306">
        <f ca="1">I948+I1005</f>
        <v>99899</v>
      </c>
      <c r="J930" s="2"/>
      <c r="L930" s="306"/>
      <c r="M930" s="306">
        <f>M948+M1005</f>
        <v>0</v>
      </c>
      <c r="N930" s="2"/>
      <c r="P930" s="306"/>
      <c r="Q930" s="306" t="e">
        <f ca="1">Q948+Q1005</f>
        <v>#DIV/0!</v>
      </c>
      <c r="R930" s="2"/>
      <c r="T930" s="306"/>
      <c r="U930" s="306" t="e">
        <f ca="1">U948+U1005</f>
        <v>#DIV/0!</v>
      </c>
      <c r="W930" s="322">
        <f ca="1">G948</f>
        <v>0.56999999999999995</v>
      </c>
      <c r="X930" s="14">
        <f ca="1">(W930-D948)/D948</f>
        <v>1.7857142857142672E-2</v>
      </c>
      <c r="Y930" s="14"/>
      <c r="AA930" s="74"/>
      <c r="AB930" s="20"/>
      <c r="AC930" s="20"/>
      <c r="AD930" s="20"/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</row>
    <row r="931" spans="1:44" s="1118" customFormat="1" hidden="1">
      <c r="A931" s="968" t="s">
        <v>891</v>
      </c>
      <c r="C931" s="304">
        <f>C949+C1006</f>
        <v>411242303.16002488</v>
      </c>
      <c r="D931" s="254"/>
      <c r="E931" s="1119"/>
      <c r="F931" s="306">
        <f>F949+F1006</f>
        <v>0</v>
      </c>
      <c r="G931" s="250"/>
      <c r="H931" s="1119"/>
      <c r="I931" s="306">
        <f>I949+I1006</f>
        <v>0</v>
      </c>
      <c r="J931" s="1123"/>
      <c r="K931" s="250"/>
      <c r="L931" s="1119"/>
      <c r="M931" s="306">
        <f>M949+M1006</f>
        <v>0</v>
      </c>
      <c r="N931" s="1123"/>
      <c r="O931" s="250"/>
      <c r="P931" s="1119"/>
      <c r="Q931" s="306">
        <f>Q949+Q1006</f>
        <v>0</v>
      </c>
      <c r="R931" s="1123"/>
      <c r="S931" s="250"/>
      <c r="T931" s="1119"/>
      <c r="U931" s="306">
        <f>U949+U1006</f>
        <v>0</v>
      </c>
      <c r="W931" s="784"/>
      <c r="Z931" s="1125"/>
      <c r="AA931" s="1125"/>
      <c r="AF931" s="1119"/>
      <c r="AG931" s="1119"/>
      <c r="AH931" s="1119"/>
      <c r="AI931" s="1119"/>
      <c r="AJ931" s="1119"/>
      <c r="AK931" s="1119"/>
      <c r="AL931" s="1119"/>
      <c r="AM931" s="1119"/>
      <c r="AN931" s="1119"/>
      <c r="AO931" s="1119"/>
      <c r="AP931" s="1119"/>
      <c r="AR931" s="1124"/>
    </row>
    <row r="932" spans="1:44">
      <c r="A932" s="1" t="s">
        <v>371</v>
      </c>
      <c r="B932" s="1"/>
      <c r="C932" s="304">
        <f>C951+C1008</f>
        <v>411242303.16002488</v>
      </c>
      <c r="D932" s="309"/>
      <c r="E932" s="1"/>
      <c r="F932" s="306">
        <f>F951+F1008</f>
        <v>29280348</v>
      </c>
      <c r="G932" s="2"/>
      <c r="H932" s="1"/>
      <c r="I932" s="306">
        <f ca="1">I951+I1008</f>
        <v>29970919</v>
      </c>
      <c r="J932" s="2"/>
      <c r="K932" s="2"/>
      <c r="L932" s="1"/>
      <c r="M932" s="306" t="e">
        <f ca="1">M951+M1008</f>
        <v>#DIV/0!</v>
      </c>
      <c r="N932" s="2"/>
      <c r="O932" s="2"/>
      <c r="P932" s="1"/>
      <c r="Q932" s="306" t="e">
        <f ca="1">Q951+Q1008</f>
        <v>#DIV/0!</v>
      </c>
      <c r="R932" s="2"/>
      <c r="S932" s="2"/>
      <c r="T932" s="1"/>
      <c r="U932" s="306" t="e">
        <f ca="1">U951+U1008</f>
        <v>#DIV/0!</v>
      </c>
      <c r="V932" s="20"/>
      <c r="X932" s="74"/>
      <c r="Y932" s="74"/>
      <c r="Z932" s="20"/>
      <c r="AA932" s="20"/>
      <c r="AB932" s="20"/>
      <c r="AC932" s="20"/>
      <c r="AD932" s="20"/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</row>
    <row r="933" spans="1:44">
      <c r="A933" s="1" t="s">
        <v>353</v>
      </c>
      <c r="B933" s="1"/>
      <c r="C933" s="293">
        <f ca="1">C952+C1009</f>
        <v>2048514.8230398428</v>
      </c>
      <c r="D933" s="294"/>
      <c r="E933" s="294"/>
      <c r="F933" s="738">
        <f ca="1">F952+F1009</f>
        <v>156326.57925890732</v>
      </c>
      <c r="G933" s="294"/>
      <c r="H933" s="294"/>
      <c r="I933" s="738">
        <f ca="1">I952+I1009</f>
        <v>156326.57925890732</v>
      </c>
      <c r="J933" s="51"/>
      <c r="K933" s="294"/>
      <c r="L933" s="294"/>
      <c r="M933" s="738" t="e">
        <f ca="1">M952+M1009</f>
        <v>#DIV/0!</v>
      </c>
      <c r="N933" s="51"/>
      <c r="O933" s="294"/>
      <c r="P933" s="294"/>
      <c r="Q933" s="738" t="e">
        <f ca="1">Q952+Q1009</f>
        <v>#DIV/0!</v>
      </c>
      <c r="R933" s="51"/>
      <c r="S933" s="294"/>
      <c r="T933" s="294"/>
      <c r="U933" s="738" t="e">
        <f ca="1">U952+U1009</f>
        <v>#DIV/0!</v>
      </c>
      <c r="V933" s="429"/>
      <c r="W933" s="272"/>
      <c r="X933" s="74"/>
      <c r="Y933" s="74"/>
      <c r="Z933" s="20"/>
      <c r="AA933" s="20"/>
      <c r="AB933" s="20"/>
      <c r="AC933" s="20"/>
      <c r="AD933" s="20"/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</row>
    <row r="934" spans="1:44" ht="16.5" thickBot="1">
      <c r="A934" s="1" t="s">
        <v>372</v>
      </c>
      <c r="B934" s="1"/>
      <c r="C934" s="1287">
        <f ca="1">C953+C1010</f>
        <v>413290817.98306477</v>
      </c>
      <c r="D934" s="327"/>
      <c r="E934" s="330"/>
      <c r="F934" s="740">
        <f ca="1">F953+F1010</f>
        <v>29436674.579258908</v>
      </c>
      <c r="G934" s="327"/>
      <c r="H934" s="330"/>
      <c r="I934" s="740">
        <f ca="1">I953+I1010</f>
        <v>30127245.579258908</v>
      </c>
      <c r="J934" s="51"/>
      <c r="K934" s="327"/>
      <c r="L934" s="330"/>
      <c r="M934" s="740" t="e">
        <f ca="1">M953+M1010</f>
        <v>#DIV/0!</v>
      </c>
      <c r="N934" s="51"/>
      <c r="O934" s="327"/>
      <c r="P934" s="330"/>
      <c r="Q934" s="740" t="e">
        <f ca="1">Q953+Q1010</f>
        <v>#DIV/0!</v>
      </c>
      <c r="R934" s="51"/>
      <c r="S934" s="327"/>
      <c r="T934" s="330"/>
      <c r="U934" s="740" t="e">
        <f ca="1">U953+U1010</f>
        <v>#DIV/0!</v>
      </c>
      <c r="V934" s="757" t="s">
        <v>354</v>
      </c>
      <c r="W934" s="778">
        <f ca="1">('Rate Spread targets'!X29+'Rate Spread targets'!X28)*1000</f>
        <v>30460876.496378485</v>
      </c>
      <c r="X934" s="1417">
        <f ca="1">(I934-F934)/F934</f>
        <v>2.3459545273723841E-2</v>
      </c>
      <c r="Y934" s="751"/>
      <c r="Z934" s="88" t="s">
        <v>31</v>
      </c>
      <c r="AA934" s="7" t="s">
        <v>31</v>
      </c>
      <c r="AB934" s="20"/>
      <c r="AC934" s="20"/>
      <c r="AD934" s="20"/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</row>
    <row r="935" spans="1:44" ht="16.5" thickTop="1">
      <c r="A935" s="1"/>
      <c r="B935" s="1"/>
      <c r="C935" s="335"/>
      <c r="D935" s="336"/>
      <c r="E935" s="23"/>
      <c r="F935" s="51"/>
      <c r="G935" s="336"/>
      <c r="H935" s="23"/>
      <c r="I935" s="51"/>
      <c r="J935" s="51"/>
      <c r="K935" s="336"/>
      <c r="L935" s="23"/>
      <c r="M935" s="51"/>
      <c r="N935" s="51"/>
      <c r="O935" s="336"/>
      <c r="P935" s="23"/>
      <c r="Q935" s="51"/>
      <c r="R935" s="51"/>
      <c r="S935" s="336"/>
      <c r="T935" s="23"/>
      <c r="U935" s="51" t="s">
        <v>31</v>
      </c>
      <c r="V935" s="760" t="s">
        <v>257</v>
      </c>
      <c r="W935" s="780">
        <f ca="1">W934-I897-I953-I1010</f>
        <v>71.011700566858053</v>
      </c>
      <c r="X935" s="758"/>
      <c r="Y935" s="74"/>
      <c r="Z935" s="20"/>
      <c r="AA935" s="20"/>
      <c r="AB935" s="20"/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</row>
    <row r="936" spans="1:44">
      <c r="A936" s="278" t="s">
        <v>466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74"/>
      <c r="Y936" s="74"/>
      <c r="Z936" s="20"/>
      <c r="AA936" s="20"/>
      <c r="AB936" s="20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</row>
    <row r="937" spans="1:44">
      <c r="A937" s="294" t="s">
        <v>676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 ca="1">I897+I953+I1010</f>
        <v>30460805.484677918</v>
      </c>
      <c r="W937" s="32" t="s">
        <v>699</v>
      </c>
      <c r="X937" s="796">
        <f ca="1">(V937-(F934+F897))/(F934+F897)</f>
        <v>2.3462887855322873E-2</v>
      </c>
      <c r="Y937" s="74"/>
      <c r="Z937" s="20"/>
      <c r="AA937" s="20"/>
      <c r="AB937" s="20"/>
      <c r="AC937" s="20"/>
      <c r="AD937" s="20"/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</row>
    <row r="938" spans="1:44">
      <c r="A938" s="308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20"/>
      <c r="W938" s="74"/>
      <c r="X938" s="74"/>
      <c r="Y938" s="74"/>
      <c r="Z938" s="20"/>
      <c r="AA938" s="20"/>
      <c r="AB938" s="20"/>
      <c r="AC938" s="20"/>
      <c r="AD938" s="20"/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</row>
    <row r="939" spans="1:44">
      <c r="A939" s="308" t="s">
        <v>383</v>
      </c>
      <c r="B939" s="1"/>
      <c r="C939" s="304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20"/>
      <c r="W939" s="74"/>
      <c r="X939" s="74"/>
      <c r="Y939" s="74"/>
      <c r="Z939" s="20"/>
      <c r="AA939" s="20"/>
      <c r="AB939" s="2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</row>
    <row r="940" spans="1:44">
      <c r="A940" s="308" t="s">
        <v>461</v>
      </c>
      <c r="B940" s="1"/>
      <c r="C940" s="304">
        <f t="shared" ref="C940:C945" si="148">C960+C978</f>
        <v>651.51515151515196</v>
      </c>
      <c r="D940" s="322">
        <f>'Rate Design Work eff 9-15-17'!D941</f>
        <v>1411</v>
      </c>
      <c r="E940" s="306"/>
      <c r="F940" s="2">
        <f>ROUND(D940*C940,0)</f>
        <v>919288</v>
      </c>
      <c r="G940" s="311">
        <f ca="1">'Rate Design Work eff 9-15-17'!G941</f>
        <v>1442</v>
      </c>
      <c r="H940" s="306"/>
      <c r="I940" s="2">
        <f ca="1">ROUND(G940*$C940,0)</f>
        <v>939485</v>
      </c>
      <c r="J940" s="2"/>
      <c r="K940" s="311">
        <f ca="1">'Rate Design Work eff 10-14-16'!K941</f>
        <v>1411</v>
      </c>
      <c r="L940" s="306"/>
      <c r="M940" s="2">
        <f ca="1">'Rate Design Work eff 10-14-16'!M941</f>
        <v>919288</v>
      </c>
      <c r="N940" s="2"/>
      <c r="O940" s="311" t="str">
        <f>'Rate Design Work eff 10-14-16'!O941</f>
        <v xml:space="preserve"> </v>
      </c>
      <c r="P940" s="306"/>
      <c r="Q940" s="2">
        <f>'Rate Design Work eff 10-14-16'!Q941</f>
        <v>0</v>
      </c>
      <c r="R940" s="2"/>
      <c r="S940" s="311" t="str">
        <f>'Rate Design Work eff 10-14-16'!S941</f>
        <v xml:space="preserve"> </v>
      </c>
      <c r="T940" s="306"/>
      <c r="U940" s="2">
        <f>'Rate Design Work eff 10-14-16'!U941</f>
        <v>0</v>
      </c>
      <c r="V940" s="443" t="s">
        <v>31</v>
      </c>
      <c r="X940" s="796">
        <f ca="1">(G940-D940)/D940</f>
        <v>2.1970233876683204E-2</v>
      </c>
      <c r="Y940" s="751"/>
      <c r="Z940" s="20"/>
      <c r="AA940" s="20"/>
      <c r="AB940" s="20"/>
      <c r="AC940" s="20"/>
      <c r="AD940" s="20"/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</row>
    <row r="941" spans="1:44">
      <c r="A941" s="308" t="s">
        <v>462</v>
      </c>
      <c r="B941" s="1"/>
      <c r="C941" s="304">
        <f t="shared" si="148"/>
        <v>0</v>
      </c>
      <c r="D941" s="322">
        <f>'Rate Design Work eff 9-15-17'!D942</f>
        <v>1703</v>
      </c>
      <c r="E941" s="309"/>
      <c r="F941" s="2">
        <f>ROUND(D941*C941,0)</f>
        <v>0</v>
      </c>
      <c r="G941" s="311">
        <f ca="1">'Rate Design Work eff 9-15-17'!G942</f>
        <v>1743</v>
      </c>
      <c r="H941" s="309"/>
      <c r="I941" s="2">
        <f ca="1">ROUND(G941*$C941,0)</f>
        <v>0</v>
      </c>
      <c r="J941" s="2"/>
      <c r="K941" s="311">
        <f ca="1">'Rate Design Work eff 10-14-16'!K942</f>
        <v>1703</v>
      </c>
      <c r="L941" s="1275"/>
      <c r="M941" s="2">
        <f ca="1">'Rate Design Work eff 10-14-16'!M942</f>
        <v>0</v>
      </c>
      <c r="N941" s="2"/>
      <c r="O941" s="311" t="str">
        <f>'Rate Design Work eff 10-14-16'!O942</f>
        <v xml:space="preserve"> </v>
      </c>
      <c r="P941" s="1275"/>
      <c r="Q941" s="2">
        <f>'Rate Design Work eff 10-14-16'!Q942</f>
        <v>0</v>
      </c>
      <c r="R941" s="2"/>
      <c r="S941" s="311" t="str">
        <f>'Rate Design Work eff 10-14-16'!S942</f>
        <v xml:space="preserve"> </v>
      </c>
      <c r="T941" s="1275"/>
      <c r="U941" s="2">
        <f>'Rate Design Work eff 10-14-16'!U942</f>
        <v>0</v>
      </c>
      <c r="V941" s="20"/>
      <c r="X941" s="796">
        <f ca="1">(G941-D941)/D941</f>
        <v>2.3487962419260128E-2</v>
      </c>
      <c r="Y941" s="751"/>
      <c r="Z941" s="20"/>
      <c r="AA941" s="20"/>
      <c r="AB941" s="20"/>
      <c r="AC941" s="20"/>
      <c r="AD941" s="20"/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</row>
    <row r="942" spans="1:44">
      <c r="A942" s="308" t="s">
        <v>384</v>
      </c>
      <c r="B942" s="1"/>
      <c r="C942" s="304">
        <f t="shared" si="148"/>
        <v>651.51515151515196</v>
      </c>
      <c r="D942" s="322"/>
      <c r="E942" s="306"/>
      <c r="F942" s="2" t="s">
        <v>31</v>
      </c>
      <c r="G942" s="311" t="s">
        <v>31</v>
      </c>
      <c r="H942" s="306"/>
      <c r="I942" s="2" t="s">
        <v>31</v>
      </c>
      <c r="J942" s="2"/>
      <c r="K942" s="311" t="s">
        <v>31</v>
      </c>
      <c r="L942" s="306"/>
      <c r="M942" s="2" t="s">
        <v>31</v>
      </c>
      <c r="N942" s="2"/>
      <c r="O942" s="311" t="s">
        <v>31</v>
      </c>
      <c r="P942" s="306"/>
      <c r="Q942" s="2" t="s">
        <v>31</v>
      </c>
      <c r="R942" s="2"/>
      <c r="S942" s="311" t="s">
        <v>31</v>
      </c>
      <c r="T942" s="306"/>
      <c r="U942" s="2" t="s">
        <v>31</v>
      </c>
      <c r="V942" s="20"/>
      <c r="X942" s="1282"/>
      <c r="Y942" s="74"/>
      <c r="Z942" s="20"/>
      <c r="AA942" s="20"/>
      <c r="AB942" s="20"/>
      <c r="AC942" s="20"/>
      <c r="AD942" s="20"/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</row>
    <row r="943" spans="1:44">
      <c r="A943" s="308" t="s">
        <v>463</v>
      </c>
      <c r="B943" s="1"/>
      <c r="C943" s="304">
        <f t="shared" si="148"/>
        <v>921479.793103448</v>
      </c>
      <c r="D943" s="322">
        <f>'Rate Design Work eff 9-15-17'!D944</f>
        <v>1.1200000000000001</v>
      </c>
      <c r="E943" s="306"/>
      <c r="F943" s="2">
        <f>ROUND(D943*C943,0)</f>
        <v>1032057</v>
      </c>
      <c r="G943" s="311">
        <f ca="1">'Rate Design Work eff 9-15-17'!G944</f>
        <v>1.1499999999999999</v>
      </c>
      <c r="H943" s="306"/>
      <c r="I943" s="2">
        <f ca="1">ROUND(G943*$C943,0)</f>
        <v>1059702</v>
      </c>
      <c r="J943" s="2"/>
      <c r="K943" s="311">
        <f ca="1">'Rate Design Work eff 10-14-16'!K944</f>
        <v>1.1200000000000001</v>
      </c>
      <c r="L943" s="306"/>
      <c r="M943" s="2">
        <f ca="1">'Rate Design Work eff 10-14-16'!M944</f>
        <v>1032057</v>
      </c>
      <c r="N943" s="2"/>
      <c r="O943" s="311" t="str">
        <f>'Rate Design Work eff 10-14-16'!O944</f>
        <v xml:space="preserve"> </v>
      </c>
      <c r="P943" s="306"/>
      <c r="Q943" s="2">
        <f>'Rate Design Work eff 10-14-16'!Q944</f>
        <v>0</v>
      </c>
      <c r="R943" s="2"/>
      <c r="S943" s="311" t="str">
        <f>'Rate Design Work eff 10-14-16'!S944</f>
        <v xml:space="preserve"> </v>
      </c>
      <c r="T943" s="306"/>
      <c r="U943" s="2">
        <f>'Rate Design Work eff 10-14-16'!U944</f>
        <v>0</v>
      </c>
      <c r="V943" s="20"/>
      <c r="X943" s="796">
        <f ca="1">(G943-D943)/D943</f>
        <v>2.6785714285714107E-2</v>
      </c>
      <c r="Y943" s="751"/>
      <c r="Z943" s="20"/>
      <c r="AA943" s="20"/>
      <c r="AB943" s="20"/>
      <c r="AC943" s="20"/>
      <c r="AD943" s="20"/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</row>
    <row r="944" spans="1:44">
      <c r="A944" s="308" t="s">
        <v>464</v>
      </c>
      <c r="B944" s="1"/>
      <c r="C944" s="304">
        <f t="shared" si="148"/>
        <v>0</v>
      </c>
      <c r="D944" s="322">
        <f>'Rate Design Work eff 9-15-17'!D945</f>
        <v>1.01</v>
      </c>
      <c r="E944" s="306"/>
      <c r="F944" s="2">
        <f>ROUND(D944*C944,0)</f>
        <v>0</v>
      </c>
      <c r="G944" s="311">
        <f ca="1">'Rate Design Work eff 9-15-17'!G945</f>
        <v>1.03</v>
      </c>
      <c r="H944" s="306"/>
      <c r="I944" s="2">
        <f ca="1">ROUND(G944*$C944,0)</f>
        <v>0</v>
      </c>
      <c r="J944" s="2"/>
      <c r="K944" s="311">
        <f ca="1">'Rate Design Work eff 10-14-16'!K945</f>
        <v>1.01</v>
      </c>
      <c r="L944" s="306"/>
      <c r="M944" s="2">
        <f ca="1">'Rate Design Work eff 10-14-16'!M945</f>
        <v>0</v>
      </c>
      <c r="N944" s="2"/>
      <c r="O944" s="311" t="str">
        <f>'Rate Design Work eff 10-14-16'!O945</f>
        <v xml:space="preserve"> </v>
      </c>
      <c r="P944" s="306"/>
      <c r="Q944" s="2">
        <f>'Rate Design Work eff 10-14-16'!Q945</f>
        <v>0</v>
      </c>
      <c r="R944" s="2"/>
      <c r="S944" s="311" t="str">
        <f>'Rate Design Work eff 10-14-16'!S945</f>
        <v xml:space="preserve"> </v>
      </c>
      <c r="T944" s="306"/>
      <c r="U944" s="2">
        <f>'Rate Design Work eff 10-14-16'!U945</f>
        <v>0</v>
      </c>
      <c r="V944" s="20"/>
      <c r="X944" s="796">
        <f ca="1">(G944-D944)/D944</f>
        <v>1.980198019801982E-2</v>
      </c>
      <c r="Y944" s="751"/>
      <c r="Z944" s="20"/>
      <c r="AA944" s="20"/>
      <c r="AB944" s="20"/>
      <c r="AC944" s="20"/>
      <c r="AD944" s="20"/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</row>
    <row r="945" spans="1:44">
      <c r="A945" s="294" t="s">
        <v>393</v>
      </c>
      <c r="B945" s="1"/>
      <c r="C945" s="304">
        <f t="shared" si="148"/>
        <v>752533.72413793101</v>
      </c>
      <c r="D945" s="322">
        <f>'Rate Design Work eff 9-15-17'!D946</f>
        <v>7.97</v>
      </c>
      <c r="E945" s="306"/>
      <c r="F945" s="2">
        <f>ROUND(D945*C945,0)</f>
        <v>5997694</v>
      </c>
      <c r="G945" s="311">
        <f ca="1">'Rate Design Work eff 9-15-17'!G946</f>
        <v>8.16</v>
      </c>
      <c r="H945" s="306"/>
      <c r="I945" s="2">
        <f ca="1">ROUND(G945*$C945,0)</f>
        <v>6140675</v>
      </c>
      <c r="J945" s="2"/>
      <c r="K945" s="311" t="e">
        <f ca="1">'Rate Design Work eff 10-14-16'!K946</f>
        <v>#DIV/0!</v>
      </c>
      <c r="L945" s="306"/>
      <c r="M945" s="2" t="e">
        <f ca="1">'Rate Design Work eff 10-14-16'!M946</f>
        <v>#DIV/0!</v>
      </c>
      <c r="N945" s="2"/>
      <c r="O945" s="311" t="e">
        <f ca="1">'Rate Design Work eff 10-14-16'!O946</f>
        <v>#DIV/0!</v>
      </c>
      <c r="P945" s="306"/>
      <c r="Q945" s="2" t="e">
        <f ca="1">'Rate Design Work eff 10-14-16'!Q946</f>
        <v>#DIV/0!</v>
      </c>
      <c r="R945" s="2"/>
      <c r="S945" s="311" t="e">
        <f ca="1">'Rate Design Work eff 10-14-16'!S946</f>
        <v>#DIV/0!</v>
      </c>
      <c r="T945" s="306"/>
      <c r="U945" s="2" t="e">
        <f ca="1">'Rate Design Work eff 10-14-16'!U946</f>
        <v>#DIV/0!</v>
      </c>
      <c r="V945" s="20"/>
      <c r="X945" s="796">
        <f ca="1">(G945-D945)/D945</f>
        <v>2.383939774153079E-2</v>
      </c>
      <c r="Y945" s="751"/>
      <c r="Z945" s="20"/>
      <c r="AA945" s="20"/>
      <c r="AB945" s="20"/>
      <c r="AC945" s="20"/>
      <c r="AD945" s="20"/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</row>
    <row r="946" spans="1:44">
      <c r="A946" s="308" t="s">
        <v>416</v>
      </c>
      <c r="B946" s="1"/>
      <c r="C946" s="304"/>
      <c r="D946" s="322"/>
      <c r="E946" s="306"/>
      <c r="F946" s="2"/>
      <c r="G946" s="311" t="s">
        <v>31</v>
      </c>
      <c r="H946" s="306"/>
      <c r="I946" s="2"/>
      <c r="J946" s="2"/>
      <c r="K946" s="311" t="s">
        <v>31</v>
      </c>
      <c r="L946" s="306"/>
      <c r="M946" s="2"/>
      <c r="N946" s="2"/>
      <c r="O946" s="311" t="s">
        <v>31</v>
      </c>
      <c r="P946" s="306"/>
      <c r="Q946" s="2"/>
      <c r="R946" s="2"/>
      <c r="S946" s="311" t="s">
        <v>31</v>
      </c>
      <c r="T946" s="306"/>
      <c r="U946" s="2"/>
      <c r="V946" s="20"/>
      <c r="X946" s="1282"/>
      <c r="Y946" s="74"/>
      <c r="Z946" s="20"/>
      <c r="AA946" s="20"/>
      <c r="AB946" s="20"/>
      <c r="AC946" s="20"/>
      <c r="AD946" s="20"/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</row>
    <row r="947" spans="1:44">
      <c r="A947" s="308" t="s">
        <v>454</v>
      </c>
      <c r="B947" s="1"/>
      <c r="C947" s="304">
        <f>C967+C985</f>
        <v>334945415.26665139</v>
      </c>
      <c r="D947" s="380">
        <f>'Rate Design Work eff 9-15-17'!D948</f>
        <v>4.7409999999999997</v>
      </c>
      <c r="E947" s="306" t="s">
        <v>364</v>
      </c>
      <c r="F947" s="2">
        <f>ROUND(D947/100*C947,0)</f>
        <v>15879762</v>
      </c>
      <c r="G947" s="777">
        <f ca="1">'Rate Design Work eff 9-15-17'!G948</f>
        <v>4.8520000000000003</v>
      </c>
      <c r="H947" s="306" t="s">
        <v>364</v>
      </c>
      <c r="I947" s="2">
        <f ca="1">ROUND(G947/100*$C947,0)</f>
        <v>16251552</v>
      </c>
      <c r="J947" s="2"/>
      <c r="K947" s="777" t="str">
        <f>'Rate Design Work eff 10-14-16'!K948</f>
        <v xml:space="preserve"> </v>
      </c>
      <c r="L947" s="850" t="s">
        <v>31</v>
      </c>
      <c r="M947" s="2">
        <f>'Rate Design Work eff 10-14-16'!M948</f>
        <v>0</v>
      </c>
      <c r="N947" s="2"/>
      <c r="O947" s="777" t="e">
        <f ca="1">'Rate Design Work eff 10-14-16'!O948</f>
        <v>#DIV/0!</v>
      </c>
      <c r="P947" s="306" t="s">
        <v>364</v>
      </c>
      <c r="Q947" s="2" t="e">
        <f ca="1">'Rate Design Work eff 10-14-16'!Q948</f>
        <v>#DIV/0!</v>
      </c>
      <c r="R947" s="2"/>
      <c r="S947" s="777" t="e">
        <f ca="1">'Rate Design Work eff 10-14-16'!S948</f>
        <v>#DIV/0!</v>
      </c>
      <c r="T947" s="306" t="s">
        <v>364</v>
      </c>
      <c r="U947" s="2" t="e">
        <f ca="1">'Rate Design Work eff 10-14-16'!U948</f>
        <v>#DIV/0!</v>
      </c>
      <c r="V947" s="20"/>
      <c r="X947" s="796">
        <f ca="1">((G947+G949)-D947)/D947</f>
        <v>2.341278211347831E-2</v>
      </c>
      <c r="Y947" s="751"/>
      <c r="Z947" s="20"/>
      <c r="AA947" s="20"/>
      <c r="AB947" s="2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</row>
    <row r="948" spans="1:44">
      <c r="A948" s="308" t="s">
        <v>390</v>
      </c>
      <c r="B948" s="1"/>
      <c r="C948" s="304">
        <f>C968+C986</f>
        <v>159554.87878787841</v>
      </c>
      <c r="D948" s="322">
        <f>'Rate Design Work eff 9-15-17'!D949</f>
        <v>0.56000000000000005</v>
      </c>
      <c r="E948" s="306"/>
      <c r="F948" s="2">
        <f>ROUND(D948*C948,0)</f>
        <v>89351</v>
      </c>
      <c r="G948" s="311">
        <f ca="1">'Rate Design Work eff 9-15-17'!G949</f>
        <v>0.56999999999999995</v>
      </c>
      <c r="H948" s="306"/>
      <c r="I948" s="2">
        <f ca="1">ROUND(G948*$C948,0)</f>
        <v>90946</v>
      </c>
      <c r="J948" s="2"/>
      <c r="K948" s="311" t="str">
        <f>'Rate Design Work eff 10-14-16'!K949</f>
        <v xml:space="preserve"> </v>
      </c>
      <c r="L948" s="306"/>
      <c r="M948" s="2">
        <f>'Rate Design Work eff 10-14-16'!M949</f>
        <v>0</v>
      </c>
      <c r="N948" s="2"/>
      <c r="O948" s="311" t="e">
        <f ca="1">'Rate Design Work eff 10-14-16'!O949</f>
        <v>#DIV/0!</v>
      </c>
      <c r="P948" s="306"/>
      <c r="Q948" s="2" t="e">
        <f ca="1">'Rate Design Work eff 10-14-16'!Q949</f>
        <v>#DIV/0!</v>
      </c>
      <c r="R948" s="2"/>
      <c r="S948" s="311" t="e">
        <f ca="1">'Rate Design Work eff 10-14-16'!S949</f>
        <v>#DIV/0!</v>
      </c>
      <c r="T948" s="306"/>
      <c r="U948" s="2" t="e">
        <f ca="1">'Rate Design Work eff 10-14-16'!U949</f>
        <v>#DIV/0!</v>
      </c>
      <c r="V948" s="20"/>
      <c r="X948" s="796">
        <f ca="1">(G948-D948)/D948</f>
        <v>1.7857142857142672E-2</v>
      </c>
      <c r="Y948" s="751"/>
      <c r="Z948" s="20"/>
      <c r="AA948" s="20"/>
      <c r="AB948" s="20"/>
      <c r="AC948" s="20"/>
      <c r="AD948" s="20"/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</row>
    <row r="949" spans="1:44" s="1118" customFormat="1" hidden="1">
      <c r="A949" s="968" t="s">
        <v>891</v>
      </c>
      <c r="C949" s="987">
        <f>C970+C987</f>
        <v>334945415.26665139</v>
      </c>
      <c r="D949" s="254">
        <f>'Rate Design Work eff 9-15-17'!D950</f>
        <v>0</v>
      </c>
      <c r="E949" s="1119"/>
      <c r="F949" s="1123"/>
      <c r="G949" s="1128">
        <f>'Rate Design Work eff 9-15-17'!G950</f>
        <v>0</v>
      </c>
      <c r="H949" s="1000" t="s">
        <v>364</v>
      </c>
      <c r="I949" s="1123">
        <f>ROUND(G949/100*$C949,0)</f>
        <v>0</v>
      </c>
      <c r="J949" s="1123"/>
      <c r="K949" s="1128" t="str">
        <f>'Rate Design Work eff 10-14-16'!K950</f>
        <v xml:space="preserve"> </v>
      </c>
      <c r="L949" s="1000" t="s">
        <v>31</v>
      </c>
      <c r="M949" s="2">
        <f>'Rate Design Work eff 10-14-16'!M950</f>
        <v>0</v>
      </c>
      <c r="N949" s="1000"/>
      <c r="O949" s="1128" t="str">
        <f>'Rate Design Work eff 10-14-16'!O950</f>
        <v xml:space="preserve"> </v>
      </c>
      <c r="P949" s="1000" t="s">
        <v>31</v>
      </c>
      <c r="Q949" s="2">
        <f>'Rate Design Work eff 10-14-16'!Q950</f>
        <v>0</v>
      </c>
      <c r="R949" s="1000"/>
      <c r="S949" s="1128">
        <f>'Rate Design Work eff 10-14-16'!S950</f>
        <v>0</v>
      </c>
      <c r="T949" s="1000" t="s">
        <v>364</v>
      </c>
      <c r="U949" s="2">
        <f>'Rate Design Work eff 10-14-16'!U950</f>
        <v>0</v>
      </c>
      <c r="V949" s="1124">
        <f>'NPC Spread'!G47</f>
        <v>9512953.169853868</v>
      </c>
      <c r="W949" s="784" t="s">
        <v>857</v>
      </c>
      <c r="Z949" s="1125"/>
      <c r="AA949" s="1125"/>
      <c r="AF949" s="1119"/>
      <c r="AG949" s="1119"/>
      <c r="AH949" s="1119"/>
      <c r="AI949" s="1119"/>
      <c r="AJ949" s="1119"/>
      <c r="AK949" s="1119"/>
      <c r="AL949" s="1119"/>
      <c r="AM949" s="1119"/>
      <c r="AN949" s="1119"/>
      <c r="AO949" s="1119"/>
      <c r="AP949" s="1119"/>
      <c r="AR949" s="1124"/>
    </row>
    <row r="950" spans="1:44" s="1256" customFormat="1" hidden="1">
      <c r="A950" s="1255" t="s">
        <v>873</v>
      </c>
      <c r="C950" s="1262"/>
      <c r="D950" s="1268">
        <f>'Rate Design Work eff 9-15-17'!D951</f>
        <v>4.7409999999999997</v>
      </c>
      <c r="E950" s="1266" t="s">
        <v>364</v>
      </c>
      <c r="F950" s="1259"/>
      <c r="G950" s="1260">
        <f ca="1">G947+G949</f>
        <v>4.8520000000000003</v>
      </c>
      <c r="H950" s="1266" t="s">
        <v>364</v>
      </c>
      <c r="I950" s="1259"/>
      <c r="J950" s="1259"/>
      <c r="K950" s="1270" t="s">
        <v>31</v>
      </c>
      <c r="L950" s="1266" t="s">
        <v>31</v>
      </c>
      <c r="M950" s="1266"/>
      <c r="N950" s="1266"/>
      <c r="O950" s="1270" t="e">
        <f ca="1">O947+O949</f>
        <v>#DIV/0!</v>
      </c>
      <c r="P950" s="1266" t="s">
        <v>364</v>
      </c>
      <c r="Q950" s="1266"/>
      <c r="R950" s="1266"/>
      <c r="S950" s="1270" t="e">
        <f ca="1">S947+S949</f>
        <v>#DIV/0!</v>
      </c>
      <c r="T950" s="1266" t="s">
        <v>364</v>
      </c>
      <c r="U950" s="1266"/>
      <c r="V950" s="1283"/>
      <c r="W950" s="1284"/>
      <c r="X950" s="1285">
        <f ca="1">(G950-D950)/D950</f>
        <v>2.341278211347831E-2</v>
      </c>
      <c r="Z950" s="1286"/>
      <c r="AA950" s="1286"/>
      <c r="AF950" s="1258"/>
      <c r="AG950" s="1258"/>
      <c r="AH950" s="1258"/>
      <c r="AI950" s="1258"/>
      <c r="AJ950" s="1258"/>
      <c r="AK950" s="1258"/>
      <c r="AL950" s="1258"/>
      <c r="AM950" s="1258"/>
      <c r="AN950" s="1258"/>
      <c r="AO950" s="1258"/>
      <c r="AP950" s="1258"/>
      <c r="AR950" s="1283"/>
    </row>
    <row r="951" spans="1:44">
      <c r="A951" s="1" t="s">
        <v>371</v>
      </c>
      <c r="B951" s="1"/>
      <c r="C951" s="304">
        <f>C947</f>
        <v>334945415.26665139</v>
      </c>
      <c r="D951" s="315"/>
      <c r="E951" s="1"/>
      <c r="F951" s="2">
        <f>SUM(F940:F948)</f>
        <v>23918152</v>
      </c>
      <c r="G951" s="315"/>
      <c r="H951" s="1"/>
      <c r="I951" s="2">
        <f ca="1">SUM(I940:I950)</f>
        <v>24482360</v>
      </c>
      <c r="J951" s="2"/>
      <c r="K951" s="772"/>
      <c r="L951" s="1"/>
      <c r="M951" s="2" t="e">
        <f ca="1">SUM(M940:M950)</f>
        <v>#DIV/0!</v>
      </c>
      <c r="N951" s="2"/>
      <c r="O951" s="772"/>
      <c r="P951" s="1"/>
      <c r="Q951" s="2" t="e">
        <f ca="1">SUM(Q940:Q950)</f>
        <v>#DIV/0!</v>
      </c>
      <c r="R951" s="2"/>
      <c r="S951" s="772"/>
      <c r="T951" s="1"/>
      <c r="U951" s="2" t="e">
        <f ca="1">SUM(U940:U950)</f>
        <v>#DIV/0!</v>
      </c>
      <c r="V951" s="20"/>
      <c r="W951" s="74"/>
      <c r="X951" s="74"/>
      <c r="Y951" s="74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</row>
    <row r="952" spans="1:44">
      <c r="A952" s="1" t="s">
        <v>353</v>
      </c>
      <c r="B952" s="1"/>
      <c r="C952" s="304">
        <f ca="1">C971+C989</f>
        <v>1536540.0713919159</v>
      </c>
      <c r="D952" s="294"/>
      <c r="E952" s="294"/>
      <c r="F952" s="326">
        <f ca="1">F971+F989</f>
        <v>117155.49709223211</v>
      </c>
      <c r="G952" s="294"/>
      <c r="H952" s="294"/>
      <c r="I952" s="326">
        <f ca="1">F952</f>
        <v>117155.49709223211</v>
      </c>
      <c r="J952" s="307"/>
      <c r="K952" s="294"/>
      <c r="L952" s="294"/>
      <c r="M952" s="738" t="e">
        <f ca="1">$I$952*V955/($V955+$W$955+$X$955)</f>
        <v>#DIV/0!</v>
      </c>
      <c r="N952" s="51"/>
      <c r="O952" s="294"/>
      <c r="P952" s="294"/>
      <c r="Q952" s="738" t="e">
        <f ca="1">$I$952*W955/($V955+$W$955+$X$955)</f>
        <v>#DIV/0!</v>
      </c>
      <c r="R952" s="51"/>
      <c r="S952" s="294"/>
      <c r="T952" s="294"/>
      <c r="U952" s="738" t="e">
        <f ca="1">$I$952*X955/($V955+$W$955+$X$955)</f>
        <v>#DIV/0!</v>
      </c>
      <c r="V952" s="429"/>
      <c r="W952" s="272"/>
      <c r="X952" s="74"/>
      <c r="Y952" s="74"/>
      <c r="Z952" s="20"/>
      <c r="AA952" s="20"/>
      <c r="AB952" s="20"/>
      <c r="AC952" s="20"/>
      <c r="AD952" s="20"/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</row>
    <row r="953" spans="1:44" ht="18" customHeight="1" thickBot="1">
      <c r="A953" s="1" t="s">
        <v>372</v>
      </c>
      <c r="B953" s="1"/>
      <c r="C953" s="378">
        <f ca="1">SUM(C951)+C952</f>
        <v>336481955.33804333</v>
      </c>
      <c r="D953" s="327"/>
      <c r="E953" s="330"/>
      <c r="F953" s="329">
        <f ca="1">F951+F952</f>
        <v>24035307.497092232</v>
      </c>
      <c r="G953" s="327"/>
      <c r="H953" s="330"/>
      <c r="I953" s="329">
        <f ca="1">I951+I952</f>
        <v>24599515.497092232</v>
      </c>
      <c r="J953" s="307"/>
      <c r="K953" s="327"/>
      <c r="L953" s="330"/>
      <c r="M953" s="329" t="e">
        <f ca="1">M951+M952</f>
        <v>#DIV/0!</v>
      </c>
      <c r="N953" s="329"/>
      <c r="O953" s="327"/>
      <c r="P953" s="330"/>
      <c r="Q953" s="329" t="e">
        <f ca="1">Q951+Q952</f>
        <v>#DIV/0!</v>
      </c>
      <c r="R953" s="329"/>
      <c r="S953" s="327"/>
      <c r="T953" s="330"/>
      <c r="U953" s="329" t="e">
        <f ca="1">U951+U952</f>
        <v>#DIV/0!</v>
      </c>
      <c r="V953" s="7"/>
      <c r="W953" s="32"/>
      <c r="X953" s="74"/>
      <c r="Y953" s="74"/>
      <c r="Z953" s="770" t="s">
        <v>31</v>
      </c>
      <c r="AA953" s="20"/>
      <c r="AB953" s="20"/>
      <c r="AC953" s="20"/>
      <c r="AD953" s="20"/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</row>
    <row r="954" spans="1:44" ht="16.5" thickTop="1">
      <c r="A954" s="1"/>
      <c r="B954" s="1"/>
      <c r="C954" s="21"/>
      <c r="D954" s="322"/>
      <c r="E954" s="1"/>
      <c r="F954" s="2" t="s">
        <v>31</v>
      </c>
      <c r="G954" s="322"/>
      <c r="H954" s="1"/>
      <c r="I954" s="365"/>
      <c r="J954" s="365"/>
      <c r="K954" s="322"/>
      <c r="L954" s="1"/>
      <c r="M954" s="365"/>
      <c r="N954" s="365"/>
      <c r="O954" s="322"/>
      <c r="P954" s="1"/>
      <c r="Q954" s="365"/>
      <c r="R954" s="365"/>
      <c r="S954" s="322"/>
      <c r="T954" s="1"/>
      <c r="U954" s="365"/>
      <c r="V954" s="1274"/>
      <c r="W954" s="1274"/>
      <c r="X954" s="1274"/>
      <c r="Y954" s="74"/>
      <c r="Z954" s="7" t="s">
        <v>31</v>
      </c>
      <c r="AA954" s="20"/>
      <c r="AB954" s="20"/>
      <c r="AC954" s="20"/>
      <c r="AD954" s="20"/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</row>
    <row r="955" spans="1:44" hidden="1">
      <c r="A955" s="1"/>
      <c r="B955" s="1"/>
      <c r="C955" s="21"/>
      <c r="D955" s="322"/>
      <c r="E955" s="1"/>
      <c r="F955" s="2"/>
      <c r="G955" s="322"/>
      <c r="H955" s="1"/>
      <c r="I955" s="365"/>
      <c r="J955" s="365"/>
      <c r="K955" s="322"/>
      <c r="L955" s="1"/>
      <c r="M955" s="365"/>
      <c r="N955" s="365"/>
      <c r="O955" s="322"/>
      <c r="P955" s="1"/>
      <c r="Q955" s="365"/>
      <c r="R955" s="365"/>
      <c r="S955" s="322"/>
      <c r="T955" s="1"/>
      <c r="U955" s="365"/>
      <c r="V955" s="396"/>
      <c r="W955" s="396"/>
      <c r="X955" s="396"/>
      <c r="Y955" s="74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</row>
    <row r="956" spans="1:44" hidden="1">
      <c r="A956" s="278" t="s">
        <v>466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20"/>
      <c r="W956" s="74"/>
      <c r="X956" s="74"/>
      <c r="Y956" s="74"/>
      <c r="Z956" s="20"/>
      <c r="AA956" s="20"/>
      <c r="AB956" s="20"/>
      <c r="AC956" s="20"/>
      <c r="AD956" s="20"/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</row>
    <row r="957" spans="1:44" hidden="1">
      <c r="A957" s="294" t="s">
        <v>675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20"/>
      <c r="W957" s="74"/>
      <c r="X957" s="74"/>
      <c r="Y957" s="74"/>
      <c r="Z957" s="20"/>
      <c r="AA957" s="20"/>
      <c r="AB957" s="20"/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</row>
    <row r="958" spans="1:44" hidden="1">
      <c r="A958" s="308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20"/>
      <c r="W958" s="74"/>
      <c r="X958" s="74"/>
      <c r="Y958" s="74"/>
      <c r="Z958" s="20"/>
      <c r="AA958" s="20"/>
      <c r="AB958" s="20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</row>
    <row r="959" spans="1:44" hidden="1">
      <c r="A959" s="308" t="s">
        <v>383</v>
      </c>
      <c r="B959" s="1"/>
      <c r="C959" s="304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20"/>
      <c r="W959" s="74" t="s">
        <v>31</v>
      </c>
      <c r="X959" s="74"/>
      <c r="Y959" s="74"/>
      <c r="Z959" s="20"/>
      <c r="AA959" s="20"/>
      <c r="AB959" s="20"/>
      <c r="AC959" s="20"/>
      <c r="AD959" s="20"/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</row>
    <row r="960" spans="1:44" hidden="1">
      <c r="A960" s="308" t="s">
        <v>461</v>
      </c>
      <c r="B960" s="1"/>
      <c r="C960" s="304">
        <f>'Rate Design Work eff 10-14-16'!C961</f>
        <v>318.69696969696997</v>
      </c>
      <c r="D960" s="322">
        <f>'Rate Design Work eff 9-15-17'!D961</f>
        <v>1411</v>
      </c>
      <c r="E960" s="306"/>
      <c r="F960" s="2">
        <f>ROUND(D960*C960,0)</f>
        <v>449681</v>
      </c>
      <c r="G960" s="322">
        <f ca="1">G940</f>
        <v>1442</v>
      </c>
      <c r="H960" s="306"/>
      <c r="I960" s="2">
        <f ca="1">ROUND(G960*$C960,0)</f>
        <v>459561</v>
      </c>
      <c r="J960" s="2"/>
      <c r="K960" s="322">
        <f ca="1">K940</f>
        <v>1411</v>
      </c>
      <c r="L960" s="306"/>
      <c r="M960" s="2">
        <f ca="1">ROUND(K960*$C960,0)</f>
        <v>449681</v>
      </c>
      <c r="N960" s="2"/>
      <c r="O960" s="322" t="str">
        <f>O940</f>
        <v xml:space="preserve"> </v>
      </c>
      <c r="P960" s="306"/>
      <c r="Q960" s="2">
        <f>ROUND(O960*$C960,0)</f>
        <v>0</v>
      </c>
      <c r="R960" s="2"/>
      <c r="S960" s="322" t="str">
        <f>S940</f>
        <v xml:space="preserve"> </v>
      </c>
      <c r="T960" s="306"/>
      <c r="U960" s="2">
        <f>ROUND(S960*$C960,0)</f>
        <v>0</v>
      </c>
      <c r="V960" s="20"/>
      <c r="W960" s="74"/>
      <c r="X960" s="74"/>
      <c r="Y960" s="74"/>
      <c r="Z960" s="20"/>
      <c r="AA960" s="20"/>
      <c r="AB960" s="20"/>
      <c r="AC960" s="20"/>
      <c r="AD960" s="20"/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</row>
    <row r="961" spans="1:44" hidden="1">
      <c r="A961" s="308" t="s">
        <v>462</v>
      </c>
      <c r="B961" s="1"/>
      <c r="C961" s="304">
        <f>'Rate Design Work eff 10-14-16'!C962</f>
        <v>0</v>
      </c>
      <c r="D961" s="322">
        <f>'Rate Design Work eff 9-15-17'!D962</f>
        <v>1703</v>
      </c>
      <c r="E961" s="309"/>
      <c r="F961" s="2">
        <f>ROUND(D961*C961,0)</f>
        <v>0</v>
      </c>
      <c r="G961" s="322">
        <f ca="1">G941</f>
        <v>1743</v>
      </c>
      <c r="H961" s="309"/>
      <c r="I961" s="2">
        <f ca="1">ROUND(G961*$C961,0)</f>
        <v>0</v>
      </c>
      <c r="J961" s="2"/>
      <c r="K961" s="322">
        <f ca="1">K941</f>
        <v>1703</v>
      </c>
      <c r="L961" s="309"/>
      <c r="M961" s="2">
        <f ca="1">ROUND(K961*$C961,0)</f>
        <v>0</v>
      </c>
      <c r="N961" s="2"/>
      <c r="O961" s="322" t="str">
        <f>O941</f>
        <v xml:space="preserve"> </v>
      </c>
      <c r="P961" s="309"/>
      <c r="Q961" s="2">
        <f>ROUND(O961*$C961,0)</f>
        <v>0</v>
      </c>
      <c r="R961" s="2"/>
      <c r="S961" s="322" t="str">
        <f>S941</f>
        <v xml:space="preserve"> </v>
      </c>
      <c r="T961" s="309"/>
      <c r="U961" s="2">
        <f>ROUND(S961*$C961,0)</f>
        <v>0</v>
      </c>
      <c r="V961" s="20"/>
      <c r="W961" s="74"/>
      <c r="X961" s="74"/>
      <c r="Y961" s="74"/>
      <c r="Z961" s="20"/>
      <c r="AA961" s="20"/>
      <c r="AB961" s="20"/>
      <c r="AC961" s="20"/>
      <c r="AD961" s="20"/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</row>
    <row r="962" spans="1:44" hidden="1">
      <c r="A962" s="308" t="s">
        <v>384</v>
      </c>
      <c r="B962" s="1"/>
      <c r="C962" s="304">
        <f>SUM(C960:C961)</f>
        <v>318.69696969696997</v>
      </c>
      <c r="D962" s="322"/>
      <c r="E962" s="306"/>
      <c r="F962" s="2" t="s">
        <v>31</v>
      </c>
      <c r="G962" s="322" t="s">
        <v>31</v>
      </c>
      <c r="H962" s="306"/>
      <c r="I962" s="2" t="s">
        <v>31</v>
      </c>
      <c r="J962" s="2"/>
      <c r="K962" s="322" t="s">
        <v>31</v>
      </c>
      <c r="L962" s="306"/>
      <c r="M962" s="2" t="s">
        <v>31</v>
      </c>
      <c r="N962" s="2"/>
      <c r="O962" s="322" t="s">
        <v>31</v>
      </c>
      <c r="P962" s="306"/>
      <c r="Q962" s="2" t="s">
        <v>31</v>
      </c>
      <c r="R962" s="2"/>
      <c r="S962" s="322" t="s">
        <v>31</v>
      </c>
      <c r="T962" s="306"/>
      <c r="U962" s="2" t="s">
        <v>31</v>
      </c>
      <c r="V962" s="20"/>
      <c r="W962" s="74"/>
      <c r="X962" s="74"/>
      <c r="Y962" s="74"/>
      <c r="Z962" s="20"/>
      <c r="AA962" s="20"/>
      <c r="AB962" s="20"/>
      <c r="AC962" s="20"/>
      <c r="AD962" s="20"/>
      <c r="AE962" s="20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</row>
    <row r="963" spans="1:44" hidden="1">
      <c r="A963" s="308" t="s">
        <v>463</v>
      </c>
      <c r="B963" s="1"/>
      <c r="C963" s="304">
        <f>'Rate Design Work eff 10-14-16'!C964</f>
        <v>384073</v>
      </c>
      <c r="D963" s="322">
        <f>'Rate Design Work eff 9-15-17'!D964</f>
        <v>1.1200000000000001</v>
      </c>
      <c r="E963" s="306"/>
      <c r="F963" s="2">
        <f>ROUND(D963*C963,0)</f>
        <v>430162</v>
      </c>
      <c r="G963" s="322">
        <f ca="1">G943</f>
        <v>1.1499999999999999</v>
      </c>
      <c r="H963" s="306"/>
      <c r="I963" s="2">
        <f ca="1">ROUND(G963*$C963,0)</f>
        <v>441684</v>
      </c>
      <c r="J963" s="2"/>
      <c r="K963" s="322">
        <f ca="1">K943</f>
        <v>1.1200000000000001</v>
      </c>
      <c r="L963" s="306"/>
      <c r="M963" s="2">
        <f ca="1">ROUND(K963*$C963,0)</f>
        <v>430162</v>
      </c>
      <c r="N963" s="2"/>
      <c r="O963" s="322" t="str">
        <f>O943</f>
        <v xml:space="preserve"> </v>
      </c>
      <c r="P963" s="306"/>
      <c r="Q963" s="2">
        <f>ROUND(O963*$C963,0)</f>
        <v>0</v>
      </c>
      <c r="R963" s="2"/>
      <c r="S963" s="322" t="str">
        <f>S943</f>
        <v xml:space="preserve"> </v>
      </c>
      <c r="T963" s="306"/>
      <c r="U963" s="2">
        <f>ROUND(S963*$C963,0)</f>
        <v>0</v>
      </c>
      <c r="V963" s="20"/>
      <c r="W963" s="74"/>
      <c r="X963" s="74"/>
      <c r="Y963" s="74"/>
      <c r="Z963" s="20"/>
      <c r="AA963" s="20"/>
      <c r="AB963" s="2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</row>
    <row r="964" spans="1:44" hidden="1">
      <c r="A964" s="308" t="s">
        <v>464</v>
      </c>
      <c r="B964" s="1"/>
      <c r="C964" s="304">
        <f>'Rate Design Work eff 10-14-16'!C965</f>
        <v>0</v>
      </c>
      <c r="D964" s="322">
        <f>'Rate Design Work eff 9-15-17'!D965</f>
        <v>1.01</v>
      </c>
      <c r="E964" s="306"/>
      <c r="F964" s="2">
        <f>ROUND(D964*C964,0)</f>
        <v>0</v>
      </c>
      <c r="G964" s="322">
        <f ca="1">G944</f>
        <v>1.03</v>
      </c>
      <c r="H964" s="306"/>
      <c r="I964" s="2">
        <f ca="1">ROUND(G964*$C964,0)</f>
        <v>0</v>
      </c>
      <c r="J964" s="2"/>
      <c r="K964" s="322">
        <f ca="1">K944</f>
        <v>1.01</v>
      </c>
      <c r="L964" s="306"/>
      <c r="M964" s="2">
        <f ca="1">ROUND(K964*$C964,0)</f>
        <v>0</v>
      </c>
      <c r="N964" s="2"/>
      <c r="O964" s="322" t="str">
        <f>O944</f>
        <v xml:space="preserve"> </v>
      </c>
      <c r="P964" s="306"/>
      <c r="Q964" s="2">
        <f>ROUND(O964*$C964,0)</f>
        <v>0</v>
      </c>
      <c r="R964" s="2"/>
      <c r="S964" s="322" t="str">
        <f>S944</f>
        <v xml:space="preserve"> </v>
      </c>
      <c r="T964" s="306"/>
      <c r="U964" s="2">
        <f>ROUND(S964*$C964,0)</f>
        <v>0</v>
      </c>
      <c r="V964" s="20"/>
      <c r="W964" s="74"/>
      <c r="X964" s="74"/>
      <c r="Y964" s="74"/>
      <c r="Z964" s="20"/>
      <c r="AA964" s="20"/>
      <c r="AB964" s="20"/>
      <c r="AC964" s="20"/>
      <c r="AD964" s="20"/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</row>
    <row r="965" spans="1:44" hidden="1">
      <c r="A965" s="294" t="s">
        <v>393</v>
      </c>
      <c r="B965" s="1"/>
      <c r="C965" s="304">
        <f>'Rate Design Work eff 10-14-16'!C966</f>
        <v>287401.24137931003</v>
      </c>
      <c r="D965" s="322">
        <f>'Rate Design Work eff 9-15-17'!D966</f>
        <v>7.97</v>
      </c>
      <c r="E965" s="306"/>
      <c r="F965" s="2">
        <f>ROUND(D965*C965,0)</f>
        <v>2290588</v>
      </c>
      <c r="G965" s="322">
        <f ca="1">G945</f>
        <v>8.16</v>
      </c>
      <c r="H965" s="306"/>
      <c r="I965" s="2">
        <f ca="1">ROUND(G965*$C965,0)</f>
        <v>2345194</v>
      </c>
      <c r="J965" s="2"/>
      <c r="K965" s="322" t="e">
        <f ca="1">K945</f>
        <v>#DIV/0!</v>
      </c>
      <c r="L965" s="306"/>
      <c r="M965" s="2" t="e">
        <f ca="1">ROUND(K965*$C965,0)</f>
        <v>#DIV/0!</v>
      </c>
      <c r="N965" s="2"/>
      <c r="O965" s="322" t="e">
        <f ca="1">O945</f>
        <v>#DIV/0!</v>
      </c>
      <c r="P965" s="306"/>
      <c r="Q965" s="2" t="e">
        <f ca="1">ROUND(O965*$C965,0)</f>
        <v>#DIV/0!</v>
      </c>
      <c r="R965" s="2"/>
      <c r="S965" s="322" t="e">
        <f ca="1">S945</f>
        <v>#DIV/0!</v>
      </c>
      <c r="T965" s="306"/>
      <c r="U965" s="2" t="e">
        <f ca="1">ROUND(S965*$C965,0)</f>
        <v>#DIV/0!</v>
      </c>
      <c r="V965" s="20"/>
      <c r="W965" s="74"/>
      <c r="X965" s="74"/>
      <c r="Y965" s="74"/>
      <c r="Z965" s="20"/>
      <c r="AA965" s="20"/>
      <c r="AB965" s="20"/>
      <c r="AC965" s="20"/>
      <c r="AD965" s="20"/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</row>
    <row r="966" spans="1:44" hidden="1">
      <c r="A966" s="308" t="s">
        <v>416</v>
      </c>
      <c r="B966" s="1"/>
      <c r="C966" s="304"/>
      <c r="D966" s="322"/>
      <c r="E966" s="306"/>
      <c r="F966" s="2"/>
      <c r="G966" s="322" t="s">
        <v>31</v>
      </c>
      <c r="H966" s="306"/>
      <c r="I966" s="2"/>
      <c r="J966" s="2"/>
      <c r="K966" s="322" t="s">
        <v>31</v>
      </c>
      <c r="L966" s="306"/>
      <c r="M966" s="2"/>
      <c r="N966" s="2"/>
      <c r="O966" s="322" t="s">
        <v>31</v>
      </c>
      <c r="P966" s="306"/>
      <c r="Q966" s="2"/>
      <c r="R966" s="2"/>
      <c r="S966" s="322" t="s">
        <v>31</v>
      </c>
      <c r="T966" s="306"/>
      <c r="U966" s="2"/>
      <c r="V966" s="20"/>
      <c r="W966" s="74"/>
      <c r="X966" s="74"/>
      <c r="Y966" s="74"/>
      <c r="Z966" s="20"/>
      <c r="AA966" s="20"/>
      <c r="AB966" s="20"/>
      <c r="AC966" s="20"/>
      <c r="AD966" s="20"/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</row>
    <row r="967" spans="1:44" hidden="1">
      <c r="A967" s="308" t="s">
        <v>454</v>
      </c>
      <c r="B967" s="1"/>
      <c r="C967" s="304">
        <f>'Rate Design Work eff 10-14-16'!C968</f>
        <v>125244965.26665136</v>
      </c>
      <c r="D967" s="380">
        <f>'Rate Design Work eff 9-15-17'!D968</f>
        <v>4.7409999999999997</v>
      </c>
      <c r="E967" s="306" t="s">
        <v>364</v>
      </c>
      <c r="F967" s="2">
        <f>ROUND(D967/100*C967,0)</f>
        <v>5937864</v>
      </c>
      <c r="G967" s="380">
        <f ca="1">G947</f>
        <v>4.8520000000000003</v>
      </c>
      <c r="H967" s="306" t="s">
        <v>364</v>
      </c>
      <c r="I967" s="2">
        <f ca="1">ROUND(G967/100*$C967,0)</f>
        <v>6076886</v>
      </c>
      <c r="J967" s="2"/>
      <c r="K967" s="380" t="str">
        <f>K947</f>
        <v xml:space="preserve"> </v>
      </c>
      <c r="L967" s="306" t="s">
        <v>364</v>
      </c>
      <c r="M967" s="2">
        <f>ROUND(K967/100*$C967,0)</f>
        <v>0</v>
      </c>
      <c r="N967" s="2"/>
      <c r="O967" s="380" t="e">
        <f ca="1">O947</f>
        <v>#DIV/0!</v>
      </c>
      <c r="P967" s="306" t="s">
        <v>364</v>
      </c>
      <c r="Q967" s="2" t="e">
        <f ca="1">ROUND(O967/100*$C967,0)</f>
        <v>#DIV/0!</v>
      </c>
      <c r="R967" s="2"/>
      <c r="S967" s="380" t="e">
        <f ca="1">S947</f>
        <v>#DIV/0!</v>
      </c>
      <c r="T967" s="306" t="s">
        <v>364</v>
      </c>
      <c r="U967" s="2" t="e">
        <f ca="1">ROUND(S967/100*$C967,0)</f>
        <v>#DIV/0!</v>
      </c>
      <c r="V967" s="20"/>
      <c r="W967" s="74"/>
      <c r="X967" s="74"/>
      <c r="Y967" s="74"/>
      <c r="Z967" s="20"/>
      <c r="AA967" s="20"/>
      <c r="AB967" s="20"/>
      <c r="AC967" s="20"/>
      <c r="AD967" s="20"/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</row>
    <row r="968" spans="1:44" hidden="1">
      <c r="A968" s="308" t="s">
        <v>390</v>
      </c>
      <c r="B968" s="1"/>
      <c r="C968" s="304">
        <f>'Rate Design Work eff 10-14-16'!C969</f>
        <v>30465.6363636364</v>
      </c>
      <c r="D968" s="322">
        <f>'Rate Design Work eff 9-15-17'!D969</f>
        <v>0.56000000000000005</v>
      </c>
      <c r="E968" s="306"/>
      <c r="F968" s="2">
        <f>ROUND(D968*C968,0)</f>
        <v>17061</v>
      </c>
      <c r="G968" s="322">
        <f ca="1">G948</f>
        <v>0.56999999999999995</v>
      </c>
      <c r="H968" s="306"/>
      <c r="I968" s="2">
        <f ca="1">ROUND(G968*$C968,0)</f>
        <v>17365</v>
      </c>
      <c r="J968" s="2"/>
      <c r="K968" s="322" t="str">
        <f>K948</f>
        <v xml:space="preserve"> </v>
      </c>
      <c r="L968" s="306"/>
      <c r="M968" s="2">
        <f>ROUND(K968*$C968,0)</f>
        <v>0</v>
      </c>
      <c r="N968" s="2"/>
      <c r="O968" s="322" t="e">
        <f ca="1">O948</f>
        <v>#DIV/0!</v>
      </c>
      <c r="P968" s="306"/>
      <c r="Q968" s="2" t="e">
        <f ca="1">ROUND(O968*$C968,0)</f>
        <v>#DIV/0!</v>
      </c>
      <c r="R968" s="2"/>
      <c r="S968" s="322" t="e">
        <f ca="1">S948</f>
        <v>#DIV/0!</v>
      </c>
      <c r="T968" s="306"/>
      <c r="U968" s="2" t="e">
        <f ca="1">ROUND(S968*$C968,0)</f>
        <v>#DIV/0!</v>
      </c>
      <c r="V968" s="20"/>
      <c r="W968" s="74"/>
      <c r="X968" s="74"/>
      <c r="Y968" s="74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</row>
    <row r="969" spans="1:44" s="1118" customFormat="1" hidden="1">
      <c r="A969" s="968" t="s">
        <v>891</v>
      </c>
      <c r="C969" s="1122">
        <f>C967</f>
        <v>125244965.26665136</v>
      </c>
      <c r="D969" s="254">
        <f>'Rate Design Work eff 9-15-17'!D970</f>
        <v>0</v>
      </c>
      <c r="E969" s="1119"/>
      <c r="F969" s="1123"/>
      <c r="G969" s="1128">
        <f>G949</f>
        <v>0</v>
      </c>
      <c r="H969" s="1000" t="s">
        <v>364</v>
      </c>
      <c r="I969" s="1123">
        <f>ROUND(G969*$C969/100,0)</f>
        <v>0</v>
      </c>
      <c r="J969" s="1123"/>
      <c r="K969" s="1128" t="str">
        <f>K949</f>
        <v xml:space="preserve"> </v>
      </c>
      <c r="L969" s="1000" t="s">
        <v>364</v>
      </c>
      <c r="M969" s="1123">
        <f>ROUND(K969*$C969/100,0)</f>
        <v>0</v>
      </c>
      <c r="N969" s="1123"/>
      <c r="O969" s="1128" t="str">
        <f>O949</f>
        <v xml:space="preserve"> </v>
      </c>
      <c r="P969" s="1000" t="s">
        <v>364</v>
      </c>
      <c r="Q969" s="1123">
        <f>ROUND(O969*$C969/100,0)</f>
        <v>0</v>
      </c>
      <c r="R969" s="1123"/>
      <c r="S969" s="1128">
        <f>S949</f>
        <v>0</v>
      </c>
      <c r="T969" s="1000" t="s">
        <v>364</v>
      </c>
      <c r="U969" s="1123">
        <f>ROUND(S969*$C969/100,0)</f>
        <v>0</v>
      </c>
      <c r="W969" s="784"/>
      <c r="Z969" s="1125"/>
      <c r="AA969" s="1125"/>
      <c r="AF969" s="1119"/>
      <c r="AG969" s="1119"/>
      <c r="AH969" s="1119"/>
      <c r="AI969" s="1119"/>
      <c r="AJ969" s="1119"/>
      <c r="AK969" s="1119"/>
      <c r="AL969" s="1119"/>
      <c r="AM969" s="1119"/>
      <c r="AN969" s="1119"/>
      <c r="AO969" s="1119"/>
      <c r="AP969" s="1119"/>
      <c r="AR969" s="1124"/>
    </row>
    <row r="970" spans="1:44" hidden="1">
      <c r="A970" s="1" t="s">
        <v>371</v>
      </c>
      <c r="B970" s="1"/>
      <c r="C970" s="304">
        <f>C967</f>
        <v>125244965.26665136</v>
      </c>
      <c r="D970" s="315"/>
      <c r="E970" s="1"/>
      <c r="F970" s="2">
        <f>SUM(F960:F968)</f>
        <v>9125356</v>
      </c>
      <c r="G970" s="315"/>
      <c r="H970" s="1"/>
      <c r="I970" s="2">
        <f ca="1">SUM(I960:I969)</f>
        <v>9340690</v>
      </c>
      <c r="J970" s="2"/>
      <c r="K970" s="315"/>
      <c r="L970" s="1"/>
      <c r="M970" s="2" t="e">
        <f ca="1">SUM(M960:M969)</f>
        <v>#DIV/0!</v>
      </c>
      <c r="N970" s="2"/>
      <c r="O970" s="315"/>
      <c r="P970" s="1"/>
      <c r="Q970" s="2" t="e">
        <f ca="1">SUM(Q960:Q969)</f>
        <v>#DIV/0!</v>
      </c>
      <c r="R970" s="2"/>
      <c r="S970" s="315"/>
      <c r="T970" s="1"/>
      <c r="U970" s="2" t="e">
        <f ca="1">SUM(U960:U969)</f>
        <v>#DIV/0!</v>
      </c>
      <c r="V970" s="20"/>
      <c r="W970" s="74"/>
      <c r="X970" s="751"/>
      <c r="Y970" s="751"/>
      <c r="Z970" s="20"/>
      <c r="AA970" s="20"/>
      <c r="AB970" s="20"/>
      <c r="AC970" s="20"/>
      <c r="AD970" s="20"/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</row>
    <row r="971" spans="1:44" hidden="1">
      <c r="A971" s="1" t="s">
        <v>353</v>
      </c>
      <c r="B971" s="1"/>
      <c r="C971" s="304">
        <f>C970/($C$970+$C$1028)*$C$1065</f>
        <v>884538.49438390473</v>
      </c>
      <c r="D971" s="294"/>
      <c r="E971" s="294"/>
      <c r="F971" s="326">
        <f>F970/($F$970+$F$1028)*$F$1065</f>
        <v>71149.752721287237</v>
      </c>
      <c r="G971" s="294"/>
      <c r="H971" s="294"/>
      <c r="I971" s="326">
        <f>F971</f>
        <v>71149.752721287237</v>
      </c>
      <c r="J971" s="307"/>
      <c r="K971" s="294"/>
      <c r="L971" s="294"/>
      <c r="M971" s="326" t="e">
        <f>$I$971*V955/($V955+$W$955+$X$955)</f>
        <v>#DIV/0!</v>
      </c>
      <c r="N971" s="51"/>
      <c r="O971" s="294"/>
      <c r="P971" s="294"/>
      <c r="Q971" s="326" t="e">
        <f>$I$971*W955/($V955+$W$955+$X$955)</f>
        <v>#DIV/0!</v>
      </c>
      <c r="R971" s="51"/>
      <c r="S971" s="294"/>
      <c r="T971" s="294"/>
      <c r="U971" s="326" t="e">
        <f>$I$971*X955/($V955+$W$955+$X$955)</f>
        <v>#DIV/0!</v>
      </c>
      <c r="V971" s="429"/>
      <c r="W971" s="751" t="s">
        <v>31</v>
      </c>
      <c r="Z971" s="20"/>
      <c r="AA971" s="20"/>
      <c r="AB971" s="2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</row>
    <row r="972" spans="1:44" ht="16.5" hidden="1" thickBot="1">
      <c r="A972" s="1" t="s">
        <v>372</v>
      </c>
      <c r="B972" s="1"/>
      <c r="C972" s="378">
        <f>SUM(C970)+C971</f>
        <v>126129503.76103526</v>
      </c>
      <c r="D972" s="327"/>
      <c r="E972" s="330"/>
      <c r="F972" s="329">
        <f>F970+F971</f>
        <v>9196505.7527212873</v>
      </c>
      <c r="G972" s="327"/>
      <c r="H972" s="330"/>
      <c r="I972" s="329">
        <f ca="1">I970+I971</f>
        <v>9411839.7527212873</v>
      </c>
      <c r="J972" s="307"/>
      <c r="K972" s="327"/>
      <c r="L972" s="330"/>
      <c r="M972" s="329" t="e">
        <f ca="1">M970+M971</f>
        <v>#DIV/0!</v>
      </c>
      <c r="N972" s="329"/>
      <c r="O972" s="327"/>
      <c r="P972" s="330"/>
      <c r="Q972" s="329" t="e">
        <f ca="1">Q970+Q971</f>
        <v>#DIV/0!</v>
      </c>
      <c r="R972" s="329"/>
      <c r="S972" s="327"/>
      <c r="T972" s="330"/>
      <c r="U972" s="329" t="e">
        <f ca="1">U970+U971</f>
        <v>#DIV/0!</v>
      </c>
      <c r="V972" s="396"/>
      <c r="W972" s="751" t="s">
        <v>31</v>
      </c>
      <c r="X972" s="74"/>
      <c r="Y972" s="74"/>
      <c r="Z972" s="770" t="s">
        <v>31</v>
      </c>
      <c r="AA972" s="20"/>
      <c r="AB972" s="20"/>
      <c r="AC972" s="20"/>
      <c r="AD972" s="20"/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</row>
    <row r="973" spans="1:44" ht="16.5" hidden="1" thickTop="1">
      <c r="A973" s="1"/>
      <c r="B973" s="1"/>
      <c r="C973" s="21"/>
      <c r="D973" s="322"/>
      <c r="E973" s="1"/>
      <c r="F973" s="2"/>
      <c r="G973" s="322"/>
      <c r="H973" s="1"/>
      <c r="I973" s="365"/>
      <c r="J973" s="365"/>
      <c r="K973" s="322"/>
      <c r="L973" s="1"/>
      <c r="M973" s="365"/>
      <c r="N973" s="365"/>
      <c r="O973" s="322"/>
      <c r="P973" s="1"/>
      <c r="Q973" s="365"/>
      <c r="R973" s="365"/>
      <c r="S973" s="322"/>
      <c r="T973" s="1"/>
      <c r="U973" s="365"/>
      <c r="V973" s="20"/>
      <c r="W973" s="74"/>
      <c r="X973" s="74"/>
      <c r="Y973" s="74"/>
      <c r="Z973" s="20"/>
      <c r="AA973" s="20"/>
      <c r="AB973" s="20"/>
      <c r="AC973" s="20"/>
      <c r="AD973" s="20"/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</row>
    <row r="974" spans="1:44" hidden="1">
      <c r="A974" s="278" t="s">
        <v>466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20"/>
      <c r="W974" s="74"/>
      <c r="X974" s="74"/>
      <c r="Y974" s="74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</row>
    <row r="975" spans="1:44" hidden="1">
      <c r="A975" s="294" t="s">
        <v>674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20"/>
      <c r="W975" s="74"/>
      <c r="X975" s="74"/>
      <c r="Y975" s="74"/>
      <c r="Z975" s="20"/>
      <c r="AA975" s="20"/>
      <c r="AB975" s="20"/>
      <c r="AC975" s="20"/>
      <c r="AD975" s="20"/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</row>
    <row r="976" spans="1:44" hidden="1">
      <c r="A976" s="308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20"/>
      <c r="W976" s="74"/>
      <c r="X976" s="74"/>
      <c r="Y976" s="74"/>
      <c r="Z976" s="20"/>
      <c r="AA976" s="20"/>
      <c r="AB976" s="20"/>
      <c r="AC976" s="20"/>
      <c r="AD976" s="20"/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</row>
    <row r="977" spans="1:44" hidden="1">
      <c r="A977" s="308" t="s">
        <v>383</v>
      </c>
      <c r="B977" s="1"/>
      <c r="C977" s="304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20"/>
      <c r="W977" s="74"/>
      <c r="X977" s="74"/>
      <c r="Y977" s="74"/>
      <c r="Z977" s="20"/>
      <c r="AA977" s="20"/>
      <c r="AB977" s="20"/>
      <c r="AC977" s="20"/>
      <c r="AD977" s="20"/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</row>
    <row r="978" spans="1:44" hidden="1">
      <c r="A978" s="308" t="s">
        <v>461</v>
      </c>
      <c r="B978" s="1"/>
      <c r="C978" s="304">
        <f>'Rate Design Work eff 10-14-16'!C979</f>
        <v>332.81818181818198</v>
      </c>
      <c r="D978" s="322">
        <f>'Rate Design Work eff 9-15-17'!D979</f>
        <v>1411</v>
      </c>
      <c r="E978" s="306"/>
      <c r="F978" s="2">
        <f>ROUND(D978*C978,0)</f>
        <v>469606</v>
      </c>
      <c r="G978" s="322">
        <f ca="1">G940</f>
        <v>1442</v>
      </c>
      <c r="H978" s="306"/>
      <c r="I978" s="2">
        <f ca="1">ROUND(G978*$C978,0)</f>
        <v>479924</v>
      </c>
      <c r="J978" s="2"/>
      <c r="K978" s="322">
        <f ca="1">K940</f>
        <v>1411</v>
      </c>
      <c r="L978" s="306"/>
      <c r="M978" s="2">
        <f ca="1">ROUND(K978*$C978,0)</f>
        <v>469606</v>
      </c>
      <c r="N978" s="2"/>
      <c r="O978" s="322" t="str">
        <f>O940</f>
        <v xml:space="preserve"> </v>
      </c>
      <c r="P978" s="306"/>
      <c r="Q978" s="2">
        <f>ROUND(O978*$C978,0)</f>
        <v>0</v>
      </c>
      <c r="R978" s="2"/>
      <c r="S978" s="322" t="str">
        <f>S940</f>
        <v xml:space="preserve"> </v>
      </c>
      <c r="T978" s="306"/>
      <c r="U978" s="2">
        <f>ROUND(S978*$C978,0)</f>
        <v>0</v>
      </c>
      <c r="V978" s="20"/>
      <c r="W978" s="74"/>
      <c r="X978" s="74"/>
      <c r="Y978" s="74"/>
      <c r="Z978" s="20"/>
      <c r="AA978" s="20"/>
      <c r="AB978" s="20"/>
      <c r="AC978" s="20"/>
      <c r="AD978" s="20"/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</row>
    <row r="979" spans="1:44" hidden="1">
      <c r="A979" s="308" t="s">
        <v>462</v>
      </c>
      <c r="B979" s="1"/>
      <c r="C979" s="304">
        <f>'Rate Design Work eff 10-14-16'!C980</f>
        <v>0</v>
      </c>
      <c r="D979" s="322">
        <f>'Rate Design Work eff 9-15-17'!D980</f>
        <v>1703</v>
      </c>
      <c r="E979" s="309"/>
      <c r="F979" s="2">
        <f>ROUND(D979*C979,0)</f>
        <v>0</v>
      </c>
      <c r="G979" s="322">
        <f ca="1">G941</f>
        <v>1743</v>
      </c>
      <c r="H979" s="309"/>
      <c r="I979" s="2">
        <f ca="1">ROUND(G979*$C979,0)</f>
        <v>0</v>
      </c>
      <c r="J979" s="2"/>
      <c r="K979" s="322">
        <f ca="1">K941</f>
        <v>1703</v>
      </c>
      <c r="L979" s="309"/>
      <c r="M979" s="2">
        <f ca="1">ROUND(K979*$C979,0)</f>
        <v>0</v>
      </c>
      <c r="N979" s="2"/>
      <c r="O979" s="322" t="str">
        <f>O941</f>
        <v xml:space="preserve"> </v>
      </c>
      <c r="P979" s="309"/>
      <c r="Q979" s="2">
        <f>ROUND(O979*$C979,0)</f>
        <v>0</v>
      </c>
      <c r="R979" s="2"/>
      <c r="S979" s="322" t="str">
        <f>S941</f>
        <v xml:space="preserve"> </v>
      </c>
      <c r="T979" s="309"/>
      <c r="U979" s="2">
        <f>ROUND(S979*$C979,0)</f>
        <v>0</v>
      </c>
      <c r="V979" s="20"/>
      <c r="W979" s="74"/>
      <c r="X979" s="74"/>
      <c r="Y979" s="74"/>
      <c r="Z979" s="20"/>
      <c r="AA979" s="20"/>
      <c r="AB979" s="2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</row>
    <row r="980" spans="1:44" hidden="1">
      <c r="A980" s="308" t="s">
        <v>384</v>
      </c>
      <c r="B980" s="1"/>
      <c r="C980" s="304">
        <f>SUM(C978:C979)</f>
        <v>332.81818181818198</v>
      </c>
      <c r="D980" s="322"/>
      <c r="E980" s="306"/>
      <c r="F980" s="2" t="s">
        <v>31</v>
      </c>
      <c r="G980" s="322" t="s">
        <v>31</v>
      </c>
      <c r="H980" s="306"/>
      <c r="I980" s="2" t="s">
        <v>31</v>
      </c>
      <c r="J980" s="2"/>
      <c r="K980" s="322" t="s">
        <v>31</v>
      </c>
      <c r="L980" s="306"/>
      <c r="M980" s="2" t="s">
        <v>31</v>
      </c>
      <c r="N980" s="2"/>
      <c r="O980" s="322" t="s">
        <v>31</v>
      </c>
      <c r="P980" s="306"/>
      <c r="Q980" s="2" t="s">
        <v>31</v>
      </c>
      <c r="R980" s="2"/>
      <c r="S980" s="322" t="s">
        <v>31</v>
      </c>
      <c r="T980" s="306"/>
      <c r="U980" s="2" t="s">
        <v>31</v>
      </c>
      <c r="V980" s="20"/>
      <c r="W980" s="74"/>
      <c r="X980" s="74"/>
      <c r="Y980" s="74"/>
      <c r="Z980" s="20"/>
      <c r="AA980" s="20"/>
      <c r="AB980" s="20"/>
      <c r="AC980" s="20"/>
      <c r="AD980" s="20"/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</row>
    <row r="981" spans="1:44" hidden="1">
      <c r="A981" s="308" t="s">
        <v>463</v>
      </c>
      <c r="B981" s="1"/>
      <c r="C981" s="304">
        <f>'Rate Design Work eff 10-14-16'!C982</f>
        <v>537406.793103448</v>
      </c>
      <c r="D981" s="322">
        <f>'Rate Design Work eff 9-15-17'!D982</f>
        <v>1.1200000000000001</v>
      </c>
      <c r="E981" s="306"/>
      <c r="F981" s="2">
        <f>ROUND(D981*C981,0)</f>
        <v>601896</v>
      </c>
      <c r="G981" s="322">
        <f ca="1">G943</f>
        <v>1.1499999999999999</v>
      </c>
      <c r="H981" s="306"/>
      <c r="I981" s="2">
        <f ca="1">ROUND(G981*$C981,0)</f>
        <v>618018</v>
      </c>
      <c r="J981" s="2"/>
      <c r="K981" s="322">
        <f ca="1">K943</f>
        <v>1.1200000000000001</v>
      </c>
      <c r="L981" s="306"/>
      <c r="M981" s="2">
        <f ca="1">ROUND(K981*$C981,0)</f>
        <v>601896</v>
      </c>
      <c r="N981" s="2"/>
      <c r="O981" s="322" t="str">
        <f>O943</f>
        <v xml:space="preserve"> </v>
      </c>
      <c r="P981" s="306"/>
      <c r="Q981" s="2">
        <f>ROUND(O981*$C981,0)</f>
        <v>0</v>
      </c>
      <c r="R981" s="2"/>
      <c r="S981" s="322" t="str">
        <f>S943</f>
        <v xml:space="preserve"> </v>
      </c>
      <c r="T981" s="306"/>
      <c r="U981" s="2">
        <f>ROUND(S981*$C981,0)</f>
        <v>0</v>
      </c>
      <c r="V981" s="20"/>
      <c r="W981" s="74"/>
      <c r="X981" s="74"/>
      <c r="Y981" s="74"/>
      <c r="Z981" s="20"/>
      <c r="AA981" s="20"/>
      <c r="AB981" s="20"/>
      <c r="AC981" s="20"/>
      <c r="AD981" s="20"/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</row>
    <row r="982" spans="1:44" hidden="1">
      <c r="A982" s="308" t="s">
        <v>464</v>
      </c>
      <c r="B982" s="1"/>
      <c r="C982" s="304">
        <f>'Rate Design Work eff 10-14-16'!C983</f>
        <v>0</v>
      </c>
      <c r="D982" s="322">
        <f>'Rate Design Work eff 9-15-17'!D983</f>
        <v>1.01</v>
      </c>
      <c r="E982" s="306"/>
      <c r="F982" s="2">
        <f>ROUND(D982*C982,0)</f>
        <v>0</v>
      </c>
      <c r="G982" s="322">
        <f ca="1">G944</f>
        <v>1.03</v>
      </c>
      <c r="H982" s="306"/>
      <c r="I982" s="2">
        <f ca="1">ROUND(G982*$C982,0)</f>
        <v>0</v>
      </c>
      <c r="J982" s="2"/>
      <c r="K982" s="322">
        <f ca="1">K944</f>
        <v>1.01</v>
      </c>
      <c r="L982" s="306"/>
      <c r="M982" s="2">
        <f ca="1">ROUND(K982*$C982,0)</f>
        <v>0</v>
      </c>
      <c r="N982" s="2"/>
      <c r="O982" s="322" t="str">
        <f>O944</f>
        <v xml:space="preserve"> </v>
      </c>
      <c r="P982" s="306"/>
      <c r="Q982" s="2">
        <f>ROUND(O982*$C982,0)</f>
        <v>0</v>
      </c>
      <c r="R982" s="2"/>
      <c r="S982" s="322" t="str">
        <f>S944</f>
        <v xml:space="preserve"> </v>
      </c>
      <c r="T982" s="306"/>
      <c r="U982" s="2">
        <f>ROUND(S982*$C982,0)</f>
        <v>0</v>
      </c>
      <c r="V982" s="20"/>
      <c r="W982" s="74"/>
      <c r="X982" s="74"/>
      <c r="Y982" s="74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</row>
    <row r="983" spans="1:44" hidden="1">
      <c r="A983" s="294" t="s">
        <v>393</v>
      </c>
      <c r="B983" s="1"/>
      <c r="C983" s="304">
        <f>'Rate Design Work eff 10-14-16'!C984</f>
        <v>465132.48275862099</v>
      </c>
      <c r="D983" s="322">
        <f>'Rate Design Work eff 9-15-17'!D984</f>
        <v>7.97</v>
      </c>
      <c r="E983" s="306"/>
      <c r="F983" s="2">
        <f>ROUND(D983*C983,0)</f>
        <v>3707106</v>
      </c>
      <c r="G983" s="322">
        <f ca="1">G945</f>
        <v>8.16</v>
      </c>
      <c r="H983" s="306"/>
      <c r="I983" s="2">
        <f ca="1">ROUND(G983*$C983,0)</f>
        <v>3795481</v>
      </c>
      <c r="J983" s="2"/>
      <c r="K983" s="322" t="e">
        <f ca="1">K945</f>
        <v>#DIV/0!</v>
      </c>
      <c r="L983" s="306"/>
      <c r="M983" s="2" t="e">
        <f ca="1">ROUND(K983*$C983,0)</f>
        <v>#DIV/0!</v>
      </c>
      <c r="N983" s="2"/>
      <c r="O983" s="322" t="e">
        <f ca="1">O945</f>
        <v>#DIV/0!</v>
      </c>
      <c r="P983" s="306"/>
      <c r="Q983" s="2" t="e">
        <f ca="1">ROUND(O983*$C983,0)</f>
        <v>#DIV/0!</v>
      </c>
      <c r="R983" s="2"/>
      <c r="S983" s="322" t="e">
        <f ca="1">S945</f>
        <v>#DIV/0!</v>
      </c>
      <c r="T983" s="306"/>
      <c r="U983" s="2" t="e">
        <f ca="1">ROUND(S983*$C983,0)</f>
        <v>#DIV/0!</v>
      </c>
      <c r="V983" s="20"/>
      <c r="W983" s="74"/>
      <c r="X983" s="74"/>
      <c r="Y983" s="74"/>
      <c r="Z983" s="20"/>
      <c r="AA983" s="20"/>
      <c r="AB983" s="20"/>
      <c r="AC983" s="20"/>
      <c r="AD983" s="20"/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</row>
    <row r="984" spans="1:44" hidden="1">
      <c r="A984" s="308" t="s">
        <v>416</v>
      </c>
      <c r="B984" s="1"/>
      <c r="C984" s="304"/>
      <c r="D984" s="322"/>
      <c r="E984" s="306"/>
      <c r="F984" s="2"/>
      <c r="G984" s="322" t="s">
        <v>31</v>
      </c>
      <c r="H984" s="306"/>
      <c r="I984" s="2"/>
      <c r="J984" s="2"/>
      <c r="K984" s="322" t="s">
        <v>31</v>
      </c>
      <c r="L984" s="306"/>
      <c r="M984" s="2"/>
      <c r="N984" s="2"/>
      <c r="O984" s="322" t="s">
        <v>31</v>
      </c>
      <c r="P984" s="306"/>
      <c r="Q984" s="2"/>
      <c r="R984" s="2"/>
      <c r="S984" s="322" t="s">
        <v>31</v>
      </c>
      <c r="T984" s="306"/>
      <c r="U984" s="2"/>
      <c r="V984" s="20"/>
      <c r="W984" s="74"/>
      <c r="X984" s="74"/>
      <c r="Y984" s="74"/>
      <c r="Z984" s="20"/>
      <c r="AA984" s="20"/>
      <c r="AB984" s="20"/>
      <c r="AC984" s="20"/>
      <c r="AD984" s="20"/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</row>
    <row r="985" spans="1:44" hidden="1">
      <c r="A985" s="308" t="s">
        <v>454</v>
      </c>
      <c r="B985" s="1"/>
      <c r="C985" s="304">
        <f>'Rate Design Work eff 10-14-16'!C986</f>
        <v>209700450</v>
      </c>
      <c r="D985" s="380">
        <f>'Rate Design Work eff 9-15-17'!D986</f>
        <v>4.7409999999999997</v>
      </c>
      <c r="E985" s="306" t="s">
        <v>364</v>
      </c>
      <c r="F985" s="2">
        <f>ROUND(D985/100*C985,0)</f>
        <v>9941898</v>
      </c>
      <c r="G985" s="380">
        <f ca="1">G947</f>
        <v>4.8520000000000003</v>
      </c>
      <c r="H985" s="306" t="s">
        <v>364</v>
      </c>
      <c r="I985" s="2">
        <f ca="1">ROUND(G985/100*$C985,0)</f>
        <v>10174666</v>
      </c>
      <c r="J985" s="2"/>
      <c r="K985" s="380" t="str">
        <f>K947</f>
        <v xml:space="preserve"> </v>
      </c>
      <c r="L985" s="306" t="s">
        <v>364</v>
      </c>
      <c r="M985" s="2">
        <f>ROUND(K985/100*$C985,0)</f>
        <v>0</v>
      </c>
      <c r="N985" s="2"/>
      <c r="O985" s="380" t="e">
        <f ca="1">O947</f>
        <v>#DIV/0!</v>
      </c>
      <c r="P985" s="306" t="s">
        <v>364</v>
      </c>
      <c r="Q985" s="2" t="e">
        <f ca="1">ROUND(O985/100*$C985,0)</f>
        <v>#DIV/0!</v>
      </c>
      <c r="R985" s="2"/>
      <c r="S985" s="380" t="e">
        <f ca="1">S947</f>
        <v>#DIV/0!</v>
      </c>
      <c r="T985" s="306" t="s">
        <v>364</v>
      </c>
      <c r="U985" s="2" t="e">
        <f ca="1">ROUND(S985/100*$C985,0)</f>
        <v>#DIV/0!</v>
      </c>
      <c r="V985" s="20"/>
      <c r="W985" s="74"/>
      <c r="X985" s="74"/>
      <c r="Y985" s="74"/>
      <c r="Z985" s="20"/>
      <c r="AA985" s="20"/>
      <c r="AB985" s="20"/>
      <c r="AC985" s="20"/>
      <c r="AD985" s="20"/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</row>
    <row r="986" spans="1:44" hidden="1">
      <c r="A986" s="308" t="s">
        <v>390</v>
      </c>
      <c r="B986" s="1"/>
      <c r="C986" s="304">
        <f>'Rate Design Work eff 10-14-16'!C987</f>
        <v>129089.24242424199</v>
      </c>
      <c r="D986" s="322">
        <f>'Rate Design Work eff 9-15-17'!D987</f>
        <v>0.56000000000000005</v>
      </c>
      <c r="E986" s="306"/>
      <c r="F986" s="2">
        <f>ROUND(D986*C986,0)</f>
        <v>72290</v>
      </c>
      <c r="G986" s="322">
        <f ca="1">G948</f>
        <v>0.56999999999999995</v>
      </c>
      <c r="H986" s="306"/>
      <c r="I986" s="2">
        <f ca="1">ROUND(G986*$C986,0)</f>
        <v>73581</v>
      </c>
      <c r="J986" s="2"/>
      <c r="K986" s="322" t="str">
        <f>K948</f>
        <v xml:space="preserve"> </v>
      </c>
      <c r="L986" s="306"/>
      <c r="M986" s="2">
        <f>ROUND(K986*$C986,0)</f>
        <v>0</v>
      </c>
      <c r="N986" s="2"/>
      <c r="O986" s="322" t="e">
        <f ca="1">O948</f>
        <v>#DIV/0!</v>
      </c>
      <c r="P986" s="306"/>
      <c r="Q986" s="2" t="e">
        <f ca="1">ROUND(O986*$C986,0)</f>
        <v>#DIV/0!</v>
      </c>
      <c r="R986" s="2"/>
      <c r="S986" s="322" t="e">
        <f ca="1">S948</f>
        <v>#DIV/0!</v>
      </c>
      <c r="T986" s="306"/>
      <c r="U986" s="2" t="e">
        <f ca="1">ROUND(S986*$C986,0)</f>
        <v>#DIV/0!</v>
      </c>
      <c r="V986" s="20"/>
      <c r="W986" s="74"/>
      <c r="X986" s="74"/>
      <c r="Y986" s="74"/>
      <c r="Z986" s="20"/>
      <c r="AA986" s="20"/>
      <c r="AB986" s="20"/>
      <c r="AC986" s="20"/>
      <c r="AD986" s="20"/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</row>
    <row r="987" spans="1:44" s="1118" customFormat="1" hidden="1">
      <c r="A987" s="968" t="s">
        <v>891</v>
      </c>
      <c r="C987" s="1122">
        <f>C985</f>
        <v>209700450</v>
      </c>
      <c r="D987" s="254">
        <f>'Rate Design Work eff 9-15-17'!D988</f>
        <v>0</v>
      </c>
      <c r="E987" s="1119"/>
      <c r="F987" s="1123"/>
      <c r="G987" s="1128">
        <f>G949</f>
        <v>0</v>
      </c>
      <c r="H987" s="1000" t="s">
        <v>364</v>
      </c>
      <c r="I987" s="1123">
        <f>ROUND(G987*$C987/100,0)</f>
        <v>0</v>
      </c>
      <c r="J987" s="1123"/>
      <c r="K987" s="1128" t="str">
        <f>K949</f>
        <v xml:space="preserve"> </v>
      </c>
      <c r="L987" s="1000" t="s">
        <v>364</v>
      </c>
      <c r="M987" s="1123">
        <f>ROUND(K987*$C987/100,0)</f>
        <v>0</v>
      </c>
      <c r="N987" s="1123"/>
      <c r="O987" s="1128" t="str">
        <f>O949</f>
        <v xml:space="preserve"> </v>
      </c>
      <c r="P987" s="1000" t="s">
        <v>364</v>
      </c>
      <c r="Q987" s="1123">
        <f>ROUND(O987*$C987/100,0)</f>
        <v>0</v>
      </c>
      <c r="R987" s="1123"/>
      <c r="S987" s="1128">
        <f>S949</f>
        <v>0</v>
      </c>
      <c r="T987" s="1000" t="s">
        <v>364</v>
      </c>
      <c r="U987" s="1123">
        <f>ROUND(S987*$C987/100,0)</f>
        <v>0</v>
      </c>
      <c r="W987" s="784"/>
      <c r="Z987" s="1125"/>
      <c r="AA987" s="1125"/>
      <c r="AF987" s="1119"/>
      <c r="AG987" s="1119"/>
      <c r="AH987" s="1119"/>
      <c r="AI987" s="1119"/>
      <c r="AJ987" s="1119"/>
      <c r="AK987" s="1119"/>
      <c r="AL987" s="1119"/>
      <c r="AM987" s="1119"/>
      <c r="AN987" s="1119"/>
      <c r="AO987" s="1119"/>
      <c r="AP987" s="1119"/>
      <c r="AR987" s="1124"/>
    </row>
    <row r="988" spans="1:44" hidden="1">
      <c r="A988" s="1" t="s">
        <v>371</v>
      </c>
      <c r="B988" s="1"/>
      <c r="C988" s="304">
        <f>C985</f>
        <v>209700450</v>
      </c>
      <c r="D988" s="315"/>
      <c r="E988" s="1"/>
      <c r="F988" s="2">
        <f>SUM(F978:F986)</f>
        <v>14792796</v>
      </c>
      <c r="G988" s="315"/>
      <c r="H988" s="1"/>
      <c r="I988" s="2">
        <f ca="1">SUM(I978:I987)</f>
        <v>15141670</v>
      </c>
      <c r="J988" s="2"/>
      <c r="K988" s="315"/>
      <c r="L988" s="1"/>
      <c r="M988" s="2" t="e">
        <f ca="1">SUM(M978:M987)</f>
        <v>#DIV/0!</v>
      </c>
      <c r="N988" s="2"/>
      <c r="O988" s="315"/>
      <c r="P988" s="1"/>
      <c r="Q988" s="2" t="e">
        <f ca="1">SUM(Q978:Q987)</f>
        <v>#DIV/0!</v>
      </c>
      <c r="R988" s="2"/>
      <c r="S988" s="315"/>
      <c r="T988" s="1"/>
      <c r="U988" s="2" t="e">
        <f ca="1">SUM(U978:U987)</f>
        <v>#DIV/0!</v>
      </c>
      <c r="V988" s="7" t="s">
        <v>31</v>
      </c>
      <c r="W988" s="74"/>
      <c r="X988" s="74"/>
      <c r="Y988" s="74"/>
      <c r="Z988" s="20"/>
      <c r="AA988" s="20"/>
      <c r="AB988" s="20"/>
      <c r="AC988" s="20"/>
      <c r="AD988" s="20"/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</row>
    <row r="989" spans="1:44" hidden="1">
      <c r="A989" s="1" t="s">
        <v>353</v>
      </c>
      <c r="B989" s="1"/>
      <c r="C989" s="304">
        <f ca="1">C988/($C$988+$C$1046)*$C$1084</f>
        <v>652001.57700801117</v>
      </c>
      <c r="D989" s="294"/>
      <c r="E989" s="294"/>
      <c r="F989" s="326">
        <f ca="1">F988/($F$988+$F$1046)*$F$1084</f>
        <v>46005.744370944871</v>
      </c>
      <c r="G989" s="294"/>
      <c r="H989" s="294"/>
      <c r="I989" s="326">
        <f ca="1">F989</f>
        <v>46005.744370944871</v>
      </c>
      <c r="J989" s="307"/>
      <c r="K989" s="294"/>
      <c r="L989" s="294"/>
      <c r="M989" s="326" t="e">
        <f ca="1">$I$989*V955/($V955+$W$955+$X$955)</f>
        <v>#DIV/0!</v>
      </c>
      <c r="N989" s="51"/>
      <c r="O989" s="294"/>
      <c r="P989" s="294"/>
      <c r="Q989" s="326" t="e">
        <f ca="1">$I$989*W955/($V955+$W$955+$X$955)</f>
        <v>#DIV/0!</v>
      </c>
      <c r="R989" s="51"/>
      <c r="S989" s="294"/>
      <c r="T989" s="294"/>
      <c r="U989" s="326" t="e">
        <f ca="1">$I$989*X955/($V955+$W$955+$X$955)</f>
        <v>#DIV/0!</v>
      </c>
      <c r="V989" s="429"/>
      <c r="W989" s="272"/>
      <c r="X989" s="74"/>
      <c r="Y989" s="74"/>
      <c r="Z989" s="20"/>
      <c r="AA989" s="20"/>
      <c r="AB989" s="20"/>
      <c r="AC989" s="20"/>
      <c r="AD989" s="20"/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</row>
    <row r="990" spans="1:44" ht="16.5" hidden="1" thickBot="1">
      <c r="A990" s="1" t="s">
        <v>372</v>
      </c>
      <c r="B990" s="1"/>
      <c r="C990" s="378">
        <f ca="1">SUM(C988)+C989</f>
        <v>210352451.57700801</v>
      </c>
      <c r="D990" s="327"/>
      <c r="E990" s="330"/>
      <c r="F990" s="329">
        <f ca="1">F988+F989</f>
        <v>14838801.744370945</v>
      </c>
      <c r="G990" s="327"/>
      <c r="H990" s="330"/>
      <c r="I990" s="329">
        <f ca="1">I988+I989</f>
        <v>15187675.744370945</v>
      </c>
      <c r="J990" s="307"/>
      <c r="K990" s="327"/>
      <c r="L990" s="330"/>
      <c r="M990" s="329" t="e">
        <f ca="1">M988+M989</f>
        <v>#DIV/0!</v>
      </c>
      <c r="N990" s="329"/>
      <c r="O990" s="327"/>
      <c r="P990" s="330"/>
      <c r="Q990" s="329" t="e">
        <f ca="1">Q988+Q989</f>
        <v>#DIV/0!</v>
      </c>
      <c r="R990" s="329"/>
      <c r="S990" s="327"/>
      <c r="T990" s="330"/>
      <c r="U990" s="329" t="e">
        <f ca="1">U988+U989</f>
        <v>#DIV/0!</v>
      </c>
      <c r="V990" s="396"/>
      <c r="W990" s="455"/>
      <c r="X990" s="74"/>
      <c r="Y990" s="74"/>
      <c r="Z990" s="770" t="s">
        <v>31</v>
      </c>
      <c r="AA990" s="20"/>
      <c r="AB990" s="20"/>
      <c r="AC990" s="20"/>
      <c r="AD990" s="20"/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</row>
    <row r="991" spans="1:44" ht="16.5" hidden="1" thickTop="1">
      <c r="A991" s="1"/>
      <c r="B991" s="1"/>
      <c r="C991" s="21"/>
      <c r="D991" s="322"/>
      <c r="E991" s="1"/>
      <c r="F991" s="2"/>
      <c r="G991" s="322"/>
      <c r="H991" s="1"/>
      <c r="I991" s="365"/>
      <c r="J991" s="365"/>
      <c r="K991" s="322"/>
      <c r="L991" s="1"/>
      <c r="M991" s="365"/>
      <c r="N991" s="365"/>
      <c r="O991" s="322"/>
      <c r="P991" s="1"/>
      <c r="Q991" s="365"/>
      <c r="R991" s="365"/>
      <c r="S991" s="322"/>
      <c r="T991" s="1"/>
      <c r="U991" s="365"/>
      <c r="W991" s="74"/>
      <c r="X991" s="751" t="s">
        <v>31</v>
      </c>
      <c r="Y991" s="751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</row>
    <row r="992" spans="1:44" hidden="1">
      <c r="A992" s="1"/>
      <c r="B992" s="1"/>
      <c r="C992" s="21"/>
      <c r="D992" s="322"/>
      <c r="E992" s="1"/>
      <c r="F992" s="2"/>
      <c r="G992" s="322"/>
      <c r="H992" s="1"/>
      <c r="I992" s="365"/>
      <c r="J992" s="365"/>
      <c r="K992" s="322"/>
      <c r="L992" s="1"/>
      <c r="M992" s="365"/>
      <c r="N992" s="365"/>
      <c r="O992" s="322"/>
      <c r="P992" s="1"/>
      <c r="Q992" s="365"/>
      <c r="R992" s="365"/>
      <c r="S992" s="322"/>
      <c r="T992" s="1"/>
      <c r="U992" s="365"/>
      <c r="W992" s="74"/>
      <c r="X992" s="751"/>
      <c r="Y992" s="751"/>
      <c r="Z992" s="20"/>
      <c r="AA992" s="20"/>
      <c r="AB992" s="20"/>
      <c r="AC992" s="20"/>
      <c r="AD992" s="20"/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</row>
    <row r="993" spans="1:44">
      <c r="A993" s="278" t="s">
        <v>466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20"/>
      <c r="W993" s="74"/>
      <c r="X993" s="74"/>
      <c r="Y993" s="74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</row>
    <row r="994" spans="1:44">
      <c r="A994" s="294" t="s">
        <v>677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20"/>
      <c r="W994" s="74"/>
      <c r="X994" s="74"/>
      <c r="Y994" s="74"/>
      <c r="Z994" s="20"/>
      <c r="AA994" s="20"/>
      <c r="AB994" s="20"/>
      <c r="AC994" s="20"/>
      <c r="AD994" s="20"/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</row>
    <row r="995" spans="1:44">
      <c r="A995" s="1" t="s">
        <v>31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20"/>
      <c r="W995" s="74"/>
      <c r="X995" s="74"/>
      <c r="Y995" s="74"/>
      <c r="Z995" s="20"/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</row>
    <row r="996" spans="1:44">
      <c r="A996" s="308" t="s">
        <v>383</v>
      </c>
      <c r="B996" s="1"/>
      <c r="C996" s="304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74"/>
      <c r="X996" s="74"/>
      <c r="Y996" s="74"/>
      <c r="Z996" s="20"/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</row>
    <row r="997" spans="1:44">
      <c r="A997" s="308" t="s">
        <v>461</v>
      </c>
      <c r="B997" s="1"/>
      <c r="C997" s="304">
        <f t="shared" ref="C997:C1002" si="149">C1018+C1036</f>
        <v>130.3333333333334</v>
      </c>
      <c r="D997" s="322">
        <f>'Rate Design Work eff 9-15-17'!D997</f>
        <v>1443</v>
      </c>
      <c r="E997" s="306"/>
      <c r="F997" s="2">
        <f>ROUND(D997*C997,0)</f>
        <v>188071</v>
      </c>
      <c r="G997" s="311">
        <f ca="1">'Rate Design Work eff 9-15-17'!G997</f>
        <v>1477</v>
      </c>
      <c r="H997" s="306"/>
      <c r="I997" s="2">
        <f ca="1">ROUND(G997*$C997,0)</f>
        <v>192502</v>
      </c>
      <c r="J997" s="2"/>
      <c r="K997" s="311">
        <f ca="1">'Rate Design Work eff 10-14-16'!K997</f>
        <v>1443</v>
      </c>
      <c r="L997" s="306"/>
      <c r="M997" s="2">
        <f ca="1">'Rate Design Work eff 10-14-16'!M997</f>
        <v>188071</v>
      </c>
      <c r="N997" s="2"/>
      <c r="O997" s="311" t="str">
        <f>'Rate Design Work eff 10-14-16'!O997</f>
        <v xml:space="preserve"> </v>
      </c>
      <c r="P997" s="306"/>
      <c r="Q997" s="2">
        <f>'Rate Design Work eff 10-14-16'!Q997</f>
        <v>0</v>
      </c>
      <c r="R997" s="2"/>
      <c r="S997" s="311" t="str">
        <f>'Rate Design Work eff 10-14-16'!S997</f>
        <v xml:space="preserve"> </v>
      </c>
      <c r="T997" s="306"/>
      <c r="U997" s="2">
        <f>'Rate Design Work eff 10-14-16'!U997</f>
        <v>0</v>
      </c>
      <c r="V997" s="20"/>
      <c r="X997" s="796">
        <f ca="1">(G997-D997)/D997</f>
        <v>2.3562023562023561E-2</v>
      </c>
      <c r="Y997" s="751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</row>
    <row r="998" spans="1:44">
      <c r="A998" s="308" t="s">
        <v>462</v>
      </c>
      <c r="B998" s="1"/>
      <c r="C998" s="304">
        <f t="shared" si="149"/>
        <v>0</v>
      </c>
      <c r="D998" s="322">
        <f>'Rate Design Work eff 9-15-17'!D998</f>
        <v>1736</v>
      </c>
      <c r="E998" s="309"/>
      <c r="F998" s="2">
        <f>ROUND(D998*C998,0)</f>
        <v>0</v>
      </c>
      <c r="G998" s="311">
        <f ca="1">'Rate Design Work eff 9-15-17'!G998</f>
        <v>1777</v>
      </c>
      <c r="H998" s="309"/>
      <c r="I998" s="2">
        <f ca="1">ROUND(G998*$C998,0)</f>
        <v>0</v>
      </c>
      <c r="J998" s="2"/>
      <c r="K998" s="311">
        <f ca="1">'Rate Design Work eff 10-14-16'!K998</f>
        <v>1736</v>
      </c>
      <c r="L998" s="1275"/>
      <c r="M998" s="2">
        <f ca="1">'Rate Design Work eff 10-14-16'!M998</f>
        <v>0</v>
      </c>
      <c r="N998" s="2"/>
      <c r="O998" s="311" t="str">
        <f>'Rate Design Work eff 10-14-16'!O998</f>
        <v xml:space="preserve"> </v>
      </c>
      <c r="P998" s="1275"/>
      <c r="Q998" s="2">
        <f>'Rate Design Work eff 10-14-16'!Q998</f>
        <v>0</v>
      </c>
      <c r="R998" s="2"/>
      <c r="S998" s="311" t="str">
        <f>'Rate Design Work eff 10-14-16'!S998</f>
        <v xml:space="preserve"> </v>
      </c>
      <c r="T998" s="1275"/>
      <c r="U998" s="2">
        <f>'Rate Design Work eff 10-14-16'!U998</f>
        <v>0</v>
      </c>
      <c r="V998" s="20"/>
      <c r="X998" s="796">
        <f ca="1">(G998-D998)/D998</f>
        <v>2.3617511520737326E-2</v>
      </c>
      <c r="Y998" s="751"/>
      <c r="Z998" s="20"/>
      <c r="AA998" s="20"/>
      <c r="AB998" s="20"/>
      <c r="AC998" s="20"/>
      <c r="AD998" s="20"/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</row>
    <row r="999" spans="1:44">
      <c r="A999" s="308" t="s">
        <v>384</v>
      </c>
      <c r="B999" s="1"/>
      <c r="C999" s="304">
        <f t="shared" si="149"/>
        <v>130.3333333333334</v>
      </c>
      <c r="D999" s="322"/>
      <c r="E999" s="306"/>
      <c r="F999" s="2" t="s">
        <v>31</v>
      </c>
      <c r="G999" s="311" t="s">
        <v>31</v>
      </c>
      <c r="H999" s="306"/>
      <c r="I999" s="2" t="s">
        <v>31</v>
      </c>
      <c r="J999" s="2"/>
      <c r="K999" s="311" t="s">
        <v>31</v>
      </c>
      <c r="L999" s="306"/>
      <c r="M999" s="2" t="s">
        <v>31</v>
      </c>
      <c r="N999" s="2"/>
      <c r="O999" s="311" t="s">
        <v>31</v>
      </c>
      <c r="P999" s="306"/>
      <c r="Q999" s="2" t="s">
        <v>31</v>
      </c>
      <c r="R999" s="2"/>
      <c r="S999" s="311" t="s">
        <v>31</v>
      </c>
      <c r="T999" s="306"/>
      <c r="U999" s="2" t="s">
        <v>31</v>
      </c>
      <c r="V999" s="20"/>
      <c r="X999" s="1282"/>
      <c r="Y999" s="74"/>
      <c r="Z999" s="20"/>
      <c r="AA999" s="20"/>
      <c r="AB999" s="20"/>
      <c r="AC999" s="20"/>
      <c r="AD999" s="20"/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</row>
    <row r="1000" spans="1:44">
      <c r="A1000" s="308" t="s">
        <v>463</v>
      </c>
      <c r="B1000" s="1"/>
      <c r="C1000" s="304">
        <f t="shared" si="149"/>
        <v>230926.96551724101</v>
      </c>
      <c r="D1000" s="322">
        <f>'Rate Design Work eff 9-15-17'!D1000</f>
        <v>0.56999999999999995</v>
      </c>
      <c r="E1000" s="306"/>
      <c r="F1000" s="2">
        <f>ROUND(D1000*C1000,0)</f>
        <v>131628</v>
      </c>
      <c r="G1000" s="311">
        <f ca="1">'Rate Design Work eff 9-15-17'!G1000</f>
        <v>0.57999999999999996</v>
      </c>
      <c r="H1000" s="306"/>
      <c r="I1000" s="2">
        <f ca="1">ROUND(G1000*$C1000,0)</f>
        <v>133938</v>
      </c>
      <c r="J1000" s="2"/>
      <c r="K1000" s="311">
        <f ca="1">'Rate Design Work eff 10-14-16'!K1000</f>
        <v>0.56999999999999995</v>
      </c>
      <c r="L1000" s="306"/>
      <c r="M1000" s="2">
        <f ca="1">'Rate Design Work eff 10-14-16'!M1000</f>
        <v>131628</v>
      </c>
      <c r="N1000" s="2"/>
      <c r="O1000" s="311" t="str">
        <f>'Rate Design Work eff 10-14-16'!O1000</f>
        <v xml:space="preserve"> </v>
      </c>
      <c r="P1000" s="306"/>
      <c r="Q1000" s="2">
        <f>'Rate Design Work eff 10-14-16'!Q1000</f>
        <v>0</v>
      </c>
      <c r="R1000" s="2"/>
      <c r="S1000" s="311" t="str">
        <f>'Rate Design Work eff 10-14-16'!S1000</f>
        <v xml:space="preserve"> </v>
      </c>
      <c r="T1000" s="306"/>
      <c r="U1000" s="2">
        <f>'Rate Design Work eff 10-14-16'!U1000</f>
        <v>0</v>
      </c>
      <c r="X1000" s="796">
        <f ca="1">(G1000-D1000)/D1000</f>
        <v>1.7543859649122823E-2</v>
      </c>
      <c r="Y1000" s="751"/>
      <c r="Z1000" s="20" t="s">
        <v>31</v>
      </c>
      <c r="AA1000" s="20"/>
      <c r="AB1000" s="20"/>
      <c r="AC1000" s="20"/>
      <c r="AD1000" s="20"/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</row>
    <row r="1001" spans="1:44">
      <c r="A1001" s="308" t="s">
        <v>464</v>
      </c>
      <c r="B1001" s="1"/>
      <c r="C1001" s="304">
        <f t="shared" si="149"/>
        <v>0</v>
      </c>
      <c r="D1001" s="322">
        <f>'Rate Design Work eff 9-15-17'!D1001</f>
        <v>0.46</v>
      </c>
      <c r="E1001" s="306"/>
      <c r="F1001" s="2">
        <f>ROUND(D1001*C1001,0)</f>
        <v>0</v>
      </c>
      <c r="G1001" s="311">
        <f ca="1">'Rate Design Work eff 9-15-17'!G1001</f>
        <v>0.47</v>
      </c>
      <c r="H1001" s="306"/>
      <c r="I1001" s="2">
        <f ca="1">ROUND(G1001*$C1001,0)</f>
        <v>0</v>
      </c>
      <c r="J1001" s="2"/>
      <c r="K1001" s="311">
        <f ca="1">'Rate Design Work eff 10-14-16'!K1001</f>
        <v>0.46</v>
      </c>
      <c r="L1001" s="306"/>
      <c r="M1001" s="2">
        <f ca="1">'Rate Design Work eff 10-14-16'!M1001</f>
        <v>0</v>
      </c>
      <c r="N1001" s="2"/>
      <c r="O1001" s="311" t="str">
        <f>'Rate Design Work eff 10-14-16'!O1001</f>
        <v xml:space="preserve"> </v>
      </c>
      <c r="P1001" s="306"/>
      <c r="Q1001" s="2">
        <f>'Rate Design Work eff 10-14-16'!Q1001</f>
        <v>0</v>
      </c>
      <c r="R1001" s="2"/>
      <c r="S1001" s="311" t="str">
        <f>'Rate Design Work eff 10-14-16'!S1001</f>
        <v xml:space="preserve"> </v>
      </c>
      <c r="T1001" s="306"/>
      <c r="U1001" s="2">
        <f>'Rate Design Work eff 10-14-16'!U1001</f>
        <v>0</v>
      </c>
      <c r="V1001" s="20"/>
      <c r="X1001" s="796">
        <f ca="1">(G1001-D1001)/D1001</f>
        <v>2.1739130434782507E-2</v>
      </c>
      <c r="Y1001" s="751"/>
      <c r="Z1001" s="20"/>
      <c r="AA1001" s="20"/>
      <c r="AB1001" s="20"/>
      <c r="AC1001" s="20"/>
      <c r="AD1001" s="20"/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</row>
    <row r="1002" spans="1:44">
      <c r="A1002" s="294" t="s">
        <v>393</v>
      </c>
      <c r="B1002" s="1"/>
      <c r="C1002" s="304">
        <f t="shared" si="149"/>
        <v>187022.62068965501</v>
      </c>
      <c r="D1002" s="322">
        <f>'Rate Design Work eff 9-15-17'!D1002</f>
        <v>7.79</v>
      </c>
      <c r="E1002" s="306"/>
      <c r="F1002" s="2">
        <f>ROUND(D1002*C1002,0)</f>
        <v>1456906</v>
      </c>
      <c r="G1002" s="311">
        <f ca="1">'Rate Design Work eff 9-15-17'!G1002</f>
        <v>7.9799999999999995</v>
      </c>
      <c r="H1002" s="306"/>
      <c r="I1002" s="2">
        <f ca="1">ROUND(G1002*$C1002,0)</f>
        <v>1492441</v>
      </c>
      <c r="J1002" s="2"/>
      <c r="K1002" s="311" t="e">
        <f ca="1">'Rate Design Work eff 10-14-16'!K1002</f>
        <v>#DIV/0!</v>
      </c>
      <c r="L1002" s="306"/>
      <c r="M1002" s="2" t="e">
        <f ca="1">'Rate Design Work eff 10-14-16'!M1002</f>
        <v>#DIV/0!</v>
      </c>
      <c r="N1002" s="2"/>
      <c r="O1002" s="311" t="e">
        <f ca="1">'Rate Design Work eff 10-14-16'!O1002</f>
        <v>#DIV/0!</v>
      </c>
      <c r="P1002" s="306"/>
      <c r="Q1002" s="2" t="e">
        <f ca="1">'Rate Design Work eff 10-14-16'!Q1002</f>
        <v>#DIV/0!</v>
      </c>
      <c r="R1002" s="2"/>
      <c r="S1002" s="311" t="e">
        <f ca="1">'Rate Design Work eff 10-14-16'!S1002</f>
        <v>#DIV/0!</v>
      </c>
      <c r="T1002" s="306"/>
      <c r="U1002" s="2" t="e">
        <f ca="1">'Rate Design Work eff 10-14-16'!U1002</f>
        <v>#DIV/0!</v>
      </c>
      <c r="V1002" s="20"/>
      <c r="X1002" s="796">
        <f ca="1">(G1002-D1002)/D1002</f>
        <v>2.4390243902438959E-2</v>
      </c>
      <c r="Y1002" s="751"/>
      <c r="Z1002" s="20"/>
      <c r="AA1002" s="20"/>
      <c r="AB1002" s="20"/>
      <c r="AC1002" s="20"/>
      <c r="AD1002" s="20"/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</row>
    <row r="1003" spans="1:44">
      <c r="A1003" s="308" t="s">
        <v>416</v>
      </c>
      <c r="B1003" s="1"/>
      <c r="C1003" s="304"/>
      <c r="D1003" s="322"/>
      <c r="E1003" s="306"/>
      <c r="F1003" s="2"/>
      <c r="G1003" s="311" t="s">
        <v>31</v>
      </c>
      <c r="H1003" s="306"/>
      <c r="I1003" s="2"/>
      <c r="J1003" s="2"/>
      <c r="K1003" s="311" t="s">
        <v>31</v>
      </c>
      <c r="L1003" s="306"/>
      <c r="M1003" s="2"/>
      <c r="N1003" s="2"/>
      <c r="O1003" s="311" t="s">
        <v>31</v>
      </c>
      <c r="P1003" s="306"/>
      <c r="Q1003" s="2"/>
      <c r="R1003" s="2"/>
      <c r="S1003" s="311" t="s">
        <v>31</v>
      </c>
      <c r="T1003" s="306"/>
      <c r="U1003" s="2"/>
      <c r="V1003" s="20"/>
      <c r="X1003" s="1282"/>
      <c r="Y1003" s="74"/>
      <c r="Z1003" s="20"/>
      <c r="AA1003" s="20"/>
      <c r="AB1003" s="2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</row>
    <row r="1004" spans="1:44">
      <c r="A1004" s="308" t="s">
        <v>454</v>
      </c>
      <c r="B1004" s="1"/>
      <c r="C1004" s="304">
        <f>C1025+C1043</f>
        <v>76296887.893373474</v>
      </c>
      <c r="D1004" s="380">
        <f>'Rate Design Work eff 9-15-17'!D1004</f>
        <v>4.6879999999999997</v>
      </c>
      <c r="E1004" s="306" t="s">
        <v>364</v>
      </c>
      <c r="F1004" s="2">
        <f>ROUND(D1004/100*C1004,0)</f>
        <v>3576798</v>
      </c>
      <c r="G1004" s="777">
        <f ca="1">'Rate Design Work eff 9-15-17'!G1004</f>
        <v>4.798</v>
      </c>
      <c r="H1004" s="306" t="s">
        <v>364</v>
      </c>
      <c r="I1004" s="2">
        <f ca="1">ROUND(G1004/100*$C1004,0)</f>
        <v>3660725</v>
      </c>
      <c r="J1004" s="2"/>
      <c r="K1004" s="777" t="str">
        <f>'Rate Design Work eff 10-14-16'!K1004</f>
        <v xml:space="preserve"> </v>
      </c>
      <c r="L1004" s="850" t="s">
        <v>31</v>
      </c>
      <c r="M1004" s="2">
        <f>'Rate Design Work eff 10-14-16'!M1004</f>
        <v>0</v>
      </c>
      <c r="N1004" s="2"/>
      <c r="O1004" s="777" t="e">
        <f ca="1">'Rate Design Work eff 10-14-16'!O1004</f>
        <v>#DIV/0!</v>
      </c>
      <c r="P1004" s="306" t="s">
        <v>364</v>
      </c>
      <c r="Q1004" s="2" t="e">
        <f ca="1">'Rate Design Work eff 10-14-16'!Q1004</f>
        <v>#DIV/0!</v>
      </c>
      <c r="R1004" s="2"/>
      <c r="S1004" s="777" t="e">
        <f ca="1">'Rate Design Work eff 10-14-16'!S1004</f>
        <v>#DIV/0!</v>
      </c>
      <c r="T1004" s="306" t="s">
        <v>364</v>
      </c>
      <c r="U1004" s="2" t="e">
        <f ca="1">'Rate Design Work eff 10-14-16'!U1004</f>
        <v>#DIV/0!</v>
      </c>
      <c r="V1004" s="20"/>
      <c r="X1004" s="796">
        <f ca="1">((G1004+G1006)-D1004)/D1004</f>
        <v>2.3464163822525665E-2</v>
      </c>
      <c r="Y1004" s="751"/>
      <c r="Z1004" s="20"/>
      <c r="AA1004" s="20"/>
      <c r="AB1004" s="20"/>
      <c r="AC1004" s="20"/>
      <c r="AD1004" s="20"/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</row>
    <row r="1005" spans="1:44">
      <c r="A1005" s="308" t="s">
        <v>390</v>
      </c>
      <c r="B1005" s="1"/>
      <c r="C1005" s="304">
        <f>C1026+C1044</f>
        <v>15987.3939393939</v>
      </c>
      <c r="D1005" s="322">
        <f>'Rate Design Work eff 9-15-17'!D1005</f>
        <v>0.55000000000000004</v>
      </c>
      <c r="E1005" s="306"/>
      <c r="F1005" s="2">
        <f>ROUND(D1005*C1005,0)</f>
        <v>8793</v>
      </c>
      <c r="G1005" s="311">
        <f ca="1">'Rate Design Work eff 9-15-17'!G1005</f>
        <v>0.56000000000000005</v>
      </c>
      <c r="H1005" s="306"/>
      <c r="I1005" s="2">
        <f ca="1">ROUND(G1005*$C1005,0)</f>
        <v>8953</v>
      </c>
      <c r="J1005" s="2"/>
      <c r="K1005" s="311" t="str">
        <f>'Rate Design Work eff 10-14-16'!K1005</f>
        <v xml:space="preserve"> </v>
      </c>
      <c r="L1005" s="306"/>
      <c r="M1005" s="2">
        <f>'Rate Design Work eff 10-14-16'!M1005</f>
        <v>0</v>
      </c>
      <c r="N1005" s="2"/>
      <c r="O1005" s="311" t="e">
        <f ca="1">'Rate Design Work eff 10-14-16'!O1005</f>
        <v>#DIV/0!</v>
      </c>
      <c r="P1005" s="306"/>
      <c r="Q1005" s="2" t="e">
        <f ca="1">'Rate Design Work eff 10-14-16'!Q1005</f>
        <v>#DIV/0!</v>
      </c>
      <c r="R1005" s="2"/>
      <c r="S1005" s="311" t="e">
        <f ca="1">'Rate Design Work eff 10-14-16'!S1005</f>
        <v>#DIV/0!</v>
      </c>
      <c r="T1005" s="306"/>
      <c r="U1005" s="2" t="e">
        <f ca="1">'Rate Design Work eff 10-14-16'!U1005</f>
        <v>#DIV/0!</v>
      </c>
      <c r="V1005" s="20"/>
      <c r="X1005" s="796">
        <f ca="1">(G1005-D1005)/D1005</f>
        <v>1.8181818181818195E-2</v>
      </c>
      <c r="Y1005" s="751"/>
      <c r="Z1005" s="20"/>
      <c r="AA1005" s="20"/>
      <c r="AB1005" s="20"/>
      <c r="AC1005" s="20"/>
      <c r="AD1005" s="20"/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</row>
    <row r="1006" spans="1:44" s="1118" customFormat="1" hidden="1">
      <c r="A1006" s="968" t="s">
        <v>891</v>
      </c>
      <c r="C1006" s="1122">
        <f>C1004</f>
        <v>76296887.893373474</v>
      </c>
      <c r="D1006" s="254">
        <f>'Rate Design Work eff 9-15-17'!D1006</f>
        <v>0</v>
      </c>
      <c r="E1006" s="1119"/>
      <c r="F1006" s="1123"/>
      <c r="G1006" s="1128">
        <f>'Rate Design Work eff 9-15-17'!G1006</f>
        <v>0</v>
      </c>
      <c r="H1006" s="1000" t="s">
        <v>364</v>
      </c>
      <c r="I1006" s="1123">
        <f>ROUND(G1006/100*$C1006,0)</f>
        <v>0</v>
      </c>
      <c r="J1006" s="1123"/>
      <c r="K1006" s="1128" t="str">
        <f>'Rate Design Work eff 10-14-16'!K1006</f>
        <v xml:space="preserve"> </v>
      </c>
      <c r="L1006" s="1000" t="s">
        <v>31</v>
      </c>
      <c r="M1006" s="2">
        <f>'Rate Design Work eff 10-14-16'!M1006</f>
        <v>0</v>
      </c>
      <c r="N1006" s="1000"/>
      <c r="O1006" s="1128" t="str">
        <f>'Rate Design Work eff 10-14-16'!O1006</f>
        <v xml:space="preserve"> </v>
      </c>
      <c r="P1006" s="1000" t="s">
        <v>31</v>
      </c>
      <c r="Q1006" s="2">
        <f>'Rate Design Work eff 10-14-16'!Q1006</f>
        <v>0</v>
      </c>
      <c r="R1006" s="1000"/>
      <c r="S1006" s="1128">
        <f>'Rate Design Work eff 10-14-16'!S1006</f>
        <v>0</v>
      </c>
      <c r="T1006" s="1000" t="s">
        <v>364</v>
      </c>
      <c r="U1006" s="2">
        <f>'Rate Design Work eff 10-14-16'!U1006</f>
        <v>0</v>
      </c>
      <c r="V1006" s="1124">
        <f>'NPC Spread'!G48</f>
        <v>2438646.2051787861</v>
      </c>
      <c r="W1006" s="784" t="s">
        <v>857</v>
      </c>
      <c r="Z1006" s="1125"/>
      <c r="AA1006" s="1125"/>
      <c r="AF1006" s="1119"/>
      <c r="AG1006" s="1119"/>
      <c r="AH1006" s="1119"/>
      <c r="AI1006" s="1119"/>
      <c r="AJ1006" s="1119"/>
      <c r="AK1006" s="1119"/>
      <c r="AL1006" s="1119"/>
      <c r="AM1006" s="1119"/>
      <c r="AN1006" s="1119"/>
      <c r="AO1006" s="1119"/>
      <c r="AP1006" s="1119"/>
      <c r="AR1006" s="1124"/>
    </row>
    <row r="1007" spans="1:44" s="1256" customFormat="1" hidden="1">
      <c r="A1007" s="1255" t="s">
        <v>873</v>
      </c>
      <c r="C1007" s="1269"/>
      <c r="D1007" s="1268">
        <f>'Rate Design Work eff 9-15-17'!D1007</f>
        <v>4.6879999999999997</v>
      </c>
      <c r="E1007" s="1266" t="s">
        <v>364</v>
      </c>
      <c r="F1007" s="1259"/>
      <c r="G1007" s="1260">
        <f ca="1">G1004+G1006</f>
        <v>4.798</v>
      </c>
      <c r="H1007" s="1266" t="s">
        <v>364</v>
      </c>
      <c r="I1007" s="1259"/>
      <c r="J1007" s="1259"/>
      <c r="K1007" s="1270" t="s">
        <v>31</v>
      </c>
      <c r="L1007" s="1266" t="s">
        <v>31</v>
      </c>
      <c r="M1007" s="1266"/>
      <c r="N1007" s="1266"/>
      <c r="O1007" s="1270" t="e">
        <f ca="1">O1004+O1006</f>
        <v>#DIV/0!</v>
      </c>
      <c r="P1007" s="1266" t="s">
        <v>364</v>
      </c>
      <c r="Q1007" s="1266"/>
      <c r="R1007" s="1266"/>
      <c r="S1007" s="1270" t="e">
        <f ca="1">S1004+S1006</f>
        <v>#DIV/0!</v>
      </c>
      <c r="T1007" s="1266" t="s">
        <v>364</v>
      </c>
      <c r="U1007" s="1266"/>
      <c r="V1007" s="1283"/>
      <c r="W1007" s="1284"/>
      <c r="X1007" s="1285">
        <f ca="1">(G1007-D1007)/D1007</f>
        <v>2.3464163822525665E-2</v>
      </c>
      <c r="Z1007" s="1286"/>
      <c r="AA1007" s="1286"/>
      <c r="AF1007" s="1258"/>
      <c r="AG1007" s="1258"/>
      <c r="AH1007" s="1258"/>
      <c r="AI1007" s="1258"/>
      <c r="AJ1007" s="1258"/>
      <c r="AK1007" s="1258"/>
      <c r="AL1007" s="1258"/>
      <c r="AM1007" s="1258"/>
      <c r="AN1007" s="1258"/>
      <c r="AO1007" s="1258"/>
      <c r="AP1007" s="1258"/>
      <c r="AR1007" s="1283"/>
    </row>
    <row r="1008" spans="1:44">
      <c r="A1008" s="1" t="s">
        <v>371</v>
      </c>
      <c r="B1008" s="1"/>
      <c r="C1008" s="304">
        <f>C1004</f>
        <v>76296887.893373474</v>
      </c>
      <c r="D1008" s="315"/>
      <c r="E1008" s="1"/>
      <c r="F1008" s="2">
        <f>SUM(F997:F1005)</f>
        <v>5362196</v>
      </c>
      <c r="G1008" s="315"/>
      <c r="H1008" s="1"/>
      <c r="I1008" s="2">
        <f ca="1">SUM(I997:I1007)</f>
        <v>5488559</v>
      </c>
      <c r="J1008" s="2"/>
      <c r="K1008" s="772"/>
      <c r="L1008" s="1"/>
      <c r="M1008" s="2" t="e">
        <f ca="1">SUM(M997:M1007)</f>
        <v>#DIV/0!</v>
      </c>
      <c r="N1008" s="2"/>
      <c r="O1008" s="772"/>
      <c r="P1008" s="1"/>
      <c r="Q1008" s="2" t="e">
        <f ca="1">SUM(Q997:Q1007)</f>
        <v>#DIV/0!</v>
      </c>
      <c r="R1008" s="2"/>
      <c r="S1008" s="772"/>
      <c r="T1008" s="1"/>
      <c r="U1008" s="2" t="e">
        <f ca="1">SUM(U997:U1007)</f>
        <v>#DIV/0!</v>
      </c>
      <c r="V1008" s="20"/>
      <c r="W1008" s="74"/>
      <c r="X1008" s="74"/>
      <c r="Y1008" s="74"/>
      <c r="Z1008" s="20"/>
      <c r="AA1008" s="20"/>
      <c r="AB1008" s="20"/>
      <c r="AC1008" s="20"/>
      <c r="AD1008" s="20"/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</row>
    <row r="1009" spans="1:42">
      <c r="A1009" s="1" t="s">
        <v>353</v>
      </c>
      <c r="B1009" s="1"/>
      <c r="C1009" s="304">
        <f ca="1">C1029+C1047</f>
        <v>511974.75164792698</v>
      </c>
      <c r="D1009" s="294"/>
      <c r="E1009" s="294"/>
      <c r="F1009" s="326">
        <f ca="1">F1029+F1047</f>
        <v>39171.082166675216</v>
      </c>
      <c r="G1009" s="294"/>
      <c r="H1009" s="294"/>
      <c r="I1009" s="326">
        <f ca="1">F1009</f>
        <v>39171.082166675216</v>
      </c>
      <c r="J1009" s="307"/>
      <c r="K1009" s="294"/>
      <c r="L1009" s="294"/>
      <c r="M1009" s="738" t="e">
        <f ca="1">$I$1009*V1012/(V1012+$W$1012+$X$1012)</f>
        <v>#DIV/0!</v>
      </c>
      <c r="N1009" s="51"/>
      <c r="O1009" s="294"/>
      <c r="P1009" s="294"/>
      <c r="Q1009" s="738" t="e">
        <f ca="1">$I$1009*W1012/(V1012+$W$1012+$X$1012)</f>
        <v>#DIV/0!</v>
      </c>
      <c r="R1009" s="51"/>
      <c r="S1009" s="294"/>
      <c r="T1009" s="294"/>
      <c r="U1009" s="738" t="e">
        <f ca="1">$I$1009*X1012/(V1012+$W$1012+$X$1012)</f>
        <v>#DIV/0!</v>
      </c>
      <c r="V1009" s="429"/>
      <c r="W1009" s="272"/>
      <c r="X1009" s="74"/>
      <c r="Y1009" s="74"/>
      <c r="Z1009" s="20"/>
      <c r="AA1009" s="20"/>
      <c r="AB1009" s="20"/>
      <c r="AC1009" s="20"/>
      <c r="AD1009" s="20"/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</row>
    <row r="1010" spans="1:42" ht="16.5" thickBot="1">
      <c r="A1010" s="1" t="s">
        <v>372</v>
      </c>
      <c r="B1010" s="1"/>
      <c r="C1010" s="378">
        <f ca="1">SUM(C1008)+C1009</f>
        <v>76808862.645021409</v>
      </c>
      <c r="D1010" s="327"/>
      <c r="E1010" s="330"/>
      <c r="F1010" s="329">
        <f ca="1">F1008+F1009</f>
        <v>5401367.0821666755</v>
      </c>
      <c r="G1010" s="327"/>
      <c r="H1010" s="330"/>
      <c r="I1010" s="329">
        <f ca="1">I1008+I1009</f>
        <v>5527730.0821666755</v>
      </c>
      <c r="J1010" s="307"/>
      <c r="K1010" s="327"/>
      <c r="L1010" s="330"/>
      <c r="M1010" s="329" t="e">
        <f ca="1">SUM(M1008:M1009)</f>
        <v>#DIV/0!</v>
      </c>
      <c r="N1010" s="329"/>
      <c r="O1010" s="327"/>
      <c r="P1010" s="330"/>
      <c r="Q1010" s="329" t="e">
        <f ca="1">SUM(Q1008:Q1009)</f>
        <v>#DIV/0!</v>
      </c>
      <c r="R1010" s="329"/>
      <c r="S1010" s="327"/>
      <c r="T1010" s="330"/>
      <c r="U1010" s="329" t="e">
        <f ca="1">SUM(U1008:U1009)</f>
        <v>#DIV/0!</v>
      </c>
      <c r="V1010" s="396" t="s">
        <v>31</v>
      </c>
      <c r="W1010" s="751" t="s">
        <v>31</v>
      </c>
      <c r="X1010" s="703">
        <f ca="1">(I1010-F1010)/F1010</f>
        <v>2.3394632891588517E-2</v>
      </c>
      <c r="Y1010" s="74"/>
      <c r="AA1010" s="20"/>
      <c r="AB1010" s="20"/>
      <c r="AC1010" s="20"/>
      <c r="AD1010" s="20"/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</row>
    <row r="1011" spans="1:42" ht="16.5" hidden="1" thickTop="1">
      <c r="A1011" s="1"/>
      <c r="B1011" s="1"/>
      <c r="C1011" s="21"/>
      <c r="D1011" s="322" t="s">
        <v>31</v>
      </c>
      <c r="E1011" s="1"/>
      <c r="F1011" s="2"/>
      <c r="G1011" s="338" t="s">
        <v>31</v>
      </c>
      <c r="H1011" s="1"/>
      <c r="I1011" s="2" t="s">
        <v>31</v>
      </c>
      <c r="J1011" s="2"/>
      <c r="K1011" s="338" t="s">
        <v>31</v>
      </c>
      <c r="L1011" s="1"/>
      <c r="M1011" s="2" t="s">
        <v>31</v>
      </c>
      <c r="N1011" s="2"/>
      <c r="O1011" s="338" t="s">
        <v>31</v>
      </c>
      <c r="P1011" s="1"/>
      <c r="Q1011" s="2" t="s">
        <v>31</v>
      </c>
      <c r="R1011" s="2"/>
      <c r="S1011" s="338" t="s">
        <v>31</v>
      </c>
      <c r="T1011" s="1"/>
      <c r="U1011" s="2" t="s">
        <v>31</v>
      </c>
      <c r="V1011" s="1274"/>
      <c r="W1011" s="1274"/>
      <c r="X1011" s="1274"/>
      <c r="Y1011" s="74"/>
      <c r="Z1011" s="20"/>
      <c r="AA1011" s="20"/>
      <c r="AB1011" s="2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</row>
    <row r="1012" spans="1:42" hidden="1">
      <c r="A1012" s="1"/>
      <c r="B1012" s="1"/>
      <c r="C1012" s="21"/>
      <c r="D1012" s="322" t="s">
        <v>31</v>
      </c>
      <c r="E1012" s="1"/>
      <c r="F1012" s="2"/>
      <c r="G1012" s="338" t="s">
        <v>31</v>
      </c>
      <c r="H1012" s="1"/>
      <c r="I1012" s="2" t="s">
        <v>31</v>
      </c>
      <c r="J1012" s="2"/>
      <c r="K1012" s="338" t="s">
        <v>31</v>
      </c>
      <c r="L1012" s="1"/>
      <c r="M1012" s="2" t="s">
        <v>31</v>
      </c>
      <c r="N1012" s="2"/>
      <c r="O1012" s="338" t="s">
        <v>31</v>
      </c>
      <c r="P1012" s="1"/>
      <c r="Q1012" s="2" t="s">
        <v>31</v>
      </c>
      <c r="R1012" s="2"/>
      <c r="S1012" s="338" t="s">
        <v>31</v>
      </c>
      <c r="T1012" s="1"/>
      <c r="U1012" s="2" t="s">
        <v>31</v>
      </c>
      <c r="V1012" s="396"/>
      <c r="W1012" s="396"/>
      <c r="X1012" s="396"/>
      <c r="Y1012" s="74"/>
      <c r="Z1012" s="20"/>
      <c r="AA1012" s="20"/>
      <c r="AB1012" s="20"/>
      <c r="AC1012" s="20"/>
      <c r="AD1012" s="20"/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</row>
    <row r="1013" spans="1:42" hidden="1">
      <c r="A1013" s="1"/>
      <c r="B1013" s="1"/>
      <c r="C1013" s="21"/>
      <c r="D1013" s="322"/>
      <c r="E1013" s="1"/>
      <c r="F1013" s="2"/>
      <c r="G1013" s="322"/>
      <c r="H1013" s="1"/>
      <c r="I1013" s="365"/>
      <c r="J1013" s="365"/>
      <c r="K1013" s="322"/>
      <c r="L1013" s="1"/>
      <c r="M1013" s="365"/>
      <c r="N1013" s="365"/>
      <c r="O1013" s="322"/>
      <c r="P1013" s="1"/>
      <c r="Q1013" s="365"/>
      <c r="R1013" s="365"/>
      <c r="S1013" s="322"/>
      <c r="T1013" s="1"/>
      <c r="U1013" s="365"/>
      <c r="V1013" s="20"/>
      <c r="W1013" s="74"/>
      <c r="X1013" s="74"/>
      <c r="Y1013" s="74"/>
      <c r="Z1013" s="20"/>
      <c r="AA1013" s="20"/>
      <c r="AB1013" s="20"/>
      <c r="AC1013" s="20"/>
      <c r="AD1013" s="20"/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</row>
    <row r="1014" spans="1:42" hidden="1">
      <c r="A1014" s="278" t="s">
        <v>466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20"/>
      <c r="W1014" s="74"/>
      <c r="X1014" s="74"/>
      <c r="Y1014" s="74"/>
      <c r="Z1014" s="20"/>
      <c r="AA1014" s="20"/>
      <c r="AB1014" s="20"/>
      <c r="AC1014" s="20"/>
      <c r="AD1014" s="20"/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</row>
    <row r="1015" spans="1:42" hidden="1">
      <c r="A1015" s="294" t="s">
        <v>673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20"/>
      <c r="W1015" s="74"/>
      <c r="X1015" s="74"/>
      <c r="Y1015" s="74"/>
      <c r="Z1015" s="20"/>
      <c r="AA1015" s="20"/>
      <c r="AB1015" s="20"/>
      <c r="AC1015" s="20"/>
      <c r="AD1015" s="20"/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</row>
    <row r="1016" spans="1:42" hidden="1">
      <c r="A1016" s="1" t="s">
        <v>31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20"/>
      <c r="W1016" s="74"/>
      <c r="X1016" s="74"/>
      <c r="Y1016" s="74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</row>
    <row r="1017" spans="1:42" hidden="1">
      <c r="A1017" s="308" t="s">
        <v>383</v>
      </c>
      <c r="B1017" s="1"/>
      <c r="C1017" s="304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74"/>
      <c r="X1017" s="74"/>
      <c r="Y1017" s="74"/>
      <c r="Z1017" s="20"/>
      <c r="AA1017" s="20"/>
      <c r="AB1017" s="20"/>
      <c r="AC1017" s="20"/>
      <c r="AD1017" s="20"/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</row>
    <row r="1018" spans="1:42" hidden="1">
      <c r="A1018" s="308" t="s">
        <v>461</v>
      </c>
      <c r="B1018" s="1"/>
      <c r="C1018" s="304">
        <f>'Rate Design Work eff 10-14-16'!C1018</f>
        <v>106.57575757575761</v>
      </c>
      <c r="D1018" s="322">
        <f>'Rate Design Work eff 9-15-17'!D1018</f>
        <v>1443</v>
      </c>
      <c r="E1018" s="306"/>
      <c r="F1018" s="2">
        <f>ROUND(D1018*C1018,0)</f>
        <v>153789</v>
      </c>
      <c r="G1018" s="322">
        <f ca="1">G997</f>
        <v>1477</v>
      </c>
      <c r="H1018" s="306"/>
      <c r="I1018" s="2">
        <f ca="1">ROUND(G1018*$C1018,0)</f>
        <v>157412</v>
      </c>
      <c r="J1018" s="2"/>
      <c r="K1018" s="322">
        <f ca="1">K997</f>
        <v>1443</v>
      </c>
      <c r="L1018" s="306"/>
      <c r="M1018" s="2">
        <f ca="1">ROUND(K1018*$C1018,0)</f>
        <v>153789</v>
      </c>
      <c r="N1018" s="2"/>
      <c r="O1018" s="322" t="str">
        <f>O997</f>
        <v xml:space="preserve"> </v>
      </c>
      <c r="P1018" s="306"/>
      <c r="Q1018" s="2">
        <f>ROUND(O1018*$C1018,0)</f>
        <v>0</v>
      </c>
      <c r="R1018" s="2"/>
      <c r="S1018" s="322" t="str">
        <f>S997</f>
        <v xml:space="preserve"> </v>
      </c>
      <c r="T1018" s="306"/>
      <c r="U1018" s="2">
        <f>ROUND(S1018*$C1018,0)</f>
        <v>0</v>
      </c>
      <c r="V1018" s="20"/>
      <c r="W1018" s="74"/>
      <c r="X1018" s="74"/>
      <c r="Y1018" s="74"/>
      <c r="Z1018" s="20"/>
      <c r="AA1018" s="20"/>
      <c r="AB1018" s="20"/>
      <c r="AC1018" s="20"/>
      <c r="AD1018" s="20"/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</row>
    <row r="1019" spans="1:42" hidden="1">
      <c r="A1019" s="308" t="s">
        <v>462</v>
      </c>
      <c r="B1019" s="1"/>
      <c r="C1019" s="304">
        <f>'Rate Design Work eff 10-14-16'!C1019</f>
        <v>0</v>
      </c>
      <c r="D1019" s="322">
        <f>'Rate Design Work eff 9-15-17'!D1019</f>
        <v>1736</v>
      </c>
      <c r="E1019" s="309"/>
      <c r="F1019" s="2">
        <f>ROUND(D1019*C1019,0)</f>
        <v>0</v>
      </c>
      <c r="G1019" s="322">
        <f ca="1">G998</f>
        <v>1777</v>
      </c>
      <c r="H1019" s="309"/>
      <c r="I1019" s="2">
        <f ca="1">ROUND(G1019*$C1019,0)</f>
        <v>0</v>
      </c>
      <c r="J1019" s="2"/>
      <c r="K1019" s="322">
        <f ca="1">K998</f>
        <v>1736</v>
      </c>
      <c r="L1019" s="309"/>
      <c r="M1019" s="2">
        <f ca="1">ROUND(K1019*$C1019,0)</f>
        <v>0</v>
      </c>
      <c r="N1019" s="2"/>
      <c r="O1019" s="322" t="str">
        <f>O998</f>
        <v xml:space="preserve"> </v>
      </c>
      <c r="P1019" s="309"/>
      <c r="Q1019" s="2">
        <f>ROUND(O1019*$C1019,0)</f>
        <v>0</v>
      </c>
      <c r="R1019" s="2"/>
      <c r="S1019" s="322" t="str">
        <f>S998</f>
        <v xml:space="preserve"> </v>
      </c>
      <c r="T1019" s="309"/>
      <c r="U1019" s="2">
        <f>ROUND(S1019*$C1019,0)</f>
        <v>0</v>
      </c>
      <c r="V1019" s="20"/>
      <c r="W1019" s="74"/>
      <c r="X1019" s="74"/>
      <c r="Y1019" s="74"/>
      <c r="Z1019" s="20"/>
      <c r="AA1019" s="20"/>
      <c r="AB1019" s="2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</row>
    <row r="1020" spans="1:42" hidden="1">
      <c r="A1020" s="308" t="s">
        <v>384</v>
      </c>
      <c r="B1020" s="1"/>
      <c r="C1020" s="304">
        <f>SUM(C1018:C1019)</f>
        <v>106.57575757575761</v>
      </c>
      <c r="D1020" s="322"/>
      <c r="E1020" s="306"/>
      <c r="F1020" s="2" t="s">
        <v>31</v>
      </c>
      <c r="G1020" s="322" t="s">
        <v>31</v>
      </c>
      <c r="H1020" s="306"/>
      <c r="I1020" s="2" t="s">
        <v>31</v>
      </c>
      <c r="J1020" s="2"/>
      <c r="K1020" s="322" t="s">
        <v>31</v>
      </c>
      <c r="L1020" s="306"/>
      <c r="M1020" s="2" t="s">
        <v>31</v>
      </c>
      <c r="N1020" s="2"/>
      <c r="O1020" s="322" t="s">
        <v>31</v>
      </c>
      <c r="P1020" s="306"/>
      <c r="Q1020" s="2" t="s">
        <v>31</v>
      </c>
      <c r="R1020" s="2"/>
      <c r="S1020" s="322" t="s">
        <v>31</v>
      </c>
      <c r="T1020" s="306"/>
      <c r="U1020" s="2" t="s">
        <v>31</v>
      </c>
      <c r="V1020" s="20"/>
      <c r="W1020" s="74"/>
      <c r="X1020" s="74"/>
      <c r="Y1020" s="74"/>
      <c r="Z1020" s="20"/>
      <c r="AA1020" s="20"/>
      <c r="AB1020" s="20"/>
      <c r="AC1020" s="20"/>
      <c r="AD1020" s="20"/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</row>
    <row r="1021" spans="1:42" hidden="1">
      <c r="A1021" s="308" t="s">
        <v>463</v>
      </c>
      <c r="B1021" s="1"/>
      <c r="C1021" s="304">
        <f>'Rate Design Work eff 10-14-16'!C1021</f>
        <v>201387.96551724101</v>
      </c>
      <c r="D1021" s="322">
        <f>'Rate Design Work eff 9-15-17'!D1021</f>
        <v>0.56999999999999995</v>
      </c>
      <c r="E1021" s="306"/>
      <c r="F1021" s="2">
        <f>ROUND(D1021*C1021,0)</f>
        <v>114791</v>
      </c>
      <c r="G1021" s="322">
        <f ca="1">G1000</f>
        <v>0.57999999999999996</v>
      </c>
      <c r="H1021" s="306"/>
      <c r="I1021" s="2">
        <f ca="1">ROUND(G1021*$C1021,0)</f>
        <v>116805</v>
      </c>
      <c r="J1021" s="2"/>
      <c r="K1021" s="322">
        <f ca="1">K1000</f>
        <v>0.56999999999999995</v>
      </c>
      <c r="L1021" s="306"/>
      <c r="M1021" s="2">
        <f ca="1">ROUND(K1021*$C1021,0)</f>
        <v>114791</v>
      </c>
      <c r="N1021" s="2"/>
      <c r="O1021" s="322" t="str">
        <f>O1000</f>
        <v xml:space="preserve"> </v>
      </c>
      <c r="P1021" s="306"/>
      <c r="Q1021" s="2">
        <f>ROUND(O1021*$C1021,0)</f>
        <v>0</v>
      </c>
      <c r="R1021" s="2"/>
      <c r="S1021" s="322" t="str">
        <f>S1000</f>
        <v xml:space="preserve"> </v>
      </c>
      <c r="T1021" s="306"/>
      <c r="U1021" s="2">
        <f>ROUND(S1021*$C1021,0)</f>
        <v>0</v>
      </c>
      <c r="V1021" s="7" t="s">
        <v>31</v>
      </c>
      <c r="W1021" s="74"/>
      <c r="X1021" s="74" t="s">
        <v>31</v>
      </c>
      <c r="Y1021" s="74"/>
      <c r="Z1021" s="20"/>
      <c r="AA1021" s="20"/>
      <c r="AB1021" s="20"/>
      <c r="AC1021" s="20"/>
      <c r="AD1021" s="20"/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</row>
    <row r="1022" spans="1:42" hidden="1">
      <c r="A1022" s="308" t="s">
        <v>464</v>
      </c>
      <c r="B1022" s="1"/>
      <c r="C1022" s="304">
        <f>'Rate Design Work eff 10-14-16'!C1022</f>
        <v>0</v>
      </c>
      <c r="D1022" s="322">
        <f>'Rate Design Work eff 9-15-17'!D1022</f>
        <v>0.46</v>
      </c>
      <c r="E1022" s="306"/>
      <c r="F1022" s="2">
        <f>ROUND(D1022*C1022,0)</f>
        <v>0</v>
      </c>
      <c r="G1022" s="322">
        <f ca="1">G1001</f>
        <v>0.47</v>
      </c>
      <c r="H1022" s="306"/>
      <c r="I1022" s="2">
        <f ca="1">ROUND(G1022*$C1022,0)</f>
        <v>0</v>
      </c>
      <c r="J1022" s="2"/>
      <c r="K1022" s="322">
        <f ca="1">K1001</f>
        <v>0.46</v>
      </c>
      <c r="L1022" s="306"/>
      <c r="M1022" s="2">
        <f ca="1">ROUND(K1022*$C1022,0)</f>
        <v>0</v>
      </c>
      <c r="N1022" s="2"/>
      <c r="O1022" s="322" t="str">
        <f>O1001</f>
        <v xml:space="preserve"> </v>
      </c>
      <c r="P1022" s="306"/>
      <c r="Q1022" s="2">
        <f>ROUND(O1022*$C1022,0)</f>
        <v>0</v>
      </c>
      <c r="R1022" s="2"/>
      <c r="S1022" s="322" t="str">
        <f>S1001</f>
        <v xml:space="preserve"> </v>
      </c>
      <c r="T1022" s="306"/>
      <c r="U1022" s="2">
        <f>ROUND(S1022*$C1022,0)</f>
        <v>0</v>
      </c>
      <c r="V1022" s="20"/>
      <c r="W1022" s="74"/>
      <c r="X1022" s="74"/>
      <c r="Y1022" s="74"/>
      <c r="Z1022" s="20"/>
      <c r="AA1022" s="20"/>
      <c r="AB1022" s="20"/>
      <c r="AC1022" s="20"/>
      <c r="AD1022" s="20"/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</row>
    <row r="1023" spans="1:42" hidden="1">
      <c r="A1023" s="294" t="s">
        <v>393</v>
      </c>
      <c r="B1023" s="1"/>
      <c r="C1023" s="304">
        <f>'Rate Design Work eff 10-14-16'!C1023</f>
        <v>162363.62068965501</v>
      </c>
      <c r="D1023" s="322">
        <f>'Rate Design Work eff 9-15-17'!D1023</f>
        <v>7.79</v>
      </c>
      <c r="E1023" s="306"/>
      <c r="F1023" s="2">
        <f>ROUND(D1023*C1023,0)</f>
        <v>1264813</v>
      </c>
      <c r="G1023" s="322">
        <f ca="1">G1002</f>
        <v>7.9799999999999995</v>
      </c>
      <c r="H1023" s="306"/>
      <c r="I1023" s="2">
        <f ca="1">ROUND(G1023*$C1023,0)</f>
        <v>1295662</v>
      </c>
      <c r="J1023" s="2"/>
      <c r="K1023" s="322" t="e">
        <f ca="1">K1002</f>
        <v>#DIV/0!</v>
      </c>
      <c r="L1023" s="306"/>
      <c r="M1023" s="2" t="e">
        <f ca="1">ROUND(K1023*$C1023,0)</f>
        <v>#DIV/0!</v>
      </c>
      <c r="N1023" s="2"/>
      <c r="O1023" s="322" t="e">
        <f ca="1">O1002</f>
        <v>#DIV/0!</v>
      </c>
      <c r="P1023" s="306"/>
      <c r="Q1023" s="2" t="e">
        <f ca="1">ROUND(O1023*$C1023,0)</f>
        <v>#DIV/0!</v>
      </c>
      <c r="R1023" s="2"/>
      <c r="S1023" s="322" t="e">
        <f ca="1">S1002</f>
        <v>#DIV/0!</v>
      </c>
      <c r="T1023" s="306"/>
      <c r="U1023" s="2" t="e">
        <f ca="1">ROUND(S1023*$C1023,0)</f>
        <v>#DIV/0!</v>
      </c>
      <c r="V1023" s="20"/>
      <c r="W1023" s="74"/>
      <c r="X1023" s="74"/>
      <c r="Y1023" s="74"/>
      <c r="Z1023" s="20"/>
      <c r="AA1023" s="20"/>
      <c r="AB1023" s="20"/>
      <c r="AC1023" s="20"/>
      <c r="AD1023" s="20"/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</row>
    <row r="1024" spans="1:42" hidden="1">
      <c r="A1024" s="308" t="s">
        <v>416</v>
      </c>
      <c r="B1024" s="1"/>
      <c r="C1024" s="304"/>
      <c r="D1024" s="322"/>
      <c r="E1024" s="306"/>
      <c r="F1024" s="2"/>
      <c r="G1024" s="322" t="s">
        <v>31</v>
      </c>
      <c r="H1024" s="306"/>
      <c r="I1024" s="2"/>
      <c r="J1024" s="2"/>
      <c r="K1024" s="322" t="s">
        <v>31</v>
      </c>
      <c r="L1024" s="306"/>
      <c r="M1024" s="2"/>
      <c r="N1024" s="2"/>
      <c r="O1024" s="322" t="s">
        <v>31</v>
      </c>
      <c r="P1024" s="306"/>
      <c r="Q1024" s="2"/>
      <c r="R1024" s="2"/>
      <c r="S1024" s="322" t="s">
        <v>31</v>
      </c>
      <c r="T1024" s="306"/>
      <c r="U1024" s="2"/>
      <c r="V1024" s="20"/>
      <c r="W1024" s="74"/>
      <c r="X1024" s="74"/>
      <c r="Y1024" s="74"/>
      <c r="Z1024" s="20"/>
      <c r="AA1024" s="20"/>
      <c r="AB1024" s="20"/>
      <c r="AC1024" s="20"/>
      <c r="AD1024" s="20"/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</row>
    <row r="1025" spans="1:44" hidden="1">
      <c r="A1025" s="308" t="s">
        <v>454</v>
      </c>
      <c r="B1025" s="1"/>
      <c r="C1025" s="304">
        <f>'Rate Design Work eff 10-14-16'!C1025</f>
        <v>69500087.893373474</v>
      </c>
      <c r="D1025" s="380">
        <f>'Rate Design Work eff 9-15-17'!D1025</f>
        <v>4.6879999999999997</v>
      </c>
      <c r="E1025" s="306" t="s">
        <v>364</v>
      </c>
      <c r="F1025" s="2">
        <f>ROUND(D1025/100*C1025,0)</f>
        <v>3258164</v>
      </c>
      <c r="G1025" s="380">
        <f ca="1">G1004</f>
        <v>4.798</v>
      </c>
      <c r="H1025" s="306" t="s">
        <v>364</v>
      </c>
      <c r="I1025" s="2">
        <f ca="1">ROUND(G1025/100*$C1025,0)</f>
        <v>3334614</v>
      </c>
      <c r="J1025" s="2"/>
      <c r="K1025" s="380" t="str">
        <f>K1004</f>
        <v xml:space="preserve"> </v>
      </c>
      <c r="L1025" s="306" t="s">
        <v>364</v>
      </c>
      <c r="M1025" s="2">
        <f>ROUND(K1025/100*$C1025,0)</f>
        <v>0</v>
      </c>
      <c r="N1025" s="2"/>
      <c r="O1025" s="380" t="e">
        <f ca="1">O1004</f>
        <v>#DIV/0!</v>
      </c>
      <c r="P1025" s="306" t="s">
        <v>364</v>
      </c>
      <c r="Q1025" s="2" t="e">
        <f ca="1">ROUND(O1025/100*$C1025,0)</f>
        <v>#DIV/0!</v>
      </c>
      <c r="R1025" s="2"/>
      <c r="S1025" s="380" t="e">
        <f ca="1">S1004</f>
        <v>#DIV/0!</v>
      </c>
      <c r="T1025" s="306" t="s">
        <v>364</v>
      </c>
      <c r="U1025" s="2" t="e">
        <f ca="1">ROUND(S1025/100*$C1025,0)</f>
        <v>#DIV/0!</v>
      </c>
      <c r="V1025" s="20"/>
      <c r="W1025" s="74"/>
      <c r="X1025" s="74"/>
      <c r="Y1025" s="74"/>
      <c r="Z1025" s="20"/>
      <c r="AA1025" s="20"/>
      <c r="AB1025" s="20"/>
      <c r="AC1025" s="20"/>
      <c r="AD1025" s="20"/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</row>
    <row r="1026" spans="1:44" hidden="1">
      <c r="A1026" s="308" t="s">
        <v>390</v>
      </c>
      <c r="B1026" s="1"/>
      <c r="C1026" s="304">
        <f>'Rate Design Work eff 10-14-16'!C1026</f>
        <v>14336.3939393939</v>
      </c>
      <c r="D1026" s="322">
        <f>'Rate Design Work eff 9-15-17'!D1026</f>
        <v>0.55000000000000004</v>
      </c>
      <c r="E1026" s="306"/>
      <c r="F1026" s="2">
        <f>ROUND(D1026*C1026,0)</f>
        <v>7885</v>
      </c>
      <c r="G1026" s="322">
        <f ca="1">G1005</f>
        <v>0.56000000000000005</v>
      </c>
      <c r="H1026" s="306"/>
      <c r="I1026" s="2">
        <f ca="1">ROUND(G1026*$C1026,0)</f>
        <v>8028</v>
      </c>
      <c r="J1026" s="2"/>
      <c r="K1026" s="322" t="str">
        <f>K1005</f>
        <v xml:space="preserve"> </v>
      </c>
      <c r="L1026" s="306"/>
      <c r="M1026" s="2">
        <f>ROUND(K1026*$C1026,0)</f>
        <v>0</v>
      </c>
      <c r="N1026" s="2"/>
      <c r="O1026" s="322" t="e">
        <f ca="1">O1005</f>
        <v>#DIV/0!</v>
      </c>
      <c r="P1026" s="306"/>
      <c r="Q1026" s="2" t="e">
        <f ca="1">ROUND(O1026*$C1026,0)</f>
        <v>#DIV/0!</v>
      </c>
      <c r="R1026" s="2"/>
      <c r="S1026" s="322" t="e">
        <f ca="1">S1005</f>
        <v>#DIV/0!</v>
      </c>
      <c r="T1026" s="306"/>
      <c r="U1026" s="2" t="e">
        <f ca="1">ROUND(S1026*$C1026,0)</f>
        <v>#DIV/0!</v>
      </c>
      <c r="V1026" s="20"/>
      <c r="W1026" s="74"/>
      <c r="X1026" s="74"/>
      <c r="Y1026" s="74"/>
      <c r="Z1026" s="20"/>
      <c r="AA1026" s="20"/>
      <c r="AB1026" s="20"/>
      <c r="AC1026" s="20"/>
      <c r="AD1026" s="20"/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</row>
    <row r="1027" spans="1:44" s="1118" customFormat="1" hidden="1">
      <c r="A1027" s="968" t="s">
        <v>891</v>
      </c>
      <c r="C1027" s="1122">
        <f>C1025</f>
        <v>69500087.893373474</v>
      </c>
      <c r="D1027" s="254">
        <f>'Rate Design Work eff 9-15-17'!D1027</f>
        <v>0</v>
      </c>
      <c r="E1027" s="1119"/>
      <c r="F1027" s="1123"/>
      <c r="G1027" s="1128">
        <f>G1006</f>
        <v>0</v>
      </c>
      <c r="H1027" s="1000" t="s">
        <v>364</v>
      </c>
      <c r="I1027" s="1123">
        <f>ROUND(G1027/100*$C1027,0)</f>
        <v>0</v>
      </c>
      <c r="J1027" s="1123"/>
      <c r="K1027" s="1128" t="str">
        <f>K1006</f>
        <v xml:space="preserve"> </v>
      </c>
      <c r="L1027" s="1000" t="s">
        <v>364</v>
      </c>
      <c r="M1027" s="1123">
        <f>ROUND(K1027/100*$C1027,0)</f>
        <v>0</v>
      </c>
      <c r="N1027" s="1123"/>
      <c r="O1027" s="1128" t="str">
        <f>O1006</f>
        <v xml:space="preserve"> </v>
      </c>
      <c r="P1027" s="1000" t="s">
        <v>364</v>
      </c>
      <c r="Q1027" s="1123">
        <f>ROUND(O1027/100*$C1027,0)</f>
        <v>0</v>
      </c>
      <c r="R1027" s="1123"/>
      <c r="S1027" s="1128">
        <f>S1006</f>
        <v>0</v>
      </c>
      <c r="T1027" s="1000" t="s">
        <v>364</v>
      </c>
      <c r="U1027" s="1123">
        <f>ROUND(S1027/100*$C1027,0)</f>
        <v>0</v>
      </c>
      <c r="W1027" s="784"/>
      <c r="Z1027" s="1125"/>
      <c r="AA1027" s="1125"/>
      <c r="AF1027" s="1119"/>
      <c r="AG1027" s="1119"/>
      <c r="AH1027" s="1119"/>
      <c r="AI1027" s="1119"/>
      <c r="AJ1027" s="1119"/>
      <c r="AK1027" s="1119"/>
      <c r="AL1027" s="1119"/>
      <c r="AM1027" s="1119"/>
      <c r="AN1027" s="1119"/>
      <c r="AO1027" s="1119"/>
      <c r="AP1027" s="1119"/>
      <c r="AR1027" s="1124"/>
    </row>
    <row r="1028" spans="1:44" hidden="1">
      <c r="A1028" s="1" t="s">
        <v>371</v>
      </c>
      <c r="B1028" s="1"/>
      <c r="C1028" s="304">
        <f>C1025</f>
        <v>69500087.893373474</v>
      </c>
      <c r="D1028" s="315"/>
      <c r="E1028" s="1"/>
      <c r="F1028" s="2">
        <f>SUM(F1018:F1026)</f>
        <v>4799442</v>
      </c>
      <c r="G1028" s="315"/>
      <c r="H1028" s="1"/>
      <c r="I1028" s="2">
        <f ca="1">SUM(I1018:I1027)</f>
        <v>4912521</v>
      </c>
      <c r="J1028" s="2"/>
      <c r="K1028" s="315"/>
      <c r="L1028" s="1"/>
      <c r="M1028" s="2" t="e">
        <f ca="1">SUM(M1018:M1027)</f>
        <v>#DIV/0!</v>
      </c>
      <c r="N1028" s="2"/>
      <c r="O1028" s="315"/>
      <c r="P1028" s="1"/>
      <c r="Q1028" s="2" t="e">
        <f ca="1">SUM(Q1018:Q1027)</f>
        <v>#DIV/0!</v>
      </c>
      <c r="R1028" s="2"/>
      <c r="S1028" s="315"/>
      <c r="T1028" s="1"/>
      <c r="U1028" s="2" t="e">
        <f ca="1">SUM(U1018:U1027)</f>
        <v>#DIV/0!</v>
      </c>
      <c r="V1028" s="20"/>
      <c r="W1028" s="74"/>
      <c r="X1028" s="74"/>
      <c r="Y1028" s="74"/>
      <c r="Z1028" s="20"/>
      <c r="AA1028" s="20"/>
      <c r="AB1028" s="20"/>
      <c r="AC1028" s="20"/>
      <c r="AD1028" s="20"/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</row>
    <row r="1029" spans="1:44" hidden="1">
      <c r="A1029" s="1" t="s">
        <v>353</v>
      </c>
      <c r="B1029" s="1"/>
      <c r="C1029" s="304">
        <f>C1028/($C$970+$C$1028)*$C$1065</f>
        <v>490842.11068979814</v>
      </c>
      <c r="D1029" s="294"/>
      <c r="E1029" s="294"/>
      <c r="F1029" s="326">
        <f>F1028/($F$970+$F$1028)*$F$1065</f>
        <v>37420.908455534263</v>
      </c>
      <c r="G1029" s="294"/>
      <c r="H1029" s="294"/>
      <c r="I1029" s="326">
        <f>F1029</f>
        <v>37420.908455534263</v>
      </c>
      <c r="J1029" s="307"/>
      <c r="K1029" s="294"/>
      <c r="L1029" s="294"/>
      <c r="M1029" s="326" t="e">
        <f>$I$1029*V1012/(V1012+$W$1012+$X$1012)</f>
        <v>#DIV/0!</v>
      </c>
      <c r="N1029" s="51"/>
      <c r="O1029" s="294"/>
      <c r="P1029" s="294"/>
      <c r="Q1029" s="326" t="e">
        <f>$I$1029*W1012/(V1012+$W$1012+$X$1012)</f>
        <v>#DIV/0!</v>
      </c>
      <c r="R1029" s="51"/>
      <c r="S1029" s="294"/>
      <c r="T1029" s="294"/>
      <c r="U1029" s="326" t="e">
        <f>$I$1029*X1012/(V1012+$W$1012+$X$1012)</f>
        <v>#DIV/0!</v>
      </c>
      <c r="V1029" s="429"/>
      <c r="W1029" s="272"/>
      <c r="X1029" s="74"/>
      <c r="Y1029" s="74"/>
      <c r="Z1029" s="20"/>
      <c r="AA1029" s="20"/>
      <c r="AB1029" s="20"/>
      <c r="AC1029" s="20"/>
      <c r="AD1029" s="20"/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</row>
    <row r="1030" spans="1:44" ht="16.5" hidden="1" thickBot="1">
      <c r="A1030" s="1" t="s">
        <v>372</v>
      </c>
      <c r="B1030" s="1"/>
      <c r="C1030" s="378">
        <f>SUM(C1028)+C1029</f>
        <v>69990930.004063278</v>
      </c>
      <c r="D1030" s="327"/>
      <c r="E1030" s="330"/>
      <c r="F1030" s="329">
        <f>F1028+F1029</f>
        <v>4836862.9084555339</v>
      </c>
      <c r="G1030" s="327"/>
      <c r="H1030" s="330"/>
      <c r="I1030" s="329">
        <f ca="1">I1028+I1029</f>
        <v>4949941.9084555339</v>
      </c>
      <c r="J1030" s="307"/>
      <c r="K1030" s="327"/>
      <c r="L1030" s="330"/>
      <c r="M1030" s="329" t="e">
        <f ca="1">M1028+M1029</f>
        <v>#DIV/0!</v>
      </c>
      <c r="N1030" s="329"/>
      <c r="O1030" s="327"/>
      <c r="P1030" s="330"/>
      <c r="Q1030" s="329" t="e">
        <f ca="1">Q1028+Q1029</f>
        <v>#DIV/0!</v>
      </c>
      <c r="R1030" s="329"/>
      <c r="S1030" s="327"/>
      <c r="T1030" s="330"/>
      <c r="U1030" s="329" t="e">
        <f ca="1">U1028+U1029</f>
        <v>#DIV/0!</v>
      </c>
      <c r="V1030" s="396" t="s">
        <v>31</v>
      </c>
      <c r="W1030" s="455"/>
      <c r="X1030" s="74"/>
      <c r="Y1030" s="74"/>
      <c r="Z1030" s="770" t="s">
        <v>31</v>
      </c>
      <c r="AA1030" s="20"/>
      <c r="AB1030" s="20"/>
      <c r="AC1030" s="20"/>
      <c r="AD1030" s="20"/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</row>
    <row r="1031" spans="1:44" ht="16.5" hidden="1" thickTop="1">
      <c r="A1031" s="1"/>
      <c r="B1031" s="1"/>
      <c r="C1031" s="21"/>
      <c r="D1031" s="322" t="s">
        <v>31</v>
      </c>
      <c r="E1031" s="1"/>
      <c r="F1031" s="2"/>
      <c r="G1031" s="338" t="s">
        <v>31</v>
      </c>
      <c r="H1031" s="1"/>
      <c r="I1031" s="2" t="s">
        <v>31</v>
      </c>
      <c r="J1031" s="2"/>
      <c r="K1031" s="338" t="s">
        <v>31</v>
      </c>
      <c r="L1031" s="1"/>
      <c r="M1031" s="2" t="s">
        <v>31</v>
      </c>
      <c r="N1031" s="2"/>
      <c r="O1031" s="338" t="s">
        <v>31</v>
      </c>
      <c r="P1031" s="1"/>
      <c r="Q1031" s="2" t="s">
        <v>31</v>
      </c>
      <c r="R1031" s="2"/>
      <c r="S1031" s="338" t="s">
        <v>31</v>
      </c>
      <c r="T1031" s="1"/>
      <c r="U1031" s="2" t="s">
        <v>31</v>
      </c>
      <c r="V1031" s="20"/>
      <c r="W1031" s="74"/>
      <c r="X1031" s="74"/>
      <c r="Y1031" s="74"/>
      <c r="Z1031" s="20"/>
      <c r="AA1031" s="20"/>
      <c r="AB1031" s="20"/>
      <c r="AC1031" s="20"/>
      <c r="AD1031" s="20"/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</row>
    <row r="1032" spans="1:44" hidden="1">
      <c r="A1032" s="278" t="s">
        <v>466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20"/>
      <c r="W1032" s="74"/>
      <c r="X1032" s="74"/>
      <c r="Y1032" s="74"/>
      <c r="Z1032" s="20"/>
      <c r="AA1032" s="20"/>
      <c r="AB1032" s="20"/>
      <c r="AC1032" s="20"/>
      <c r="AD1032" s="20"/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</row>
    <row r="1033" spans="1:44" hidden="1">
      <c r="A1033" s="294" t="s">
        <v>672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20"/>
      <c r="W1033" s="74"/>
      <c r="X1033" s="74"/>
      <c r="Y1033" s="74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</row>
    <row r="1034" spans="1:44" hidden="1">
      <c r="A1034" s="1" t="s">
        <v>31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20"/>
      <c r="W1034" s="74"/>
      <c r="X1034" s="74"/>
      <c r="Y1034" s="74"/>
      <c r="Z1034" s="20"/>
      <c r="AA1034" s="20"/>
      <c r="AB1034" s="20"/>
      <c r="AC1034" s="20"/>
      <c r="AD1034" s="20"/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</row>
    <row r="1035" spans="1:44" hidden="1">
      <c r="A1035" s="308" t="s">
        <v>383</v>
      </c>
      <c r="B1035" s="1"/>
      <c r="C1035" s="304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74"/>
      <c r="X1035" s="74"/>
      <c r="Y1035" s="74"/>
      <c r="Z1035" s="20"/>
      <c r="AA1035" s="20"/>
      <c r="AB1035" s="2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</row>
    <row r="1036" spans="1:44" hidden="1">
      <c r="A1036" s="308" t="s">
        <v>461</v>
      </c>
      <c r="B1036" s="1"/>
      <c r="C1036" s="304">
        <f>'Rate Design Work eff 10-14-16'!C1036</f>
        <v>23.7575757575758</v>
      </c>
      <c r="D1036" s="322">
        <f>'Rate Design Work eff 9-15-17'!D1036</f>
        <v>1443</v>
      </c>
      <c r="E1036" s="306"/>
      <c r="F1036" s="2">
        <f>ROUND(D1036*C1036,0)</f>
        <v>34282</v>
      </c>
      <c r="G1036" s="322">
        <f ca="1">G997</f>
        <v>1477</v>
      </c>
      <c r="H1036" s="306"/>
      <c r="I1036" s="2">
        <f ca="1">ROUND(G1036*$C1036,0)</f>
        <v>35090</v>
      </c>
      <c r="J1036" s="2"/>
      <c r="K1036" s="322">
        <f ca="1">K997</f>
        <v>1443</v>
      </c>
      <c r="L1036" s="306"/>
      <c r="M1036" s="2">
        <f ca="1">ROUND(K1036*$C1036,0)</f>
        <v>34282</v>
      </c>
      <c r="N1036" s="2"/>
      <c r="O1036" s="322" t="str">
        <f>O997</f>
        <v xml:space="preserve"> </v>
      </c>
      <c r="P1036" s="306"/>
      <c r="Q1036" s="2">
        <f>ROUND(O1036*$C1036,0)</f>
        <v>0</v>
      </c>
      <c r="R1036" s="2"/>
      <c r="S1036" s="322" t="str">
        <f>S997</f>
        <v xml:space="preserve"> </v>
      </c>
      <c r="T1036" s="306"/>
      <c r="U1036" s="2">
        <f>ROUND(S1036*$C1036,0)</f>
        <v>0</v>
      </c>
      <c r="V1036" s="20"/>
      <c r="W1036" s="74"/>
      <c r="X1036" s="74"/>
      <c r="Y1036" s="74"/>
      <c r="Z1036" s="20"/>
      <c r="AA1036" s="20"/>
      <c r="AB1036" s="20"/>
      <c r="AC1036" s="20"/>
      <c r="AD1036" s="20"/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</row>
    <row r="1037" spans="1:44" hidden="1">
      <c r="A1037" s="308" t="s">
        <v>462</v>
      </c>
      <c r="B1037" s="1"/>
      <c r="C1037" s="304">
        <f>'Rate Design Work eff 10-14-16'!C1037</f>
        <v>0</v>
      </c>
      <c r="D1037" s="322">
        <f>'Rate Design Work eff 9-15-17'!D1037</f>
        <v>1736</v>
      </c>
      <c r="E1037" s="309"/>
      <c r="F1037" s="2">
        <f>ROUND(D1037*C1037,0)</f>
        <v>0</v>
      </c>
      <c r="G1037" s="322">
        <f ca="1">G998</f>
        <v>1777</v>
      </c>
      <c r="H1037" s="309"/>
      <c r="I1037" s="2">
        <f ca="1">ROUND(G1037*$C1037,0)</f>
        <v>0</v>
      </c>
      <c r="J1037" s="2"/>
      <c r="K1037" s="322">
        <f ca="1">K998</f>
        <v>1736</v>
      </c>
      <c r="L1037" s="309"/>
      <c r="M1037" s="2">
        <f ca="1">ROUND(K1037*$C1037,0)</f>
        <v>0</v>
      </c>
      <c r="N1037" s="2"/>
      <c r="O1037" s="322" t="str">
        <f>O998</f>
        <v xml:space="preserve"> </v>
      </c>
      <c r="P1037" s="309"/>
      <c r="Q1037" s="2">
        <f>ROUND(O1037*$C1037,0)</f>
        <v>0</v>
      </c>
      <c r="R1037" s="2"/>
      <c r="S1037" s="322" t="str">
        <f>S998</f>
        <v xml:space="preserve"> </v>
      </c>
      <c r="T1037" s="309"/>
      <c r="U1037" s="2">
        <f>ROUND(S1037*$C1037,0)</f>
        <v>0</v>
      </c>
      <c r="V1037" s="20"/>
      <c r="W1037" s="74"/>
      <c r="X1037" s="74"/>
      <c r="Y1037" s="74"/>
      <c r="Z1037" s="20"/>
      <c r="AA1037" s="20"/>
      <c r="AB1037" s="20"/>
      <c r="AC1037" s="20"/>
      <c r="AD1037" s="20"/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</row>
    <row r="1038" spans="1:44" hidden="1">
      <c r="A1038" s="308" t="s">
        <v>384</v>
      </c>
      <c r="B1038" s="1"/>
      <c r="C1038" s="304">
        <f>SUM(C1036:C1037)</f>
        <v>23.7575757575758</v>
      </c>
      <c r="D1038" s="322"/>
      <c r="E1038" s="306"/>
      <c r="F1038" s="2" t="s">
        <v>31</v>
      </c>
      <c r="G1038" s="322" t="s">
        <v>31</v>
      </c>
      <c r="H1038" s="306"/>
      <c r="I1038" s="2" t="s">
        <v>31</v>
      </c>
      <c r="J1038" s="2"/>
      <c r="K1038" s="322" t="s">
        <v>31</v>
      </c>
      <c r="L1038" s="306"/>
      <c r="M1038" s="2" t="s">
        <v>31</v>
      </c>
      <c r="N1038" s="2"/>
      <c r="O1038" s="322" t="s">
        <v>31</v>
      </c>
      <c r="P1038" s="306"/>
      <c r="Q1038" s="2" t="s">
        <v>31</v>
      </c>
      <c r="R1038" s="2"/>
      <c r="S1038" s="322" t="s">
        <v>31</v>
      </c>
      <c r="T1038" s="306"/>
      <c r="U1038" s="2" t="s">
        <v>31</v>
      </c>
      <c r="V1038" s="20"/>
      <c r="W1038" s="74"/>
      <c r="X1038" s="74"/>
      <c r="Y1038" s="74"/>
      <c r="Z1038" s="20"/>
      <c r="AA1038" s="20"/>
      <c r="AB1038" s="20"/>
      <c r="AC1038" s="20"/>
      <c r="AD1038" s="20"/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</row>
    <row r="1039" spans="1:44" hidden="1">
      <c r="A1039" s="308" t="s">
        <v>463</v>
      </c>
      <c r="B1039" s="1"/>
      <c r="C1039" s="304">
        <f>'Rate Design Work eff 10-14-16'!C1039</f>
        <v>29539</v>
      </c>
      <c r="D1039" s="322">
        <f>'Rate Design Work eff 9-15-17'!D1039</f>
        <v>0.56999999999999995</v>
      </c>
      <c r="E1039" s="306"/>
      <c r="F1039" s="2">
        <f>ROUND(D1039*C1039,0)</f>
        <v>16837</v>
      </c>
      <c r="G1039" s="322">
        <f ca="1">G1000</f>
        <v>0.57999999999999996</v>
      </c>
      <c r="H1039" s="306"/>
      <c r="I1039" s="2">
        <f ca="1">ROUND(G1039*$C1039,0)</f>
        <v>17133</v>
      </c>
      <c r="J1039" s="2"/>
      <c r="K1039" s="322">
        <f ca="1">K1000</f>
        <v>0.56999999999999995</v>
      </c>
      <c r="L1039" s="306"/>
      <c r="M1039" s="2">
        <f ca="1">ROUND(K1039*$C1039,0)</f>
        <v>16837</v>
      </c>
      <c r="N1039" s="2"/>
      <c r="O1039" s="322" t="str">
        <f>O1000</f>
        <v xml:space="preserve"> </v>
      </c>
      <c r="P1039" s="306"/>
      <c r="Q1039" s="2">
        <f>ROUND(O1039*$C1039,0)</f>
        <v>0</v>
      </c>
      <c r="R1039" s="2"/>
      <c r="S1039" s="322" t="str">
        <f>S1000</f>
        <v xml:space="preserve"> </v>
      </c>
      <c r="T1039" s="306"/>
      <c r="U1039" s="2">
        <f>ROUND(S1039*$C1039,0)</f>
        <v>0</v>
      </c>
      <c r="V1039" s="7" t="s">
        <v>31</v>
      </c>
      <c r="W1039" s="74"/>
      <c r="X1039" s="74" t="s">
        <v>31</v>
      </c>
      <c r="Y1039" s="74"/>
      <c r="Z1039" s="20"/>
      <c r="AA1039" s="20"/>
      <c r="AB1039" s="20"/>
      <c r="AC1039" s="20"/>
      <c r="AD1039" s="20"/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</row>
    <row r="1040" spans="1:44" hidden="1">
      <c r="A1040" s="308" t="s">
        <v>464</v>
      </c>
      <c r="B1040" s="1"/>
      <c r="C1040" s="304">
        <f>'Rate Design Work eff 10-14-16'!C1040</f>
        <v>0</v>
      </c>
      <c r="D1040" s="322">
        <f>'Rate Design Work eff 9-15-17'!D1040</f>
        <v>0.46</v>
      </c>
      <c r="E1040" s="306"/>
      <c r="F1040" s="2">
        <f>ROUND(D1040*C1040,0)</f>
        <v>0</v>
      </c>
      <c r="G1040" s="322">
        <f ca="1">G1001</f>
        <v>0.47</v>
      </c>
      <c r="H1040" s="306"/>
      <c r="I1040" s="2">
        <f ca="1">ROUND(G1040*$C1040,0)</f>
        <v>0</v>
      </c>
      <c r="J1040" s="2"/>
      <c r="K1040" s="322">
        <f ca="1">K1001</f>
        <v>0.46</v>
      </c>
      <c r="L1040" s="306"/>
      <c r="M1040" s="2">
        <f ca="1">ROUND(K1040*$C1040,0)</f>
        <v>0</v>
      </c>
      <c r="N1040" s="2"/>
      <c r="O1040" s="322" t="str">
        <f>O1001</f>
        <v xml:space="preserve"> </v>
      </c>
      <c r="P1040" s="306"/>
      <c r="Q1040" s="2">
        <f>ROUND(O1040*$C1040,0)</f>
        <v>0</v>
      </c>
      <c r="R1040" s="2"/>
      <c r="S1040" s="322" t="str">
        <f>S1001</f>
        <v xml:space="preserve"> </v>
      </c>
      <c r="T1040" s="306"/>
      <c r="U1040" s="2">
        <f>ROUND(S1040*$C1040,0)</f>
        <v>0</v>
      </c>
      <c r="V1040" s="20"/>
      <c r="W1040" s="74"/>
      <c r="X1040" s="74"/>
      <c r="Y1040" s="74"/>
      <c r="Z1040" s="20"/>
      <c r="AA1040" s="20"/>
      <c r="AB1040" s="20"/>
      <c r="AC1040" s="20"/>
      <c r="AD1040" s="20"/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</row>
    <row r="1041" spans="1:44" hidden="1">
      <c r="A1041" s="294" t="s">
        <v>393</v>
      </c>
      <c r="B1041" s="1"/>
      <c r="C1041" s="304">
        <f>'Rate Design Work eff 10-14-16'!C1041</f>
        <v>24659</v>
      </c>
      <c r="D1041" s="322">
        <f>'Rate Design Work eff 9-15-17'!D1041</f>
        <v>7.79</v>
      </c>
      <c r="E1041" s="306"/>
      <c r="F1041" s="2">
        <f>ROUND(D1041*C1041,0)</f>
        <v>192094</v>
      </c>
      <c r="G1041" s="322">
        <f ca="1">G1002</f>
        <v>7.9799999999999995</v>
      </c>
      <c r="H1041" s="306"/>
      <c r="I1041" s="2">
        <f ca="1">ROUND(G1041*$C1041,0)</f>
        <v>196779</v>
      </c>
      <c r="J1041" s="2"/>
      <c r="K1041" s="322" t="e">
        <f ca="1">K1002</f>
        <v>#DIV/0!</v>
      </c>
      <c r="L1041" s="306"/>
      <c r="M1041" s="2" t="e">
        <f ca="1">ROUND(K1041*$C1041,0)</f>
        <v>#DIV/0!</v>
      </c>
      <c r="N1041" s="2"/>
      <c r="O1041" s="322" t="e">
        <f ca="1">O1002</f>
        <v>#DIV/0!</v>
      </c>
      <c r="P1041" s="306"/>
      <c r="Q1041" s="2" t="e">
        <f ca="1">ROUND(O1041*$C1041,0)</f>
        <v>#DIV/0!</v>
      </c>
      <c r="R1041" s="2"/>
      <c r="S1041" s="322" t="e">
        <f ca="1">S1002</f>
        <v>#DIV/0!</v>
      </c>
      <c r="T1041" s="306"/>
      <c r="U1041" s="2" t="e">
        <f ca="1">ROUND(S1041*$C1041,0)</f>
        <v>#DIV/0!</v>
      </c>
      <c r="V1041" s="20"/>
      <c r="W1041" s="74"/>
      <c r="X1041" s="74"/>
      <c r="Y1041" s="74"/>
      <c r="Z1041" s="20"/>
      <c r="AA1041" s="20"/>
      <c r="AB1041" s="20"/>
      <c r="AC1041" s="20"/>
      <c r="AD1041" s="20"/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</row>
    <row r="1042" spans="1:44" hidden="1">
      <c r="A1042" s="308" t="s">
        <v>416</v>
      </c>
      <c r="B1042" s="1"/>
      <c r="C1042" s="304"/>
      <c r="D1042" s="322"/>
      <c r="E1042" s="306"/>
      <c r="F1042" s="2"/>
      <c r="G1042" s="322" t="s">
        <v>31</v>
      </c>
      <c r="H1042" s="306"/>
      <c r="I1042" s="2"/>
      <c r="J1042" s="2"/>
      <c r="K1042" s="322" t="s">
        <v>31</v>
      </c>
      <c r="L1042" s="306"/>
      <c r="M1042" s="2"/>
      <c r="N1042" s="2"/>
      <c r="O1042" s="322" t="s">
        <v>31</v>
      </c>
      <c r="P1042" s="306"/>
      <c r="Q1042" s="2"/>
      <c r="R1042" s="2"/>
      <c r="S1042" s="322" t="s">
        <v>31</v>
      </c>
      <c r="T1042" s="306"/>
      <c r="U1042" s="2"/>
      <c r="V1042" s="20"/>
      <c r="W1042" s="74"/>
      <c r="X1042" s="74"/>
      <c r="Y1042" s="74"/>
      <c r="Z1042" s="20"/>
      <c r="AA1042" s="20"/>
      <c r="AB1042" s="20"/>
      <c r="AC1042" s="20"/>
      <c r="AD1042" s="20"/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</row>
    <row r="1043" spans="1:44" hidden="1">
      <c r="A1043" s="308" t="s">
        <v>454</v>
      </c>
      <c r="B1043" s="1"/>
      <c r="C1043" s="304">
        <f>'Rate Design Work eff 10-14-16'!C1043</f>
        <v>6796800</v>
      </c>
      <c r="D1043" s="380">
        <f>'Rate Design Work eff 9-15-17'!D1043</f>
        <v>4.6879999999999997</v>
      </c>
      <c r="E1043" s="306" t="s">
        <v>364</v>
      </c>
      <c r="F1043" s="2">
        <f>ROUND(D1043/100*C1043,0)</f>
        <v>318634</v>
      </c>
      <c r="G1043" s="380">
        <f ca="1">G1004</f>
        <v>4.798</v>
      </c>
      <c r="H1043" s="306" t="s">
        <v>364</v>
      </c>
      <c r="I1043" s="2">
        <f ca="1">ROUND(G1043/100*$C1043,0)</f>
        <v>326110</v>
      </c>
      <c r="J1043" s="2"/>
      <c r="K1043" s="380" t="str">
        <f>K1004</f>
        <v xml:space="preserve"> </v>
      </c>
      <c r="L1043" s="306" t="s">
        <v>364</v>
      </c>
      <c r="M1043" s="2">
        <f>ROUND(K1043/100*$C1043,0)</f>
        <v>0</v>
      </c>
      <c r="N1043" s="2"/>
      <c r="O1043" s="380" t="e">
        <f ca="1">O1004</f>
        <v>#DIV/0!</v>
      </c>
      <c r="P1043" s="306" t="s">
        <v>364</v>
      </c>
      <c r="Q1043" s="2" t="e">
        <f ca="1">ROUND(O1043/100*$C1043,0)</f>
        <v>#DIV/0!</v>
      </c>
      <c r="R1043" s="2"/>
      <c r="S1043" s="380" t="e">
        <f ca="1">S1004</f>
        <v>#DIV/0!</v>
      </c>
      <c r="T1043" s="306" t="s">
        <v>364</v>
      </c>
      <c r="U1043" s="2" t="e">
        <f ca="1">ROUND(S1043/100*$C1043,0)</f>
        <v>#DIV/0!</v>
      </c>
      <c r="V1043" s="20"/>
      <c r="W1043" s="74"/>
      <c r="X1043" s="74"/>
      <c r="Y1043" s="74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</row>
    <row r="1044" spans="1:44" hidden="1">
      <c r="A1044" s="308" t="s">
        <v>390</v>
      </c>
      <c r="B1044" s="1"/>
      <c r="C1044" s="304">
        <f>'Rate Design Work eff 10-14-16'!C1044</f>
        <v>1651</v>
      </c>
      <c r="D1044" s="322">
        <f>'Rate Design Work eff 9-15-17'!D1044</f>
        <v>0.55000000000000004</v>
      </c>
      <c r="E1044" s="306"/>
      <c r="F1044" s="2">
        <f>ROUND(D1044*C1044,0)</f>
        <v>908</v>
      </c>
      <c r="G1044" s="322">
        <f ca="1">G1005</f>
        <v>0.56000000000000005</v>
      </c>
      <c r="H1044" s="306"/>
      <c r="I1044" s="2">
        <f ca="1">ROUND(G1044*$C1044,0)</f>
        <v>925</v>
      </c>
      <c r="J1044" s="2"/>
      <c r="K1044" s="322" t="str">
        <f>K1005</f>
        <v xml:space="preserve"> </v>
      </c>
      <c r="L1044" s="306"/>
      <c r="M1044" s="2">
        <f>ROUND(K1044*$C1044,0)</f>
        <v>0</v>
      </c>
      <c r="N1044" s="2"/>
      <c r="O1044" s="322" t="e">
        <f ca="1">O1005</f>
        <v>#DIV/0!</v>
      </c>
      <c r="P1044" s="306"/>
      <c r="Q1044" s="2" t="e">
        <f ca="1">ROUND(O1044*$C1044,0)</f>
        <v>#DIV/0!</v>
      </c>
      <c r="R1044" s="2"/>
      <c r="S1044" s="322" t="e">
        <f ca="1">S1005</f>
        <v>#DIV/0!</v>
      </c>
      <c r="T1044" s="306"/>
      <c r="U1044" s="2" t="e">
        <f ca="1">ROUND(S1044*$C1044,0)</f>
        <v>#DIV/0!</v>
      </c>
      <c r="V1044" s="20"/>
      <c r="W1044" s="74"/>
      <c r="X1044" s="74"/>
      <c r="Y1044" s="74"/>
      <c r="Z1044" s="20"/>
      <c r="AA1044" s="20"/>
      <c r="AB1044" s="20"/>
      <c r="AC1044" s="20"/>
      <c r="AD1044" s="20"/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</row>
    <row r="1045" spans="1:44" s="1118" customFormat="1" hidden="1">
      <c r="A1045" s="968" t="s">
        <v>891</v>
      </c>
      <c r="C1045" s="1122">
        <f>C1043</f>
        <v>6796800</v>
      </c>
      <c r="D1045" s="254">
        <f>'Rate Design Work eff 9-15-17'!D1045</f>
        <v>0</v>
      </c>
      <c r="E1045" s="1119"/>
      <c r="F1045" s="1123"/>
      <c r="G1045" s="1128">
        <f>G1006</f>
        <v>0</v>
      </c>
      <c r="H1045" s="1000" t="s">
        <v>364</v>
      </c>
      <c r="I1045" s="1123">
        <f>ROUND(G1045/100*$C1045,0)</f>
        <v>0</v>
      </c>
      <c r="J1045" s="1123"/>
      <c r="K1045" s="1128" t="str">
        <f>K1006</f>
        <v xml:space="preserve"> </v>
      </c>
      <c r="L1045" s="1000" t="s">
        <v>364</v>
      </c>
      <c r="M1045" s="1123">
        <f>ROUND(K1045/100*$C1045,0)</f>
        <v>0</v>
      </c>
      <c r="N1045" s="1123"/>
      <c r="O1045" s="1128" t="str">
        <f>O1006</f>
        <v xml:space="preserve"> </v>
      </c>
      <c r="P1045" s="1000" t="s">
        <v>364</v>
      </c>
      <c r="Q1045" s="1123">
        <f>ROUND(O1045/100*$C1045,0)</f>
        <v>0</v>
      </c>
      <c r="R1045" s="1123"/>
      <c r="S1045" s="1128">
        <f>S1006</f>
        <v>0</v>
      </c>
      <c r="T1045" s="1000" t="s">
        <v>364</v>
      </c>
      <c r="U1045" s="1123">
        <f>ROUND(S1045/100*$C1045,0)</f>
        <v>0</v>
      </c>
      <c r="W1045" s="784"/>
      <c r="Z1045" s="1125"/>
      <c r="AA1045" s="1125"/>
      <c r="AF1045" s="1119"/>
      <c r="AG1045" s="1119"/>
      <c r="AH1045" s="1119"/>
      <c r="AI1045" s="1119"/>
      <c r="AJ1045" s="1119"/>
      <c r="AK1045" s="1119"/>
      <c r="AL1045" s="1119"/>
      <c r="AM1045" s="1119"/>
      <c r="AN1045" s="1119"/>
      <c r="AO1045" s="1119"/>
      <c r="AP1045" s="1119"/>
      <c r="AR1045" s="1124"/>
    </row>
    <row r="1046" spans="1:44" hidden="1">
      <c r="A1046" s="1" t="s">
        <v>371</v>
      </c>
      <c r="B1046" s="1"/>
      <c r="C1046" s="304">
        <f>C1043</f>
        <v>6796800</v>
      </c>
      <c r="D1046" s="315"/>
      <c r="E1046" s="1"/>
      <c r="F1046" s="2">
        <f>SUM(F1036:F1044)</f>
        <v>562755</v>
      </c>
      <c r="G1046" s="315"/>
      <c r="H1046" s="1"/>
      <c r="I1046" s="2">
        <f ca="1">SUM(I1036:I1045)</f>
        <v>576037</v>
      </c>
      <c r="J1046" s="2"/>
      <c r="K1046" s="315"/>
      <c r="L1046" s="1"/>
      <c r="M1046" s="2" t="e">
        <f ca="1">SUM(M1036:M1045)</f>
        <v>#DIV/0!</v>
      </c>
      <c r="N1046" s="2"/>
      <c r="O1046" s="315"/>
      <c r="P1046" s="1"/>
      <c r="Q1046" s="2" t="e">
        <f ca="1">SUM(Q1036:Q1045)</f>
        <v>#DIV/0!</v>
      </c>
      <c r="R1046" s="2"/>
      <c r="S1046" s="315"/>
      <c r="T1046" s="1"/>
      <c r="U1046" s="2" t="e">
        <f ca="1">SUM(U1036:U1045)</f>
        <v>#DIV/0!</v>
      </c>
      <c r="V1046" s="20"/>
      <c r="W1046" s="74"/>
      <c r="X1046" s="74"/>
      <c r="Y1046" s="74"/>
      <c r="Z1046" s="20"/>
      <c r="AA1046" s="20"/>
      <c r="AB1046" s="20"/>
      <c r="AC1046" s="20"/>
      <c r="AD1046" s="20"/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</row>
    <row r="1047" spans="1:44" hidden="1">
      <c r="A1047" s="1" t="s">
        <v>353</v>
      </c>
      <c r="B1047" s="1"/>
      <c r="C1047" s="304">
        <f ca="1">C1046/($C$988+$C$1046)*$C$1084</f>
        <v>21132.640958128846</v>
      </c>
      <c r="D1047" s="294"/>
      <c r="E1047" s="294"/>
      <c r="F1047" s="326">
        <f ca="1">F1046/($F$988+$F$1046)*$F$1084</f>
        <v>1750.1737111409554</v>
      </c>
      <c r="G1047" s="294"/>
      <c r="H1047" s="294"/>
      <c r="I1047" s="326">
        <f ca="1">F1047</f>
        <v>1750.1737111409554</v>
      </c>
      <c r="J1047" s="307"/>
      <c r="K1047" s="294"/>
      <c r="L1047" s="294"/>
      <c r="M1047" s="326" t="e">
        <f ca="1">$I$1047*V1012/(V1012+$W$1012+$X$1012)</f>
        <v>#DIV/0!</v>
      </c>
      <c r="N1047" s="51"/>
      <c r="O1047" s="294"/>
      <c r="P1047" s="294"/>
      <c r="Q1047" s="326" t="e">
        <f ca="1">$I$1047*W1012/(V1012+$W$1012+$X$1012)</f>
        <v>#DIV/0!</v>
      </c>
      <c r="R1047" s="51"/>
      <c r="S1047" s="294"/>
      <c r="T1047" s="294"/>
      <c r="U1047" s="326" t="e">
        <f ca="1">$I$1047*X1012/(V1012+$W$1012+$X$1012)</f>
        <v>#DIV/0!</v>
      </c>
      <c r="V1047" s="429"/>
      <c r="W1047" s="272"/>
      <c r="X1047" s="74"/>
      <c r="Y1047" s="74"/>
      <c r="Z1047" s="20"/>
      <c r="AA1047" s="20"/>
      <c r="AB1047" s="20"/>
      <c r="AC1047" s="20"/>
      <c r="AD1047" s="20"/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</row>
    <row r="1048" spans="1:44" ht="16.5" hidden="1" thickBot="1">
      <c r="A1048" s="1" t="s">
        <v>372</v>
      </c>
      <c r="B1048" s="1"/>
      <c r="C1048" s="378">
        <f ca="1">SUM(C1046)+C1047</f>
        <v>6817932.6409581285</v>
      </c>
      <c r="D1048" s="327"/>
      <c r="E1048" s="330"/>
      <c r="F1048" s="329">
        <f ca="1">F1046+F1047</f>
        <v>564505.17371114099</v>
      </c>
      <c r="G1048" s="327"/>
      <c r="H1048" s="330"/>
      <c r="I1048" s="329">
        <f ca="1">I1046+I1047</f>
        <v>577787.17371114099</v>
      </c>
      <c r="J1048" s="307"/>
      <c r="K1048" s="327"/>
      <c r="L1048" s="330"/>
      <c r="M1048" s="329" t="e">
        <f ca="1">M1046+M1047</f>
        <v>#DIV/0!</v>
      </c>
      <c r="N1048" s="329"/>
      <c r="O1048" s="327"/>
      <c r="P1048" s="330"/>
      <c r="Q1048" s="329" t="e">
        <f ca="1">Q1046+Q1047</f>
        <v>#DIV/0!</v>
      </c>
      <c r="R1048" s="329"/>
      <c r="S1048" s="327"/>
      <c r="T1048" s="330"/>
      <c r="U1048" s="329" t="e">
        <f ca="1">U1046+U1047</f>
        <v>#DIV/0!</v>
      </c>
      <c r="V1048" s="396" t="s">
        <v>31</v>
      </c>
      <c r="W1048" s="455"/>
      <c r="X1048" s="74"/>
      <c r="Y1048" s="74"/>
      <c r="Z1048" s="770" t="s">
        <v>31</v>
      </c>
      <c r="AA1048" s="20"/>
      <c r="AB1048" s="20"/>
      <c r="AC1048" s="20"/>
      <c r="AD1048" s="20"/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</row>
    <row r="1049" spans="1:44" ht="16.5" hidden="1" thickTop="1">
      <c r="A1049" s="1"/>
      <c r="B1049" s="1"/>
      <c r="C1049" s="21"/>
      <c r="D1049" s="322" t="s">
        <v>31</v>
      </c>
      <c r="E1049" s="1"/>
      <c r="F1049" s="2"/>
      <c r="G1049" s="338" t="s">
        <v>31</v>
      </c>
      <c r="H1049" s="1"/>
      <c r="I1049" s="2" t="s">
        <v>31</v>
      </c>
      <c r="J1049" s="2"/>
      <c r="K1049" s="338" t="s">
        <v>31</v>
      </c>
      <c r="L1049" s="1"/>
      <c r="M1049" s="2" t="s">
        <v>31</v>
      </c>
      <c r="N1049" s="2"/>
      <c r="O1049" s="338" t="s">
        <v>31</v>
      </c>
      <c r="P1049" s="1"/>
      <c r="Q1049" s="2" t="s">
        <v>31</v>
      </c>
      <c r="R1049" s="2"/>
      <c r="S1049" s="338" t="s">
        <v>31</v>
      </c>
      <c r="T1049" s="1"/>
      <c r="U1049" s="2" t="s">
        <v>31</v>
      </c>
      <c r="V1049" s="20"/>
      <c r="W1049" s="74"/>
      <c r="X1049" s="74"/>
      <c r="Y1049" s="74"/>
      <c r="Z1049" s="20"/>
      <c r="AA1049" s="20"/>
      <c r="AB1049" s="20"/>
      <c r="AC1049" s="20"/>
      <c r="AD1049" s="20"/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</row>
    <row r="1050" spans="1:44" hidden="1">
      <c r="A1050" s="278" t="s">
        <v>466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20"/>
      <c r="W1050" s="74"/>
      <c r="X1050" s="74"/>
      <c r="Y1050" s="74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</row>
    <row r="1051" spans="1:44" hidden="1">
      <c r="A1051" s="294" t="s">
        <v>678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20"/>
      <c r="W1051" s="74"/>
      <c r="X1051" s="74"/>
      <c r="Y1051" s="74"/>
      <c r="Z1051" s="20"/>
      <c r="AA1051" s="20"/>
      <c r="AB1051" s="2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</row>
    <row r="1052" spans="1:44" hidden="1">
      <c r="A1052" s="308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20"/>
      <c r="W1052" s="74"/>
      <c r="X1052" s="74"/>
      <c r="Y1052" s="74"/>
      <c r="Z1052" s="20"/>
      <c r="AA1052" s="20"/>
      <c r="AB1052" s="20"/>
      <c r="AC1052" s="20"/>
      <c r="AD1052" s="20"/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</row>
    <row r="1053" spans="1:44" hidden="1">
      <c r="A1053" s="308" t="s">
        <v>383</v>
      </c>
      <c r="B1053" s="1"/>
      <c r="C1053" s="304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20"/>
      <c r="W1053" s="74"/>
      <c r="X1053" s="74"/>
      <c r="Y1053" s="74"/>
      <c r="Z1053" s="20"/>
      <c r="AA1053" s="20"/>
      <c r="AB1053" s="20"/>
      <c r="AC1053" s="20"/>
      <c r="AD1053" s="20"/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</row>
    <row r="1054" spans="1:44" hidden="1">
      <c r="A1054" s="308" t="s">
        <v>461</v>
      </c>
      <c r="B1054" s="1"/>
      <c r="C1054" s="304">
        <f t="shared" ref="C1054:C1059" si="150">C1018+C960</f>
        <v>425.27272727272759</v>
      </c>
      <c r="D1054" s="322"/>
      <c r="E1054" s="306"/>
      <c r="F1054" s="2">
        <f>F1018+F960</f>
        <v>603470</v>
      </c>
      <c r="G1054" s="322"/>
      <c r="H1054" s="306"/>
      <c r="I1054" s="2">
        <f ca="1">I1018+I960</f>
        <v>616973</v>
      </c>
      <c r="J1054" s="2"/>
      <c r="K1054" s="322"/>
      <c r="L1054" s="306"/>
      <c r="M1054" s="2">
        <f ca="1">M1018+M960</f>
        <v>603470</v>
      </c>
      <c r="N1054" s="2"/>
      <c r="O1054" s="322"/>
      <c r="P1054" s="306"/>
      <c r="Q1054" s="2">
        <f>Q1018+Q960</f>
        <v>0</v>
      </c>
      <c r="R1054" s="2"/>
      <c r="S1054" s="322"/>
      <c r="T1054" s="306"/>
      <c r="U1054" s="2">
        <f>U1018+U960</f>
        <v>0</v>
      </c>
      <c r="V1054" s="20"/>
      <c r="W1054" s="74"/>
      <c r="X1054" s="74"/>
      <c r="Y1054" s="74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</row>
    <row r="1055" spans="1:44" hidden="1">
      <c r="A1055" s="308" t="s">
        <v>462</v>
      </c>
      <c r="B1055" s="1"/>
      <c r="C1055" s="304">
        <f t="shared" si="150"/>
        <v>0</v>
      </c>
      <c r="D1055" s="322"/>
      <c r="E1055" s="309"/>
      <c r="F1055" s="2">
        <f>F1019+F961</f>
        <v>0</v>
      </c>
      <c r="G1055" s="322"/>
      <c r="H1055" s="309"/>
      <c r="I1055" s="2">
        <f ca="1">I1019+I961</f>
        <v>0</v>
      </c>
      <c r="J1055" s="2"/>
      <c r="K1055" s="322"/>
      <c r="L1055" s="309"/>
      <c r="M1055" s="2">
        <f ca="1">M1019+M961</f>
        <v>0</v>
      </c>
      <c r="N1055" s="2"/>
      <c r="O1055" s="322"/>
      <c r="P1055" s="309"/>
      <c r="Q1055" s="2">
        <f>Q1019+Q961</f>
        <v>0</v>
      </c>
      <c r="R1055" s="2"/>
      <c r="S1055" s="322"/>
      <c r="T1055" s="309"/>
      <c r="U1055" s="2">
        <f>U1019+U961</f>
        <v>0</v>
      </c>
      <c r="V1055" s="20"/>
      <c r="W1055" s="74"/>
      <c r="X1055" s="74"/>
      <c r="Y1055" s="74"/>
      <c r="Z1055" s="20"/>
      <c r="AA1055" s="20"/>
      <c r="AB1055" s="20"/>
      <c r="AC1055" s="20"/>
      <c r="AD1055" s="20"/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</row>
    <row r="1056" spans="1:44" hidden="1">
      <c r="A1056" s="308" t="s">
        <v>384</v>
      </c>
      <c r="B1056" s="1"/>
      <c r="C1056" s="304">
        <f t="shared" si="150"/>
        <v>425.27272727272759</v>
      </c>
      <c r="D1056" s="322"/>
      <c r="E1056" s="306"/>
      <c r="F1056" s="2" t="s">
        <v>31</v>
      </c>
      <c r="G1056" s="322"/>
      <c r="H1056" s="306"/>
      <c r="I1056" s="2" t="s">
        <v>31</v>
      </c>
      <c r="J1056" s="2"/>
      <c r="K1056" s="322"/>
      <c r="L1056" s="306"/>
      <c r="M1056" s="2" t="s">
        <v>31</v>
      </c>
      <c r="N1056" s="2"/>
      <c r="O1056" s="322"/>
      <c r="P1056" s="306"/>
      <c r="Q1056" s="2" t="s">
        <v>31</v>
      </c>
      <c r="R1056" s="2"/>
      <c r="S1056" s="322"/>
      <c r="T1056" s="306"/>
      <c r="U1056" s="2" t="s">
        <v>31</v>
      </c>
      <c r="V1056" s="20"/>
      <c r="W1056" s="74"/>
      <c r="X1056" s="74"/>
      <c r="Y1056" s="74"/>
      <c r="Z1056" s="20"/>
      <c r="AA1056" s="20"/>
      <c r="AB1056" s="20"/>
      <c r="AC1056" s="20"/>
      <c r="AD1056" s="20"/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</row>
    <row r="1057" spans="1:44" hidden="1">
      <c r="A1057" s="308" t="s">
        <v>463</v>
      </c>
      <c r="B1057" s="1"/>
      <c r="C1057" s="304">
        <f t="shared" si="150"/>
        <v>585460.96551724104</v>
      </c>
      <c r="D1057" s="322"/>
      <c r="E1057" s="306"/>
      <c r="F1057" s="2">
        <f>F1021+F963</f>
        <v>544953</v>
      </c>
      <c r="G1057" s="322"/>
      <c r="H1057" s="306"/>
      <c r="I1057" s="2">
        <f ca="1">I1021+I963</f>
        <v>558489</v>
      </c>
      <c r="J1057" s="2"/>
      <c r="K1057" s="322"/>
      <c r="L1057" s="306"/>
      <c r="M1057" s="2">
        <f ca="1">M1021+M963</f>
        <v>544953</v>
      </c>
      <c r="N1057" s="2"/>
      <c r="O1057" s="322"/>
      <c r="P1057" s="306"/>
      <c r="Q1057" s="2">
        <f>Q1021+Q963</f>
        <v>0</v>
      </c>
      <c r="R1057" s="2"/>
      <c r="S1057" s="322"/>
      <c r="T1057" s="306"/>
      <c r="U1057" s="2">
        <f>U1021+U963</f>
        <v>0</v>
      </c>
      <c r="V1057" s="20"/>
      <c r="W1057" s="74"/>
      <c r="X1057" s="74"/>
      <c r="Y1057" s="74"/>
      <c r="Z1057" s="20"/>
      <c r="AA1057" s="20"/>
      <c r="AB1057" s="20"/>
      <c r="AC1057" s="20"/>
      <c r="AD1057" s="20"/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</row>
    <row r="1058" spans="1:44" hidden="1">
      <c r="A1058" s="308" t="s">
        <v>464</v>
      </c>
      <c r="B1058" s="1"/>
      <c r="C1058" s="304">
        <f t="shared" si="150"/>
        <v>0</v>
      </c>
      <c r="D1058" s="322"/>
      <c r="E1058" s="306"/>
      <c r="F1058" s="2">
        <f>F1022+F964</f>
        <v>0</v>
      </c>
      <c r="G1058" s="322"/>
      <c r="H1058" s="306"/>
      <c r="I1058" s="2">
        <f ca="1">I1022+I964</f>
        <v>0</v>
      </c>
      <c r="J1058" s="2"/>
      <c r="K1058" s="322"/>
      <c r="L1058" s="306"/>
      <c r="M1058" s="2">
        <f ca="1">M1022+M964</f>
        <v>0</v>
      </c>
      <c r="N1058" s="2"/>
      <c r="O1058" s="322"/>
      <c r="P1058" s="306"/>
      <c r="Q1058" s="2">
        <f>Q1022+Q964</f>
        <v>0</v>
      </c>
      <c r="R1058" s="2"/>
      <c r="S1058" s="322"/>
      <c r="T1058" s="306"/>
      <c r="U1058" s="2">
        <f>U1022+U964</f>
        <v>0</v>
      </c>
      <c r="V1058" s="20"/>
      <c r="W1058" s="74"/>
      <c r="X1058" s="74"/>
      <c r="Y1058" s="74"/>
      <c r="Z1058" s="20"/>
      <c r="AA1058" s="20"/>
      <c r="AB1058" s="20"/>
      <c r="AC1058" s="20"/>
      <c r="AD1058" s="20"/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</row>
    <row r="1059" spans="1:44" hidden="1">
      <c r="A1059" s="294" t="s">
        <v>393</v>
      </c>
      <c r="B1059" s="1"/>
      <c r="C1059" s="304">
        <f t="shared" si="150"/>
        <v>449764.86206896504</v>
      </c>
      <c r="D1059" s="322"/>
      <c r="E1059" s="306"/>
      <c r="F1059" s="2">
        <f>F1023+F965</f>
        <v>3555401</v>
      </c>
      <c r="G1059" s="322"/>
      <c r="H1059" s="306"/>
      <c r="I1059" s="2">
        <f ca="1">I1023+I965</f>
        <v>3640856</v>
      </c>
      <c r="J1059" s="2"/>
      <c r="K1059" s="322"/>
      <c r="L1059" s="306"/>
      <c r="M1059" s="2" t="e">
        <f ca="1">M1023+M965</f>
        <v>#DIV/0!</v>
      </c>
      <c r="N1059" s="2"/>
      <c r="O1059" s="322"/>
      <c r="P1059" s="306"/>
      <c r="Q1059" s="2" t="e">
        <f ca="1">Q1023+Q965</f>
        <v>#DIV/0!</v>
      </c>
      <c r="R1059" s="2"/>
      <c r="S1059" s="322"/>
      <c r="T1059" s="306"/>
      <c r="U1059" s="2" t="e">
        <f ca="1">U1023+U965</f>
        <v>#DIV/0!</v>
      </c>
      <c r="V1059" s="20"/>
      <c r="W1059" s="74"/>
      <c r="X1059" s="74"/>
      <c r="Y1059" s="74"/>
      <c r="Z1059" s="20"/>
      <c r="AA1059" s="20"/>
      <c r="AB1059" s="2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</row>
    <row r="1060" spans="1:44" hidden="1">
      <c r="A1060" s="308" t="s">
        <v>416</v>
      </c>
      <c r="B1060" s="1"/>
      <c r="C1060" s="304"/>
      <c r="D1060" s="322"/>
      <c r="E1060" s="306"/>
      <c r="F1060" s="2"/>
      <c r="G1060" s="322"/>
      <c r="H1060" s="306"/>
      <c r="I1060" s="2"/>
      <c r="J1060" s="2"/>
      <c r="K1060" s="322"/>
      <c r="L1060" s="306"/>
      <c r="M1060" s="2"/>
      <c r="N1060" s="2"/>
      <c r="O1060" s="322"/>
      <c r="P1060" s="306"/>
      <c r="Q1060" s="2"/>
      <c r="R1060" s="2"/>
      <c r="S1060" s="322"/>
      <c r="T1060" s="306"/>
      <c r="U1060" s="2"/>
      <c r="V1060" s="20"/>
      <c r="W1060" s="74"/>
      <c r="X1060" s="74"/>
      <c r="Y1060" s="74"/>
      <c r="Z1060" s="20"/>
      <c r="AA1060" s="20"/>
      <c r="AB1060" s="20"/>
      <c r="AC1060" s="20"/>
      <c r="AD1060" s="20"/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</row>
    <row r="1061" spans="1:44" hidden="1">
      <c r="A1061" s="308" t="s">
        <v>454</v>
      </c>
      <c r="B1061" s="1"/>
      <c r="C1061" s="304">
        <f>C1025+C967</f>
        <v>194745053.16002482</v>
      </c>
      <c r="D1061" s="380"/>
      <c r="E1061" s="306"/>
      <c r="F1061" s="2">
        <f>F1025+F967</f>
        <v>9196028</v>
      </c>
      <c r="G1061" s="380"/>
      <c r="H1061" s="306"/>
      <c r="I1061" s="2">
        <f ca="1">I1025+I967</f>
        <v>9411500</v>
      </c>
      <c r="J1061" s="2"/>
      <c r="K1061" s="380"/>
      <c r="L1061" s="306"/>
      <c r="M1061" s="2">
        <f>M1025+M967</f>
        <v>0</v>
      </c>
      <c r="N1061" s="2"/>
      <c r="O1061" s="380"/>
      <c r="P1061" s="306"/>
      <c r="Q1061" s="2" t="e">
        <f ca="1">Q1025+Q967</f>
        <v>#DIV/0!</v>
      </c>
      <c r="R1061" s="2"/>
      <c r="S1061" s="380"/>
      <c r="T1061" s="306"/>
      <c r="U1061" s="2" t="e">
        <f ca="1">U1025+U967</f>
        <v>#DIV/0!</v>
      </c>
      <c r="V1061" s="20"/>
      <c r="W1061" s="74"/>
      <c r="X1061" s="74"/>
      <c r="Y1061" s="74"/>
      <c r="Z1061" s="20"/>
      <c r="AA1061" s="20"/>
      <c r="AB1061" s="20"/>
      <c r="AC1061" s="20"/>
      <c r="AD1061" s="20"/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</row>
    <row r="1062" spans="1:44" hidden="1">
      <c r="A1062" s="308" t="s">
        <v>390</v>
      </c>
      <c r="B1062" s="1"/>
      <c r="C1062" s="304">
        <f>C1026+C968</f>
        <v>44802.030303030304</v>
      </c>
      <c r="D1062" s="322"/>
      <c r="E1062" s="306"/>
      <c r="F1062" s="2">
        <f>F1026+F968</f>
        <v>24946</v>
      </c>
      <c r="G1062" s="322"/>
      <c r="H1062" s="306"/>
      <c r="I1062" s="2">
        <f ca="1">I1026+I968</f>
        <v>25393</v>
      </c>
      <c r="J1062" s="2"/>
      <c r="K1062" s="322"/>
      <c r="L1062" s="306"/>
      <c r="M1062" s="2">
        <f>M1026+M968</f>
        <v>0</v>
      </c>
      <c r="N1062" s="2"/>
      <c r="O1062" s="322"/>
      <c r="P1062" s="306"/>
      <c r="Q1062" s="2" t="e">
        <f ca="1">Q1026+Q968</f>
        <v>#DIV/0!</v>
      </c>
      <c r="R1062" s="2"/>
      <c r="S1062" s="322"/>
      <c r="T1062" s="306"/>
      <c r="U1062" s="2" t="e">
        <f ca="1">U1026+U968</f>
        <v>#DIV/0!</v>
      </c>
      <c r="V1062" s="20"/>
      <c r="W1062" s="74"/>
      <c r="X1062" s="74"/>
      <c r="Y1062" s="74"/>
      <c r="Z1062" s="20"/>
      <c r="AA1062" s="20"/>
      <c r="AB1062" s="20"/>
      <c r="AC1062" s="20"/>
      <c r="AD1062" s="20"/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</row>
    <row r="1063" spans="1:44" s="1118" customFormat="1" hidden="1">
      <c r="A1063" s="968" t="s">
        <v>891</v>
      </c>
      <c r="C1063" s="987">
        <f>C1027+C969</f>
        <v>194745053.16002482</v>
      </c>
      <c r="D1063" s="254"/>
      <c r="E1063" s="1119"/>
      <c r="F1063" s="1123"/>
      <c r="G1063" s="250"/>
      <c r="H1063" s="1119"/>
      <c r="I1063" s="1123">
        <f>I1027+I969</f>
        <v>0</v>
      </c>
      <c r="J1063" s="1123"/>
      <c r="K1063" s="250"/>
      <c r="L1063" s="1119"/>
      <c r="M1063" s="1123">
        <f>M1027+M969</f>
        <v>0</v>
      </c>
      <c r="N1063" s="1123"/>
      <c r="O1063" s="250"/>
      <c r="P1063" s="1119"/>
      <c r="Q1063" s="1123">
        <f>Q1027+Q969</f>
        <v>0</v>
      </c>
      <c r="R1063" s="1123"/>
      <c r="S1063" s="250"/>
      <c r="T1063" s="1119"/>
      <c r="U1063" s="1123">
        <f>U1027+U969</f>
        <v>0</v>
      </c>
      <c r="W1063" s="784"/>
      <c r="Z1063" s="1125"/>
      <c r="AA1063" s="1125"/>
      <c r="AF1063" s="1119"/>
      <c r="AG1063" s="1119"/>
      <c r="AH1063" s="1119"/>
      <c r="AI1063" s="1119"/>
      <c r="AJ1063" s="1119"/>
      <c r="AK1063" s="1119"/>
      <c r="AL1063" s="1119"/>
      <c r="AM1063" s="1119"/>
      <c r="AN1063" s="1119"/>
      <c r="AO1063" s="1119"/>
      <c r="AP1063" s="1119"/>
      <c r="AR1063" s="1124"/>
    </row>
    <row r="1064" spans="1:44" hidden="1">
      <c r="A1064" s="1" t="s">
        <v>371</v>
      </c>
      <c r="B1064" s="1"/>
      <c r="C1064" s="304">
        <f>C1028+C970</f>
        <v>194745053.16002482</v>
      </c>
      <c r="D1064" s="315"/>
      <c r="E1064" s="1"/>
      <c r="F1064" s="2">
        <f>F1028+F970</f>
        <v>13924798</v>
      </c>
      <c r="G1064" s="315"/>
      <c r="H1064" s="1"/>
      <c r="I1064" s="2">
        <f ca="1">I1028+I970</f>
        <v>14253211</v>
      </c>
      <c r="J1064" s="2"/>
      <c r="K1064" s="315"/>
      <c r="L1064" s="1"/>
      <c r="M1064" s="2" t="e">
        <f ca="1">M1028+M970</f>
        <v>#DIV/0!</v>
      </c>
      <c r="N1064" s="2"/>
      <c r="O1064" s="315"/>
      <c r="P1064" s="1"/>
      <c r="Q1064" s="2" t="e">
        <f ca="1">Q1028+Q970</f>
        <v>#DIV/0!</v>
      </c>
      <c r="R1064" s="2"/>
      <c r="S1064" s="315"/>
      <c r="T1064" s="1"/>
      <c r="U1064" s="2" t="e">
        <f ca="1">U1028+U970</f>
        <v>#DIV/0!</v>
      </c>
      <c r="V1064" s="20"/>
      <c r="W1064" s="74"/>
      <c r="X1064" s="74"/>
      <c r="Y1064" s="74"/>
      <c r="Z1064" s="20"/>
      <c r="AA1064" s="20"/>
      <c r="AB1064" s="20"/>
      <c r="AC1064" s="20"/>
      <c r="AD1064" s="20"/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</row>
    <row r="1065" spans="1:44" hidden="1">
      <c r="A1065" s="1" t="s">
        <v>353</v>
      </c>
      <c r="B1065" s="1"/>
      <c r="C1065" s="325">
        <f>'Table 2'!H49</f>
        <v>1375380.6050737028</v>
      </c>
      <c r="D1065" s="294"/>
      <c r="E1065" s="294"/>
      <c r="F1065" s="738">
        <f>'Table 3'!E49</f>
        <v>108570.66117682151</v>
      </c>
      <c r="G1065" s="294"/>
      <c r="H1065" s="294"/>
      <c r="I1065" s="738">
        <f>F1065</f>
        <v>108570.66117682151</v>
      </c>
      <c r="J1065" s="51"/>
      <c r="K1065" s="294"/>
      <c r="L1065" s="294"/>
      <c r="M1065" s="738" t="e">
        <f>$I$1065*V1012/(V1012+$W$1012+$X$1012)</f>
        <v>#DIV/0!</v>
      </c>
      <c r="N1065" s="51"/>
      <c r="O1065" s="294"/>
      <c r="P1065" s="294"/>
      <c r="Q1065" s="738" t="e">
        <f>$I$1065*W1012/(V1012+$W$1012+$X$1012)</f>
        <v>#DIV/0!</v>
      </c>
      <c r="R1065" s="51"/>
      <c r="S1065" s="294"/>
      <c r="T1065" s="294"/>
      <c r="U1065" s="738" t="e">
        <f>$I$1065*X1012/(V1012+$W$1012+$X$1012)</f>
        <v>#DIV/0!</v>
      </c>
      <c r="V1065" s="429"/>
      <c r="W1065" s="272"/>
      <c r="X1065" s="74"/>
      <c r="Y1065" s="74"/>
      <c r="Z1065" s="20"/>
      <c r="AA1065" s="20"/>
      <c r="AB1065" s="20"/>
      <c r="AC1065" s="20"/>
      <c r="AD1065" s="20"/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</row>
    <row r="1066" spans="1:44" ht="16.5" hidden="1" thickBot="1">
      <c r="A1066" s="1" t="s">
        <v>372</v>
      </c>
      <c r="B1066" s="1"/>
      <c r="C1066" s="737">
        <f>C1064+C1065</f>
        <v>196120433.76509851</v>
      </c>
      <c r="D1066" s="327"/>
      <c r="E1066" s="330"/>
      <c r="F1066" s="740">
        <f>F1064+F1065</f>
        <v>14033368.661176821</v>
      </c>
      <c r="G1066" s="327"/>
      <c r="H1066" s="330"/>
      <c r="I1066" s="740">
        <f ca="1">I1064+I1065</f>
        <v>14361781.661176821</v>
      </c>
      <c r="J1066" s="51"/>
      <c r="K1066" s="327"/>
      <c r="L1066" s="330"/>
      <c r="M1066" s="740" t="e">
        <f ca="1">M1064+M1065</f>
        <v>#DIV/0!</v>
      </c>
      <c r="N1066" s="51"/>
      <c r="O1066" s="327"/>
      <c r="P1066" s="330"/>
      <c r="Q1066" s="740" t="e">
        <f ca="1">Q1064+Q1065</f>
        <v>#DIV/0!</v>
      </c>
      <c r="R1066" s="51"/>
      <c r="S1066" s="327"/>
      <c r="T1066" s="330"/>
      <c r="U1066" s="740" t="e">
        <f ca="1">U1064+U1065</f>
        <v>#DIV/0!</v>
      </c>
      <c r="V1066" s="396"/>
      <c r="W1066" s="455"/>
      <c r="X1066" s="74"/>
      <c r="Y1066" s="74"/>
      <c r="Z1066" s="20"/>
      <c r="AA1066" s="20"/>
      <c r="AB1066" s="20"/>
      <c r="AC1066" s="20"/>
      <c r="AD1066" s="20"/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</row>
    <row r="1067" spans="1:44" ht="16.5" hidden="1" thickTop="1">
      <c r="A1067" s="1"/>
      <c r="B1067" s="1"/>
      <c r="C1067" s="21"/>
      <c r="D1067" s="322" t="s">
        <v>31</v>
      </c>
      <c r="E1067" s="1"/>
      <c r="F1067" s="2"/>
      <c r="G1067" s="338" t="s">
        <v>31</v>
      </c>
      <c r="H1067" s="1"/>
      <c r="I1067" s="2" t="s">
        <v>31</v>
      </c>
      <c r="J1067" s="2"/>
      <c r="K1067" s="338" t="s">
        <v>31</v>
      </c>
      <c r="L1067" s="1"/>
      <c r="M1067" s="2" t="s">
        <v>31</v>
      </c>
      <c r="N1067" s="2"/>
      <c r="O1067" s="338" t="s">
        <v>31</v>
      </c>
      <c r="P1067" s="1"/>
      <c r="Q1067" s="2" t="s">
        <v>31</v>
      </c>
      <c r="R1067" s="2"/>
      <c r="S1067" s="338" t="s">
        <v>31</v>
      </c>
      <c r="T1067" s="1"/>
      <c r="U1067" s="2" t="s">
        <v>31</v>
      </c>
      <c r="V1067" s="20"/>
      <c r="W1067" s="74"/>
      <c r="X1067" s="74"/>
      <c r="Y1067" s="74"/>
      <c r="Z1067" s="20"/>
      <c r="AA1067" s="20"/>
      <c r="AB1067" s="2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</row>
    <row r="1068" spans="1:44" hidden="1">
      <c r="A1068" s="1"/>
      <c r="B1068" s="1"/>
      <c r="C1068" s="21"/>
      <c r="D1068" s="322"/>
      <c r="E1068" s="1"/>
      <c r="F1068" s="2"/>
      <c r="G1068" s="322"/>
      <c r="H1068" s="1"/>
      <c r="I1068" s="365"/>
      <c r="J1068" s="365"/>
      <c r="K1068" s="322"/>
      <c r="L1068" s="1"/>
      <c r="M1068" s="365"/>
      <c r="N1068" s="365"/>
      <c r="O1068" s="322"/>
      <c r="P1068" s="1"/>
      <c r="Q1068" s="365"/>
      <c r="R1068" s="365"/>
      <c r="S1068" s="322"/>
      <c r="T1068" s="1"/>
      <c r="U1068" s="365"/>
      <c r="V1068" s="20"/>
      <c r="W1068" s="74"/>
      <c r="X1068" s="74"/>
      <c r="Y1068" s="74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</row>
    <row r="1069" spans="1:44" hidden="1">
      <c r="A1069" s="278" t="s">
        <v>466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20"/>
      <c r="W1069" s="74"/>
      <c r="X1069" s="74"/>
      <c r="Y1069" s="74"/>
      <c r="Z1069" s="20"/>
      <c r="AA1069" s="20"/>
      <c r="AB1069" s="20"/>
      <c r="AC1069" s="20"/>
      <c r="AD1069" s="20"/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</row>
    <row r="1070" spans="1:44" hidden="1">
      <c r="A1070" s="294" t="s">
        <v>679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20"/>
      <c r="W1070" s="74"/>
      <c r="X1070" s="74"/>
      <c r="Y1070" s="74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</row>
    <row r="1071" spans="1:44" hidden="1">
      <c r="A1071" s="308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20"/>
      <c r="W1071" s="74"/>
      <c r="X1071" s="74"/>
      <c r="Y1071" s="74"/>
      <c r="Z1071" s="20"/>
      <c r="AA1071" s="20"/>
      <c r="AB1071" s="20"/>
      <c r="AC1071" s="20"/>
      <c r="AD1071" s="20"/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</row>
    <row r="1072" spans="1:44" hidden="1">
      <c r="A1072" s="308" t="s">
        <v>383</v>
      </c>
      <c r="B1072" s="1"/>
      <c r="C1072" s="304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20"/>
      <c r="W1072" s="74"/>
      <c r="X1072" s="74"/>
      <c r="Y1072" s="74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</row>
    <row r="1073" spans="1:44" hidden="1">
      <c r="A1073" s="308" t="s">
        <v>461</v>
      </c>
      <c r="B1073" s="1"/>
      <c r="C1073" s="304">
        <f t="shared" ref="C1073:C1078" si="151">C1036+C978</f>
        <v>356.57575757575779</v>
      </c>
      <c r="D1073" s="322"/>
      <c r="E1073" s="306"/>
      <c r="F1073" s="2">
        <f>F1036+F978</f>
        <v>503888</v>
      </c>
      <c r="G1073" s="322"/>
      <c r="H1073" s="306"/>
      <c r="I1073" s="2">
        <f ca="1">I1036+I978</f>
        <v>515014</v>
      </c>
      <c r="J1073" s="2"/>
      <c r="K1073" s="322"/>
      <c r="L1073" s="306"/>
      <c r="M1073" s="2">
        <f ca="1">M1036+M978</f>
        <v>503888</v>
      </c>
      <c r="N1073" s="2"/>
      <c r="O1073" s="322"/>
      <c r="P1073" s="306"/>
      <c r="Q1073" s="2">
        <f>Q1036+Q978</f>
        <v>0</v>
      </c>
      <c r="R1073" s="2"/>
      <c r="S1073" s="322"/>
      <c r="T1073" s="306"/>
      <c r="U1073" s="2">
        <f>U1036+U978</f>
        <v>0</v>
      </c>
      <c r="V1073" s="20"/>
      <c r="W1073" s="74"/>
      <c r="X1073" s="74"/>
      <c r="Y1073" s="74"/>
      <c r="Z1073" s="20"/>
      <c r="AA1073" s="20"/>
      <c r="AB1073" s="20"/>
      <c r="AC1073" s="20"/>
      <c r="AD1073" s="20"/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</row>
    <row r="1074" spans="1:44" hidden="1">
      <c r="A1074" s="308" t="s">
        <v>462</v>
      </c>
      <c r="B1074" s="1"/>
      <c r="C1074" s="304">
        <f t="shared" si="151"/>
        <v>0</v>
      </c>
      <c r="D1074" s="322"/>
      <c r="E1074" s="309"/>
      <c r="F1074" s="2">
        <f>F1037+F979</f>
        <v>0</v>
      </c>
      <c r="G1074" s="322"/>
      <c r="H1074" s="309"/>
      <c r="I1074" s="2">
        <f ca="1">I1037+I979</f>
        <v>0</v>
      </c>
      <c r="J1074" s="2"/>
      <c r="K1074" s="322"/>
      <c r="L1074" s="309"/>
      <c r="M1074" s="2">
        <f ca="1">M1037+M979</f>
        <v>0</v>
      </c>
      <c r="N1074" s="2"/>
      <c r="O1074" s="322"/>
      <c r="P1074" s="309"/>
      <c r="Q1074" s="2">
        <f>Q1037+Q979</f>
        <v>0</v>
      </c>
      <c r="R1074" s="2"/>
      <c r="S1074" s="322"/>
      <c r="T1074" s="309"/>
      <c r="U1074" s="2">
        <f>U1037+U979</f>
        <v>0</v>
      </c>
      <c r="V1074" s="20"/>
      <c r="W1074" s="74"/>
      <c r="X1074" s="74"/>
      <c r="Y1074" s="74"/>
      <c r="Z1074" s="20"/>
      <c r="AA1074" s="20"/>
      <c r="AB1074" s="20"/>
      <c r="AC1074" s="20"/>
      <c r="AD1074" s="20"/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</row>
    <row r="1075" spans="1:44" hidden="1">
      <c r="A1075" s="308" t="s">
        <v>384</v>
      </c>
      <c r="B1075" s="1"/>
      <c r="C1075" s="304">
        <f t="shared" si="151"/>
        <v>356.57575757575779</v>
      </c>
      <c r="D1075" s="322"/>
      <c r="E1075" s="306"/>
      <c r="F1075" s="2" t="s">
        <v>31</v>
      </c>
      <c r="G1075" s="322"/>
      <c r="H1075" s="306"/>
      <c r="I1075" s="2" t="s">
        <v>31</v>
      </c>
      <c r="J1075" s="2"/>
      <c r="K1075" s="322"/>
      <c r="L1075" s="306"/>
      <c r="M1075" s="2" t="s">
        <v>31</v>
      </c>
      <c r="N1075" s="2"/>
      <c r="O1075" s="322"/>
      <c r="P1075" s="306"/>
      <c r="Q1075" s="2" t="s">
        <v>31</v>
      </c>
      <c r="R1075" s="2"/>
      <c r="S1075" s="322"/>
      <c r="T1075" s="306"/>
      <c r="U1075" s="2" t="s">
        <v>31</v>
      </c>
      <c r="V1075" s="20"/>
      <c r="W1075" s="74"/>
      <c r="X1075" s="74"/>
      <c r="Y1075" s="74"/>
      <c r="Z1075" s="20"/>
      <c r="AA1075" s="20"/>
      <c r="AB1075" s="2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</row>
    <row r="1076" spans="1:44" hidden="1">
      <c r="A1076" s="308" t="s">
        <v>463</v>
      </c>
      <c r="B1076" s="1"/>
      <c r="C1076" s="304">
        <f t="shared" si="151"/>
        <v>566945.793103448</v>
      </c>
      <c r="D1076" s="322"/>
      <c r="E1076" s="306"/>
      <c r="F1076" s="2">
        <f>F1039+F981</f>
        <v>618733</v>
      </c>
      <c r="G1076" s="322"/>
      <c r="H1076" s="306"/>
      <c r="I1076" s="2">
        <f ca="1">I1039+I981</f>
        <v>635151</v>
      </c>
      <c r="J1076" s="2"/>
      <c r="K1076" s="322"/>
      <c r="L1076" s="306"/>
      <c r="M1076" s="2">
        <f ca="1">M1039+M981</f>
        <v>618733</v>
      </c>
      <c r="N1076" s="2"/>
      <c r="O1076" s="322"/>
      <c r="P1076" s="306"/>
      <c r="Q1076" s="2">
        <f>Q1039+Q981</f>
        <v>0</v>
      </c>
      <c r="R1076" s="2"/>
      <c r="S1076" s="322"/>
      <c r="T1076" s="306"/>
      <c r="U1076" s="2">
        <f>U1039+U981</f>
        <v>0</v>
      </c>
      <c r="V1076" s="20"/>
      <c r="W1076" s="74"/>
      <c r="X1076" s="74"/>
      <c r="Y1076" s="74"/>
      <c r="Z1076" s="20"/>
      <c r="AA1076" s="20"/>
      <c r="AB1076" s="20"/>
      <c r="AC1076" s="20"/>
      <c r="AD1076" s="20"/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</row>
    <row r="1077" spans="1:44" hidden="1">
      <c r="A1077" s="308" t="s">
        <v>464</v>
      </c>
      <c r="B1077" s="1"/>
      <c r="C1077" s="304">
        <f t="shared" si="151"/>
        <v>0</v>
      </c>
      <c r="D1077" s="322"/>
      <c r="E1077" s="306"/>
      <c r="F1077" s="2">
        <f>F1040+F982</f>
        <v>0</v>
      </c>
      <c r="G1077" s="322"/>
      <c r="H1077" s="306"/>
      <c r="I1077" s="2">
        <f ca="1">I1040+I982</f>
        <v>0</v>
      </c>
      <c r="J1077" s="2"/>
      <c r="K1077" s="322"/>
      <c r="L1077" s="306"/>
      <c r="M1077" s="2">
        <f ca="1">M1040+M982</f>
        <v>0</v>
      </c>
      <c r="N1077" s="2"/>
      <c r="O1077" s="322"/>
      <c r="P1077" s="306"/>
      <c r="Q1077" s="2">
        <f>Q1040+Q982</f>
        <v>0</v>
      </c>
      <c r="R1077" s="2"/>
      <c r="S1077" s="322"/>
      <c r="T1077" s="306"/>
      <c r="U1077" s="2">
        <f>U1040+U982</f>
        <v>0</v>
      </c>
      <c r="V1077" s="20"/>
      <c r="W1077" s="74"/>
      <c r="X1077" s="74"/>
      <c r="Y1077" s="74"/>
      <c r="Z1077" s="20"/>
      <c r="AA1077" s="20"/>
      <c r="AB1077" s="20"/>
      <c r="AC1077" s="20"/>
      <c r="AD1077" s="20"/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</row>
    <row r="1078" spans="1:44" hidden="1">
      <c r="A1078" s="294" t="s">
        <v>393</v>
      </c>
      <c r="B1078" s="1"/>
      <c r="C1078" s="304">
        <f t="shared" si="151"/>
        <v>489791.48275862099</v>
      </c>
      <c r="D1078" s="322"/>
      <c r="E1078" s="306"/>
      <c r="F1078" s="2">
        <f>F1041+F983</f>
        <v>3899200</v>
      </c>
      <c r="G1078" s="322"/>
      <c r="H1078" s="306"/>
      <c r="I1078" s="2">
        <f ca="1">I1041+I983</f>
        <v>3992260</v>
      </c>
      <c r="J1078" s="2"/>
      <c r="K1078" s="322"/>
      <c r="L1078" s="306"/>
      <c r="M1078" s="2" t="e">
        <f ca="1">M1041+M983</f>
        <v>#DIV/0!</v>
      </c>
      <c r="N1078" s="2"/>
      <c r="O1078" s="322"/>
      <c r="P1078" s="306"/>
      <c r="Q1078" s="2" t="e">
        <f ca="1">Q1041+Q983</f>
        <v>#DIV/0!</v>
      </c>
      <c r="R1078" s="2"/>
      <c r="S1078" s="322"/>
      <c r="T1078" s="306"/>
      <c r="U1078" s="2" t="e">
        <f ca="1">U1041+U983</f>
        <v>#DIV/0!</v>
      </c>
      <c r="V1078" s="20"/>
      <c r="W1078" s="74"/>
      <c r="X1078" s="74"/>
      <c r="Y1078" s="74"/>
      <c r="Z1078" s="20"/>
      <c r="AA1078" s="20"/>
      <c r="AB1078" s="20"/>
      <c r="AC1078" s="20"/>
      <c r="AD1078" s="20"/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</row>
    <row r="1079" spans="1:44" hidden="1">
      <c r="A1079" s="308" t="s">
        <v>416</v>
      </c>
      <c r="B1079" s="1"/>
      <c r="C1079" s="304"/>
      <c r="D1079" s="322"/>
      <c r="E1079" s="306"/>
      <c r="F1079" s="2"/>
      <c r="G1079" s="322"/>
      <c r="H1079" s="306"/>
      <c r="I1079" s="2"/>
      <c r="J1079" s="2"/>
      <c r="K1079" s="322"/>
      <c r="L1079" s="306"/>
      <c r="M1079" s="2"/>
      <c r="N1079" s="2"/>
      <c r="O1079" s="322"/>
      <c r="P1079" s="306"/>
      <c r="Q1079" s="2"/>
      <c r="R1079" s="2"/>
      <c r="S1079" s="322"/>
      <c r="T1079" s="306"/>
      <c r="U1079" s="2"/>
      <c r="V1079" s="20"/>
      <c r="W1079" s="74"/>
      <c r="X1079" s="74"/>
      <c r="Y1079" s="74"/>
      <c r="Z1079" s="20"/>
      <c r="AA1079" s="20"/>
      <c r="AB1079" s="20"/>
      <c r="AC1079" s="20"/>
      <c r="AD1079" s="20"/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</row>
    <row r="1080" spans="1:44" hidden="1">
      <c r="A1080" s="308" t="s">
        <v>454</v>
      </c>
      <c r="B1080" s="1"/>
      <c r="C1080" s="304">
        <f>C1043+C985</f>
        <v>216497250</v>
      </c>
      <c r="D1080" s="380"/>
      <c r="E1080" s="306"/>
      <c r="F1080" s="2">
        <f>F1043+F985</f>
        <v>10260532</v>
      </c>
      <c r="G1080" s="380"/>
      <c r="H1080" s="306"/>
      <c r="I1080" s="2">
        <f ca="1">I1043+I985</f>
        <v>10500776</v>
      </c>
      <c r="J1080" s="2"/>
      <c r="K1080" s="380"/>
      <c r="L1080" s="306"/>
      <c r="M1080" s="2">
        <f>M1043+M985</f>
        <v>0</v>
      </c>
      <c r="N1080" s="2"/>
      <c r="O1080" s="380"/>
      <c r="P1080" s="306"/>
      <c r="Q1080" s="2" t="e">
        <f ca="1">Q1043+Q985</f>
        <v>#DIV/0!</v>
      </c>
      <c r="R1080" s="2"/>
      <c r="S1080" s="380"/>
      <c r="T1080" s="306"/>
      <c r="U1080" s="2" t="e">
        <f ca="1">U1043+U985</f>
        <v>#DIV/0!</v>
      </c>
      <c r="V1080" s="20"/>
      <c r="W1080" s="74"/>
      <c r="X1080" s="74"/>
      <c r="Y1080" s="74"/>
      <c r="Z1080" s="20"/>
      <c r="AA1080" s="20"/>
      <c r="AB1080" s="20"/>
      <c r="AC1080" s="20"/>
      <c r="AD1080" s="20"/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</row>
    <row r="1081" spans="1:44" hidden="1">
      <c r="A1081" s="308" t="s">
        <v>390</v>
      </c>
      <c r="B1081" s="1"/>
      <c r="C1081" s="304">
        <f>C1044+C986</f>
        <v>130740.24242424199</v>
      </c>
      <c r="D1081" s="322"/>
      <c r="E1081" s="306"/>
      <c r="F1081" s="2">
        <f>F1044+F986</f>
        <v>73198</v>
      </c>
      <c r="G1081" s="322"/>
      <c r="H1081" s="306"/>
      <c r="I1081" s="2">
        <f ca="1">I1044+I986</f>
        <v>74506</v>
      </c>
      <c r="J1081" s="2"/>
      <c r="K1081" s="322"/>
      <c r="L1081" s="306"/>
      <c r="M1081" s="2">
        <f>M1044+M986</f>
        <v>0</v>
      </c>
      <c r="N1081" s="2"/>
      <c r="O1081" s="322"/>
      <c r="P1081" s="306"/>
      <c r="Q1081" s="2" t="e">
        <f ca="1">Q1044+Q986</f>
        <v>#DIV/0!</v>
      </c>
      <c r="R1081" s="2"/>
      <c r="S1081" s="322"/>
      <c r="T1081" s="306"/>
      <c r="U1081" s="2" t="e">
        <f ca="1">U1044+U986</f>
        <v>#DIV/0!</v>
      </c>
      <c r="V1081" s="20"/>
      <c r="W1081" s="74"/>
      <c r="X1081" s="74"/>
      <c r="Y1081" s="74"/>
      <c r="Z1081" s="20"/>
      <c r="AA1081" s="20"/>
      <c r="AB1081" s="20"/>
      <c r="AC1081" s="20"/>
      <c r="AD1081" s="20"/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</row>
    <row r="1082" spans="1:44" s="1118" customFormat="1" hidden="1">
      <c r="A1082" s="968" t="s">
        <v>891</v>
      </c>
      <c r="C1082" s="987">
        <f>C1045+C987</f>
        <v>216497250</v>
      </c>
      <c r="D1082" s="254"/>
      <c r="E1082" s="1119"/>
      <c r="F1082" s="1123"/>
      <c r="G1082" s="250"/>
      <c r="H1082" s="1119"/>
      <c r="I1082" s="1123">
        <f>I1045+I987</f>
        <v>0</v>
      </c>
      <c r="J1082" s="1123"/>
      <c r="K1082" s="250"/>
      <c r="L1082" s="1119"/>
      <c r="M1082" s="1123">
        <f>M1045+M987</f>
        <v>0</v>
      </c>
      <c r="N1082" s="1123"/>
      <c r="O1082" s="250"/>
      <c r="P1082" s="1119"/>
      <c r="Q1082" s="1123">
        <f>Q1045+Q987</f>
        <v>0</v>
      </c>
      <c r="R1082" s="1123"/>
      <c r="S1082" s="250"/>
      <c r="T1082" s="1119"/>
      <c r="U1082" s="1123">
        <f>U1045+U987</f>
        <v>0</v>
      </c>
      <c r="W1082" s="784"/>
      <c r="Z1082" s="1125"/>
      <c r="AA1082" s="1125"/>
      <c r="AF1082" s="1119"/>
      <c r="AG1082" s="1119"/>
      <c r="AH1082" s="1119"/>
      <c r="AI1082" s="1119"/>
      <c r="AJ1082" s="1119"/>
      <c r="AK1082" s="1119"/>
      <c r="AL1082" s="1119"/>
      <c r="AM1082" s="1119"/>
      <c r="AN1082" s="1119"/>
      <c r="AO1082" s="1119"/>
      <c r="AP1082" s="1119"/>
      <c r="AR1082" s="1124"/>
    </row>
    <row r="1083" spans="1:44" hidden="1">
      <c r="A1083" s="1" t="s">
        <v>371</v>
      </c>
      <c r="B1083" s="1"/>
      <c r="C1083" s="335">
        <f>C1046+C988</f>
        <v>216497250</v>
      </c>
      <c r="D1083" s="315"/>
      <c r="E1083" s="1"/>
      <c r="F1083" s="51">
        <f>F1046+F988</f>
        <v>15355551</v>
      </c>
      <c r="G1083" s="315"/>
      <c r="H1083" s="1"/>
      <c r="I1083" s="51">
        <f ca="1">I1046+I988</f>
        <v>15717707</v>
      </c>
      <c r="J1083" s="51"/>
      <c r="K1083" s="315"/>
      <c r="L1083" s="1"/>
      <c r="M1083" s="51" t="e">
        <f ca="1">M1046+M988</f>
        <v>#DIV/0!</v>
      </c>
      <c r="N1083" s="51"/>
      <c r="O1083" s="315"/>
      <c r="P1083" s="1"/>
      <c r="Q1083" s="51" t="e">
        <f ca="1">Q1046+Q988</f>
        <v>#DIV/0!</v>
      </c>
      <c r="R1083" s="51"/>
      <c r="S1083" s="315"/>
      <c r="T1083" s="1"/>
      <c r="U1083" s="51" t="e">
        <f ca="1">U1046+U988</f>
        <v>#DIV/0!</v>
      </c>
      <c r="V1083" s="20"/>
      <c r="W1083" s="74"/>
      <c r="X1083" s="74"/>
      <c r="Y1083" s="74"/>
      <c r="Z1083" s="20"/>
      <c r="AA1083" s="20"/>
      <c r="AB1083" s="2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</row>
    <row r="1084" spans="1:44" hidden="1">
      <c r="A1084" s="1" t="s">
        <v>353</v>
      </c>
      <c r="B1084" s="1"/>
      <c r="C1084" s="325">
        <f ca="1">'Table 2'!H80</f>
        <v>673134.21796614002</v>
      </c>
      <c r="D1084" s="294"/>
      <c r="E1084" s="294"/>
      <c r="F1084" s="738">
        <f ca="1">'Table 3'!E80</f>
        <v>47755.918082085824</v>
      </c>
      <c r="G1084" s="294"/>
      <c r="H1084" s="294"/>
      <c r="I1084" s="738">
        <f ca="1">F1084</f>
        <v>47755.918082085824</v>
      </c>
      <c r="J1084" s="51"/>
      <c r="K1084" s="294"/>
      <c r="L1084" s="294"/>
      <c r="M1084" s="738" t="e">
        <f ca="1">$I$1084*V1012/(V1012+$W$1012+$X$1012)</f>
        <v>#DIV/0!</v>
      </c>
      <c r="N1084" s="51"/>
      <c r="O1084" s="294"/>
      <c r="P1084" s="294"/>
      <c r="Q1084" s="738" t="e">
        <f ca="1">$I$1084*W1012/(V1012+$W$1012+$X$1012)</f>
        <v>#DIV/0!</v>
      </c>
      <c r="R1084" s="51"/>
      <c r="S1084" s="294"/>
      <c r="T1084" s="294"/>
      <c r="U1084" s="738" t="e">
        <f ca="1">$I$1084*X1012/(V1012+$W$1012+$X$1012)</f>
        <v>#DIV/0!</v>
      </c>
      <c r="V1084" s="429"/>
      <c r="W1084" s="272"/>
      <c r="X1084" s="74"/>
      <c r="Y1084" s="74"/>
      <c r="Z1084" s="20"/>
      <c r="AA1084" s="20"/>
      <c r="AB1084" s="20"/>
      <c r="AC1084" s="20"/>
      <c r="AD1084" s="20"/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</row>
    <row r="1085" spans="1:44" ht="16.5" hidden="1" thickBot="1">
      <c r="A1085" s="1" t="s">
        <v>372</v>
      </c>
      <c r="B1085" s="1"/>
      <c r="C1085" s="737">
        <f ca="1">C1083+C1084</f>
        <v>217170384.21796614</v>
      </c>
      <c r="D1085" s="327"/>
      <c r="E1085" s="330"/>
      <c r="F1085" s="739">
        <f ca="1">F1083+F1084</f>
        <v>15403306.918082086</v>
      </c>
      <c r="G1085" s="327"/>
      <c r="H1085" s="330"/>
      <c r="I1085" s="739">
        <f ca="1">I1083+I1084</f>
        <v>15765462.918082086</v>
      </c>
      <c r="J1085" s="51"/>
      <c r="K1085" s="327"/>
      <c r="L1085" s="330"/>
      <c r="M1085" s="739" t="e">
        <f ca="1">M1083+M1084</f>
        <v>#DIV/0!</v>
      </c>
      <c r="N1085" s="51"/>
      <c r="O1085" s="327"/>
      <c r="P1085" s="330"/>
      <c r="Q1085" s="739" t="e">
        <f ca="1">Q1083+Q1084</f>
        <v>#DIV/0!</v>
      </c>
      <c r="R1085" s="51"/>
      <c r="S1085" s="327"/>
      <c r="T1085" s="330"/>
      <c r="U1085" s="739" t="e">
        <f ca="1">U1083+U1084</f>
        <v>#DIV/0!</v>
      </c>
      <c r="V1085" s="396"/>
      <c r="W1085" s="455"/>
      <c r="X1085" s="74"/>
      <c r="Y1085" s="74"/>
      <c r="Z1085" s="20"/>
      <c r="AA1085" s="20"/>
      <c r="AB1085" s="20"/>
      <c r="AC1085" s="20"/>
      <c r="AD1085" s="20"/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</row>
    <row r="1086" spans="1:44" ht="16.5" hidden="1" thickTop="1">
      <c r="A1086" s="1"/>
      <c r="B1086" s="1"/>
      <c r="C1086" s="21"/>
      <c r="D1086" s="322" t="s">
        <v>31</v>
      </c>
      <c r="E1086" s="1"/>
      <c r="F1086" s="2"/>
      <c r="G1086" s="338" t="s">
        <v>31</v>
      </c>
      <c r="H1086" s="1"/>
      <c r="I1086" s="2" t="s">
        <v>31</v>
      </c>
      <c r="J1086" s="2"/>
      <c r="K1086" s="338" t="s">
        <v>31</v>
      </c>
      <c r="L1086" s="1"/>
      <c r="M1086" s="2" t="s">
        <v>31</v>
      </c>
      <c r="N1086" s="2"/>
      <c r="O1086" s="338" t="s">
        <v>31</v>
      </c>
      <c r="P1086" s="1"/>
      <c r="Q1086" s="2" t="s">
        <v>31</v>
      </c>
      <c r="R1086" s="2"/>
      <c r="S1086" s="338" t="s">
        <v>31</v>
      </c>
      <c r="T1086" s="1"/>
      <c r="U1086" s="2" t="s">
        <v>31</v>
      </c>
      <c r="V1086" s="20"/>
      <c r="W1086" s="74"/>
      <c r="X1086" s="74"/>
      <c r="Y1086" s="74"/>
      <c r="Z1086" s="20"/>
      <c r="AA1086" s="2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</row>
    <row r="1087" spans="1:44" ht="16.5" thickTop="1">
      <c r="A1087" s="278" t="s">
        <v>466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20"/>
      <c r="W1087" s="74"/>
      <c r="X1087" s="74"/>
      <c r="Y1087" s="74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</row>
    <row r="1088" spans="1:44">
      <c r="A1088" s="406" t="s">
        <v>806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20"/>
      <c r="W1088" s="74"/>
      <c r="X1088" s="74"/>
      <c r="Y1088" s="74"/>
      <c r="Z1088" s="20"/>
      <c r="AA1088" s="20"/>
      <c r="AB1088" s="20"/>
      <c r="AC1088" s="20"/>
      <c r="AD1088" s="20"/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</row>
    <row r="1089" spans="1:44">
      <c r="A1089" s="308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20"/>
      <c r="W1089" s="74"/>
      <c r="X1089" s="74"/>
      <c r="Y1089" s="74"/>
      <c r="Z1089" s="20"/>
      <c r="AA1089" s="20"/>
      <c r="AB1089" s="20"/>
      <c r="AC1089" s="20"/>
      <c r="AD1089" s="20"/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</row>
    <row r="1090" spans="1:44">
      <c r="A1090" s="308" t="s">
        <v>383</v>
      </c>
      <c r="B1090" s="1"/>
      <c r="C1090" s="304"/>
      <c r="D1090" s="2"/>
      <c r="E1090" s="1"/>
      <c r="F1090" s="1"/>
      <c r="G1090" s="2"/>
      <c r="H1090" s="1"/>
      <c r="I1090" s="1" t="s">
        <v>31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</row>
    <row r="1091" spans="1:44">
      <c r="A1091" s="294" t="s">
        <v>655</v>
      </c>
      <c r="B1091" s="1"/>
      <c r="C1091" s="304">
        <f>'Rate Design Work eff 10-14-16'!C1091</f>
        <v>0</v>
      </c>
      <c r="D1091" s="322" t="s">
        <v>31</v>
      </c>
      <c r="E1091" s="306"/>
      <c r="F1091" s="2">
        <f>ROUND(C1091*D1091,0)</f>
        <v>0</v>
      </c>
      <c r="G1091" s="322" t="s">
        <v>31</v>
      </c>
      <c r="H1091" s="306"/>
      <c r="I1091" s="2">
        <f>ROUND(G1091*$C1091,0)</f>
        <v>0</v>
      </c>
      <c r="J1091" s="2"/>
      <c r="K1091" s="311" t="s">
        <v>31</v>
      </c>
      <c r="L1091" s="306"/>
      <c r="M1091" s="2">
        <f>'Rate Design Work eff 10-14-16'!M1091</f>
        <v>0</v>
      </c>
      <c r="N1091" s="2"/>
      <c r="O1091" s="311" t="s">
        <v>31</v>
      </c>
      <c r="P1091" s="306"/>
      <c r="Q1091" s="2">
        <f>'Rate Design Work eff 10-14-16'!Q1091</f>
        <v>0</v>
      </c>
      <c r="R1091" s="2"/>
      <c r="S1091" s="311" t="s">
        <v>31</v>
      </c>
      <c r="T1091" s="306"/>
      <c r="U1091" s="2">
        <f>'Rate Design Work eff 10-14-16'!U1091</f>
        <v>0</v>
      </c>
      <c r="V1091" s="20"/>
      <c r="X1091" s="752"/>
      <c r="Y1091" s="752"/>
      <c r="AA1091" s="106"/>
      <c r="AB1091" s="710"/>
      <c r="AC1091" s="106"/>
      <c r="AD1091" s="710"/>
      <c r="AE1091" s="106"/>
      <c r="AF1091" s="106"/>
      <c r="AG1091" s="710"/>
      <c r="AH1091" s="20"/>
      <c r="AI1091" s="20"/>
      <c r="AJ1091" s="20"/>
      <c r="AK1091" s="20"/>
      <c r="AL1091" s="20"/>
      <c r="AM1091" s="20"/>
      <c r="AN1091" s="20"/>
      <c r="AO1091" s="20"/>
      <c r="AP1091" s="20"/>
    </row>
    <row r="1092" spans="1:44">
      <c r="A1092" s="294" t="s">
        <v>656</v>
      </c>
      <c r="B1092" s="1"/>
      <c r="C1092" s="304">
        <f>'Rate Design Work eff 10-14-16'!C1092</f>
        <v>12.033333333333299</v>
      </c>
      <c r="D1092" s="322">
        <f>'Rate Design Work eff 9-15-17'!D1092</f>
        <v>2679</v>
      </c>
      <c r="E1092" s="309"/>
      <c r="F1092" s="2">
        <f>ROUND(C1092*D1092,0)</f>
        <v>32237</v>
      </c>
      <c r="G1092" s="311">
        <f ca="1">'Rate Design Work eff 9-15-17'!G1092</f>
        <v>2849</v>
      </c>
      <c r="H1092" s="309"/>
      <c r="I1092" s="2">
        <f ca="1">ROUND(G1092*$C1092,0)</f>
        <v>34283</v>
      </c>
      <c r="J1092" s="2"/>
      <c r="K1092" s="311">
        <f ca="1">'Rate Design Work eff 10-14-16'!K1092</f>
        <v>2679</v>
      </c>
      <c r="L1092" s="1275"/>
      <c r="M1092" s="2">
        <f ca="1">'Rate Design Work eff 10-14-16'!M1092</f>
        <v>32237</v>
      </c>
      <c r="N1092" s="2"/>
      <c r="O1092" s="311" t="str">
        <f>'Rate Design Work eff 10-14-16'!O1092</f>
        <v xml:space="preserve"> </v>
      </c>
      <c r="P1092" s="1275"/>
      <c r="Q1092" s="2">
        <f>'Rate Design Work eff 10-14-16'!Q1092</f>
        <v>0</v>
      </c>
      <c r="R1092" s="2"/>
      <c r="S1092" s="311" t="str">
        <f>'Rate Design Work eff 10-14-16'!S1092</f>
        <v xml:space="preserve"> </v>
      </c>
      <c r="T1092" s="1275"/>
      <c r="U1092" s="2">
        <f>'Rate Design Work eff 10-14-16'!U1092</f>
        <v>0</v>
      </c>
      <c r="V1092" s="20"/>
      <c r="X1092" s="796">
        <f ca="1">(G1092-D1092)/D1092</f>
        <v>6.3456513624486746E-2</v>
      </c>
      <c r="Y1092" s="751"/>
      <c r="AA1092" s="106"/>
      <c r="AB1092" s="710"/>
      <c r="AC1092" s="106"/>
      <c r="AD1092" s="710"/>
      <c r="AE1092" s="106"/>
      <c r="AF1092" s="106"/>
      <c r="AG1092" s="710"/>
      <c r="AH1092" s="20"/>
      <c r="AI1092" s="20"/>
      <c r="AJ1092" s="20"/>
      <c r="AK1092" s="20"/>
      <c r="AL1092" s="20"/>
      <c r="AM1092" s="20"/>
      <c r="AN1092" s="20"/>
      <c r="AO1092" s="20"/>
      <c r="AP1092" s="20"/>
    </row>
    <row r="1093" spans="1:44">
      <c r="A1093" s="308" t="s">
        <v>384</v>
      </c>
      <c r="B1093" s="1"/>
      <c r="C1093" s="304">
        <f>SUM(C1091:C1092)</f>
        <v>12.033333333333299</v>
      </c>
      <c r="D1093" s="322"/>
      <c r="E1093" s="306"/>
      <c r="F1093" s="2" t="s">
        <v>31</v>
      </c>
      <c r="G1093" s="322" t="s">
        <v>31</v>
      </c>
      <c r="H1093" s="306"/>
      <c r="I1093" s="2" t="s">
        <v>31</v>
      </c>
      <c r="J1093" s="2"/>
      <c r="K1093" s="322" t="s">
        <v>31</v>
      </c>
      <c r="L1093" s="306"/>
      <c r="M1093" s="2" t="s">
        <v>31</v>
      </c>
      <c r="N1093" s="2"/>
      <c r="O1093" s="322" t="s">
        <v>31</v>
      </c>
      <c r="P1093" s="306"/>
      <c r="Q1093" s="2" t="s">
        <v>31</v>
      </c>
      <c r="R1093" s="2"/>
      <c r="S1093" s="322" t="s">
        <v>31</v>
      </c>
      <c r="T1093" s="306"/>
      <c r="U1093" s="2" t="s">
        <v>31</v>
      </c>
      <c r="V1093" s="20"/>
      <c r="X1093" s="379"/>
      <c r="AA1093" s="106"/>
      <c r="AB1093" s="710"/>
      <c r="AC1093" s="106"/>
      <c r="AD1093" s="710"/>
      <c r="AE1093" s="106"/>
      <c r="AF1093" s="106"/>
      <c r="AG1093" s="710"/>
      <c r="AH1093" s="20"/>
      <c r="AI1093" s="20"/>
      <c r="AJ1093" s="20"/>
      <c r="AK1093" s="20"/>
      <c r="AL1093" s="20"/>
      <c r="AM1093" s="20"/>
      <c r="AN1093" s="20"/>
      <c r="AO1093" s="20"/>
      <c r="AP1093" s="20"/>
    </row>
    <row r="1094" spans="1:44">
      <c r="A1094" s="308" t="s">
        <v>463</v>
      </c>
      <c r="B1094" s="1"/>
      <c r="C1094" s="304">
        <v>0</v>
      </c>
      <c r="D1094" s="322"/>
      <c r="E1094" s="306"/>
      <c r="F1094" s="2">
        <f>ROUND(C1094*D1094,0)</f>
        <v>0</v>
      </c>
      <c r="G1094" s="322" t="s">
        <v>31</v>
      </c>
      <c r="H1094" s="306"/>
      <c r="I1094" s="2">
        <f>ROUND(G1094*$C1094,0)</f>
        <v>0</v>
      </c>
      <c r="J1094" s="2"/>
      <c r="K1094" s="322" t="s">
        <v>31</v>
      </c>
      <c r="L1094" s="306"/>
      <c r="M1094" s="2">
        <f>'Rate Design Work eff 10-14-16'!M1094</f>
        <v>0</v>
      </c>
      <c r="N1094" s="2"/>
      <c r="O1094" s="322" t="s">
        <v>31</v>
      </c>
      <c r="P1094" s="306"/>
      <c r="Q1094" s="2">
        <f>'Rate Design Work eff 10-14-16'!Q1094</f>
        <v>0</v>
      </c>
      <c r="R1094" s="2"/>
      <c r="S1094" s="322" t="s">
        <v>31</v>
      </c>
      <c r="T1094" s="306"/>
      <c r="U1094" s="2">
        <f>'Rate Design Work eff 10-14-16'!U1094</f>
        <v>0</v>
      </c>
      <c r="V1094" s="20"/>
      <c r="X1094" s="379"/>
      <c r="AA1094" s="106"/>
      <c r="AB1094" s="710"/>
      <c r="AC1094" s="106"/>
      <c r="AD1094" s="710"/>
      <c r="AE1094" s="106"/>
      <c r="AF1094" s="106"/>
      <c r="AG1094" s="710"/>
      <c r="AH1094" s="20"/>
      <c r="AI1094" s="20"/>
      <c r="AJ1094" s="20"/>
      <c r="AK1094" s="20"/>
      <c r="AL1094" s="20"/>
      <c r="AM1094" s="20"/>
      <c r="AN1094" s="20"/>
      <c r="AO1094" s="20"/>
      <c r="AP1094" s="20"/>
    </row>
    <row r="1095" spans="1:44">
      <c r="A1095" s="294" t="s">
        <v>657</v>
      </c>
      <c r="B1095" s="1"/>
      <c r="C1095" s="304">
        <f>'Rate Design Work eff 10-14-16'!C1095</f>
        <v>703485</v>
      </c>
      <c r="D1095" s="322">
        <f>'Rate Design Work eff 9-15-17'!D1095</f>
        <v>0.25</v>
      </c>
      <c r="E1095" s="306"/>
      <c r="F1095" s="2">
        <f>ROUND(C1095*D1095,0)</f>
        <v>175871</v>
      </c>
      <c r="G1095" s="311">
        <f ca="1">'Rate Design Work eff 9-15-17'!G1095</f>
        <v>0.26</v>
      </c>
      <c r="H1095" s="306"/>
      <c r="I1095" s="2">
        <f ca="1">ROUND(G1095*$C1095,0)</f>
        <v>182906</v>
      </c>
      <c r="J1095" s="2"/>
      <c r="K1095" s="311">
        <f ca="1">'Rate Design Work eff 10-14-16'!K1095</f>
        <v>0.25</v>
      </c>
      <c r="L1095" s="306"/>
      <c r="M1095" s="2">
        <f ca="1">'Rate Design Work eff 10-14-16'!M1095</f>
        <v>175871</v>
      </c>
      <c r="N1095" s="2"/>
      <c r="O1095" s="311" t="str">
        <f>'Rate Design Work eff 10-14-16'!O1095</f>
        <v xml:space="preserve"> </v>
      </c>
      <c r="P1095" s="306"/>
      <c r="Q1095" s="2">
        <f>'Rate Design Work eff 10-14-16'!Q1095</f>
        <v>0</v>
      </c>
      <c r="R1095" s="2"/>
      <c r="S1095" s="311" t="str">
        <f>'Rate Design Work eff 10-14-16'!S1095</f>
        <v xml:space="preserve"> </v>
      </c>
      <c r="T1095" s="306"/>
      <c r="U1095" s="2">
        <f>'Rate Design Work eff 10-14-16'!U1095</f>
        <v>0</v>
      </c>
      <c r="V1095" s="20"/>
      <c r="X1095" s="796">
        <f ca="1">(G1095-D1095)/D1095</f>
        <v>4.0000000000000036E-2</v>
      </c>
      <c r="Y1095" s="751"/>
      <c r="AA1095" s="106"/>
      <c r="AB1095" s="710"/>
      <c r="AC1095" s="106"/>
      <c r="AD1095" s="710"/>
      <c r="AE1095" s="106"/>
      <c r="AF1095" s="106"/>
      <c r="AG1095" s="710"/>
      <c r="AH1095" s="20"/>
      <c r="AI1095" s="20"/>
      <c r="AJ1095" s="20"/>
      <c r="AK1095" s="20"/>
      <c r="AL1095" s="20"/>
      <c r="AM1095" s="20"/>
      <c r="AN1095" s="20"/>
      <c r="AO1095" s="20"/>
      <c r="AP1095" s="20"/>
    </row>
    <row r="1096" spans="1:44">
      <c r="A1096" s="294" t="s">
        <v>393</v>
      </c>
      <c r="B1096" s="1"/>
      <c r="C1096" s="304">
        <f>'Rate Design Work eff 10-14-16'!C1096</f>
        <v>684594</v>
      </c>
      <c r="D1096" s="322">
        <f>'Rate Design Work eff 9-15-17'!D1096</f>
        <v>7.74</v>
      </c>
      <c r="E1096" s="306"/>
      <c r="F1096" s="2">
        <f>ROUND(C1096*D1096,0)</f>
        <v>5298758</v>
      </c>
      <c r="G1096" s="311">
        <f ca="1">'Rate Design Work eff 9-15-17'!G1096</f>
        <v>7.92</v>
      </c>
      <c r="H1096" s="306"/>
      <c r="I1096" s="2">
        <f ca="1">ROUND(G1096*$C1096,0)</f>
        <v>5421984</v>
      </c>
      <c r="J1096" s="2"/>
      <c r="K1096" s="311" t="e">
        <f ca="1">'Rate Design Work eff 10-14-16'!K1096</f>
        <v>#DIV/0!</v>
      </c>
      <c r="L1096" s="306"/>
      <c r="M1096" s="2" t="e">
        <f ca="1">'Rate Design Work eff 10-14-16'!M1096</f>
        <v>#DIV/0!</v>
      </c>
      <c r="N1096" s="2"/>
      <c r="O1096" s="311" t="e">
        <f ca="1">'Rate Design Work eff 10-14-16'!O1096</f>
        <v>#DIV/0!</v>
      </c>
      <c r="P1096" s="306"/>
      <c r="Q1096" s="2" t="e">
        <f ca="1">'Rate Design Work eff 10-14-16'!Q1096</f>
        <v>#DIV/0!</v>
      </c>
      <c r="R1096" s="2"/>
      <c r="S1096" s="311" t="e">
        <f ca="1">'Rate Design Work eff 10-14-16'!S1096</f>
        <v>#DIV/0!</v>
      </c>
      <c r="T1096" s="306"/>
      <c r="U1096" s="2" t="e">
        <f ca="1">'Rate Design Work eff 10-14-16'!U1096</f>
        <v>#DIV/0!</v>
      </c>
      <c r="V1096" s="20"/>
      <c r="X1096" s="796">
        <f ca="1">(G1096-D1096)/D1096</f>
        <v>2.3255813953488334E-2</v>
      </c>
      <c r="Y1096" s="751"/>
      <c r="Z1096" s="74"/>
      <c r="AA1096" s="714"/>
      <c r="AB1096" s="710"/>
      <c r="AC1096" s="714"/>
      <c r="AD1096" s="710"/>
      <c r="AE1096" s="714"/>
      <c r="AF1096" s="74"/>
      <c r="AG1096" s="710"/>
      <c r="AH1096" s="20"/>
      <c r="AI1096" s="20"/>
      <c r="AJ1096" s="20"/>
      <c r="AK1096" s="20"/>
      <c r="AL1096" s="20"/>
      <c r="AM1096" s="20"/>
      <c r="AN1096" s="20"/>
      <c r="AO1096" s="20"/>
      <c r="AP1096" s="20"/>
    </row>
    <row r="1097" spans="1:44">
      <c r="A1097" s="308" t="s">
        <v>416</v>
      </c>
      <c r="B1097" s="1"/>
      <c r="C1097" s="260" t="s">
        <v>31</v>
      </c>
      <c r="D1097" s="398"/>
      <c r="E1097" s="306"/>
      <c r="F1097" s="2"/>
      <c r="G1097" s="398" t="s">
        <v>31</v>
      </c>
      <c r="H1097" s="306"/>
      <c r="I1097" s="2"/>
      <c r="J1097" s="2"/>
      <c r="K1097" s="398" t="s">
        <v>31</v>
      </c>
      <c r="L1097" s="306"/>
      <c r="M1097" s="2"/>
      <c r="N1097" s="2"/>
      <c r="O1097" s="398" t="s">
        <v>31</v>
      </c>
      <c r="P1097" s="306"/>
      <c r="Q1097" s="2"/>
      <c r="R1097" s="2"/>
      <c r="S1097" s="398" t="s">
        <v>31</v>
      </c>
      <c r="T1097" s="306"/>
      <c r="U1097" s="2"/>
      <c r="V1097" s="20"/>
      <c r="X1097" s="379"/>
      <c r="Z1097" s="74"/>
      <c r="AA1097" s="20"/>
      <c r="AB1097" s="20"/>
      <c r="AC1097" s="20"/>
      <c r="AD1097" s="20"/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</row>
    <row r="1098" spans="1:44">
      <c r="A1098" s="308" t="s">
        <v>454</v>
      </c>
      <c r="B1098" s="1"/>
      <c r="C1098" s="304">
        <f>'Rate Design Work eff 10-14-16'!C1098</f>
        <v>458478000</v>
      </c>
      <c r="D1098" s="367">
        <f>'Rate Design Work eff 9-15-17'!D1098</f>
        <v>4.649</v>
      </c>
      <c r="E1098" s="306" t="s">
        <v>364</v>
      </c>
      <c r="F1098" s="2">
        <f>ROUND(C1098/100*D1098,0)</f>
        <v>21314642</v>
      </c>
      <c r="G1098" s="367">
        <f ca="1">'Rate Design Work eff 9-15-17'!G1098</f>
        <v>4.758</v>
      </c>
      <c r="H1098" s="306" t="s">
        <v>364</v>
      </c>
      <c r="I1098" s="2">
        <f ca="1">ROUND(G1098/100*$C1098,0)</f>
        <v>21814383</v>
      </c>
      <c r="J1098" s="2"/>
      <c r="K1098" s="367" t="str">
        <f>'Rate Design Work eff 10-14-16'!K1098</f>
        <v xml:space="preserve"> </v>
      </c>
      <c r="L1098" s="850" t="s">
        <v>31</v>
      </c>
      <c r="M1098" s="2">
        <f>'Rate Design Work eff 10-14-16'!M1098</f>
        <v>0</v>
      </c>
      <c r="N1098" s="2"/>
      <c r="O1098" s="367" t="e">
        <f ca="1">'Rate Design Work eff 10-14-16'!O1098</f>
        <v>#DIV/0!</v>
      </c>
      <c r="P1098" s="306" t="s">
        <v>364</v>
      </c>
      <c r="Q1098" s="2" t="e">
        <f ca="1">'Rate Design Work eff 10-14-16'!Q1098</f>
        <v>#DIV/0!</v>
      </c>
      <c r="R1098" s="2"/>
      <c r="S1098" s="367" t="e">
        <f ca="1">'Rate Design Work eff 10-14-16'!S1098</f>
        <v>#DIV/0!</v>
      </c>
      <c r="T1098" s="306" t="s">
        <v>364</v>
      </c>
      <c r="U1098" s="2" t="e">
        <f ca="1">'Rate Design Work eff 10-14-16'!U1098</f>
        <v>#DIV/0!</v>
      </c>
      <c r="V1098" s="20"/>
      <c r="X1098" s="796">
        <f ca="1">((G1098+G1100)-D1098)/D1098</f>
        <v>2.3445902344590232E-2</v>
      </c>
      <c r="Y1098" s="751"/>
      <c r="Z1098" s="74"/>
      <c r="AA1098" s="20"/>
      <c r="AB1098" s="20"/>
      <c r="AC1098" s="20"/>
      <c r="AD1098" s="20"/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</row>
    <row r="1099" spans="1:44">
      <c r="A1099" s="308" t="s">
        <v>390</v>
      </c>
      <c r="B1099" s="1"/>
      <c r="C1099" s="304">
        <f>'Rate Design Work eff 10-14-16'!C1099</f>
        <v>183540.86666666699</v>
      </c>
      <c r="D1099" s="322">
        <f>'Rate Design Work eff 9-15-17'!D1099</f>
        <v>0.54</v>
      </c>
      <c r="E1099" s="306"/>
      <c r="F1099" s="2">
        <f>ROUND(C1099*D1099,0)</f>
        <v>99112</v>
      </c>
      <c r="G1099" s="311">
        <f ca="1">'Rate Design Work eff 9-15-17'!G1099</f>
        <v>0.55000000000000004</v>
      </c>
      <c r="H1099" s="306"/>
      <c r="I1099" s="2">
        <f ca="1">ROUND(G1099*$C1099,0)</f>
        <v>100947</v>
      </c>
      <c r="J1099" s="2"/>
      <c r="K1099" s="311" t="str">
        <f>'Rate Design Work eff 10-14-16'!K1099</f>
        <v xml:space="preserve"> </v>
      </c>
      <c r="L1099" s="306"/>
      <c r="M1099" s="2">
        <f>'Rate Design Work eff 10-14-16'!M1099</f>
        <v>0</v>
      </c>
      <c r="N1099" s="2"/>
      <c r="O1099" s="311" t="e">
        <f ca="1">'Rate Design Work eff 10-14-16'!O1099</f>
        <v>#DIV/0!</v>
      </c>
      <c r="P1099" s="306"/>
      <c r="Q1099" s="2" t="e">
        <f ca="1">'Rate Design Work eff 10-14-16'!Q1099</f>
        <v>#DIV/0!</v>
      </c>
      <c r="R1099" s="2"/>
      <c r="S1099" s="311" t="e">
        <f ca="1">'Rate Design Work eff 10-14-16'!S1099</f>
        <v>#DIV/0!</v>
      </c>
      <c r="T1099" s="306"/>
      <c r="U1099" s="2" t="e">
        <f ca="1">'Rate Design Work eff 10-14-16'!U1099</f>
        <v>#DIV/0!</v>
      </c>
      <c r="V1099" s="20"/>
      <c r="X1099" s="796">
        <f ca="1">(G1099-D1099)/D1099</f>
        <v>1.8518518518518535E-2</v>
      </c>
      <c r="Y1099" s="751"/>
      <c r="Z1099" s="74"/>
      <c r="AA1099" s="20"/>
      <c r="AB1099" s="2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</row>
    <row r="1100" spans="1:44" s="1118" customFormat="1" hidden="1">
      <c r="A1100" s="968" t="s">
        <v>891</v>
      </c>
      <c r="C1100" s="1122">
        <f>C1098</f>
        <v>458478000</v>
      </c>
      <c r="D1100" s="254">
        <f>'Rate Design Work eff 9-15-17'!D1100</f>
        <v>0</v>
      </c>
      <c r="E1100" s="1119"/>
      <c r="F1100" s="1123"/>
      <c r="G1100" s="1128">
        <f>'Rate Design Work eff 9-15-17'!G1100</f>
        <v>0</v>
      </c>
      <c r="H1100" s="1000" t="s">
        <v>364</v>
      </c>
      <c r="I1100" s="1000">
        <f>ROUND(G1100*$C1100/100,0)</f>
        <v>0</v>
      </c>
      <c r="J1100" s="1000"/>
      <c r="K1100" s="1128" t="str">
        <f>'Rate Design Work eff 10-14-16'!K1100</f>
        <v xml:space="preserve"> </v>
      </c>
      <c r="L1100" s="1000" t="s">
        <v>31</v>
      </c>
      <c r="M1100" s="2">
        <f>'Rate Design Work eff 10-14-16'!M1100</f>
        <v>0</v>
      </c>
      <c r="N1100" s="1000"/>
      <c r="O1100" s="1128" t="str">
        <f>'Rate Design Work eff 10-14-16'!O1100</f>
        <v xml:space="preserve"> </v>
      </c>
      <c r="P1100" s="1000" t="s">
        <v>31</v>
      </c>
      <c r="Q1100" s="2">
        <f>'Rate Design Work eff 10-14-16'!Q1100</f>
        <v>0</v>
      </c>
      <c r="R1100" s="1000"/>
      <c r="S1100" s="1128">
        <f>'Rate Design Work eff 10-14-16'!S1100</f>
        <v>0</v>
      </c>
      <c r="T1100" s="1000" t="s">
        <v>364</v>
      </c>
      <c r="U1100" s="2">
        <f>'Rate Design Work eff 10-14-16'!U1100</f>
        <v>0</v>
      </c>
      <c r="V1100" s="1124">
        <f>'NPC Spread'!H33</f>
        <v>13164524.379283957</v>
      </c>
      <c r="W1100" s="784" t="s">
        <v>857</v>
      </c>
      <c r="Z1100" s="1125"/>
      <c r="AA1100" s="1125"/>
      <c r="AF1100" s="1119"/>
      <c r="AG1100" s="1119"/>
      <c r="AH1100" s="1119"/>
      <c r="AI1100" s="1119"/>
      <c r="AJ1100" s="1119"/>
      <c r="AK1100" s="1119"/>
      <c r="AL1100" s="1119"/>
      <c r="AM1100" s="1119"/>
      <c r="AN1100" s="1119"/>
      <c r="AO1100" s="1119"/>
      <c r="AP1100" s="1119"/>
      <c r="AR1100" s="1124"/>
    </row>
    <row r="1101" spans="1:44" s="1118" customFormat="1" hidden="1">
      <c r="A1101" s="1255" t="s">
        <v>873</v>
      </c>
      <c r="B1101" s="1256"/>
      <c r="C1101" s="1269"/>
      <c r="D1101" s="1270">
        <f>'Rate Design Work eff 9-15-17'!D1101</f>
        <v>4.649</v>
      </c>
      <c r="E1101" s="1266" t="s">
        <v>364</v>
      </c>
      <c r="F1101" s="1259"/>
      <c r="G1101" s="1270">
        <f ca="1">G1098+G1100</f>
        <v>4.758</v>
      </c>
      <c r="H1101" s="1266" t="s">
        <v>364</v>
      </c>
      <c r="I1101" s="1266"/>
      <c r="J1101" s="1266"/>
      <c r="K1101" s="1270" t="s">
        <v>31</v>
      </c>
      <c r="L1101" s="1266" t="s">
        <v>31</v>
      </c>
      <c r="M1101" s="1266"/>
      <c r="N1101" s="1266"/>
      <c r="O1101" s="1270" t="e">
        <f ca="1">O1098+O1100</f>
        <v>#DIV/0!</v>
      </c>
      <c r="P1101" s="1266" t="s">
        <v>364</v>
      </c>
      <c r="Q1101" s="1266"/>
      <c r="R1101" s="1266"/>
      <c r="S1101" s="1270" t="e">
        <f ca="1">S1098+S1100</f>
        <v>#DIV/0!</v>
      </c>
      <c r="T1101" s="1266" t="s">
        <v>364</v>
      </c>
      <c r="U1101" s="1266"/>
      <c r="V1101" s="1124"/>
      <c r="W1101" s="784"/>
      <c r="X1101" s="796">
        <f ca="1">(G1101-D1101)/D1101</f>
        <v>2.3445902344590232E-2</v>
      </c>
      <c r="Z1101" s="1125"/>
      <c r="AA1101" s="1125"/>
      <c r="AF1101" s="1119"/>
      <c r="AG1101" s="1119"/>
      <c r="AH1101" s="1119"/>
      <c r="AI1101" s="1119"/>
      <c r="AJ1101" s="1119"/>
      <c r="AK1101" s="1119"/>
      <c r="AL1101" s="1119"/>
      <c r="AM1101" s="1119"/>
      <c r="AN1101" s="1119"/>
      <c r="AO1101" s="1119"/>
      <c r="AP1101" s="1119"/>
      <c r="AR1101" s="1124"/>
    </row>
    <row r="1102" spans="1:44">
      <c r="A1102" s="1" t="s">
        <v>371</v>
      </c>
      <c r="B1102" s="1"/>
      <c r="C1102" s="304">
        <f>C1098</f>
        <v>458478000</v>
      </c>
      <c r="D1102" s="315"/>
      <c r="E1102" s="1"/>
      <c r="F1102" s="2">
        <f>SUM(F1091:F1099)</f>
        <v>26920620</v>
      </c>
      <c r="G1102" s="315"/>
      <c r="H1102" s="1"/>
      <c r="I1102" s="2">
        <f ca="1">SUM(I1091:I1101)</f>
        <v>27554503</v>
      </c>
      <c r="J1102" s="2"/>
      <c r="K1102" s="772"/>
      <c r="L1102" s="1"/>
      <c r="M1102" s="2" t="e">
        <f ca="1">SUM(M1091:M1101)</f>
        <v>#DIV/0!</v>
      </c>
      <c r="N1102" s="2"/>
      <c r="O1102" s="772"/>
      <c r="P1102" s="1"/>
      <c r="Q1102" s="2" t="e">
        <f ca="1">SUM(Q1091:Q1101)</f>
        <v>#DIV/0!</v>
      </c>
      <c r="R1102" s="2"/>
      <c r="S1102" s="772"/>
      <c r="T1102" s="1"/>
      <c r="U1102" s="2" t="e">
        <f ca="1">SUM(U1091:U1101)</f>
        <v>#DIV/0!</v>
      </c>
      <c r="V1102" s="20"/>
      <c r="W1102" s="74"/>
      <c r="X1102" s="74"/>
      <c r="Y1102" s="74"/>
      <c r="Z1102" s="20"/>
      <c r="AA1102" s="20"/>
      <c r="AB1102" s="20"/>
      <c r="AC1102" s="20"/>
      <c r="AD1102" s="20"/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</row>
    <row r="1103" spans="1:44">
      <c r="A1103" s="1" t="s">
        <v>353</v>
      </c>
      <c r="B1103" s="1"/>
      <c r="C1103" s="304">
        <f ca="1">'Table 2'!H81</f>
        <v>1425501.8481051379</v>
      </c>
      <c r="D1103" s="294"/>
      <c r="E1103" s="294"/>
      <c r="F1103" s="326">
        <f ca="1">'Table 3'!E81</f>
        <v>83632.864840947397</v>
      </c>
      <c r="G1103" s="294"/>
      <c r="H1103" s="294"/>
      <c r="I1103" s="326">
        <f ca="1">F1103</f>
        <v>83632.864840947397</v>
      </c>
      <c r="J1103" s="307"/>
      <c r="K1103" s="294"/>
      <c r="L1103" s="294"/>
      <c r="M1103" s="326" t="e">
        <f ca="1">$I$1103*V1106/($V1106+$W$1106+$X$1106)</f>
        <v>#DIV/0!</v>
      </c>
      <c r="N1103" s="51"/>
      <c r="O1103" s="294"/>
      <c r="P1103" s="294"/>
      <c r="Q1103" s="326" t="e">
        <f ca="1">$I$1103*W1107/($V$1107+$W$1107+$X$1107)</f>
        <v>#DIV/0!</v>
      </c>
      <c r="R1103" s="51"/>
      <c r="S1103" s="294"/>
      <c r="T1103" s="294"/>
      <c r="U1103" s="326" t="e">
        <f ca="1">$I$1103*X1107/($V$1107+$W$1107+$X$1107)</f>
        <v>#DIV/0!</v>
      </c>
      <c r="V1103" s="429"/>
      <c r="W1103" s="272"/>
      <c r="Z1103" s="20"/>
      <c r="AA1103" s="20"/>
      <c r="AB1103" s="20"/>
      <c r="AC1103" s="20"/>
      <c r="AD1103" s="20"/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</row>
    <row r="1104" spans="1:44" ht="16.5" thickBot="1">
      <c r="A1104" s="1" t="s">
        <v>372</v>
      </c>
      <c r="B1104" s="1"/>
      <c r="C1104" s="378">
        <f ca="1">SUM(C1102)+C1103</f>
        <v>459903501.84810513</v>
      </c>
      <c r="D1104" s="327"/>
      <c r="E1104" s="330"/>
      <c r="F1104" s="329">
        <f ca="1">F1102+F1103</f>
        <v>27004252.864840947</v>
      </c>
      <c r="G1104" s="327"/>
      <c r="H1104" s="330"/>
      <c r="I1104" s="329">
        <f ca="1">I1102+I1103</f>
        <v>27638135.864840947</v>
      </c>
      <c r="J1104" s="329"/>
      <c r="K1104" s="327"/>
      <c r="L1104" s="330"/>
      <c r="M1104" s="329" t="e">
        <f ca="1">M1102+M1103</f>
        <v>#DIV/0!</v>
      </c>
      <c r="N1104" s="329"/>
      <c r="O1104" s="327"/>
      <c r="P1104" s="330"/>
      <c r="Q1104" s="329" t="e">
        <f ca="1">Q1102+Q1103</f>
        <v>#DIV/0!</v>
      </c>
      <c r="R1104" s="329"/>
      <c r="S1104" s="327"/>
      <c r="T1104" s="330"/>
      <c r="U1104" s="329" t="e">
        <f ca="1">U1102+U1103</f>
        <v>#DIV/0!</v>
      </c>
      <c r="V1104" s="757" t="s">
        <v>354</v>
      </c>
      <c r="W1104" s="1082">
        <f ca="1">'Rate Spread targets'!X30*1000</f>
        <v>27638138.573071063</v>
      </c>
      <c r="X1104" s="787">
        <f ca="1">'Rate Spread targets'!V30-0.0009</f>
        <v>1.6041448609555999E-2</v>
      </c>
      <c r="Y1104" s="751"/>
      <c r="Z1104" s="770" t="s">
        <v>31</v>
      </c>
      <c r="AA1104" s="20"/>
      <c r="AB1104" s="20"/>
      <c r="AC1104" s="20"/>
      <c r="AD1104" s="20"/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</row>
    <row r="1105" spans="1:42" ht="16.5" thickTop="1">
      <c r="A1105" s="1"/>
      <c r="B1105" s="1"/>
      <c r="C1105" s="21"/>
      <c r="D1105" s="322" t="s">
        <v>31</v>
      </c>
      <c r="E1105" s="1"/>
      <c r="F1105" s="2"/>
      <c r="G1105" s="338" t="s">
        <v>31</v>
      </c>
      <c r="H1105" s="1"/>
      <c r="I1105" s="2" t="s">
        <v>31</v>
      </c>
      <c r="J1105" s="2"/>
      <c r="K1105" s="338" t="s">
        <v>31</v>
      </c>
      <c r="L1105" s="1"/>
      <c r="M1105" s="2" t="s">
        <v>31</v>
      </c>
      <c r="N1105" s="2"/>
      <c r="O1105" s="338" t="s">
        <v>31</v>
      </c>
      <c r="P1105" s="1"/>
      <c r="Q1105" s="2" t="s">
        <v>31</v>
      </c>
      <c r="R1105" s="2"/>
      <c r="S1105" s="338" t="s">
        <v>31</v>
      </c>
      <c r="T1105" s="1"/>
      <c r="U1105" s="2" t="s">
        <v>31</v>
      </c>
      <c r="V1105" s="112" t="s">
        <v>257</v>
      </c>
      <c r="W1105" s="781">
        <f ca="1">W1104-I1104</f>
        <v>2.7082301154732704</v>
      </c>
      <c r="X1105" s="758"/>
      <c r="Y1105" s="74"/>
      <c r="Z1105" s="20"/>
      <c r="AA1105" s="20"/>
      <c r="AB1105" s="20"/>
      <c r="AC1105" s="20"/>
      <c r="AD1105" s="20"/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</row>
    <row r="1106" spans="1:42" hidden="1">
      <c r="A1106" s="1"/>
      <c r="B1106" s="1"/>
      <c r="C1106" s="21"/>
      <c r="D1106" s="322"/>
      <c r="E1106" s="1"/>
      <c r="F1106" s="2"/>
      <c r="G1106" s="338"/>
      <c r="H1106" s="1"/>
      <c r="I1106" s="2"/>
      <c r="J1106" s="2"/>
      <c r="K1106" s="338"/>
      <c r="L1106" s="1"/>
      <c r="M1106" s="2"/>
      <c r="N1106" s="2"/>
      <c r="O1106" s="338"/>
      <c r="P1106" s="1"/>
      <c r="Q1106" s="2"/>
      <c r="R1106" s="2"/>
      <c r="S1106" s="338"/>
      <c r="T1106" s="1"/>
      <c r="U1106" s="2"/>
      <c r="V1106" s="1274"/>
      <c r="W1106" s="1274"/>
      <c r="X1106" s="1274"/>
      <c r="Y1106" s="74"/>
      <c r="Z1106" s="20"/>
      <c r="AA1106" s="20"/>
      <c r="AB1106" s="20"/>
      <c r="AC1106" s="20"/>
      <c r="AD1106" s="20"/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</row>
    <row r="1107" spans="1:42" hidden="1">
      <c r="A1107" s="1"/>
      <c r="B1107" s="1"/>
      <c r="C1107" s="21"/>
      <c r="D1107" s="322"/>
      <c r="E1107" s="1"/>
      <c r="F1107" s="2"/>
      <c r="G1107" s="338"/>
      <c r="H1107" s="1"/>
      <c r="I1107" s="2"/>
      <c r="J1107" s="2"/>
      <c r="K1107" s="338"/>
      <c r="L1107" s="1"/>
      <c r="M1107" s="2"/>
      <c r="N1107" s="2"/>
      <c r="O1107" s="338"/>
      <c r="P1107" s="1"/>
      <c r="Q1107" s="2"/>
      <c r="R1107" s="2"/>
      <c r="S1107" s="338"/>
      <c r="T1107" s="1"/>
      <c r="U1107" s="2"/>
      <c r="V1107" s="396"/>
      <c r="W1107" s="396"/>
      <c r="X1107" s="396"/>
      <c r="Y1107" s="74"/>
      <c r="Z1107" s="20"/>
      <c r="AA1107" s="20"/>
      <c r="AB1107" s="2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</row>
    <row r="1108" spans="1:42">
      <c r="A1108" s="278" t="s">
        <v>472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31</v>
      </c>
      <c r="N1108" s="1"/>
      <c r="O1108" s="1"/>
      <c r="P1108" s="1"/>
      <c r="Q1108" s="2" t="s">
        <v>31</v>
      </c>
      <c r="R1108" s="1"/>
      <c r="S1108" s="1"/>
      <c r="T1108" s="1"/>
      <c r="U1108" s="2" t="s">
        <v>31</v>
      </c>
      <c r="W1108" s="3"/>
      <c r="X1108" s="3"/>
      <c r="Y1108" s="3"/>
      <c r="Z1108" s="20"/>
      <c r="AA1108" s="20"/>
      <c r="AB1108" s="20"/>
      <c r="AC1108" s="20"/>
      <c r="AD1108" s="20"/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</row>
    <row r="1109" spans="1:42">
      <c r="A1109" s="1" t="s">
        <v>575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263"/>
      <c r="Z1109" s="263"/>
      <c r="AA1109" s="263"/>
      <c r="AB1109" s="263"/>
      <c r="AC1109" s="263"/>
      <c r="AD1109" s="263"/>
      <c r="AE1109" s="263"/>
      <c r="AF1109" s="263"/>
      <c r="AG1109" s="263"/>
      <c r="AH1109" s="263"/>
      <c r="AI1109" s="263"/>
      <c r="AJ1109" s="263"/>
      <c r="AK1109" s="263"/>
      <c r="AL1109" s="20"/>
      <c r="AM1109" s="20"/>
      <c r="AN1109" s="20"/>
      <c r="AO1109" s="20"/>
      <c r="AP1109" s="20"/>
    </row>
    <row r="1110" spans="1:42">
      <c r="A1110" s="1" t="s">
        <v>576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263"/>
      <c r="W1110" s="263"/>
      <c r="X1110" s="396" t="s">
        <v>31</v>
      </c>
      <c r="Y1110" s="263"/>
      <c r="Z1110" s="263"/>
      <c r="AA1110" s="263"/>
      <c r="AB1110" s="263"/>
      <c r="AC1110" s="263"/>
      <c r="AD1110" s="263"/>
      <c r="AE1110" s="263"/>
      <c r="AF1110" s="263"/>
      <c r="AG1110" s="263"/>
      <c r="AH1110" s="263"/>
      <c r="AI1110" s="263"/>
      <c r="AJ1110" s="263"/>
      <c r="AK1110" s="263"/>
      <c r="AL1110" s="20"/>
      <c r="AM1110" s="20"/>
      <c r="AN1110" s="20"/>
      <c r="AO1110" s="20"/>
      <c r="AP1110" s="20"/>
    </row>
    <row r="1111" spans="1:42">
      <c r="A1111" s="1" t="s">
        <v>474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263"/>
      <c r="W1111" s="263"/>
      <c r="X1111" s="74"/>
      <c r="Y1111" s="74"/>
      <c r="Z1111" s="264"/>
      <c r="AA1111" s="264"/>
      <c r="AB1111" s="265"/>
      <c r="AC1111" s="265"/>
      <c r="AD1111" s="265"/>
      <c r="AE1111" s="265"/>
      <c r="AF1111" s="266"/>
      <c r="AG1111" s="267"/>
      <c r="AH1111" s="263"/>
      <c r="AI1111" s="263"/>
      <c r="AJ1111" s="263"/>
      <c r="AK1111" s="263"/>
      <c r="AL1111" s="20"/>
      <c r="AM1111" s="20"/>
      <c r="AN1111" s="20"/>
      <c r="AO1111" s="20"/>
      <c r="AP1111" s="20"/>
    </row>
    <row r="1112" spans="1:42">
      <c r="A1112" s="3" t="s">
        <v>348</v>
      </c>
      <c r="C1112" s="249">
        <f>'Rate Design Work eff 10-14-16'!C1112</f>
        <v>13549.416232977699</v>
      </c>
      <c r="D1112" s="250">
        <f>'Rate Design Work eff 9-15-17'!D1112</f>
        <v>8.7200000000000006</v>
      </c>
      <c r="F1112" s="2">
        <f t="shared" ref="F1112:F1121" si="152">ROUND(C1112*D1112,0)</f>
        <v>118151</v>
      </c>
      <c r="G1112" s="250">
        <f>'Rate Design Work eff 9-15-17'!G1112</f>
        <v>8.93</v>
      </c>
      <c r="I1112" s="2">
        <f>ROUND(G1112*$C1112,0)</f>
        <v>120996</v>
      </c>
      <c r="J1112" s="2"/>
      <c r="K1112" s="250" t="e">
        <f>'Rate Design Work eff 10-14-16'!K1112</f>
        <v>#DIV/0!</v>
      </c>
      <c r="M1112" s="2" t="e">
        <f>'Rate Design Work eff 10-14-16'!M1112</f>
        <v>#DIV/0!</v>
      </c>
      <c r="N1112" s="2"/>
      <c r="O1112" s="250" t="e">
        <f>'Rate Design Work eff 10-14-16'!O1112</f>
        <v>#DIV/0!</v>
      </c>
      <c r="Q1112" s="2" t="e">
        <f>'Rate Design Work eff 10-14-16'!Q1112</f>
        <v>#DIV/0!</v>
      </c>
      <c r="R1112" s="2"/>
      <c r="S1112" s="250" t="e">
        <f>'Rate Design Work eff 10-14-16'!S1112</f>
        <v>#DIV/0!</v>
      </c>
      <c r="U1112" s="2" t="e">
        <f>'Rate Design Work eff 10-14-16'!U1112</f>
        <v>#DIV/0!</v>
      </c>
      <c r="X1112" s="266"/>
      <c r="Y1112" s="266"/>
      <c r="Z1112" s="74"/>
      <c r="AA1112" s="388"/>
      <c r="AB1112" s="388"/>
      <c r="AC1112" s="268"/>
      <c r="AD1112" s="268"/>
      <c r="AE1112" s="268"/>
      <c r="AF1112" s="269"/>
      <c r="AG1112" s="263"/>
      <c r="AH1112" s="266"/>
      <c r="AI1112" s="266"/>
      <c r="AJ1112" s="270"/>
      <c r="AK1112" s="266"/>
      <c r="AL1112" s="20"/>
      <c r="AM1112" s="20"/>
      <c r="AN1112" s="20"/>
      <c r="AO1112" s="20"/>
      <c r="AP1112" s="20"/>
    </row>
    <row r="1113" spans="1:42">
      <c r="A1113" s="3" t="s">
        <v>475</v>
      </c>
      <c r="C1113" s="249">
        <f>'Rate Design Work eff 10-14-16'!C1113</f>
        <v>19571.021805529799</v>
      </c>
      <c r="D1113" s="250">
        <f>'Rate Design Work eff 9-15-17'!D1113</f>
        <v>10.47</v>
      </c>
      <c r="F1113" s="2">
        <f t="shared" si="152"/>
        <v>204909</v>
      </c>
      <c r="G1113" s="250">
        <f>'Rate Design Work eff 9-15-17'!G1113</f>
        <v>10.72</v>
      </c>
      <c r="I1113" s="2">
        <f t="shared" ref="I1113:I1133" si="153">ROUND(G1113*$C1113,0)</f>
        <v>209801</v>
      </c>
      <c r="J1113" s="2"/>
      <c r="K1113" s="250" t="e">
        <f>'Rate Design Work eff 10-14-16'!K1113</f>
        <v>#DIV/0!</v>
      </c>
      <c r="M1113" s="2" t="e">
        <f>'Rate Design Work eff 10-14-16'!M1113</f>
        <v>#DIV/0!</v>
      </c>
      <c r="N1113" s="2"/>
      <c r="O1113" s="250" t="e">
        <f>'Rate Design Work eff 10-14-16'!O1113</f>
        <v>#DIV/0!</v>
      </c>
      <c r="Q1113" s="2" t="e">
        <f>'Rate Design Work eff 10-14-16'!Q1113</f>
        <v>#DIV/0!</v>
      </c>
      <c r="R1113" s="2"/>
      <c r="S1113" s="250" t="e">
        <f>'Rate Design Work eff 10-14-16'!S1113</f>
        <v>#DIV/0!</v>
      </c>
      <c r="U1113" s="2" t="e">
        <f>'Rate Design Work eff 10-14-16'!U1113</f>
        <v>#DIV/0!</v>
      </c>
      <c r="X1113" s="266"/>
      <c r="Y1113" s="266"/>
      <c r="Z1113" s="74"/>
      <c r="AA1113" s="388"/>
      <c r="AB1113" s="388"/>
      <c r="AC1113" s="268"/>
      <c r="AD1113" s="268"/>
      <c r="AE1113" s="268"/>
      <c r="AF1113" s="263"/>
      <c r="AG1113" s="263"/>
      <c r="AH1113" s="266"/>
      <c r="AI1113" s="266"/>
      <c r="AJ1113" s="270"/>
      <c r="AK1113" s="266"/>
      <c r="AL1113" s="20"/>
      <c r="AM1113" s="20"/>
      <c r="AN1113" s="20"/>
      <c r="AO1113" s="20"/>
      <c r="AP1113" s="20"/>
    </row>
    <row r="1114" spans="1:42">
      <c r="A1114" s="3" t="s">
        <v>578</v>
      </c>
      <c r="C1114" s="249">
        <f>'Rate Design Work eff 10-14-16'!C1114</f>
        <v>0</v>
      </c>
      <c r="D1114" s="250">
        <f>'Rate Design Work eff 9-15-17'!D1114</f>
        <v>33.24</v>
      </c>
      <c r="F1114" s="2">
        <f t="shared" si="152"/>
        <v>0</v>
      </c>
      <c r="G1114" s="250">
        <f>'Rate Design Work eff 9-15-17'!G1114</f>
        <v>34.03</v>
      </c>
      <c r="I1114" s="2">
        <f t="shared" si="153"/>
        <v>0</v>
      </c>
      <c r="J1114" s="2"/>
      <c r="K1114" s="250" t="e">
        <f>'Rate Design Work eff 10-14-16'!K1114</f>
        <v>#DIV/0!</v>
      </c>
      <c r="M1114" s="2" t="e">
        <f>'Rate Design Work eff 10-14-16'!M1114</f>
        <v>#DIV/0!</v>
      </c>
      <c r="N1114" s="2"/>
      <c r="O1114" s="250" t="e">
        <f>'Rate Design Work eff 10-14-16'!O1114</f>
        <v>#DIV/0!</v>
      </c>
      <c r="Q1114" s="2" t="e">
        <f>'Rate Design Work eff 10-14-16'!Q1114</f>
        <v>#DIV/0!</v>
      </c>
      <c r="R1114" s="2"/>
      <c r="S1114" s="250" t="e">
        <f>'Rate Design Work eff 10-14-16'!S1114</f>
        <v>#DIV/0!</v>
      </c>
      <c r="U1114" s="2" t="e">
        <f>'Rate Design Work eff 10-14-16'!U1114</f>
        <v>#DIV/0!</v>
      </c>
      <c r="X1114" s="266"/>
      <c r="Y1114" s="266"/>
      <c r="Z1114" s="74"/>
      <c r="AA1114" s="388"/>
      <c r="AB1114" s="388"/>
      <c r="AC1114" s="268"/>
      <c r="AD1114" s="268"/>
      <c r="AE1114" s="268"/>
      <c r="AF1114" s="263"/>
      <c r="AG1114" s="263"/>
      <c r="AH1114" s="266"/>
      <c r="AI1114" s="266"/>
      <c r="AJ1114" s="270"/>
      <c r="AK1114" s="266"/>
      <c r="AL1114" s="20"/>
      <c r="AM1114" s="20"/>
      <c r="AN1114" s="20"/>
      <c r="AO1114" s="20"/>
      <c r="AP1114" s="20"/>
    </row>
    <row r="1115" spans="1:42">
      <c r="A1115" s="3" t="s">
        <v>579</v>
      </c>
      <c r="C1115" s="249">
        <f>'Rate Design Work eff 10-14-16'!C1115</f>
        <v>0</v>
      </c>
      <c r="D1115" s="250">
        <f>'Rate Design Work eff 9-15-17'!D1115</f>
        <v>25.84</v>
      </c>
      <c r="F1115" s="2">
        <f t="shared" si="152"/>
        <v>0</v>
      </c>
      <c r="G1115" s="250">
        <f>'Rate Design Work eff 9-15-17'!G1115</f>
        <v>26.46</v>
      </c>
      <c r="I1115" s="2">
        <f t="shared" si="153"/>
        <v>0</v>
      </c>
      <c r="J1115" s="2"/>
      <c r="K1115" s="250" t="e">
        <f>'Rate Design Work eff 10-14-16'!K1115</f>
        <v>#DIV/0!</v>
      </c>
      <c r="M1115" s="2" t="e">
        <f>'Rate Design Work eff 10-14-16'!M1115</f>
        <v>#DIV/0!</v>
      </c>
      <c r="N1115" s="2"/>
      <c r="O1115" s="250" t="e">
        <f>'Rate Design Work eff 10-14-16'!O1115</f>
        <v>#DIV/0!</v>
      </c>
      <c r="Q1115" s="2" t="e">
        <f>'Rate Design Work eff 10-14-16'!Q1115</f>
        <v>#DIV/0!</v>
      </c>
      <c r="R1115" s="2"/>
      <c r="S1115" s="250" t="e">
        <f>'Rate Design Work eff 10-14-16'!S1115</f>
        <v>#DIV/0!</v>
      </c>
      <c r="U1115" s="2" t="e">
        <f>'Rate Design Work eff 10-14-16'!U1115</f>
        <v>#DIV/0!</v>
      </c>
      <c r="X1115" s="266"/>
      <c r="Y1115" s="266"/>
      <c r="Z1115" s="74"/>
      <c r="AA1115" s="388"/>
      <c r="AB1115" s="388"/>
      <c r="AC1115" s="268"/>
      <c r="AD1115" s="268"/>
      <c r="AE1115" s="268"/>
      <c r="AF1115" s="263"/>
      <c r="AG1115" s="263"/>
      <c r="AH1115" s="266"/>
      <c r="AI1115" s="266"/>
      <c r="AJ1115" s="270"/>
      <c r="AK1115" s="266"/>
      <c r="AL1115" s="20"/>
      <c r="AM1115" s="20"/>
      <c r="AN1115" s="20"/>
      <c r="AO1115" s="20"/>
      <c r="AP1115" s="20"/>
    </row>
    <row r="1116" spans="1:42">
      <c r="A1116" s="3" t="s">
        <v>573</v>
      </c>
      <c r="C1116" s="249">
        <f>'Rate Design Work eff 10-14-16'!C1116</f>
        <v>936.93671211539902</v>
      </c>
      <c r="D1116" s="250">
        <f>'Rate Design Work eff 9-15-17'!D1116</f>
        <v>13.37</v>
      </c>
      <c r="F1116" s="2">
        <f t="shared" si="152"/>
        <v>12527</v>
      </c>
      <c r="G1116" s="250">
        <f>'Rate Design Work eff 9-15-17'!G1116</f>
        <v>13.69</v>
      </c>
      <c r="I1116" s="2">
        <f t="shared" si="153"/>
        <v>12827</v>
      </c>
      <c r="J1116" s="2"/>
      <c r="K1116" s="250" t="e">
        <f>'Rate Design Work eff 10-14-16'!K1116</f>
        <v>#DIV/0!</v>
      </c>
      <c r="M1116" s="2" t="e">
        <f>'Rate Design Work eff 10-14-16'!M1116</f>
        <v>#DIV/0!</v>
      </c>
      <c r="N1116" s="2"/>
      <c r="O1116" s="250" t="e">
        <f>'Rate Design Work eff 10-14-16'!O1116</f>
        <v>#DIV/0!</v>
      </c>
      <c r="Q1116" s="2" t="e">
        <f>'Rate Design Work eff 10-14-16'!Q1116</f>
        <v>#DIV/0!</v>
      </c>
      <c r="R1116" s="2"/>
      <c r="S1116" s="250" t="e">
        <f>'Rate Design Work eff 10-14-16'!S1116</f>
        <v>#DIV/0!</v>
      </c>
      <c r="U1116" s="2" t="e">
        <f>'Rate Design Work eff 10-14-16'!U1116</f>
        <v>#DIV/0!</v>
      </c>
      <c r="X1116" s="266"/>
      <c r="Y1116" s="266"/>
      <c r="Z1116" s="74"/>
      <c r="AA1116" s="388"/>
      <c r="AB1116" s="388"/>
      <c r="AC1116" s="268"/>
      <c r="AD1116" s="268"/>
      <c r="AE1116" s="268"/>
      <c r="AF1116" s="263"/>
      <c r="AG1116" s="263"/>
      <c r="AH1116" s="266"/>
      <c r="AI1116" s="266"/>
      <c r="AJ1116" s="270"/>
      <c r="AK1116" s="266"/>
      <c r="AL1116" s="20"/>
      <c r="AM1116" s="20"/>
      <c r="AN1116" s="20"/>
      <c r="AO1116" s="20"/>
      <c r="AP1116" s="20"/>
    </row>
    <row r="1117" spans="1:42">
      <c r="A1117" s="3" t="s">
        <v>580</v>
      </c>
      <c r="C1117" s="249">
        <f>'Rate Design Work eff 10-14-16'!C1117</f>
        <v>0</v>
      </c>
      <c r="D1117" s="250">
        <f>'Rate Design Work eff 9-15-17'!D1117</f>
        <v>34.43</v>
      </c>
      <c r="F1117" s="2">
        <f t="shared" si="152"/>
        <v>0</v>
      </c>
      <c r="G1117" s="250">
        <f>'Rate Design Work eff 9-15-17'!G1117</f>
        <v>35.25</v>
      </c>
      <c r="I1117" s="2">
        <f t="shared" si="153"/>
        <v>0</v>
      </c>
      <c r="J1117" s="2"/>
      <c r="K1117" s="250" t="e">
        <f>'Rate Design Work eff 10-14-16'!K1117</f>
        <v>#DIV/0!</v>
      </c>
      <c r="M1117" s="2" t="e">
        <f>'Rate Design Work eff 10-14-16'!M1117</f>
        <v>#DIV/0!</v>
      </c>
      <c r="N1117" s="2"/>
      <c r="O1117" s="250" t="e">
        <f>'Rate Design Work eff 10-14-16'!O1117</f>
        <v>#DIV/0!</v>
      </c>
      <c r="Q1117" s="2" t="e">
        <f>'Rate Design Work eff 10-14-16'!Q1117</f>
        <v>#DIV/0!</v>
      </c>
      <c r="R1117" s="2"/>
      <c r="S1117" s="250" t="e">
        <f>'Rate Design Work eff 10-14-16'!S1117</f>
        <v>#DIV/0!</v>
      </c>
      <c r="U1117" s="2" t="e">
        <f>'Rate Design Work eff 10-14-16'!U1117</f>
        <v>#DIV/0!</v>
      </c>
      <c r="X1117" s="266"/>
      <c r="Y1117" s="266"/>
      <c r="Z1117" s="74"/>
      <c r="AA1117" s="388"/>
      <c r="AB1117" s="388"/>
      <c r="AC1117" s="268"/>
      <c r="AD1117" s="268"/>
      <c r="AE1117" s="268"/>
      <c r="AF1117" s="263"/>
      <c r="AG1117" s="263"/>
      <c r="AH1117" s="266"/>
      <c r="AI1117" s="266"/>
      <c r="AJ1117" s="270"/>
      <c r="AK1117" s="266"/>
      <c r="AL1117" s="20"/>
      <c r="AM1117" s="20"/>
      <c r="AN1117" s="20"/>
      <c r="AO1117" s="20"/>
      <c r="AP1117" s="20"/>
    </row>
    <row r="1118" spans="1:42">
      <c r="A1118" s="3" t="s">
        <v>581</v>
      </c>
      <c r="C1118" s="249">
        <f>'Rate Design Work eff 10-14-16'!C1118</f>
        <v>0</v>
      </c>
      <c r="D1118" s="250">
        <f>'Rate Design Work eff 9-15-17'!D1118</f>
        <v>27.07</v>
      </c>
      <c r="F1118" s="2">
        <f t="shared" si="152"/>
        <v>0</v>
      </c>
      <c r="G1118" s="250">
        <f>'Rate Design Work eff 9-15-17'!G1118</f>
        <v>27.72</v>
      </c>
      <c r="I1118" s="2">
        <f t="shared" si="153"/>
        <v>0</v>
      </c>
      <c r="J1118" s="2"/>
      <c r="K1118" s="250" t="e">
        <f>'Rate Design Work eff 10-14-16'!K1118</f>
        <v>#DIV/0!</v>
      </c>
      <c r="M1118" s="2" t="e">
        <f>'Rate Design Work eff 10-14-16'!M1118</f>
        <v>#DIV/0!</v>
      </c>
      <c r="N1118" s="2"/>
      <c r="O1118" s="250" t="e">
        <f>'Rate Design Work eff 10-14-16'!O1118</f>
        <v>#DIV/0!</v>
      </c>
      <c r="Q1118" s="2" t="e">
        <f>'Rate Design Work eff 10-14-16'!Q1118</f>
        <v>#DIV/0!</v>
      </c>
      <c r="R1118" s="2"/>
      <c r="S1118" s="250" t="e">
        <f>'Rate Design Work eff 10-14-16'!S1118</f>
        <v>#DIV/0!</v>
      </c>
      <c r="U1118" s="2" t="e">
        <f>'Rate Design Work eff 10-14-16'!U1118</f>
        <v>#DIV/0!</v>
      </c>
      <c r="X1118" s="266"/>
      <c r="Y1118" s="266"/>
      <c r="Z1118" s="74"/>
      <c r="AA1118" s="388"/>
      <c r="AB1118" s="388"/>
      <c r="AC1118" s="268"/>
      <c r="AD1118" s="268"/>
      <c r="AE1118" s="268"/>
      <c r="AF1118" s="263"/>
      <c r="AG1118" s="263"/>
      <c r="AH1118" s="266"/>
      <c r="AI1118" s="266"/>
      <c r="AJ1118" s="270"/>
      <c r="AK1118" s="266"/>
      <c r="AL1118" s="20"/>
      <c r="AM1118" s="20"/>
      <c r="AN1118" s="20"/>
      <c r="AO1118" s="20"/>
      <c r="AP1118" s="20"/>
    </row>
    <row r="1119" spans="1:42">
      <c r="A1119" s="3" t="s">
        <v>349</v>
      </c>
      <c r="C1119" s="249">
        <f>'Rate Design Work eff 10-14-16'!C1119</f>
        <v>19952.514273228699</v>
      </c>
      <c r="D1119" s="250">
        <f>'Rate Design Work eff 9-15-17'!D1119</f>
        <v>15.27</v>
      </c>
      <c r="F1119" s="2">
        <f t="shared" si="152"/>
        <v>304675</v>
      </c>
      <c r="G1119" s="250">
        <f>'Rate Design Work eff 9-15-17'!G1119</f>
        <v>15.63</v>
      </c>
      <c r="I1119" s="2">
        <f t="shared" si="153"/>
        <v>311858</v>
      </c>
      <c r="J1119" s="2"/>
      <c r="K1119" s="250" t="e">
        <f>'Rate Design Work eff 10-14-16'!K1119</f>
        <v>#DIV/0!</v>
      </c>
      <c r="M1119" s="2" t="e">
        <f>'Rate Design Work eff 10-14-16'!M1119</f>
        <v>#DIV/0!</v>
      </c>
      <c r="N1119" s="2"/>
      <c r="O1119" s="250" t="e">
        <f>'Rate Design Work eff 10-14-16'!O1119</f>
        <v>#DIV/0!</v>
      </c>
      <c r="Q1119" s="2" t="e">
        <f>'Rate Design Work eff 10-14-16'!Q1119</f>
        <v>#DIV/0!</v>
      </c>
      <c r="R1119" s="2"/>
      <c r="S1119" s="250" t="e">
        <f>'Rate Design Work eff 10-14-16'!S1119</f>
        <v>#DIV/0!</v>
      </c>
      <c r="U1119" s="2" t="e">
        <f>'Rate Design Work eff 10-14-16'!U1119</f>
        <v>#DIV/0!</v>
      </c>
      <c r="X1119" s="266"/>
      <c r="Y1119" s="266"/>
      <c r="Z1119" s="74"/>
      <c r="AA1119" s="388"/>
      <c r="AB1119" s="388"/>
      <c r="AC1119" s="268"/>
      <c r="AD1119" s="268"/>
      <c r="AE1119" s="268"/>
      <c r="AF1119" s="263"/>
      <c r="AG1119" s="263"/>
      <c r="AH1119" s="266"/>
      <c r="AI1119" s="266"/>
      <c r="AJ1119" s="270"/>
      <c r="AK1119" s="266"/>
      <c r="AL1119" s="20"/>
      <c r="AM1119" s="20"/>
      <c r="AN1119" s="20"/>
      <c r="AO1119" s="20"/>
      <c r="AP1119" s="20"/>
    </row>
    <row r="1120" spans="1:42">
      <c r="A1120" s="3" t="s">
        <v>574</v>
      </c>
      <c r="C1120" s="249">
        <f>'Rate Design Work eff 10-14-16'!C1120</f>
        <v>1982.0024720791801</v>
      </c>
      <c r="D1120" s="250">
        <f>'Rate Design Work eff 9-15-17'!D1120</f>
        <v>19.36</v>
      </c>
      <c r="F1120" s="2">
        <f t="shared" si="152"/>
        <v>38372</v>
      </c>
      <c r="G1120" s="250">
        <f>'Rate Design Work eff 9-15-17'!G1120</f>
        <v>19.8</v>
      </c>
      <c r="I1120" s="2">
        <f t="shared" si="153"/>
        <v>39244</v>
      </c>
      <c r="J1120" s="2"/>
      <c r="K1120" s="250" t="e">
        <f>'Rate Design Work eff 10-14-16'!K1120</f>
        <v>#DIV/0!</v>
      </c>
      <c r="M1120" s="2" t="e">
        <f>'Rate Design Work eff 10-14-16'!M1120</f>
        <v>#DIV/0!</v>
      </c>
      <c r="N1120" s="2"/>
      <c r="O1120" s="250" t="e">
        <f>'Rate Design Work eff 10-14-16'!O1120</f>
        <v>#DIV/0!</v>
      </c>
      <c r="Q1120" s="2" t="e">
        <f>'Rate Design Work eff 10-14-16'!Q1120</f>
        <v>#DIV/0!</v>
      </c>
      <c r="R1120" s="2"/>
      <c r="S1120" s="250" t="e">
        <f>'Rate Design Work eff 10-14-16'!S1120</f>
        <v>#DIV/0!</v>
      </c>
      <c r="U1120" s="2" t="e">
        <f>'Rate Design Work eff 10-14-16'!U1120</f>
        <v>#DIV/0!</v>
      </c>
      <c r="X1120" s="266"/>
      <c r="Y1120" s="266"/>
      <c r="Z1120" s="74"/>
      <c r="AA1120" s="388"/>
      <c r="AB1120" s="388"/>
      <c r="AC1120" s="268"/>
      <c r="AD1120" s="268"/>
      <c r="AE1120" s="268"/>
      <c r="AF1120" s="263"/>
      <c r="AG1120" s="263"/>
      <c r="AH1120" s="266"/>
      <c r="AI1120" s="266"/>
      <c r="AJ1120" s="270"/>
      <c r="AK1120" s="266"/>
      <c r="AL1120" s="20"/>
      <c r="AM1120" s="20"/>
      <c r="AN1120" s="20"/>
      <c r="AO1120" s="20"/>
      <c r="AP1120" s="20"/>
    </row>
    <row r="1121" spans="1:42">
      <c r="A1121" s="3" t="s">
        <v>350</v>
      </c>
      <c r="C1121" s="249">
        <f>'Rate Design Work eff 10-14-16'!C1121</f>
        <v>3479.9991629691299</v>
      </c>
      <c r="D1121" s="250">
        <f>'Rate Design Work eff 9-15-17'!D1121</f>
        <v>25.56</v>
      </c>
      <c r="F1121" s="2">
        <f t="shared" si="152"/>
        <v>88949</v>
      </c>
      <c r="G1121" s="250">
        <f>'Rate Design Work eff 9-15-17'!G1121</f>
        <v>26.16</v>
      </c>
      <c r="I1121" s="2">
        <f>ROUND(G1121*$C1121,0)</f>
        <v>91037</v>
      </c>
      <c r="J1121" s="2"/>
      <c r="K1121" s="250" t="e">
        <f>'Rate Design Work eff 10-14-16'!K1121</f>
        <v>#DIV/0!</v>
      </c>
      <c r="M1121" s="2" t="e">
        <f>'Rate Design Work eff 10-14-16'!M1121</f>
        <v>#DIV/0!</v>
      </c>
      <c r="N1121" s="2"/>
      <c r="O1121" s="250" t="e">
        <f>'Rate Design Work eff 10-14-16'!O1121</f>
        <v>#DIV/0!</v>
      </c>
      <c r="Q1121" s="2" t="e">
        <f>'Rate Design Work eff 10-14-16'!Q1121</f>
        <v>#DIV/0!</v>
      </c>
      <c r="R1121" s="2"/>
      <c r="S1121" s="250" t="e">
        <f>'Rate Design Work eff 10-14-16'!S1121</f>
        <v>#DIV/0!</v>
      </c>
      <c r="U1121" s="2" t="e">
        <f>'Rate Design Work eff 10-14-16'!U1121</f>
        <v>#DIV/0!</v>
      </c>
      <c r="X1121" s="266"/>
      <c r="Y1121" s="266"/>
      <c r="Z1121" s="74"/>
      <c r="AA1121" s="388"/>
      <c r="AB1121" s="388"/>
      <c r="AC1121" s="268"/>
      <c r="AD1121" s="268"/>
      <c r="AE1121" s="268"/>
      <c r="AF1121" s="263"/>
      <c r="AG1121" s="263"/>
      <c r="AH1121" s="266"/>
      <c r="AI1121" s="266"/>
      <c r="AJ1121" s="270"/>
      <c r="AK1121" s="266"/>
      <c r="AL1121" s="20"/>
      <c r="AM1121" s="20"/>
      <c r="AN1121" s="20"/>
      <c r="AO1121" s="20"/>
      <c r="AP1121" s="20"/>
    </row>
    <row r="1122" spans="1:42">
      <c r="A1122" s="742" t="s">
        <v>904</v>
      </c>
      <c r="C1122" s="249"/>
      <c r="D1122" s="250"/>
      <c r="F1122" s="2"/>
      <c r="G1122" s="250"/>
      <c r="I1122" s="2"/>
      <c r="J1122" s="2"/>
      <c r="K1122" s="250"/>
      <c r="M1122" s="2"/>
      <c r="N1122" s="2"/>
      <c r="O1122" s="250"/>
      <c r="Q1122" s="2"/>
      <c r="R1122" s="2"/>
      <c r="S1122" s="250"/>
      <c r="U1122" s="2"/>
      <c r="X1122" s="266"/>
      <c r="Y1122" s="266"/>
      <c r="Z1122" s="74"/>
      <c r="AA1122" s="388"/>
      <c r="AB1122" s="388"/>
      <c r="AC1122" s="268"/>
      <c r="AD1122" s="268"/>
      <c r="AE1122" s="268"/>
      <c r="AF1122" s="263"/>
      <c r="AG1122" s="263"/>
      <c r="AH1122" s="266"/>
      <c r="AI1122" s="266"/>
      <c r="AJ1122" s="270"/>
      <c r="AK1122" s="266"/>
      <c r="AL1122" s="20"/>
      <c r="AM1122" s="20"/>
      <c r="AN1122" s="20"/>
      <c r="AO1122" s="20"/>
      <c r="AP1122" s="20"/>
    </row>
    <row r="1123" spans="1:42">
      <c r="A1123" s="4" t="s">
        <v>1043</v>
      </c>
      <c r="C1123" s="249">
        <f>'Rate Design Work eff 10-14-16'!C1122</f>
        <v>0</v>
      </c>
      <c r="D1123" s="250">
        <v>7.77</v>
      </c>
      <c r="F1123" s="2">
        <f t="shared" ref="F1123:F1128" si="154">ROUND(C1123*D1123,0)</f>
        <v>0</v>
      </c>
      <c r="G1123" s="250">
        <f>9.86/9.64*D1123</f>
        <v>7.9473236514522814</v>
      </c>
      <c r="I1123" s="2">
        <f t="shared" ref="I1123:I1128" si="155">ROUND(G1123*$C1123,0)</f>
        <v>0</v>
      </c>
      <c r="J1123" s="2"/>
      <c r="K1123" s="250">
        <f>'Rate Design Work eff 10-14-16'!K1122</f>
        <v>0</v>
      </c>
      <c r="M1123" s="2">
        <f>'Rate Design Work eff 10-14-16'!M1122</f>
        <v>0</v>
      </c>
      <c r="N1123" s="2"/>
      <c r="O1123" s="250">
        <f>'Rate Design Work eff 10-14-16'!O1122</f>
        <v>0</v>
      </c>
      <c r="Q1123" s="2">
        <f>'Rate Design Work eff 10-14-16'!Q1122</f>
        <v>0</v>
      </c>
      <c r="R1123" s="2"/>
      <c r="S1123" s="250">
        <f>'Rate Design Work eff 10-14-16'!S1122</f>
        <v>0</v>
      </c>
      <c r="U1123" s="2">
        <f>'Rate Design Work eff 10-14-16'!U1122</f>
        <v>0</v>
      </c>
      <c r="X1123" s="266"/>
      <c r="Y1123" s="266"/>
      <c r="Z1123" s="74"/>
      <c r="AA1123" s="388"/>
      <c r="AB1123" s="388"/>
      <c r="AC1123" s="268"/>
      <c r="AD1123" s="268"/>
      <c r="AE1123" s="268"/>
      <c r="AF1123" s="263"/>
      <c r="AG1123" s="263"/>
      <c r="AH1123" s="266"/>
      <c r="AI1123" s="266"/>
      <c r="AJ1123" s="270"/>
      <c r="AK1123" s="266"/>
      <c r="AL1123" s="20"/>
      <c r="AM1123" s="20"/>
      <c r="AN1123" s="20"/>
      <c r="AO1123" s="20"/>
      <c r="AP1123" s="20"/>
    </row>
    <row r="1124" spans="1:42">
      <c r="A1124" s="4" t="s">
        <v>1044</v>
      </c>
      <c r="C1124" s="249">
        <f>'Rate Design Work eff 10-14-16'!C1123</f>
        <v>26.521225423076601</v>
      </c>
      <c r="D1124" s="250">
        <f>'Rate Design Work eff 9-15-17'!D1123</f>
        <v>9.64</v>
      </c>
      <c r="F1124" s="2">
        <f t="shared" si="154"/>
        <v>256</v>
      </c>
      <c r="G1124" s="250">
        <f>'Rate Design Work eff 9-15-17'!G1123</f>
        <v>9.86</v>
      </c>
      <c r="I1124" s="2">
        <f t="shared" si="155"/>
        <v>261</v>
      </c>
      <c r="J1124" s="2"/>
      <c r="K1124" s="250" t="e">
        <f>'Rate Design Work eff 10-14-16'!K1123</f>
        <v>#DIV/0!</v>
      </c>
      <c r="M1124" s="2" t="e">
        <f>'Rate Design Work eff 10-14-16'!M1123</f>
        <v>#DIV/0!</v>
      </c>
      <c r="N1124" s="2"/>
      <c r="O1124" s="250" t="e">
        <f>'Rate Design Work eff 10-14-16'!O1123</f>
        <v>#DIV/0!</v>
      </c>
      <c r="Q1124" s="2" t="e">
        <f>'Rate Design Work eff 10-14-16'!Q1123</f>
        <v>#DIV/0!</v>
      </c>
      <c r="R1124" s="2"/>
      <c r="S1124" s="250" t="e">
        <f>'Rate Design Work eff 10-14-16'!S1123</f>
        <v>#DIV/0!</v>
      </c>
      <c r="U1124" s="2" t="e">
        <f>'Rate Design Work eff 10-14-16'!U1123</f>
        <v>#DIV/0!</v>
      </c>
      <c r="X1124" s="266"/>
      <c r="Y1124" s="266"/>
      <c r="Z1124" s="74"/>
      <c r="AA1124" s="388"/>
      <c r="AB1124" s="388"/>
      <c r="AC1124" s="268"/>
      <c r="AD1124" s="268"/>
      <c r="AE1124" s="268"/>
      <c r="AF1124" s="263"/>
      <c r="AG1124" s="263"/>
      <c r="AH1124" s="266"/>
      <c r="AI1124" s="266"/>
      <c r="AJ1124" s="270"/>
      <c r="AK1124" s="266"/>
      <c r="AL1124" s="20"/>
      <c r="AM1124" s="20"/>
      <c r="AN1124" s="20"/>
      <c r="AO1124" s="20"/>
      <c r="AP1124" s="20"/>
    </row>
    <row r="1125" spans="1:42">
      <c r="A1125" s="4" t="s">
        <v>1045</v>
      </c>
      <c r="C1125" s="249">
        <f>'Rate Design Work eff 10-14-16'!C1124</f>
        <v>27.733736654054098</v>
      </c>
      <c r="D1125" s="250">
        <f>'Rate Design Work eff 9-15-17'!D1124</f>
        <v>12.15</v>
      </c>
      <c r="F1125" s="2">
        <f t="shared" si="154"/>
        <v>337</v>
      </c>
      <c r="G1125" s="250">
        <f>'Rate Design Work eff 9-15-17'!G1124</f>
        <v>12.43</v>
      </c>
      <c r="I1125" s="2">
        <f t="shared" si="155"/>
        <v>345</v>
      </c>
      <c r="J1125" s="2"/>
      <c r="K1125" s="250" t="e">
        <f>'Rate Design Work eff 10-14-16'!K1124</f>
        <v>#DIV/0!</v>
      </c>
      <c r="M1125" s="2" t="e">
        <f>'Rate Design Work eff 10-14-16'!M1124</f>
        <v>#DIV/0!</v>
      </c>
      <c r="N1125" s="2"/>
      <c r="O1125" s="250" t="e">
        <f>'Rate Design Work eff 10-14-16'!O1124</f>
        <v>#DIV/0!</v>
      </c>
      <c r="Q1125" s="2" t="e">
        <f>'Rate Design Work eff 10-14-16'!Q1124</f>
        <v>#DIV/0!</v>
      </c>
      <c r="R1125" s="2"/>
      <c r="S1125" s="250" t="e">
        <f>'Rate Design Work eff 10-14-16'!S1124</f>
        <v>#DIV/0!</v>
      </c>
      <c r="U1125" s="2" t="e">
        <f>'Rate Design Work eff 10-14-16'!U1124</f>
        <v>#DIV/0!</v>
      </c>
      <c r="X1125" s="266"/>
      <c r="Y1125" s="266"/>
      <c r="Z1125" s="74"/>
      <c r="AA1125" s="388"/>
      <c r="AB1125" s="388"/>
      <c r="AC1125" s="268"/>
      <c r="AD1125" s="268"/>
      <c r="AE1125" s="268"/>
      <c r="AF1125" s="263"/>
      <c r="AG1125" s="263"/>
      <c r="AH1125" s="266"/>
      <c r="AI1125" s="266"/>
      <c r="AJ1125" s="270"/>
      <c r="AK1125" s="266"/>
      <c r="AL1125" s="20"/>
      <c r="AM1125" s="20"/>
      <c r="AN1125" s="20"/>
      <c r="AO1125" s="20"/>
      <c r="AP1125" s="20"/>
    </row>
    <row r="1126" spans="1:42">
      <c r="A1126" s="4" t="s">
        <v>1046</v>
      </c>
      <c r="C1126" s="249">
        <v>0</v>
      </c>
      <c r="D1126" s="250">
        <v>12.58</v>
      </c>
      <c r="F1126" s="2">
        <f t="shared" si="154"/>
        <v>0</v>
      </c>
      <c r="G1126" s="250">
        <f>G1125/D1125*D1126</f>
        <v>12.869909465020577</v>
      </c>
      <c r="I1126" s="2">
        <f t="shared" si="155"/>
        <v>0</v>
      </c>
      <c r="J1126" s="2"/>
      <c r="K1126" s="250" t="e">
        <f>'Rate Design Work eff 10-14-16'!K1125</f>
        <v>#DIV/0!</v>
      </c>
      <c r="M1126" s="2" t="e">
        <f>'Rate Design Work eff 10-14-16'!M1125</f>
        <v>#DIV/0!</v>
      </c>
      <c r="N1126" s="2"/>
      <c r="O1126" s="250" t="e">
        <f>'Rate Design Work eff 10-14-16'!O1125</f>
        <v>#DIV/0!</v>
      </c>
      <c r="Q1126" s="2" t="e">
        <f>'Rate Design Work eff 10-14-16'!Q1125</f>
        <v>#DIV/0!</v>
      </c>
      <c r="R1126" s="2"/>
      <c r="S1126" s="250" t="e">
        <f>'Rate Design Work eff 10-14-16'!S1125</f>
        <v>#DIV/0!</v>
      </c>
      <c r="U1126" s="2" t="e">
        <f>'Rate Design Work eff 10-14-16'!U1125</f>
        <v>#DIV/0!</v>
      </c>
      <c r="X1126" s="266"/>
      <c r="Y1126" s="266"/>
      <c r="Z1126" s="74"/>
      <c r="AA1126" s="388"/>
      <c r="AB1126" s="388"/>
      <c r="AC1126" s="268"/>
      <c r="AD1126" s="268"/>
      <c r="AE1126" s="268"/>
      <c r="AF1126" s="263"/>
      <c r="AG1126" s="263"/>
      <c r="AH1126" s="266"/>
      <c r="AI1126" s="266"/>
      <c r="AJ1126" s="270"/>
      <c r="AK1126" s="266"/>
      <c r="AL1126" s="20"/>
      <c r="AM1126" s="20"/>
      <c r="AN1126" s="20"/>
      <c r="AO1126" s="20"/>
      <c r="AP1126" s="20"/>
    </row>
    <row r="1127" spans="1:42">
      <c r="A1127" s="4" t="s">
        <v>1047</v>
      </c>
      <c r="C1127" s="249">
        <f>'Rate Design Work eff 10-14-16'!C1125</f>
        <v>55.638368302961503</v>
      </c>
      <c r="D1127" s="250">
        <f>'Rate Design Work eff 9-15-17'!D1125</f>
        <v>20.2</v>
      </c>
      <c r="F1127" s="2">
        <f t="shared" si="154"/>
        <v>1124</v>
      </c>
      <c r="G1127" s="250">
        <f>'Rate Design Work eff 9-15-17'!G1125</f>
        <v>20.669999999999998</v>
      </c>
      <c r="I1127" s="2">
        <f t="shared" si="155"/>
        <v>1150</v>
      </c>
      <c r="J1127" s="2"/>
      <c r="K1127" s="250" t="e">
        <f>'Rate Design Work eff 10-14-16'!K1125</f>
        <v>#DIV/0!</v>
      </c>
      <c r="M1127" s="2" t="e">
        <f>'Rate Design Work eff 10-14-16'!M1125</f>
        <v>#DIV/0!</v>
      </c>
      <c r="N1127" s="2"/>
      <c r="O1127" s="250" t="e">
        <f>'Rate Design Work eff 10-14-16'!O1125</f>
        <v>#DIV/0!</v>
      </c>
      <c r="Q1127" s="2" t="e">
        <f>'Rate Design Work eff 10-14-16'!Q1125</f>
        <v>#DIV/0!</v>
      </c>
      <c r="R1127" s="2"/>
      <c r="S1127" s="250" t="e">
        <f>'Rate Design Work eff 10-14-16'!S1125</f>
        <v>#DIV/0!</v>
      </c>
      <c r="U1127" s="2" t="e">
        <f>'Rate Design Work eff 10-14-16'!U1125</f>
        <v>#DIV/0!</v>
      </c>
      <c r="X1127" s="266"/>
      <c r="Y1127" s="266"/>
      <c r="Z1127" s="74"/>
      <c r="AA1127" s="388"/>
      <c r="AB1127" s="388"/>
      <c r="AC1127" s="268"/>
      <c r="AD1127" s="268"/>
      <c r="AE1127" s="268"/>
      <c r="AF1127" s="263"/>
      <c r="AG1127" s="263"/>
      <c r="AH1127" s="266"/>
      <c r="AI1127" s="266"/>
      <c r="AJ1127" s="270"/>
      <c r="AK1127" s="266"/>
      <c r="AL1127" s="20"/>
      <c r="AM1127" s="20"/>
      <c r="AN1127" s="20"/>
      <c r="AO1127" s="20"/>
      <c r="AP1127" s="20"/>
    </row>
    <row r="1128" spans="1:42">
      <c r="A1128" s="4" t="s">
        <v>1048</v>
      </c>
      <c r="C1128" s="249">
        <f>'Rate Design Work eff 10-14-16'!C1126</f>
        <v>33.215584669332003</v>
      </c>
      <c r="D1128" s="250">
        <f>'Rate Design Work eff 9-15-17'!D1126</f>
        <v>25.49</v>
      </c>
      <c r="F1128" s="2">
        <f t="shared" si="154"/>
        <v>847</v>
      </c>
      <c r="G1128" s="250">
        <f>'Rate Design Work eff 9-15-17'!G1126</f>
        <v>26.09</v>
      </c>
      <c r="I1128" s="2">
        <f t="shared" si="155"/>
        <v>867</v>
      </c>
      <c r="J1128" s="2"/>
      <c r="K1128" s="250" t="e">
        <f>'Rate Design Work eff 10-14-16'!K1126</f>
        <v>#DIV/0!</v>
      </c>
      <c r="M1128" s="2" t="e">
        <f>'Rate Design Work eff 10-14-16'!M1126</f>
        <v>#DIV/0!</v>
      </c>
      <c r="N1128" s="2"/>
      <c r="O1128" s="250" t="e">
        <f>'Rate Design Work eff 10-14-16'!O1126</f>
        <v>#DIV/0!</v>
      </c>
      <c r="Q1128" s="2" t="e">
        <f>'Rate Design Work eff 10-14-16'!Q1126</f>
        <v>#DIV/0!</v>
      </c>
      <c r="R1128" s="2"/>
      <c r="S1128" s="250" t="e">
        <f>'Rate Design Work eff 10-14-16'!S1126</f>
        <v>#DIV/0!</v>
      </c>
      <c r="U1128" s="2" t="e">
        <f>'Rate Design Work eff 10-14-16'!U1126</f>
        <v>#DIV/0!</v>
      </c>
      <c r="X1128" s="266"/>
      <c r="Y1128" s="266"/>
      <c r="Z1128" s="74"/>
      <c r="AA1128" s="388"/>
      <c r="AB1128" s="388"/>
      <c r="AC1128" s="268"/>
      <c r="AD1128" s="268"/>
      <c r="AE1128" s="268"/>
      <c r="AF1128" s="263"/>
      <c r="AG1128" s="263"/>
      <c r="AH1128" s="266"/>
      <c r="AI1128" s="266"/>
      <c r="AJ1128" s="270"/>
      <c r="AK1128" s="266"/>
      <c r="AL1128" s="20"/>
      <c r="AM1128" s="20"/>
      <c r="AN1128" s="20"/>
      <c r="AO1128" s="20"/>
      <c r="AP1128" s="20"/>
    </row>
    <row r="1129" spans="1:42">
      <c r="A1129" s="3" t="s">
        <v>577</v>
      </c>
      <c r="C1129" s="249"/>
      <c r="D1129" s="250"/>
      <c r="F1129" s="2"/>
      <c r="G1129" s="250"/>
      <c r="I1129" s="2"/>
      <c r="J1129" s="2"/>
      <c r="K1129" s="250"/>
      <c r="M1129" s="2"/>
      <c r="N1129" s="2"/>
      <c r="O1129" s="250"/>
      <c r="Q1129" s="2"/>
      <c r="R1129" s="2"/>
      <c r="S1129" s="250"/>
      <c r="U1129" s="2"/>
      <c r="X1129" s="266"/>
      <c r="Y1129" s="266"/>
      <c r="Z1129" s="74"/>
      <c r="AA1129" s="388"/>
      <c r="AB1129" s="388"/>
      <c r="AC1129" s="268"/>
      <c r="AD1129" s="268"/>
      <c r="AE1129" s="268"/>
      <c r="AF1129" s="263"/>
      <c r="AG1129" s="263"/>
      <c r="AH1129" s="266"/>
      <c r="AI1129" s="266"/>
      <c r="AJ1129" s="270"/>
      <c r="AK1129" s="266"/>
      <c r="AL1129" s="20"/>
      <c r="AM1129" s="20"/>
      <c r="AN1129" s="20"/>
      <c r="AO1129" s="20"/>
      <c r="AP1129" s="20"/>
    </row>
    <row r="1130" spans="1:42">
      <c r="A1130" s="3" t="s">
        <v>582</v>
      </c>
      <c r="C1130" s="249">
        <f>'Rate Design Work eff 10-14-16'!C1128</f>
        <v>0</v>
      </c>
      <c r="D1130" s="250">
        <f>'Rate Design Work eff 9-15-17'!D1128</f>
        <v>31.87</v>
      </c>
      <c r="F1130" s="2">
        <f t="shared" ref="F1130:F1136" si="156">ROUND(C1130*D1130,0)</f>
        <v>0</v>
      </c>
      <c r="G1130" s="250">
        <f>'Rate Design Work eff 9-15-17'!G1128</f>
        <v>32.630000000000003</v>
      </c>
      <c r="I1130" s="2">
        <f>ROUND(G1130*$C1130,0)</f>
        <v>0</v>
      </c>
      <c r="J1130" s="2"/>
      <c r="K1130" s="250" t="e">
        <f>'Rate Design Work eff 10-14-16'!K1128</f>
        <v>#DIV/0!</v>
      </c>
      <c r="M1130" s="2" t="e">
        <f>'Rate Design Work eff 10-14-16'!M1128</f>
        <v>#DIV/0!</v>
      </c>
      <c r="N1130" s="2"/>
      <c r="O1130" s="250" t="e">
        <f>'Rate Design Work eff 10-14-16'!O1128</f>
        <v>#DIV/0!</v>
      </c>
      <c r="Q1130" s="2" t="e">
        <f>'Rate Design Work eff 10-14-16'!Q1128</f>
        <v>#DIV/0!</v>
      </c>
      <c r="R1130" s="2"/>
      <c r="S1130" s="250" t="e">
        <f>'Rate Design Work eff 10-14-16'!S1128</f>
        <v>#DIV/0!</v>
      </c>
      <c r="U1130" s="2" t="e">
        <f>'Rate Design Work eff 10-14-16'!U1128</f>
        <v>#DIV/0!</v>
      </c>
      <c r="X1130" s="266"/>
      <c r="Y1130" s="266"/>
      <c r="Z1130" s="74"/>
      <c r="AA1130" s="388"/>
      <c r="AB1130" s="388"/>
      <c r="AC1130" s="268"/>
      <c r="AD1130" s="268"/>
      <c r="AE1130" s="268"/>
      <c r="AF1130" s="263"/>
      <c r="AG1130" s="263"/>
      <c r="AH1130" s="266"/>
      <c r="AI1130" s="266"/>
      <c r="AJ1130" s="270"/>
      <c r="AK1130" s="266"/>
      <c r="AL1130" s="20"/>
      <c r="AM1130" s="20"/>
      <c r="AN1130" s="20"/>
      <c r="AO1130" s="20"/>
      <c r="AP1130" s="20"/>
    </row>
    <row r="1131" spans="1:42">
      <c r="A1131" s="3" t="s">
        <v>583</v>
      </c>
      <c r="C1131" s="249">
        <f>'Rate Design Work eff 10-14-16'!C1129</f>
        <v>0</v>
      </c>
      <c r="D1131" s="250">
        <f>'Rate Design Work eff 9-15-17'!D1129</f>
        <v>26.58</v>
      </c>
      <c r="F1131" s="2">
        <f t="shared" si="156"/>
        <v>0</v>
      </c>
      <c r="G1131" s="250">
        <f>'Rate Design Work eff 9-15-17'!G1129</f>
        <v>27.22</v>
      </c>
      <c r="I1131" s="2">
        <f t="shared" si="153"/>
        <v>0</v>
      </c>
      <c r="J1131" s="2"/>
      <c r="K1131" s="250" t="e">
        <f>'Rate Design Work eff 10-14-16'!K1129</f>
        <v>#DIV/0!</v>
      </c>
      <c r="M1131" s="2" t="e">
        <f>'Rate Design Work eff 10-14-16'!M1129</f>
        <v>#DIV/0!</v>
      </c>
      <c r="N1131" s="2"/>
      <c r="O1131" s="250" t="e">
        <f>'Rate Design Work eff 10-14-16'!O1129</f>
        <v>#DIV/0!</v>
      </c>
      <c r="Q1131" s="2" t="e">
        <f>'Rate Design Work eff 10-14-16'!Q1129</f>
        <v>#DIV/0!</v>
      </c>
      <c r="R1131" s="2"/>
      <c r="S1131" s="250" t="e">
        <f>'Rate Design Work eff 10-14-16'!S1129</f>
        <v>#DIV/0!</v>
      </c>
      <c r="U1131" s="2" t="e">
        <f>'Rate Design Work eff 10-14-16'!U1129</f>
        <v>#DIV/0!</v>
      </c>
      <c r="X1131" s="266"/>
      <c r="Y1131" s="266"/>
      <c r="Z1131" s="74"/>
      <c r="AA1131" s="388"/>
      <c r="AB1131" s="388"/>
      <c r="AC1131" s="268"/>
      <c r="AD1131" s="268"/>
      <c r="AE1131" s="268"/>
      <c r="AF1131" s="263"/>
      <c r="AG1131" s="263"/>
      <c r="AH1131" s="266"/>
      <c r="AI1131" s="266"/>
      <c r="AJ1131" s="270"/>
      <c r="AK1131" s="266"/>
      <c r="AL1131" s="20"/>
      <c r="AM1131" s="20"/>
      <c r="AN1131" s="20"/>
      <c r="AO1131" s="20"/>
      <c r="AP1131" s="20"/>
    </row>
    <row r="1132" spans="1:42">
      <c r="A1132" s="3" t="s">
        <v>584</v>
      </c>
      <c r="C1132" s="249">
        <f>'Rate Design Work eff 10-14-16'!C1130</f>
        <v>0</v>
      </c>
      <c r="D1132" s="250">
        <f>'Rate Design Work eff 9-15-17'!D1130</f>
        <v>24.5</v>
      </c>
      <c r="F1132" s="2">
        <f t="shared" si="156"/>
        <v>0</v>
      </c>
      <c r="G1132" s="250">
        <f>'Rate Design Work eff 9-15-17'!G1130</f>
        <v>25.09</v>
      </c>
      <c r="I1132" s="2">
        <f>ROUND(G1132*$C1132,0)</f>
        <v>0</v>
      </c>
      <c r="J1132" s="2"/>
      <c r="K1132" s="250" t="e">
        <f>'Rate Design Work eff 10-14-16'!K1130</f>
        <v>#DIV/0!</v>
      </c>
      <c r="M1132" s="2" t="e">
        <f>'Rate Design Work eff 10-14-16'!M1130</f>
        <v>#DIV/0!</v>
      </c>
      <c r="N1132" s="2"/>
      <c r="O1132" s="250" t="e">
        <f>'Rate Design Work eff 10-14-16'!O1130</f>
        <v>#DIV/0!</v>
      </c>
      <c r="Q1132" s="2" t="e">
        <f>'Rate Design Work eff 10-14-16'!Q1130</f>
        <v>#DIV/0!</v>
      </c>
      <c r="R1132" s="2"/>
      <c r="S1132" s="250" t="e">
        <f>'Rate Design Work eff 10-14-16'!S1130</f>
        <v>#DIV/0!</v>
      </c>
      <c r="U1132" s="2" t="e">
        <f>'Rate Design Work eff 10-14-16'!U1130</f>
        <v>#DIV/0!</v>
      </c>
      <c r="X1132" s="266"/>
      <c r="Y1132" s="266"/>
      <c r="Z1132" s="74"/>
      <c r="AA1132" s="388"/>
      <c r="AB1132" s="388"/>
      <c r="AC1132" s="268"/>
      <c r="AD1132" s="268"/>
      <c r="AE1132" s="268"/>
      <c r="AF1132" s="263"/>
      <c r="AG1132" s="263"/>
      <c r="AH1132" s="266"/>
      <c r="AI1132" s="266"/>
      <c r="AJ1132" s="270"/>
      <c r="AK1132" s="266"/>
      <c r="AL1132" s="20"/>
      <c r="AM1132" s="20"/>
      <c r="AN1132" s="20"/>
      <c r="AO1132" s="20"/>
      <c r="AP1132" s="20"/>
    </row>
    <row r="1133" spans="1:42">
      <c r="A1133" s="3" t="s">
        <v>585</v>
      </c>
      <c r="C1133" s="249">
        <f>'Rate Design Work eff 10-14-16'!C1131</f>
        <v>0</v>
      </c>
      <c r="D1133" s="250">
        <f>'Rate Design Work eff 9-15-17'!D1131</f>
        <v>35.81</v>
      </c>
      <c r="F1133" s="2">
        <f t="shared" si="156"/>
        <v>0</v>
      </c>
      <c r="G1133" s="250">
        <f>'Rate Design Work eff 9-15-17'!G1131</f>
        <v>36.67</v>
      </c>
      <c r="I1133" s="2">
        <f t="shared" si="153"/>
        <v>0</v>
      </c>
      <c r="J1133" s="2"/>
      <c r="K1133" s="250" t="e">
        <f>'Rate Design Work eff 10-14-16'!K1131</f>
        <v>#DIV/0!</v>
      </c>
      <c r="M1133" s="2" t="e">
        <f>'Rate Design Work eff 10-14-16'!M1131</f>
        <v>#DIV/0!</v>
      </c>
      <c r="N1133" s="2"/>
      <c r="O1133" s="250" t="e">
        <f>'Rate Design Work eff 10-14-16'!O1131</f>
        <v>#DIV/0!</v>
      </c>
      <c r="Q1133" s="2" t="e">
        <f>'Rate Design Work eff 10-14-16'!Q1131</f>
        <v>#DIV/0!</v>
      </c>
      <c r="R1133" s="2"/>
      <c r="S1133" s="250" t="e">
        <f>'Rate Design Work eff 10-14-16'!S1131</f>
        <v>#DIV/0!</v>
      </c>
      <c r="U1133" s="2" t="e">
        <f>'Rate Design Work eff 10-14-16'!U1131</f>
        <v>#DIV/0!</v>
      </c>
      <c r="X1133" s="266"/>
      <c r="Y1133" s="266"/>
      <c r="Z1133" s="74"/>
      <c r="AA1133" s="388"/>
      <c r="AB1133" s="388"/>
      <c r="AC1133" s="268"/>
      <c r="AD1133" s="268"/>
      <c r="AE1133" s="268"/>
      <c r="AF1133" s="263"/>
      <c r="AG1133" s="263"/>
      <c r="AH1133" s="266"/>
      <c r="AI1133" s="266"/>
      <c r="AJ1133" s="270"/>
      <c r="AK1133" s="266"/>
      <c r="AL1133" s="20"/>
      <c r="AM1133" s="20"/>
      <c r="AN1133" s="20"/>
      <c r="AO1133" s="20"/>
      <c r="AP1133" s="20"/>
    </row>
    <row r="1134" spans="1:42">
      <c r="A1134" s="3" t="s">
        <v>586</v>
      </c>
      <c r="C1134" s="249">
        <f>'Rate Design Work eff 10-14-16'!C1132</f>
        <v>0</v>
      </c>
      <c r="D1134" s="250">
        <f>'Rate Design Work eff 9-15-17'!D1132</f>
        <v>28.83</v>
      </c>
      <c r="F1134" s="2">
        <f t="shared" si="156"/>
        <v>0</v>
      </c>
      <c r="G1134" s="250">
        <f>'Rate Design Work eff 9-15-17'!G1132</f>
        <v>29.52</v>
      </c>
      <c r="I1134" s="2">
        <f>ROUND(G1134*$C1134,0)</f>
        <v>0</v>
      </c>
      <c r="J1134" s="2"/>
      <c r="K1134" s="250" t="e">
        <f>'Rate Design Work eff 10-14-16'!K1132</f>
        <v>#DIV/0!</v>
      </c>
      <c r="M1134" s="2" t="e">
        <f>'Rate Design Work eff 10-14-16'!M1132</f>
        <v>#DIV/0!</v>
      </c>
      <c r="N1134" s="2"/>
      <c r="O1134" s="250" t="e">
        <f>'Rate Design Work eff 10-14-16'!O1132</f>
        <v>#DIV/0!</v>
      </c>
      <c r="Q1134" s="2" t="e">
        <f>'Rate Design Work eff 10-14-16'!Q1132</f>
        <v>#DIV/0!</v>
      </c>
      <c r="R1134" s="2"/>
      <c r="S1134" s="250" t="e">
        <f>'Rate Design Work eff 10-14-16'!S1132</f>
        <v>#DIV/0!</v>
      </c>
      <c r="U1134" s="2" t="e">
        <f>'Rate Design Work eff 10-14-16'!U1132</f>
        <v>#DIV/0!</v>
      </c>
      <c r="X1134" s="266"/>
      <c r="Y1134" s="266"/>
      <c r="Z1134" s="74"/>
      <c r="AA1134" s="388"/>
      <c r="AB1134" s="388"/>
      <c r="AC1134" s="268"/>
      <c r="AD1134" s="268"/>
      <c r="AE1134" s="268"/>
      <c r="AF1134" s="263"/>
      <c r="AG1134" s="263"/>
      <c r="AH1134" s="266"/>
      <c r="AI1134" s="266"/>
      <c r="AJ1134" s="270"/>
      <c r="AK1134" s="266"/>
      <c r="AL1134" s="20"/>
      <c r="AM1134" s="20"/>
      <c r="AN1134" s="20"/>
      <c r="AO1134" s="20"/>
      <c r="AP1134" s="20"/>
    </row>
    <row r="1135" spans="1:42">
      <c r="A1135" s="3" t="s">
        <v>587</v>
      </c>
      <c r="C1135" s="249">
        <f>'Rate Design Work eff 10-14-16'!C1133</f>
        <v>0</v>
      </c>
      <c r="D1135" s="250">
        <f>'Rate Design Work eff 9-15-17'!D1133</f>
        <v>28.33</v>
      </c>
      <c r="F1135" s="2">
        <f t="shared" si="156"/>
        <v>0</v>
      </c>
      <c r="G1135" s="250">
        <f>'Rate Design Work eff 9-15-17'!G1133</f>
        <v>29.01</v>
      </c>
      <c r="I1135" s="2">
        <f>ROUND(G1135*$C1135,0)</f>
        <v>0</v>
      </c>
      <c r="J1135" s="2"/>
      <c r="K1135" s="250" t="e">
        <f>'Rate Design Work eff 10-14-16'!K1133</f>
        <v>#DIV/0!</v>
      </c>
      <c r="M1135" s="2" t="e">
        <f>'Rate Design Work eff 10-14-16'!M1133</f>
        <v>#DIV/0!</v>
      </c>
      <c r="N1135" s="2"/>
      <c r="O1135" s="250" t="e">
        <f>'Rate Design Work eff 10-14-16'!O1133</f>
        <v>#DIV/0!</v>
      </c>
      <c r="Q1135" s="2" t="e">
        <f>'Rate Design Work eff 10-14-16'!Q1133</f>
        <v>#DIV/0!</v>
      </c>
      <c r="R1135" s="2"/>
      <c r="S1135" s="250" t="e">
        <f>'Rate Design Work eff 10-14-16'!S1133</f>
        <v>#DIV/0!</v>
      </c>
      <c r="U1135" s="2" t="e">
        <f>'Rate Design Work eff 10-14-16'!U1133</f>
        <v>#DIV/0!</v>
      </c>
      <c r="X1135" s="266"/>
      <c r="Y1135" s="266"/>
      <c r="Z1135" s="74"/>
      <c r="AA1135" s="388"/>
      <c r="AB1135" s="388"/>
      <c r="AC1135" s="268"/>
      <c r="AD1135" s="268"/>
      <c r="AE1135" s="268"/>
      <c r="AF1135" s="263"/>
      <c r="AG1135" s="263"/>
      <c r="AH1135" s="266"/>
      <c r="AI1135" s="266"/>
      <c r="AJ1135" s="270"/>
      <c r="AK1135" s="266"/>
      <c r="AL1135" s="20"/>
      <c r="AM1135" s="20"/>
      <c r="AN1135" s="20"/>
      <c r="AO1135" s="20"/>
      <c r="AP1135" s="20"/>
    </row>
    <row r="1136" spans="1:42">
      <c r="A1136" s="3" t="s">
        <v>588</v>
      </c>
      <c r="C1136" s="249">
        <f>'Rate Design Work eff 10-14-16'!C1134</f>
        <v>0</v>
      </c>
      <c r="D1136" s="250">
        <f>'Rate Design Work eff 9-15-17'!D1134</f>
        <v>30.85</v>
      </c>
      <c r="F1136" s="2">
        <f t="shared" si="156"/>
        <v>0</v>
      </c>
      <c r="G1136" s="250">
        <f>'Rate Design Work eff 9-15-17'!G1134</f>
        <v>31.59</v>
      </c>
      <c r="I1136" s="2">
        <f>ROUND(G1136*$C1136,0)</f>
        <v>0</v>
      </c>
      <c r="J1136" s="2"/>
      <c r="K1136" s="250" t="e">
        <f>'Rate Design Work eff 10-14-16'!K1134</f>
        <v>#DIV/0!</v>
      </c>
      <c r="M1136" s="2" t="e">
        <f>'Rate Design Work eff 10-14-16'!M1134</f>
        <v>#DIV/0!</v>
      </c>
      <c r="N1136" s="2"/>
      <c r="O1136" s="250" t="e">
        <f>'Rate Design Work eff 10-14-16'!O1134</f>
        <v>#DIV/0!</v>
      </c>
      <c r="Q1136" s="2" t="e">
        <f>'Rate Design Work eff 10-14-16'!Q1134</f>
        <v>#DIV/0!</v>
      </c>
      <c r="R1136" s="2"/>
      <c r="S1136" s="250" t="e">
        <f>'Rate Design Work eff 10-14-16'!S1134</f>
        <v>#DIV/0!</v>
      </c>
      <c r="U1136" s="2" t="e">
        <f>'Rate Design Work eff 10-14-16'!U1134</f>
        <v>#DIV/0!</v>
      </c>
      <c r="X1136" s="266"/>
      <c r="Y1136" s="266"/>
      <c r="Z1136" s="74"/>
      <c r="AA1136" s="388"/>
      <c r="AB1136" s="388"/>
      <c r="AC1136" s="268"/>
      <c r="AD1136" s="268"/>
      <c r="AE1136" s="268"/>
      <c r="AF1136" s="263"/>
      <c r="AG1136" s="263"/>
      <c r="AH1136" s="266"/>
      <c r="AI1136" s="266"/>
      <c r="AJ1136" s="270"/>
      <c r="AK1136" s="266"/>
      <c r="AL1136" s="20"/>
      <c r="AM1136" s="20"/>
      <c r="AN1136" s="20"/>
      <c r="AO1136" s="20"/>
      <c r="AP1136" s="20"/>
    </row>
    <row r="1137" spans="1:44">
      <c r="A1137" s="3" t="s">
        <v>352</v>
      </c>
      <c r="C1137" s="249">
        <f>'Rate Design Work eff 10-14-16'!C1135</f>
        <v>2124</v>
      </c>
      <c r="D1137" s="250"/>
      <c r="F1137" s="2"/>
      <c r="G1137" s="250"/>
      <c r="I1137" s="2"/>
      <c r="J1137" s="2"/>
      <c r="K1137" s="250"/>
      <c r="M1137" s="2"/>
      <c r="N1137" s="2"/>
      <c r="O1137" s="250"/>
      <c r="Q1137" s="2"/>
      <c r="R1137" s="2"/>
      <c r="S1137" s="250"/>
      <c r="U1137" s="2"/>
      <c r="X1137" s="266"/>
      <c r="Y1137" s="266"/>
      <c r="Z1137" s="74"/>
      <c r="AA1137" s="388"/>
      <c r="AB1137" s="388"/>
      <c r="AC1137" s="268"/>
      <c r="AD1137" s="268"/>
      <c r="AE1137" s="268"/>
      <c r="AF1137" s="263"/>
      <c r="AG1137" s="263"/>
      <c r="AH1137" s="266"/>
      <c r="AI1137" s="266"/>
      <c r="AJ1137" s="266"/>
      <c r="AK1137" s="266"/>
      <c r="AL1137" s="20"/>
      <c r="AM1137" s="20"/>
      <c r="AN1137" s="20"/>
      <c r="AO1137" s="20"/>
      <c r="AP1137" s="20"/>
    </row>
    <row r="1138" spans="1:44" s="1118" customFormat="1" hidden="1">
      <c r="A1138" s="968" t="s">
        <v>903</v>
      </c>
      <c r="C1138" s="1122">
        <f>C1139</f>
        <v>3883379.6674147383</v>
      </c>
      <c r="D1138" s="254">
        <f>'Rate Design Work eff 9-15-17'!D1136</f>
        <v>0</v>
      </c>
      <c r="E1138" s="1119"/>
      <c r="F1138" s="1123"/>
      <c r="G1138" s="1128">
        <f>'Rate Design Work eff 9-15-17'!G1136</f>
        <v>0</v>
      </c>
      <c r="H1138" s="1000" t="s">
        <v>364</v>
      </c>
      <c r="I1138" s="1000">
        <f>ROUND(G1138*$C1138/100,0)</f>
        <v>0</v>
      </c>
      <c r="J1138" s="1000"/>
      <c r="K1138" s="1128" t="str">
        <f>'Rate Design Work eff 10-14-16'!K1136</f>
        <v xml:space="preserve"> </v>
      </c>
      <c r="L1138" s="1126" t="s">
        <v>31</v>
      </c>
      <c r="M1138" s="2">
        <f>'Rate Design Work eff 10-14-16'!M1136</f>
        <v>0</v>
      </c>
      <c r="N1138" s="1123"/>
      <c r="O1138" s="1128" t="str">
        <f>'Rate Design Work eff 10-14-16'!O1136</f>
        <v xml:space="preserve"> </v>
      </c>
      <c r="P1138" s="1126" t="s">
        <v>31</v>
      </c>
      <c r="Q1138" s="2">
        <f>'Rate Design Work eff 10-14-16'!Q1136</f>
        <v>0</v>
      </c>
      <c r="R1138" s="1123"/>
      <c r="S1138" s="1128">
        <f>'Rate Design Work eff 10-14-16'!S1136</f>
        <v>0</v>
      </c>
      <c r="T1138" s="1126" t="s">
        <v>364</v>
      </c>
      <c r="U1138" s="2">
        <f>'Rate Design Work eff 10-14-16'!U1136</f>
        <v>0</v>
      </c>
      <c r="V1138" s="1124">
        <f>'NPC Spread'!J51</f>
        <v>89506.790674119737</v>
      </c>
      <c r="W1138" s="784" t="s">
        <v>857</v>
      </c>
      <c r="Z1138" s="1125"/>
      <c r="AA1138" s="1125"/>
      <c r="AF1138" s="1119"/>
      <c r="AG1138" s="1119"/>
      <c r="AH1138" s="1119"/>
      <c r="AI1138" s="1119"/>
      <c r="AJ1138" s="1119"/>
      <c r="AK1138" s="1119"/>
      <c r="AL1138" s="1119"/>
      <c r="AM1138" s="1119"/>
      <c r="AN1138" s="1119"/>
      <c r="AO1138" s="1119"/>
      <c r="AP1138" s="1119"/>
      <c r="AR1138" s="1124"/>
    </row>
    <row r="1139" spans="1:44">
      <c r="A1139" s="3" t="s">
        <v>371</v>
      </c>
      <c r="C1139" s="249">
        <v>3883379.6674147383</v>
      </c>
      <c r="D1139" s="254"/>
      <c r="E1139" s="20"/>
      <c r="F1139" s="257">
        <f>SUM(F1112:F1136)</f>
        <v>770147</v>
      </c>
      <c r="G1139" s="254"/>
      <c r="H1139" s="20"/>
      <c r="I1139" s="257">
        <f>SUM(I1112:I1138)</f>
        <v>788386</v>
      </c>
      <c r="J1139" s="257"/>
      <c r="K1139" s="254"/>
      <c r="L1139" s="20"/>
      <c r="M1139" s="257" t="e">
        <f>SUM(M1112:M1138)</f>
        <v>#DIV/0!</v>
      </c>
      <c r="N1139" s="257"/>
      <c r="O1139" s="254"/>
      <c r="P1139" s="20"/>
      <c r="Q1139" s="257" t="e">
        <f>SUM(Q1112:Q1138)</f>
        <v>#DIV/0!</v>
      </c>
      <c r="R1139" s="257"/>
      <c r="S1139" s="254"/>
      <c r="T1139" s="20"/>
      <c r="U1139" s="257" t="e">
        <f>SUM(U1112:U1138)</f>
        <v>#DIV/0!</v>
      </c>
      <c r="X1139" s="266"/>
      <c r="Y1139" s="266"/>
      <c r="Z1139" s="390"/>
      <c r="AA1139" s="20"/>
      <c r="AB1139" s="20"/>
      <c r="AC1139" s="272"/>
      <c r="AD1139" s="272"/>
      <c r="AE1139" s="272"/>
      <c r="AF1139" s="263"/>
      <c r="AG1139" s="263"/>
      <c r="AH1139" s="273"/>
      <c r="AI1139" s="263"/>
      <c r="AJ1139" s="263"/>
      <c r="AK1139" s="263"/>
      <c r="AL1139" s="20"/>
      <c r="AM1139" s="20"/>
      <c r="AN1139" s="20"/>
      <c r="AO1139" s="20"/>
      <c r="AP1139" s="20"/>
    </row>
    <row r="1140" spans="1:44">
      <c r="A1140" s="3" t="s">
        <v>353</v>
      </c>
      <c r="C1140" s="249">
        <f ca="1">'Table 2'!H124</f>
        <v>49178.118055078899</v>
      </c>
      <c r="D1140" s="254"/>
      <c r="E1140" s="20"/>
      <c r="F1140" s="257">
        <f>'Table 3'!E124</f>
        <v>11953.205380162623</v>
      </c>
      <c r="G1140" s="254"/>
      <c r="H1140" s="20"/>
      <c r="I1140" s="257">
        <f>F1140</f>
        <v>11953.205380162623</v>
      </c>
      <c r="J1140" s="257"/>
      <c r="K1140" s="254"/>
      <c r="L1140" s="20"/>
      <c r="M1140" s="257" t="e">
        <f>$I$1140*V1145/($V$1145+$W$1145+$X$1145)</f>
        <v>#DIV/0!</v>
      </c>
      <c r="N1140" s="51"/>
      <c r="O1140" s="294"/>
      <c r="P1140" s="294"/>
      <c r="Q1140" s="257" t="e">
        <f>$I$1140*W1145/($V$1145+$W$1145+$X$1145)</f>
        <v>#DIV/0!</v>
      </c>
      <c r="R1140" s="51"/>
      <c r="S1140" s="294"/>
      <c r="T1140" s="294"/>
      <c r="U1140" s="257" t="e">
        <f>$I$1140*X1145/($V$1145+$W$1145+$X$1145)</f>
        <v>#DIV/0!</v>
      </c>
      <c r="V1140" s="274"/>
      <c r="X1140" s="272"/>
      <c r="Y1140" s="272"/>
      <c r="Z1140" s="388"/>
      <c r="AA1140" s="20"/>
      <c r="AB1140" s="20"/>
      <c r="AC1140" s="20"/>
      <c r="AD1140" s="20"/>
      <c r="AE1140" s="20"/>
      <c r="AF1140" s="266"/>
      <c r="AG1140" s="263"/>
      <c r="AH1140" s="20"/>
      <c r="AI1140" s="20"/>
      <c r="AJ1140" s="20"/>
      <c r="AK1140" s="20"/>
      <c r="AL1140" s="20"/>
      <c r="AM1140" s="20"/>
      <c r="AN1140" s="20"/>
      <c r="AO1140" s="20"/>
      <c r="AP1140" s="20"/>
    </row>
    <row r="1141" spans="1:44" ht="16.5" thickBot="1">
      <c r="A1141" s="3" t="s">
        <v>9</v>
      </c>
      <c r="C1141" s="258">
        <f ca="1">C1139+C1140</f>
        <v>3932557.785469817</v>
      </c>
      <c r="D1141" s="297"/>
      <c r="E1141" s="297"/>
      <c r="F1141" s="259">
        <f>F1139+F1140</f>
        <v>782100.20538016257</v>
      </c>
      <c r="G1141" s="297"/>
      <c r="H1141" s="297"/>
      <c r="I1141" s="259">
        <f>I1139+I1140</f>
        <v>800339.20538016257</v>
      </c>
      <c r="J1141" s="297"/>
      <c r="K1141" s="297"/>
      <c r="L1141" s="259"/>
      <c r="M1141" s="259" t="e">
        <f>M1139+M1140</f>
        <v>#DIV/0!</v>
      </c>
      <c r="N1141" s="297"/>
      <c r="O1141" s="297"/>
      <c r="P1141" s="259"/>
      <c r="Q1141" s="259" t="e">
        <f>Q1139+Q1140</f>
        <v>#DIV/0!</v>
      </c>
      <c r="R1141" s="297"/>
      <c r="S1141" s="297"/>
      <c r="T1141" s="259"/>
      <c r="U1141" s="259" t="e">
        <f>U1139+U1140</f>
        <v>#DIV/0!</v>
      </c>
      <c r="V1141" s="761" t="s">
        <v>399</v>
      </c>
      <c r="W1141" s="1082">
        <f ca="1">'Rate Spread targets'!X38*1000</f>
        <v>800356.82676552574</v>
      </c>
      <c r="X1141" s="1086">
        <f>(I1141-F1141)/F1141</f>
        <v>2.332054112060283E-2</v>
      </c>
      <c r="Y1141" s="751"/>
      <c r="AF1141" s="263"/>
      <c r="AG1141" s="263"/>
      <c r="AH1141" s="20"/>
      <c r="AI1141" s="20"/>
      <c r="AJ1141" s="20"/>
      <c r="AK1141" s="20"/>
      <c r="AL1141" s="20"/>
      <c r="AM1141" s="20"/>
      <c r="AN1141" s="20"/>
      <c r="AO1141" s="20"/>
      <c r="AP1141" s="20"/>
    </row>
    <row r="1142" spans="1:44" ht="16.5" thickTop="1">
      <c r="A1142" s="1304" t="s">
        <v>902</v>
      </c>
      <c r="C1142" s="335"/>
      <c r="D1142" s="51"/>
      <c r="E1142" s="51"/>
      <c r="F1142" s="51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1305"/>
      <c r="W1142" s="395"/>
      <c r="X1142" s="1306"/>
      <c r="Y1142" s="751"/>
      <c r="AF1142" s="263"/>
      <c r="AG1142" s="263"/>
      <c r="AH1142" s="20"/>
      <c r="AI1142" s="20"/>
      <c r="AJ1142" s="20"/>
      <c r="AK1142" s="20"/>
      <c r="AL1142" s="20"/>
      <c r="AM1142" s="20"/>
      <c r="AN1142" s="20"/>
      <c r="AO1142" s="20"/>
      <c r="AP1142" s="20"/>
    </row>
    <row r="1143" spans="1:44">
      <c r="C1143" s="335"/>
      <c r="D1143" s="51"/>
      <c r="E1143" s="51"/>
      <c r="F1143" s="51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 t="s">
        <v>31</v>
      </c>
      <c r="V1143" s="762" t="s">
        <v>257</v>
      </c>
      <c r="W1143" s="781">
        <f ca="1">W1141-I1141</f>
        <v>17.621385363163427</v>
      </c>
      <c r="X1143" s="1087">
        <v>-0.13519999999999999</v>
      </c>
      <c r="Y1143" s="751"/>
      <c r="AF1143" s="263"/>
      <c r="AG1143" s="263"/>
      <c r="AH1143" s="20"/>
      <c r="AI1143" s="20"/>
      <c r="AJ1143" s="20"/>
      <c r="AK1143" s="20"/>
      <c r="AL1143" s="20"/>
      <c r="AM1143" s="20"/>
      <c r="AN1143" s="20"/>
      <c r="AO1143" s="20"/>
      <c r="AP1143" s="20"/>
    </row>
    <row r="1144" spans="1:44">
      <c r="C1144" s="335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 t="s">
        <v>31</v>
      </c>
      <c r="V1144" s="719"/>
      <c r="W1144" s="719"/>
      <c r="X1144" s="719"/>
      <c r="Y1144" s="751"/>
      <c r="AF1144" s="263"/>
      <c r="AG1144" s="263"/>
      <c r="AH1144" s="20"/>
      <c r="AI1144" s="20"/>
      <c r="AJ1144" s="20"/>
      <c r="AK1144" s="20"/>
      <c r="AL1144" s="20"/>
      <c r="AM1144" s="20"/>
      <c r="AN1144" s="20"/>
      <c r="AO1144" s="20"/>
      <c r="AP1144" s="20"/>
    </row>
    <row r="1145" spans="1:44" hidden="1">
      <c r="C1145" s="335"/>
      <c r="D1145" s="51"/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401"/>
      <c r="W1145" s="401"/>
      <c r="X1145" s="401"/>
      <c r="Y1145" s="751"/>
      <c r="AF1145" s="263"/>
      <c r="AG1145" s="263"/>
      <c r="AH1145" s="20"/>
      <c r="AI1145" s="20"/>
      <c r="AJ1145" s="20"/>
      <c r="AK1145" s="20"/>
      <c r="AL1145" s="20"/>
      <c r="AM1145" s="20"/>
      <c r="AN1145" s="20"/>
      <c r="AO1145" s="20"/>
      <c r="AP1145" s="20"/>
    </row>
    <row r="1146" spans="1:44" hidden="1">
      <c r="A1146" s="1"/>
      <c r="B1146" s="1"/>
      <c r="C1146" s="21"/>
      <c r="D1146" s="21" t="s">
        <v>31</v>
      </c>
      <c r="E1146" s="21"/>
      <c r="F1146" s="2"/>
      <c r="G1146" s="21" t="s">
        <v>31</v>
      </c>
      <c r="H1146" s="21"/>
      <c r="I1146" s="2" t="s">
        <v>31</v>
      </c>
      <c r="J1146" s="2"/>
      <c r="K1146" s="21" t="s">
        <v>31</v>
      </c>
      <c r="L1146" s="21"/>
      <c r="M1146" s="2" t="s">
        <v>31</v>
      </c>
      <c r="N1146" s="2"/>
      <c r="O1146" s="21" t="s">
        <v>31</v>
      </c>
      <c r="P1146" s="21"/>
      <c r="Q1146" s="2" t="s">
        <v>31</v>
      </c>
      <c r="R1146" s="2"/>
      <c r="S1146" s="21" t="s">
        <v>31</v>
      </c>
      <c r="T1146" s="21"/>
      <c r="U1146" s="2" t="s">
        <v>31</v>
      </c>
      <c r="W1146" s="3"/>
      <c r="X1146" s="3"/>
      <c r="Y1146" s="226"/>
      <c r="AA1146" s="262"/>
      <c r="AB1146" s="262"/>
      <c r="AC1146" s="262"/>
      <c r="AD1146" s="262"/>
      <c r="AE1146" s="262"/>
      <c r="AF1146" s="263"/>
      <c r="AG1146" s="263"/>
      <c r="AH1146" s="20"/>
      <c r="AI1146" s="20"/>
      <c r="AJ1146" s="20"/>
      <c r="AK1146" s="20"/>
      <c r="AL1146" s="20"/>
      <c r="AM1146" s="20"/>
      <c r="AN1146" s="20"/>
      <c r="AO1146" s="20"/>
      <c r="AP1146" s="20"/>
    </row>
    <row r="1147" spans="1:44">
      <c r="A1147" s="278" t="s">
        <v>476</v>
      </c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263"/>
      <c r="W1147" s="272"/>
      <c r="X1147" s="263"/>
      <c r="Y1147" s="263"/>
      <c r="Z1147" s="20"/>
      <c r="AA1147" s="20"/>
      <c r="AB1147" s="20"/>
      <c r="AC1147" s="20"/>
      <c r="AD1147" s="20"/>
      <c r="AE1147" s="20"/>
      <c r="AF1147" s="20"/>
      <c r="AG1147" s="263"/>
      <c r="AH1147" s="263"/>
      <c r="AI1147" s="263"/>
      <c r="AJ1147" s="263"/>
      <c r="AK1147" s="263"/>
      <c r="AL1147" s="20"/>
      <c r="AM1147" s="20"/>
      <c r="AN1147" s="20"/>
      <c r="AO1147" s="20"/>
      <c r="AP1147" s="20"/>
    </row>
    <row r="1148" spans="1:44">
      <c r="A1148" s="1" t="s">
        <v>477</v>
      </c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20"/>
      <c r="W1148" s="74"/>
      <c r="X1148" s="74"/>
      <c r="Y1148" s="74"/>
      <c r="Z1148" s="20"/>
      <c r="AA1148" s="20"/>
      <c r="AB1148" s="20"/>
      <c r="AC1148" s="20"/>
      <c r="AD1148" s="20"/>
      <c r="AE1148" s="20"/>
      <c r="AF1148" s="20"/>
      <c r="AG1148" s="263"/>
      <c r="AH1148" s="263"/>
      <c r="AI1148" s="263"/>
      <c r="AJ1148" s="263"/>
      <c r="AK1148" s="263"/>
      <c r="AL1148" s="20"/>
      <c r="AM1148" s="20"/>
      <c r="AN1148" s="20"/>
      <c r="AO1148" s="20"/>
      <c r="AP1148" s="20"/>
    </row>
    <row r="1149" spans="1:44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20"/>
      <c r="W1149" s="74"/>
      <c r="X1149" s="74" t="s">
        <v>31</v>
      </c>
      <c r="Y1149" s="74"/>
      <c r="Z1149" s="20"/>
      <c r="AA1149" s="20"/>
      <c r="AB1149" s="20"/>
      <c r="AC1149" s="20"/>
      <c r="AD1149" s="20"/>
      <c r="AE1149" s="20"/>
      <c r="AF1149" s="20"/>
      <c r="AG1149" s="263"/>
      <c r="AH1149" s="263"/>
      <c r="AI1149" s="263"/>
      <c r="AJ1149" s="263"/>
      <c r="AK1149" s="263"/>
      <c r="AL1149" s="20"/>
      <c r="AM1149" s="20"/>
      <c r="AN1149" s="20"/>
      <c r="AO1149" s="20"/>
      <c r="AP1149" s="20"/>
    </row>
    <row r="1150" spans="1:44">
      <c r="A1150" s="1" t="s">
        <v>478</v>
      </c>
      <c r="B1150" s="1"/>
      <c r="C1150" s="21"/>
      <c r="D1150" s="283"/>
      <c r="E1150" s="1"/>
      <c r="F1150" s="397">
        <f>'Rate Design Work eff 10-14-16'!F1147</f>
        <v>19085.726609179299</v>
      </c>
      <c r="G1150" s="283"/>
      <c r="H1150" s="1"/>
      <c r="I1150" s="2">
        <f>'Rate Design Work eff 10-14-16'!I1147</f>
        <v>19085.726609179299</v>
      </c>
      <c r="J1150" s="2"/>
      <c r="K1150" s="283"/>
      <c r="L1150" s="1"/>
      <c r="M1150" s="2">
        <f>I1150</f>
        <v>19085.726609179299</v>
      </c>
      <c r="N1150" s="2"/>
      <c r="O1150" s="283"/>
      <c r="P1150" s="1"/>
      <c r="Q1150" s="2" t="s">
        <v>31</v>
      </c>
      <c r="R1150" s="2"/>
      <c r="S1150" s="283"/>
      <c r="T1150" s="1"/>
      <c r="U1150" s="2" t="str">
        <f>Q1150</f>
        <v xml:space="preserve"> </v>
      </c>
      <c r="V1150" s="20"/>
      <c r="W1150" s="74"/>
      <c r="X1150" s="74" t="s">
        <v>31</v>
      </c>
      <c r="Y1150" s="74"/>
      <c r="Z1150" s="20"/>
      <c r="AA1150" s="20"/>
      <c r="AB1150" s="20"/>
      <c r="AC1150" s="20"/>
      <c r="AD1150" s="20"/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</row>
    <row r="1151" spans="1:44">
      <c r="A1151" s="1" t="s">
        <v>479</v>
      </c>
      <c r="B1151" s="1"/>
      <c r="C1151" s="249">
        <f>'Rate Design Work eff 10-14-16'!C1148</f>
        <v>209541.66875847799</v>
      </c>
      <c r="D1151" s="367">
        <f>'Rate Design Work eff 9-15-17'!D1148</f>
        <v>8.3360000000000003</v>
      </c>
      <c r="E1151" s="1" t="s">
        <v>364</v>
      </c>
      <c r="F1151" s="399">
        <f>ROUND(D1151*C1151/100,0)</f>
        <v>17467</v>
      </c>
      <c r="G1151" s="367">
        <f>'Rate Design Work eff 9-15-17'!G1148</f>
        <v>8.7520000000000007</v>
      </c>
      <c r="H1151" s="1" t="s">
        <v>364</v>
      </c>
      <c r="I1151" s="2">
        <f>ROUND(G1151*$C1151/100,0)</f>
        <v>18339</v>
      </c>
      <c r="J1151" s="2"/>
      <c r="K1151" s="367" t="e">
        <f>'Rate Design Work eff 10-14-16'!K1148</f>
        <v>#DIV/0!</v>
      </c>
      <c r="L1151" s="1" t="s">
        <v>364</v>
      </c>
      <c r="M1151" s="2" t="e">
        <f>'Rate Design Work eff 10-14-16'!M1148</f>
        <v>#DIV/0!</v>
      </c>
      <c r="N1151" s="2"/>
      <c r="O1151" s="367" t="e">
        <f>'Rate Design Work eff 10-14-16'!O1148</f>
        <v>#DIV/0!</v>
      </c>
      <c r="P1151" s="1" t="s">
        <v>364</v>
      </c>
      <c r="Q1151" s="2" t="e">
        <f>'Rate Design Work eff 10-14-16'!Q1148</f>
        <v>#DIV/0!</v>
      </c>
      <c r="R1151" s="2"/>
      <c r="S1151" s="367" t="e">
        <f>'Rate Design Work eff 10-14-16'!S1148</f>
        <v>#DIV/0!</v>
      </c>
      <c r="T1151" s="1" t="s">
        <v>364</v>
      </c>
      <c r="U1151" s="2" t="e">
        <f>'Rate Design Work eff 10-14-16'!U1148</f>
        <v>#DIV/0!</v>
      </c>
      <c r="V1151" s="20"/>
      <c r="W1151" s="74"/>
      <c r="X1151" s="74"/>
      <c r="Y1151" s="74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</row>
    <row r="1152" spans="1:44">
      <c r="A1152" s="1" t="s">
        <v>480</v>
      </c>
      <c r="B1152" s="1"/>
      <c r="C1152" s="249">
        <f>'Rate Design Work eff 10-14-16'!C1149</f>
        <v>0</v>
      </c>
      <c r="D1152" s="367">
        <f>'Rate Design Work eff 9-15-17'!D1149</f>
        <v>9.3279999999999994</v>
      </c>
      <c r="E1152" s="1" t="s">
        <v>364</v>
      </c>
      <c r="F1152" s="399">
        <f>ROUND(D1152*C1152/100,0)</f>
        <v>0</v>
      </c>
      <c r="G1152" s="367">
        <f>'Rate Design Work eff 9-15-17'!G1149</f>
        <v>9.7940000000000005</v>
      </c>
      <c r="H1152" s="1" t="s">
        <v>364</v>
      </c>
      <c r="I1152" s="2">
        <f>ROUND(G1152*$C1152/100,0)</f>
        <v>0</v>
      </c>
      <c r="J1152" s="2"/>
      <c r="K1152" s="367" t="e">
        <f>'Rate Design Work eff 10-14-16'!K1149</f>
        <v>#DIV/0!</v>
      </c>
      <c r="L1152" s="1" t="s">
        <v>364</v>
      </c>
      <c r="M1152" s="2" t="e">
        <f>'Rate Design Work eff 10-14-16'!M1149</f>
        <v>#DIV/0!</v>
      </c>
      <c r="N1152" s="2"/>
      <c r="O1152" s="367" t="e">
        <f>'Rate Design Work eff 10-14-16'!O1149</f>
        <v>#DIV/0!</v>
      </c>
      <c r="P1152" s="1" t="s">
        <v>364</v>
      </c>
      <c r="Q1152" s="2" t="e">
        <f>'Rate Design Work eff 10-14-16'!Q1149</f>
        <v>#DIV/0!</v>
      </c>
      <c r="R1152" s="2"/>
      <c r="S1152" s="367" t="e">
        <f>'Rate Design Work eff 10-14-16'!S1149</f>
        <v>#DIV/0!</v>
      </c>
      <c r="T1152" s="1" t="s">
        <v>364</v>
      </c>
      <c r="U1152" s="2" t="e">
        <f>'Rate Design Work eff 10-14-16'!U1149</f>
        <v>#DIV/0!</v>
      </c>
      <c r="V1152" s="20"/>
      <c r="W1152" s="74"/>
      <c r="X1152" s="20"/>
      <c r="Y1152" s="20"/>
      <c r="Z1152" s="20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</row>
    <row r="1153" spans="1:44">
      <c r="A1153" s="1" t="s">
        <v>352</v>
      </c>
      <c r="B1153" s="1"/>
      <c r="C1153" s="249">
        <f>'Rate Design Work eff 10-14-16'!C1150</f>
        <v>14</v>
      </c>
      <c r="D1153" s="400"/>
      <c r="E1153" s="1"/>
      <c r="F1153" s="2"/>
      <c r="G1153" s="400"/>
      <c r="H1153" s="1"/>
      <c r="I1153" s="2"/>
      <c r="J1153" s="2"/>
      <c r="K1153" s="400"/>
      <c r="L1153" s="1"/>
      <c r="M1153" s="2"/>
      <c r="N1153" s="2"/>
      <c r="O1153" s="400"/>
      <c r="P1153" s="1"/>
      <c r="Q1153" s="2"/>
      <c r="R1153" s="2"/>
      <c r="S1153" s="400"/>
      <c r="T1153" s="1"/>
      <c r="U1153" s="2"/>
      <c r="V1153" s="20"/>
      <c r="W1153" s="74"/>
      <c r="X1153" s="74"/>
      <c r="Y1153" s="74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</row>
    <row r="1154" spans="1:44" s="1118" customFormat="1" hidden="1">
      <c r="A1154" s="968" t="s">
        <v>891</v>
      </c>
      <c r="C1154" s="1122">
        <f>C1156</f>
        <v>209541.66875847799</v>
      </c>
      <c r="D1154" s="254">
        <f>'Rate Design Work eff 9-15-17'!D1151</f>
        <v>0</v>
      </c>
      <c r="E1154" s="1119"/>
      <c r="F1154" s="1123"/>
      <c r="G1154" s="1128">
        <v>0</v>
      </c>
      <c r="H1154" s="1000" t="s">
        <v>364</v>
      </c>
      <c r="I1154" s="1000">
        <f>ROUND(G1154*$C1154/100,0)</f>
        <v>0</v>
      </c>
      <c r="J1154" s="1000"/>
      <c r="K1154" s="1128" t="s">
        <v>31</v>
      </c>
      <c r="L1154" s="1126" t="s">
        <v>31</v>
      </c>
      <c r="M1154" s="2">
        <f>'Rate Design Work eff 10-14-16'!M1151</f>
        <v>0</v>
      </c>
      <c r="N1154" s="1123"/>
      <c r="O1154" s="1128" t="s">
        <v>31</v>
      </c>
      <c r="P1154" s="1126" t="s">
        <v>31</v>
      </c>
      <c r="Q1154" s="2">
        <f>'Rate Design Work eff 10-14-16'!Q1151</f>
        <v>0</v>
      </c>
      <c r="R1154" s="1123"/>
      <c r="S1154" s="1128">
        <f>'Rate Design Work eff 10-14-16'!S1151</f>
        <v>0</v>
      </c>
      <c r="T1154" s="1126" t="s">
        <v>364</v>
      </c>
      <c r="U1154" s="2">
        <f>'Rate Design Work eff 10-14-16'!U1151</f>
        <v>0</v>
      </c>
      <c r="V1154" s="1124">
        <f>'NPC Spread'!J52</f>
        <v>4829.6597009163306</v>
      </c>
      <c r="W1154" s="784" t="s">
        <v>857</v>
      </c>
      <c r="Z1154" s="1125"/>
      <c r="AA1154" s="1125"/>
      <c r="AF1154" s="1119"/>
      <c r="AG1154" s="1119"/>
      <c r="AH1154" s="1119"/>
      <c r="AI1154" s="1119"/>
      <c r="AJ1154" s="1119"/>
      <c r="AK1154" s="1119"/>
      <c r="AL1154" s="1119"/>
      <c r="AM1154" s="1119"/>
      <c r="AN1154" s="1119"/>
      <c r="AO1154" s="1119"/>
      <c r="AP1154" s="1119"/>
      <c r="AR1154" s="1124"/>
    </row>
    <row r="1155" spans="1:44" s="1118" customFormat="1" hidden="1">
      <c r="A1155" s="1255" t="s">
        <v>874</v>
      </c>
      <c r="B1155" s="1256"/>
      <c r="C1155" s="1269"/>
      <c r="D1155" s="1270">
        <f>'Rate Design Work eff 9-15-17'!D1152</f>
        <v>8.3360000000000003</v>
      </c>
      <c r="E1155" s="1261" t="s">
        <v>364</v>
      </c>
      <c r="F1155" s="1259"/>
      <c r="G1155" s="1270">
        <f>G1151+G1154</f>
        <v>8.7520000000000007</v>
      </c>
      <c r="H1155" s="1261" t="s">
        <v>364</v>
      </c>
      <c r="I1155" s="1266"/>
      <c r="J1155" s="1266"/>
      <c r="K1155" s="1270" t="e">
        <f>K1151+K1154</f>
        <v>#DIV/0!</v>
      </c>
      <c r="L1155" s="1261" t="s">
        <v>364</v>
      </c>
      <c r="M1155" s="1266"/>
      <c r="N1155" s="1266"/>
      <c r="O1155" s="1270" t="e">
        <f>O1151+O1154</f>
        <v>#DIV/0!</v>
      </c>
      <c r="P1155" s="1261" t="s">
        <v>364</v>
      </c>
      <c r="Q1155" s="1266"/>
      <c r="R1155" s="1266"/>
      <c r="S1155" s="1270" t="e">
        <f>S1151+S1154</f>
        <v>#DIV/0!</v>
      </c>
      <c r="T1155" s="1261" t="s">
        <v>364</v>
      </c>
      <c r="U1155" s="1266"/>
      <c r="V1155" s="1124"/>
      <c r="W1155" s="784"/>
      <c r="X1155" s="795" t="s">
        <v>31</v>
      </c>
      <c r="Z1155" s="1125"/>
      <c r="AA1155" s="1125"/>
      <c r="AF1155" s="1119"/>
      <c r="AG1155" s="1119"/>
      <c r="AH1155" s="1119"/>
      <c r="AI1155" s="1119"/>
      <c r="AJ1155" s="1119"/>
      <c r="AK1155" s="1119"/>
      <c r="AL1155" s="1119"/>
      <c r="AM1155" s="1119"/>
      <c r="AN1155" s="1119"/>
      <c r="AO1155" s="1119"/>
      <c r="AP1155" s="1119"/>
      <c r="AR1155" s="1124"/>
    </row>
    <row r="1156" spans="1:44">
      <c r="A1156" s="3" t="s">
        <v>481</v>
      </c>
      <c r="C1156" s="249">
        <f>SUM(C1151:C1152)</f>
        <v>209541.66875847799</v>
      </c>
      <c r="D1156" s="254"/>
      <c r="E1156" s="20"/>
      <c r="F1156" s="257">
        <f>SUM(F1150:F1152)</f>
        <v>36552.726609179299</v>
      </c>
      <c r="G1156" s="254"/>
      <c r="H1156" s="20"/>
      <c r="I1156" s="257">
        <f>SUM(I1150:I1155)</f>
        <v>37424.726609179299</v>
      </c>
      <c r="J1156" s="257"/>
      <c r="K1156" s="254"/>
      <c r="L1156" s="20"/>
      <c r="M1156" s="257" t="e">
        <f>SUM(M1150:M1155)</f>
        <v>#DIV/0!</v>
      </c>
      <c r="N1156" s="257"/>
      <c r="O1156" s="254"/>
      <c r="P1156" s="20"/>
      <c r="Q1156" s="257" t="e">
        <f>SUM(Q1150:Q1155)</f>
        <v>#DIV/0!</v>
      </c>
      <c r="R1156" s="257"/>
      <c r="S1156" s="254"/>
      <c r="T1156" s="20"/>
      <c r="U1156" s="257" t="e">
        <f>SUM(U1150:U1155)</f>
        <v>#DIV/0!</v>
      </c>
      <c r="V1156" s="20"/>
      <c r="W1156" s="74"/>
      <c r="X1156" s="74"/>
      <c r="Y1156" s="74"/>
      <c r="Z1156" s="20"/>
      <c r="AA1156" s="20"/>
      <c r="AB1156" s="20"/>
      <c r="AC1156" s="20"/>
      <c r="AD1156" s="20"/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</row>
    <row r="1157" spans="1:44">
      <c r="A1157" s="3" t="s">
        <v>482</v>
      </c>
      <c r="C1157" s="249">
        <f ca="1">'Table 2'!H121</f>
        <v>2653.5816237928889</v>
      </c>
      <c r="D1157" s="254"/>
      <c r="E1157" s="20"/>
      <c r="F1157" s="257">
        <f>'Table 3'!E121</f>
        <v>567.41534451217819</v>
      </c>
      <c r="G1157" s="254"/>
      <c r="H1157" s="20"/>
      <c r="I1157" s="257">
        <f>F1157</f>
        <v>567.41534451217819</v>
      </c>
      <c r="J1157" s="257"/>
      <c r="K1157" s="254"/>
      <c r="L1157" s="20"/>
      <c r="M1157" s="257" t="e">
        <f>$I$1157*V1161/($V$1161+$W$1161+$X$1161)</f>
        <v>#DIV/0!</v>
      </c>
      <c r="N1157" s="51"/>
      <c r="O1157" s="294"/>
      <c r="P1157" s="294"/>
      <c r="Q1157" s="257" t="e">
        <f>$I$1157*W1161/($V$1161+$W$1161+$X$1161)</f>
        <v>#DIV/0!</v>
      </c>
      <c r="R1157" s="51"/>
      <c r="S1157" s="294"/>
      <c r="T1157" s="294"/>
      <c r="U1157" s="257" t="e">
        <f>$I$1157*X1161/($V$1161+$W$1161+$X$1161)</f>
        <v>#DIV/0!</v>
      </c>
      <c r="V1157" s="274"/>
      <c r="W1157" s="275"/>
      <c r="X1157" s="74"/>
      <c r="Y1157" s="74"/>
      <c r="Z1157" s="20"/>
      <c r="AA1157" s="20"/>
      <c r="AB1157" s="20"/>
      <c r="AC1157" s="20"/>
      <c r="AD1157" s="20"/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</row>
    <row r="1158" spans="1:44" ht="16.5" thickBot="1">
      <c r="A1158" s="1" t="s">
        <v>9</v>
      </c>
      <c r="B1158" s="1"/>
      <c r="C1158" s="378">
        <f ca="1">C1156+C1157</f>
        <v>212195.25038227087</v>
      </c>
      <c r="D1158" s="962"/>
      <c r="E1158" s="330"/>
      <c r="F1158" s="259">
        <f>F1156+F1157</f>
        <v>37120.141953691476</v>
      </c>
      <c r="G1158" s="962"/>
      <c r="H1158" s="330"/>
      <c r="I1158" s="259">
        <f>I1156+I1157</f>
        <v>37992.141953691476</v>
      </c>
      <c r="J1158" s="297"/>
      <c r="K1158" s="962"/>
      <c r="L1158" s="330"/>
      <c r="M1158" s="259" t="e">
        <f>M1156+M1157</f>
        <v>#DIV/0!</v>
      </c>
      <c r="N1158" s="297"/>
      <c r="O1158" s="962"/>
      <c r="P1158" s="330"/>
      <c r="Q1158" s="259" t="e">
        <f>Q1156+Q1157</f>
        <v>#DIV/0!</v>
      </c>
      <c r="R1158" s="297"/>
      <c r="S1158" s="962"/>
      <c r="T1158" s="330"/>
      <c r="U1158" s="259" t="e">
        <f>U1156+U1157</f>
        <v>#DIV/0!</v>
      </c>
      <c r="V1158" s="761" t="s">
        <v>399</v>
      </c>
      <c r="W1158" s="1082">
        <f ca="1">'Rate Spread targets'!X39*1000</f>
        <v>37991.880991169499</v>
      </c>
      <c r="X1158" s="1086">
        <f>(I1158-F1158)/F1158</f>
        <v>2.3491289475343249E-2</v>
      </c>
      <c r="Y1158" s="796"/>
      <c r="Z1158" s="20"/>
      <c r="AA1158" s="20"/>
      <c r="AB1158" s="20"/>
      <c r="AC1158" s="20"/>
      <c r="AD1158" s="20"/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</row>
    <row r="1159" spans="1:44" ht="16.5" thickTop="1">
      <c r="A1159" s="1"/>
      <c r="B1159" s="1"/>
      <c r="C1159" s="1"/>
      <c r="D1159" s="404" t="s">
        <v>31</v>
      </c>
      <c r="E1159" s="1"/>
      <c r="F1159" s="1"/>
      <c r="G1159" s="404" t="s">
        <v>31</v>
      </c>
      <c r="H1159" s="1"/>
      <c r="I1159" s="2" t="s">
        <v>31</v>
      </c>
      <c r="J1159" s="2"/>
      <c r="K1159" s="404" t="s">
        <v>31</v>
      </c>
      <c r="L1159" s="1"/>
      <c r="M1159" s="2" t="s">
        <v>31</v>
      </c>
      <c r="N1159" s="2"/>
      <c r="O1159" s="404" t="s">
        <v>31</v>
      </c>
      <c r="P1159" s="1"/>
      <c r="Q1159" s="2" t="s">
        <v>31</v>
      </c>
      <c r="R1159" s="2"/>
      <c r="S1159" s="404" t="s">
        <v>31</v>
      </c>
      <c r="T1159" s="1"/>
      <c r="U1159" s="2" t="s">
        <v>31</v>
      </c>
      <c r="V1159" s="762" t="s">
        <v>257</v>
      </c>
      <c r="W1159" s="780">
        <f ca="1">W1158-I1158</f>
        <v>-0.26096252197748981</v>
      </c>
      <c r="X1159" s="779" t="s">
        <v>31</v>
      </c>
      <c r="Y1159" s="226"/>
      <c r="Z1159" s="20"/>
      <c r="AA1159" s="20"/>
      <c r="AB1159" s="20"/>
      <c r="AC1159" s="20"/>
      <c r="AD1159" s="20"/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</row>
    <row r="1160" spans="1:44" hidden="1">
      <c r="A1160" s="1"/>
      <c r="B1160" s="1"/>
      <c r="C1160" s="1"/>
      <c r="D1160" s="404"/>
      <c r="E1160" s="1"/>
      <c r="F1160" s="1"/>
      <c r="G1160" s="404"/>
      <c r="H1160" s="1"/>
      <c r="I1160" s="2"/>
      <c r="J1160" s="2"/>
      <c r="K1160" s="404"/>
      <c r="L1160" s="1"/>
      <c r="M1160" s="2"/>
      <c r="N1160" s="2"/>
      <c r="O1160" s="404"/>
      <c r="P1160" s="1"/>
      <c r="Q1160" s="2"/>
      <c r="R1160" s="2"/>
      <c r="S1160" s="404"/>
      <c r="T1160" s="1"/>
      <c r="U1160" s="2"/>
      <c r="V1160" s="719"/>
      <c r="W1160" s="719"/>
      <c r="X1160" s="719"/>
      <c r="Y1160" s="226"/>
      <c r="Z1160" s="20"/>
      <c r="AA1160" s="20"/>
      <c r="AB1160" s="20"/>
      <c r="AC1160" s="20"/>
      <c r="AD1160" s="20"/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</row>
    <row r="1161" spans="1:44" hidden="1">
      <c r="A1161" s="1"/>
      <c r="B1161" s="1"/>
      <c r="C1161" s="1"/>
      <c r="D1161" s="404"/>
      <c r="E1161" s="1"/>
      <c r="F1161" s="1"/>
      <c r="G1161" s="404"/>
      <c r="H1161" s="1"/>
      <c r="I1161" s="2"/>
      <c r="J1161" s="2"/>
      <c r="K1161" s="404"/>
      <c r="L1161" s="1"/>
      <c r="M1161" s="2"/>
      <c r="N1161" s="2"/>
      <c r="O1161" s="404"/>
      <c r="P1161" s="1"/>
      <c r="Q1161" s="2"/>
      <c r="R1161" s="2"/>
      <c r="S1161" s="404"/>
      <c r="T1161" s="1"/>
      <c r="U1161" s="2"/>
      <c r="V1161" s="401"/>
      <c r="W1161" s="401"/>
      <c r="X1161" s="401"/>
      <c r="Y1161" s="226"/>
      <c r="Z1161" s="20"/>
      <c r="AA1161" s="20"/>
      <c r="AB1161" s="20"/>
      <c r="AC1161" s="20"/>
      <c r="AD1161" s="20"/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</row>
    <row r="1162" spans="1:44">
      <c r="A1162" s="278" t="s">
        <v>483</v>
      </c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20"/>
      <c r="W1162" s="74"/>
      <c r="X1162" s="74"/>
      <c r="Y1162" s="74"/>
      <c r="Z1162" s="20"/>
      <c r="AA1162" s="20"/>
      <c r="AB1162" s="20"/>
      <c r="AC1162" s="20"/>
      <c r="AD1162" s="20"/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</row>
    <row r="1163" spans="1:44">
      <c r="A1163" s="1" t="s">
        <v>484</v>
      </c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20"/>
      <c r="W1163" s="74"/>
      <c r="X1163" s="74"/>
      <c r="Y1163" s="74"/>
      <c r="Z1163" s="20"/>
      <c r="AA1163" s="20"/>
      <c r="AB1163" s="2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</row>
    <row r="1164" spans="1:44">
      <c r="A1164" s="1"/>
      <c r="B1164" s="1"/>
      <c r="C1164" s="1"/>
      <c r="D1164" s="404"/>
      <c r="E1164" s="1"/>
      <c r="F1164" s="1"/>
      <c r="G1164" s="404"/>
      <c r="H1164" s="1"/>
      <c r="I1164" s="1"/>
      <c r="J1164" s="1"/>
      <c r="K1164" s="404"/>
      <c r="L1164" s="1"/>
      <c r="M1164" s="1"/>
      <c r="N1164" s="1"/>
      <c r="O1164" s="404"/>
      <c r="P1164" s="1"/>
      <c r="Q1164" s="1"/>
      <c r="R1164" s="1"/>
      <c r="S1164" s="404"/>
      <c r="T1164" s="1"/>
      <c r="U1164" s="1"/>
      <c r="V1164" s="20"/>
      <c r="W1164" s="74"/>
      <c r="X1164" s="74"/>
      <c r="Y1164" s="74"/>
      <c r="Z1164" s="20"/>
      <c r="AA1164" s="20"/>
      <c r="AB1164" s="20"/>
      <c r="AC1164" s="20"/>
      <c r="AD1164" s="20"/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</row>
    <row r="1165" spans="1:44">
      <c r="A1165" s="1" t="s">
        <v>478</v>
      </c>
      <c r="B1165" s="1"/>
      <c r="C1165" s="21"/>
      <c r="D1165" s="283"/>
      <c r="E1165" s="1"/>
      <c r="F1165" s="397">
        <f>F1180+F1209</f>
        <v>2258.3938334562231</v>
      </c>
      <c r="G1165" s="283"/>
      <c r="H1165" s="1"/>
      <c r="I1165" s="2">
        <f>I1180+I1209</f>
        <v>2258.3938334562231</v>
      </c>
      <c r="J1165" s="2"/>
      <c r="K1165" s="283"/>
      <c r="L1165" s="1"/>
      <c r="M1165" s="2" t="e">
        <f>M1180+M1209</f>
        <v>#REF!</v>
      </c>
      <c r="N1165" s="2"/>
      <c r="O1165" s="283"/>
      <c r="P1165" s="1"/>
      <c r="Q1165" s="2" t="e">
        <f>Q1180+Q1209</f>
        <v>#DIV/0!</v>
      </c>
      <c r="R1165" s="2"/>
      <c r="S1165" s="283"/>
      <c r="T1165" s="1"/>
      <c r="U1165" s="2" t="e">
        <f>U1180+U1209</f>
        <v>#DIV/0!</v>
      </c>
      <c r="V1165" s="20"/>
      <c r="W1165" s="74"/>
      <c r="X1165" s="74"/>
      <c r="Y1165" s="74"/>
      <c r="Z1165" s="20"/>
      <c r="AA1165" s="20"/>
      <c r="AB1165" s="20"/>
      <c r="AC1165" s="20"/>
      <c r="AD1165" s="20"/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</row>
    <row r="1166" spans="1:44">
      <c r="A1166" s="1" t="s">
        <v>600</v>
      </c>
      <c r="B1166" s="1"/>
      <c r="C1166" s="249">
        <f>C1196+C1210+C1211</f>
        <v>2331237.4144894434</v>
      </c>
      <c r="D1166" s="799" t="s">
        <v>31</v>
      </c>
      <c r="E1166" s="1" t="s">
        <v>31</v>
      </c>
      <c r="F1166" s="399">
        <f>F1196+F1211</f>
        <v>164236</v>
      </c>
      <c r="G1166" s="799" t="s">
        <v>31</v>
      </c>
      <c r="H1166" s="1" t="s">
        <v>31</v>
      </c>
      <c r="I1166" s="2">
        <f>I1196+I1211</f>
        <v>168199.12225541333</v>
      </c>
      <c r="J1166" s="2"/>
      <c r="K1166" s="799" t="s">
        <v>31</v>
      </c>
      <c r="L1166" s="1" t="s">
        <v>31</v>
      </c>
      <c r="M1166" s="2" t="e">
        <f>M1196+M1211</f>
        <v>#DIV/0!</v>
      </c>
      <c r="N1166" s="2"/>
      <c r="O1166" s="799" t="s">
        <v>31</v>
      </c>
      <c r="P1166" s="1" t="s">
        <v>31</v>
      </c>
      <c r="Q1166" s="2" t="e">
        <f>Q1196+Q1211</f>
        <v>#DIV/0!</v>
      </c>
      <c r="R1166" s="2"/>
      <c r="S1166" s="799" t="s">
        <v>31</v>
      </c>
      <c r="T1166" s="1" t="s">
        <v>31</v>
      </c>
      <c r="U1166" s="2" t="e">
        <f>U1196+U1211</f>
        <v>#DIV/0!</v>
      </c>
      <c r="V1166" s="20"/>
      <c r="W1166" s="74"/>
      <c r="X1166" s="74"/>
      <c r="Y1166" s="74"/>
      <c r="Z1166" s="20"/>
      <c r="AA1166" s="20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</row>
    <row r="1167" spans="1:44">
      <c r="A1167" s="1" t="s">
        <v>602</v>
      </c>
      <c r="B1167" s="1"/>
      <c r="C1167" s="249">
        <f>C1197</f>
        <v>2267439.2993954606</v>
      </c>
      <c r="D1167" s="409" t="s">
        <v>31</v>
      </c>
      <c r="E1167" s="1" t="s">
        <v>31</v>
      </c>
      <c r="F1167" s="2">
        <f>F1182+F1183+F1184+F1185+F1186+F1187+F1190+F1191+F1192+F1193+F1194</f>
        <v>159739.89404560489</v>
      </c>
      <c r="G1167" s="409" t="s">
        <v>31</v>
      </c>
      <c r="H1167" s="1" t="s">
        <v>31</v>
      </c>
      <c r="I1167" s="2">
        <f>I1182+I1183+I1184+I1185+I1186+I1187+I1190+I1191+I1192+I1193+I1194</f>
        <v>163555.17538404744</v>
      </c>
      <c r="J1167" s="2"/>
      <c r="K1167" s="409" t="s">
        <v>31</v>
      </c>
      <c r="L1167" s="1" t="s">
        <v>31</v>
      </c>
      <c r="M1167" s="2" t="e">
        <f>M1182+M1183+M1184+M1185+M1186+M1187+M1190+M1191+M1192+M1193+M1194</f>
        <v>#DIV/0!</v>
      </c>
      <c r="N1167" s="2"/>
      <c r="O1167" s="409" t="s">
        <v>31</v>
      </c>
      <c r="P1167" s="1" t="s">
        <v>31</v>
      </c>
      <c r="Q1167" s="2" t="e">
        <f>Q1182+Q1183+Q1184+Q1185+Q1186+Q1187+Q1190+Q1191+Q1192+Q1193+Q1194</f>
        <v>#DIV/0!</v>
      </c>
      <c r="R1167" s="2"/>
      <c r="S1167" s="409" t="s">
        <v>31</v>
      </c>
      <c r="T1167" s="1" t="s">
        <v>31</v>
      </c>
      <c r="U1167" s="2" t="e">
        <f>U1182+U1183+U1184+U1185+U1186+U1187+U1190+U1191+U1192+U1193+U1194</f>
        <v>#DIV/0!</v>
      </c>
      <c r="V1167" s="20"/>
      <c r="W1167" s="74"/>
      <c r="X1167" s="32" t="s">
        <v>31</v>
      </c>
      <c r="Z1167" s="20"/>
      <c r="AA1167" s="20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</row>
    <row r="1168" spans="1:44">
      <c r="A1168" s="1" t="s">
        <v>352</v>
      </c>
      <c r="B1168" s="1"/>
      <c r="C1168" s="249">
        <f>C1198+C1212</f>
        <v>81.416666666666671</v>
      </c>
      <c r="D1168" s="400"/>
      <c r="E1168" s="1"/>
      <c r="F1168" s="2"/>
      <c r="G1168" s="400"/>
      <c r="H1168" s="1"/>
      <c r="I1168" s="2"/>
      <c r="J1168" s="2"/>
      <c r="K1168" s="400"/>
      <c r="L1168" s="1"/>
      <c r="M1168" s="2"/>
      <c r="N1168" s="2"/>
      <c r="O1168" s="400"/>
      <c r="P1168" s="1"/>
      <c r="Q1168" s="2"/>
      <c r="R1168" s="2"/>
      <c r="S1168" s="400"/>
      <c r="T1168" s="1"/>
      <c r="U1168" s="2"/>
      <c r="V1168" s="20"/>
      <c r="W1168" s="74"/>
      <c r="X1168" s="74"/>
      <c r="Y1168" s="74"/>
      <c r="Z1168" s="20"/>
      <c r="AA1168" s="20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</row>
    <row r="1169" spans="1:44" s="1118" customFormat="1" hidden="1">
      <c r="A1169" s="968" t="s">
        <v>903</v>
      </c>
      <c r="C1169" s="1122">
        <f>C1170</f>
        <v>4598676.713884904</v>
      </c>
      <c r="D1169" s="254">
        <f>'Rate Design Work eff 9-15-17'!D1166</f>
        <v>0</v>
      </c>
      <c r="E1169" s="1119"/>
      <c r="F1169" s="1123"/>
      <c r="G1169" s="1128">
        <f>'Rate Design Work eff 9-15-17'!G1166</f>
        <v>0</v>
      </c>
      <c r="H1169" s="1000" t="s">
        <v>364</v>
      </c>
      <c r="I1169" s="1000">
        <f>ROUND(G1169*$C1169/100,0)</f>
        <v>0</v>
      </c>
      <c r="J1169" s="1000"/>
      <c r="K1169" s="1128" t="s">
        <v>31</v>
      </c>
      <c r="L1169" s="1126" t="s">
        <v>31</v>
      </c>
      <c r="M1169" s="1123">
        <f>K1169*C1169</f>
        <v>0</v>
      </c>
      <c r="N1169" s="1123"/>
      <c r="O1169" s="1128" t="s">
        <v>31</v>
      </c>
      <c r="P1169" s="1126" t="s">
        <v>31</v>
      </c>
      <c r="Q1169" s="1123">
        <f>O1169*C1169</f>
        <v>0</v>
      </c>
      <c r="R1169" s="1123"/>
      <c r="S1169" s="1128">
        <f>G1169</f>
        <v>0</v>
      </c>
      <c r="T1169" s="1126" t="s">
        <v>364</v>
      </c>
      <c r="U1169" s="1123">
        <f>I1169</f>
        <v>0</v>
      </c>
      <c r="V1169" s="1130">
        <f>'NPC Spread'!J53</f>
        <v>105993.44624000302</v>
      </c>
      <c r="W1169" s="1137" t="s">
        <v>857</v>
      </c>
      <c r="Z1169" s="1125"/>
      <c r="AA1169" s="1125"/>
      <c r="AF1169" s="1119"/>
      <c r="AG1169" s="1119"/>
      <c r="AH1169" s="1119"/>
      <c r="AI1169" s="1119"/>
      <c r="AJ1169" s="1119"/>
      <c r="AK1169" s="1119"/>
      <c r="AL1169" s="1119"/>
      <c r="AM1169" s="1119"/>
      <c r="AN1169" s="1119"/>
      <c r="AO1169" s="1119"/>
      <c r="AP1169" s="1119"/>
      <c r="AR1169" s="1124"/>
    </row>
    <row r="1170" spans="1:44">
      <c r="A1170" s="3" t="s">
        <v>481</v>
      </c>
      <c r="C1170" s="249">
        <f>C1201+C1214</f>
        <v>4598676.713884904</v>
      </c>
      <c r="D1170" s="254"/>
      <c r="E1170" s="20"/>
      <c r="F1170" s="257">
        <f>F1201+F1214</f>
        <v>326234.28787906107</v>
      </c>
      <c r="G1170" s="254"/>
      <c r="H1170" s="20"/>
      <c r="I1170" s="257">
        <f>I1201+I1214</f>
        <v>334012.69147291698</v>
      </c>
      <c r="J1170" s="257"/>
      <c r="K1170" s="254"/>
      <c r="L1170" s="20"/>
      <c r="M1170" s="257" t="e">
        <f>M1201+M1214</f>
        <v>#DIV/0!</v>
      </c>
      <c r="N1170" s="257"/>
      <c r="O1170" s="254"/>
      <c r="P1170" s="20"/>
      <c r="Q1170" s="257" t="e">
        <f>Q1201+Q1214</f>
        <v>#DIV/0!</v>
      </c>
      <c r="R1170" s="257"/>
      <c r="S1170" s="254"/>
      <c r="T1170" s="20"/>
      <c r="U1170" s="257" t="e">
        <f>U1201+U1214</f>
        <v>#DIV/0!</v>
      </c>
      <c r="X1170" s="74"/>
      <c r="Y1170" s="74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</row>
    <row r="1171" spans="1:44">
      <c r="A1171" s="3" t="s">
        <v>482</v>
      </c>
      <c r="C1171" s="249">
        <f ca="1">C1202+C1215</f>
        <v>58236.455278948066</v>
      </c>
      <c r="D1171" s="254"/>
      <c r="E1171" s="20"/>
      <c r="F1171" s="257">
        <f>F1202+F1215</f>
        <v>5063.9173543015222</v>
      </c>
      <c r="G1171" s="254"/>
      <c r="H1171" s="20"/>
      <c r="I1171" s="257">
        <f>F1171</f>
        <v>5063.9173543015222</v>
      </c>
      <c r="J1171" s="257"/>
      <c r="K1171" s="254"/>
      <c r="L1171" s="20"/>
      <c r="M1171" s="257" t="e">
        <f>M1202+M1215</f>
        <v>#DIV/0!</v>
      </c>
      <c r="N1171" s="257"/>
      <c r="O1171" s="254"/>
      <c r="P1171" s="20"/>
      <c r="Q1171" s="257" t="e">
        <f>Q1202+Q1215</f>
        <v>#DIV/0!</v>
      </c>
      <c r="R1171" s="257"/>
      <c r="S1171" s="254"/>
      <c r="T1171" s="20"/>
      <c r="U1171" s="257" t="e">
        <f>U1202+U1215</f>
        <v>#DIV/0!</v>
      </c>
      <c r="V1171" s="274"/>
      <c r="W1171" s="275"/>
      <c r="X1171" s="74"/>
      <c r="Y1171" s="74"/>
      <c r="Z1171" s="20"/>
      <c r="AA1171" s="20"/>
      <c r="AB1171" s="2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</row>
    <row r="1172" spans="1:44" ht="16.5" thickBot="1">
      <c r="A1172" s="1" t="s">
        <v>9</v>
      </c>
      <c r="B1172" s="1"/>
      <c r="C1172" s="378">
        <f ca="1">C1170+C1171</f>
        <v>4656913.169163852</v>
      </c>
      <c r="D1172" s="962"/>
      <c r="E1172" s="330"/>
      <c r="F1172" s="259">
        <f>F1170+F1171</f>
        <v>331298.20523336262</v>
      </c>
      <c r="G1172" s="962"/>
      <c r="H1172" s="330"/>
      <c r="I1172" s="259">
        <f>I1170+I1171</f>
        <v>339076.60882721853</v>
      </c>
      <c r="J1172" s="297"/>
      <c r="K1172" s="962"/>
      <c r="L1172" s="330"/>
      <c r="M1172" s="259" t="e">
        <f>M1170+M1171</f>
        <v>#DIV/0!</v>
      </c>
      <c r="N1172" s="297"/>
      <c r="O1172" s="962"/>
      <c r="P1172" s="330"/>
      <c r="Q1172" s="259" t="e">
        <f>Q1170+Q1171</f>
        <v>#DIV/0!</v>
      </c>
      <c r="R1172" s="297"/>
      <c r="S1172" s="962"/>
      <c r="T1172" s="330"/>
      <c r="U1172" s="259" t="e">
        <f>U1170+U1171</f>
        <v>#DIV/0!</v>
      </c>
      <c r="V1172" s="761" t="s">
        <v>399</v>
      </c>
      <c r="W1172" s="1082">
        <f ca="1">'Rate Spread targets'!X40*1000</f>
        <v>339087.49844314903</v>
      </c>
      <c r="X1172" s="1086">
        <f>(I1172-F1172)/F1172</f>
        <v>2.3478556391142814E-2</v>
      </c>
      <c r="Y1172" s="796"/>
      <c r="Z1172" s="20"/>
      <c r="AA1172" s="20"/>
      <c r="AB1172" s="20"/>
      <c r="AC1172" s="20"/>
      <c r="AD1172" s="20"/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</row>
    <row r="1173" spans="1:44" ht="16.5" thickTop="1">
      <c r="A1173" s="1307" t="s">
        <v>902</v>
      </c>
      <c r="B1173" s="1"/>
      <c r="C1173" s="26"/>
      <c r="D1173" s="407"/>
      <c r="E1173" s="23"/>
      <c r="F1173" s="51"/>
      <c r="G1173" s="407"/>
      <c r="H1173" s="23"/>
      <c r="I1173" s="51"/>
      <c r="J1173" s="51"/>
      <c r="K1173" s="407"/>
      <c r="L1173" s="23"/>
      <c r="M1173" s="51"/>
      <c r="N1173" s="51"/>
      <c r="O1173" s="407"/>
      <c r="P1173" s="23"/>
      <c r="Q1173" s="51"/>
      <c r="R1173" s="51"/>
      <c r="S1173" s="407"/>
      <c r="T1173" s="23"/>
      <c r="U1173" s="51"/>
      <c r="V1173" s="1305"/>
      <c r="W1173" s="401"/>
      <c r="X1173" s="1306"/>
      <c r="Y1173" s="796"/>
      <c r="Z1173" s="20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</row>
    <row r="1174" spans="1:44">
      <c r="A1174" s="1"/>
      <c r="B1174" s="1"/>
      <c r="C1174" s="26"/>
      <c r="D1174" s="407"/>
      <c r="E1174" s="23"/>
      <c r="F1174" s="51"/>
      <c r="G1174" s="407"/>
      <c r="H1174" s="23"/>
      <c r="I1174" s="51"/>
      <c r="J1174" s="51"/>
      <c r="K1174" s="407"/>
      <c r="L1174" s="23"/>
      <c r="M1174" s="51"/>
      <c r="N1174" s="51"/>
      <c r="O1174" s="407"/>
      <c r="P1174" s="23"/>
      <c r="Q1174" s="51"/>
      <c r="R1174" s="51"/>
      <c r="S1174" s="407"/>
      <c r="T1174" s="23"/>
      <c r="U1174" s="51"/>
      <c r="V1174" s="762" t="s">
        <v>257</v>
      </c>
      <c r="W1174" s="780">
        <f ca="1">W1172-I1172</f>
        <v>10.88961593050044</v>
      </c>
      <c r="X1174" s="758"/>
      <c r="Y1174" s="796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</row>
    <row r="1175" spans="1:44" hidden="1">
      <c r="A1175" s="1"/>
      <c r="B1175" s="1"/>
      <c r="C1175" s="26"/>
      <c r="D1175" s="407"/>
      <c r="E1175" s="23"/>
      <c r="F1175" s="51"/>
      <c r="G1175" s="407"/>
      <c r="H1175" s="23"/>
      <c r="I1175" s="51"/>
      <c r="J1175" s="51"/>
      <c r="K1175" s="407"/>
      <c r="L1175" s="23"/>
      <c r="M1175" s="51"/>
      <c r="N1175" s="51"/>
      <c r="O1175" s="407"/>
      <c r="P1175" s="23"/>
      <c r="Q1175" s="51"/>
      <c r="R1175" s="51"/>
      <c r="S1175" s="407"/>
      <c r="T1175" s="23"/>
      <c r="U1175" s="51"/>
      <c r="V1175" s="719"/>
      <c r="W1175" s="719"/>
      <c r="X1175" s="719"/>
      <c r="Y1175" s="796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</row>
    <row r="1176" spans="1:44" hidden="1">
      <c r="A1176" s="1"/>
      <c r="B1176" s="1"/>
      <c r="C1176" s="26"/>
      <c r="D1176" s="407" t="s">
        <v>31</v>
      </c>
      <c r="E1176" s="23"/>
      <c r="F1176" s="51"/>
      <c r="G1176" s="407" t="s">
        <v>31</v>
      </c>
      <c r="H1176" s="23"/>
      <c r="I1176" s="51" t="s">
        <v>31</v>
      </c>
      <c r="J1176" s="51"/>
      <c r="K1176" s="407" t="s">
        <v>31</v>
      </c>
      <c r="L1176" s="23"/>
      <c r="M1176" s="51" t="s">
        <v>31</v>
      </c>
      <c r="N1176" s="51"/>
      <c r="O1176" s="407" t="s">
        <v>31</v>
      </c>
      <c r="P1176" s="23"/>
      <c r="Q1176" s="51" t="s">
        <v>31</v>
      </c>
      <c r="R1176" s="51"/>
      <c r="S1176" s="407" t="s">
        <v>31</v>
      </c>
      <c r="T1176" s="23"/>
      <c r="U1176" s="51" t="s">
        <v>31</v>
      </c>
      <c r="V1176" s="401"/>
      <c r="W1176" s="401"/>
      <c r="X1176" s="401"/>
      <c r="Y1176" s="74"/>
      <c r="Z1176" s="20"/>
      <c r="AA1176" s="20"/>
      <c r="AB1176" s="20"/>
      <c r="AC1176" s="20"/>
      <c r="AD1176" s="20"/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</row>
    <row r="1177" spans="1:44">
      <c r="A1177" s="278" t="s">
        <v>487</v>
      </c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401"/>
      <c r="W1177" s="74"/>
      <c r="X1177" s="74"/>
      <c r="Y1177" s="74"/>
      <c r="Z1177" s="20"/>
      <c r="AA1177" s="20"/>
      <c r="AB1177" s="20"/>
      <c r="AC1177" s="20"/>
      <c r="AD1177" s="20"/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</row>
    <row r="1178" spans="1:44">
      <c r="A1178" s="1" t="s">
        <v>488</v>
      </c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20"/>
      <c r="W1178" s="74"/>
      <c r="X1178" s="74"/>
      <c r="Y1178" s="74"/>
      <c r="Z1178" s="20"/>
      <c r="AA1178" s="20"/>
      <c r="AB1178" s="20"/>
      <c r="AC1178" s="20"/>
      <c r="AD1178" s="20"/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</row>
    <row r="1179" spans="1:44">
      <c r="A1179" s="1"/>
      <c r="B1179" s="1"/>
      <c r="C1179" s="1"/>
      <c r="D1179" s="404"/>
      <c r="E1179" s="1"/>
      <c r="F1179" s="1"/>
      <c r="G1179" s="404"/>
      <c r="H1179" s="1"/>
      <c r="I1179" s="1"/>
      <c r="J1179" s="1"/>
      <c r="K1179" s="404"/>
      <c r="L1179" s="1"/>
      <c r="M1179" s="1"/>
      <c r="N1179" s="1"/>
      <c r="O1179" s="404"/>
      <c r="P1179" s="1"/>
      <c r="Q1179" s="1"/>
      <c r="R1179" s="1"/>
      <c r="S1179" s="404"/>
      <c r="T1179" s="1"/>
      <c r="U1179" s="1"/>
      <c r="V1179" s="20"/>
      <c r="W1179" s="74"/>
      <c r="X1179" s="74"/>
      <c r="Y1179" s="74"/>
      <c r="Z1179" s="20"/>
      <c r="AA1179" s="20"/>
      <c r="AB1179" s="2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</row>
    <row r="1180" spans="1:44">
      <c r="A1180" s="1" t="s">
        <v>478</v>
      </c>
      <c r="B1180" s="1"/>
      <c r="C1180" s="21"/>
      <c r="D1180" s="283"/>
      <c r="E1180" s="1"/>
      <c r="F1180" s="397">
        <f>'Rate Design Work eff 10-14-16'!F1176</f>
        <v>2258.3938334562231</v>
      </c>
      <c r="G1180" s="283"/>
      <c r="H1180" s="1"/>
      <c r="I1180" s="2">
        <f>'Rate Design Work eff 10-14-16'!I1176</f>
        <v>2258.3938334562231</v>
      </c>
      <c r="J1180" s="2"/>
      <c r="K1180" s="283"/>
      <c r="L1180" s="1"/>
      <c r="M1180" s="2">
        <f>I1180</f>
        <v>2258.3938334562231</v>
      </c>
      <c r="N1180" s="2"/>
      <c r="O1180" s="283"/>
      <c r="P1180" s="1"/>
      <c r="Q1180" s="2" t="s">
        <v>31</v>
      </c>
      <c r="R1180" s="2"/>
      <c r="S1180" s="283"/>
      <c r="T1180" s="1"/>
      <c r="U1180" s="2" t="str">
        <f>Q1180</f>
        <v xml:space="preserve"> </v>
      </c>
      <c r="V1180" s="20"/>
      <c r="W1180" s="74"/>
      <c r="X1180" s="74"/>
      <c r="Y1180" s="74"/>
      <c r="Z1180" s="20"/>
      <c r="AA1180" s="20"/>
      <c r="AB1180" s="20"/>
      <c r="AC1180" s="20"/>
      <c r="AD1180" s="20"/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</row>
    <row r="1181" spans="1:44">
      <c r="A1181" s="1" t="s">
        <v>576</v>
      </c>
      <c r="B1181" s="1"/>
      <c r="C1181" s="21"/>
      <c r="D1181" s="283"/>
      <c r="E1181" s="1"/>
      <c r="F1181" s="397"/>
      <c r="G1181" s="283"/>
      <c r="H1181" s="1"/>
      <c r="I1181" s="2"/>
      <c r="J1181" s="2"/>
      <c r="K1181" s="283"/>
      <c r="L1181" s="1"/>
      <c r="M1181" s="2"/>
      <c r="N1181" s="2"/>
      <c r="O1181" s="283"/>
      <c r="P1181" s="1"/>
      <c r="Q1181" s="2"/>
      <c r="R1181" s="2"/>
      <c r="S1181" s="283"/>
      <c r="T1181" s="1"/>
      <c r="U1181" s="2"/>
      <c r="V1181" s="20"/>
      <c r="Z1181" s="443" t="s">
        <v>31</v>
      </c>
      <c r="AA1181" s="74"/>
      <c r="AB1181" s="20"/>
      <c r="AC1181" s="20"/>
      <c r="AD1181" s="20"/>
      <c r="AE1181" s="20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</row>
    <row r="1182" spans="1:44">
      <c r="A1182" s="3" t="s">
        <v>589</v>
      </c>
      <c r="B1182" s="1"/>
      <c r="C1182" s="21">
        <f>'Rate Design Work eff 10-14-16'!C1178</f>
        <v>4296.0202493777233</v>
      </c>
      <c r="D1182" s="283">
        <f>'Rate Design Work eff 9-15-17'!D1178</f>
        <v>2.1800000000000002</v>
      </c>
      <c r="E1182" s="1"/>
      <c r="F1182" s="397">
        <f t="shared" ref="F1182:F1187" si="157">C1182*D1182</f>
        <v>9365.3241436434382</v>
      </c>
      <c r="G1182" s="283">
        <f>'Rate Design Work eff 9-15-17'!G1178</f>
        <v>2.2400000000000002</v>
      </c>
      <c r="H1182" s="1"/>
      <c r="I1182" s="2">
        <f t="shared" ref="I1182:I1187" si="158">G1182*C1182</f>
        <v>9623.0853586061003</v>
      </c>
      <c r="J1182" s="2"/>
      <c r="K1182" s="283" t="e">
        <f>'Rate Design Work eff 10-14-16'!K1178</f>
        <v>#DIV/0!</v>
      </c>
      <c r="L1182" s="1"/>
      <c r="M1182" s="2" t="e">
        <f>'Rate Design Work eff 10-14-16'!M1178</f>
        <v>#DIV/0!</v>
      </c>
      <c r="N1182" s="2"/>
      <c r="O1182" s="283" t="e">
        <f>'Rate Design Work eff 10-14-16'!O1178</f>
        <v>#DIV/0!</v>
      </c>
      <c r="P1182" s="1"/>
      <c r="Q1182" s="2" t="e">
        <f>'Rate Design Work eff 10-14-16'!Q1178</f>
        <v>#DIV/0!</v>
      </c>
      <c r="R1182" s="2"/>
      <c r="S1182" s="283" t="e">
        <f>'Rate Design Work eff 10-14-16'!S1178</f>
        <v>#DIV/0!</v>
      </c>
      <c r="T1182" s="1"/>
      <c r="U1182" s="2" t="e">
        <f>'Rate Design Work eff 10-14-16'!U1178</f>
        <v>#DIV/0!</v>
      </c>
      <c r="V1182" s="20"/>
      <c r="Z1182" s="32" t="s">
        <v>31</v>
      </c>
      <c r="AA1182" s="1439" t="s">
        <v>31</v>
      </c>
      <c r="AB1182" s="20"/>
      <c r="AC1182" s="20"/>
      <c r="AD1182" s="7" t="s">
        <v>31</v>
      </c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</row>
    <row r="1183" spans="1:44">
      <c r="A1183" s="3" t="s">
        <v>590</v>
      </c>
      <c r="B1183" s="1"/>
      <c r="C1183" s="21">
        <f>'Rate Design Work eff 10-14-16'!C1179</f>
        <v>8160.0336742749596</v>
      </c>
      <c r="D1183" s="283">
        <f>'Rate Design Work eff 9-15-17'!D1179</f>
        <v>3.1</v>
      </c>
      <c r="E1183" s="1"/>
      <c r="F1183" s="397">
        <f t="shared" si="157"/>
        <v>25296.104390252374</v>
      </c>
      <c r="G1183" s="283">
        <f>'Rate Design Work eff 9-15-17'!G1179</f>
        <v>3.17</v>
      </c>
      <c r="H1183" s="1"/>
      <c r="I1183" s="2">
        <f t="shared" si="158"/>
        <v>25867.306747451621</v>
      </c>
      <c r="J1183" s="2"/>
      <c r="K1183" s="283" t="e">
        <f>'Rate Design Work eff 10-14-16'!K1179</f>
        <v>#DIV/0!</v>
      </c>
      <c r="L1183" s="1"/>
      <c r="M1183" s="2" t="e">
        <f>'Rate Design Work eff 10-14-16'!M1179</f>
        <v>#DIV/0!</v>
      </c>
      <c r="N1183" s="2"/>
      <c r="O1183" s="283" t="e">
        <f>'Rate Design Work eff 10-14-16'!O1179</f>
        <v>#DIV/0!</v>
      </c>
      <c r="P1183" s="1"/>
      <c r="Q1183" s="2" t="e">
        <f>'Rate Design Work eff 10-14-16'!Q1179</f>
        <v>#DIV/0!</v>
      </c>
      <c r="R1183" s="2"/>
      <c r="S1183" s="283" t="e">
        <f>'Rate Design Work eff 10-14-16'!S1179</f>
        <v>#DIV/0!</v>
      </c>
      <c r="T1183" s="1"/>
      <c r="U1183" s="2" t="e">
        <f>'Rate Design Work eff 10-14-16'!U1179</f>
        <v>#DIV/0!</v>
      </c>
      <c r="V1183" s="20"/>
      <c r="Z1183" s="32" t="s">
        <v>31</v>
      </c>
      <c r="AA1183" s="1439" t="s">
        <v>31</v>
      </c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</row>
    <row r="1184" spans="1:44">
      <c r="A1184" s="3" t="s">
        <v>591</v>
      </c>
      <c r="B1184" s="1"/>
      <c r="C1184" s="21">
        <f>'Rate Design Work eff 10-14-16'!C1180</f>
        <v>60.009361129530397</v>
      </c>
      <c r="D1184" s="283">
        <f>'Rate Design Work eff 9-15-17'!D1180</f>
        <v>4.51</v>
      </c>
      <c r="E1184" s="1"/>
      <c r="F1184" s="397">
        <f t="shared" si="157"/>
        <v>270.64221869418208</v>
      </c>
      <c r="G1184" s="283">
        <f>'Rate Design Work eff 9-15-17'!G1180</f>
        <v>4.62</v>
      </c>
      <c r="H1184" s="1"/>
      <c r="I1184" s="2">
        <f t="shared" si="158"/>
        <v>277.24324841843043</v>
      </c>
      <c r="J1184" s="2"/>
      <c r="K1184" s="283" t="e">
        <f>'Rate Design Work eff 10-14-16'!K1180</f>
        <v>#DIV/0!</v>
      </c>
      <c r="L1184" s="1"/>
      <c r="M1184" s="2" t="e">
        <f>'Rate Design Work eff 10-14-16'!M1180</f>
        <v>#DIV/0!</v>
      </c>
      <c r="N1184" s="2"/>
      <c r="O1184" s="283" t="e">
        <f>'Rate Design Work eff 10-14-16'!O1180</f>
        <v>#DIV/0!</v>
      </c>
      <c r="P1184" s="1"/>
      <c r="Q1184" s="2" t="e">
        <f>'Rate Design Work eff 10-14-16'!Q1180</f>
        <v>#DIV/0!</v>
      </c>
      <c r="R1184" s="2"/>
      <c r="S1184" s="283" t="e">
        <f>'Rate Design Work eff 10-14-16'!S1180</f>
        <v>#DIV/0!</v>
      </c>
      <c r="T1184" s="1"/>
      <c r="U1184" s="2" t="e">
        <f>'Rate Design Work eff 10-14-16'!U1180</f>
        <v>#DIV/0!</v>
      </c>
      <c r="V1184" s="20"/>
      <c r="Z1184" s="32" t="s">
        <v>31</v>
      </c>
      <c r="AA1184" s="1439" t="s">
        <v>31</v>
      </c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</row>
    <row r="1185" spans="1:44">
      <c r="A1185" s="3" t="s">
        <v>592</v>
      </c>
      <c r="B1185" s="1"/>
      <c r="C1185" s="21">
        <f>'Rate Design Work eff 10-14-16'!C1181</f>
        <v>11666.5444855351</v>
      </c>
      <c r="D1185" s="283">
        <f>'Rate Design Work eff 9-15-17'!D1181</f>
        <v>5.99</v>
      </c>
      <c r="E1185" s="1"/>
      <c r="F1185" s="397">
        <f t="shared" si="157"/>
        <v>69882.601468355249</v>
      </c>
      <c r="G1185" s="283">
        <f>'Rate Design Work eff 9-15-17'!G1181</f>
        <v>6.13</v>
      </c>
      <c r="H1185" s="1"/>
      <c r="I1185" s="2">
        <f t="shared" si="158"/>
        <v>71515.917696330158</v>
      </c>
      <c r="J1185" s="2"/>
      <c r="K1185" s="283" t="e">
        <f>'Rate Design Work eff 10-14-16'!K1181</f>
        <v>#DIV/0!</v>
      </c>
      <c r="L1185" s="1"/>
      <c r="M1185" s="2" t="e">
        <f>'Rate Design Work eff 10-14-16'!M1181</f>
        <v>#DIV/0!</v>
      </c>
      <c r="N1185" s="2"/>
      <c r="O1185" s="283" t="e">
        <f>'Rate Design Work eff 10-14-16'!O1181</f>
        <v>#DIV/0!</v>
      </c>
      <c r="P1185" s="1"/>
      <c r="Q1185" s="2" t="e">
        <f>'Rate Design Work eff 10-14-16'!Q1181</f>
        <v>#DIV/0!</v>
      </c>
      <c r="R1185" s="2"/>
      <c r="S1185" s="283" t="e">
        <f>'Rate Design Work eff 10-14-16'!S1181</f>
        <v>#DIV/0!</v>
      </c>
      <c r="T1185" s="1"/>
      <c r="U1185" s="2" t="e">
        <f>'Rate Design Work eff 10-14-16'!U1181</f>
        <v>#DIV/0!</v>
      </c>
      <c r="V1185" s="20"/>
      <c r="Z1185" s="32" t="s">
        <v>31</v>
      </c>
      <c r="AA1185" s="1439" t="s">
        <v>31</v>
      </c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</row>
    <row r="1186" spans="1:44">
      <c r="A1186" s="3" t="s">
        <v>593</v>
      </c>
      <c r="B1186" s="1"/>
      <c r="C1186" s="21">
        <f>'Rate Design Work eff 10-14-16'!C1182</f>
        <v>4355.9951802476999</v>
      </c>
      <c r="D1186" s="283">
        <f>'Rate Design Work eff 9-15-17'!D1182</f>
        <v>8.1</v>
      </c>
      <c r="E1186" s="1"/>
      <c r="F1186" s="397">
        <f t="shared" si="157"/>
        <v>35283.560960006369</v>
      </c>
      <c r="G1186" s="283">
        <f>'Rate Design Work eff 9-15-17'!G1182</f>
        <v>8.3000000000000007</v>
      </c>
      <c r="H1186" s="1"/>
      <c r="I1186" s="2">
        <f t="shared" si="158"/>
        <v>36154.759996055909</v>
      </c>
      <c r="J1186" s="2"/>
      <c r="K1186" s="283" t="e">
        <f>'Rate Design Work eff 10-14-16'!K1182</f>
        <v>#DIV/0!</v>
      </c>
      <c r="L1186" s="1"/>
      <c r="M1186" s="2" t="e">
        <f>'Rate Design Work eff 10-14-16'!M1182</f>
        <v>#DIV/0!</v>
      </c>
      <c r="N1186" s="2"/>
      <c r="O1186" s="283" t="e">
        <f>'Rate Design Work eff 10-14-16'!O1182</f>
        <v>#DIV/0!</v>
      </c>
      <c r="P1186" s="1"/>
      <c r="Q1186" s="2" t="e">
        <f>'Rate Design Work eff 10-14-16'!Q1182</f>
        <v>#DIV/0!</v>
      </c>
      <c r="R1186" s="2"/>
      <c r="S1186" s="283" t="e">
        <f>'Rate Design Work eff 10-14-16'!S1182</f>
        <v>#DIV/0!</v>
      </c>
      <c r="T1186" s="1"/>
      <c r="U1186" s="2" t="e">
        <f>'Rate Design Work eff 10-14-16'!U1182</f>
        <v>#DIV/0!</v>
      </c>
      <c r="V1186" s="20"/>
      <c r="Z1186" s="32" t="s">
        <v>31</v>
      </c>
      <c r="AA1186" s="1439" t="s">
        <v>31</v>
      </c>
      <c r="AB1186" s="20"/>
      <c r="AC1186" s="20"/>
      <c r="AD1186" s="20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</row>
    <row r="1187" spans="1:44">
      <c r="A1187" s="3" t="s">
        <v>594</v>
      </c>
      <c r="B1187" s="1"/>
      <c r="C1187" s="21">
        <f>'Rate Design Work eff 10-14-16'!C1183</f>
        <v>1584.0049084397799</v>
      </c>
      <c r="D1187" s="283">
        <f>'Rate Design Work eff 9-15-17'!D1183</f>
        <v>12.4</v>
      </c>
      <c r="E1187" s="1"/>
      <c r="F1187" s="397">
        <f t="shared" si="157"/>
        <v>19641.660864653273</v>
      </c>
      <c r="G1187" s="283">
        <f>'Rate Design Work eff 9-15-17'!G1183</f>
        <v>12.7</v>
      </c>
      <c r="H1187" s="1"/>
      <c r="I1187" s="2">
        <f t="shared" si="158"/>
        <v>20116.862337185205</v>
      </c>
      <c r="J1187" s="2"/>
      <c r="K1187" s="283" t="e">
        <f>'Rate Design Work eff 10-14-16'!K1183</f>
        <v>#DIV/0!</v>
      </c>
      <c r="L1187" s="1"/>
      <c r="M1187" s="2" t="e">
        <f>'Rate Design Work eff 10-14-16'!M1183</f>
        <v>#DIV/0!</v>
      </c>
      <c r="N1187" s="2"/>
      <c r="O1187" s="283" t="e">
        <f>'Rate Design Work eff 10-14-16'!O1183</f>
        <v>#DIV/0!</v>
      </c>
      <c r="P1187" s="1"/>
      <c r="Q1187" s="2" t="e">
        <f>'Rate Design Work eff 10-14-16'!Q1183</f>
        <v>#DIV/0!</v>
      </c>
      <c r="R1187" s="2"/>
      <c r="S1187" s="283" t="e">
        <f>'Rate Design Work eff 10-14-16'!S1183</f>
        <v>#DIV/0!</v>
      </c>
      <c r="T1187" s="1"/>
      <c r="U1187" s="2" t="e">
        <f>'Rate Design Work eff 10-14-16'!U1183</f>
        <v>#DIV/0!</v>
      </c>
      <c r="X1187" s="796" t="s">
        <v>31</v>
      </c>
      <c r="Y1187" s="751"/>
      <c r="Z1187" s="32" t="s">
        <v>31</v>
      </c>
      <c r="AA1187" s="1439" t="s">
        <v>31</v>
      </c>
      <c r="AB1187" s="2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</row>
    <row r="1188" spans="1:44">
      <c r="B1188" s="1"/>
      <c r="C1188" s="21"/>
      <c r="D1188" s="283"/>
      <c r="E1188" s="1"/>
      <c r="F1188" s="397"/>
      <c r="G1188" s="283"/>
      <c r="H1188" s="1"/>
      <c r="I1188" s="2"/>
      <c r="J1188" s="2"/>
      <c r="K1188" s="283"/>
      <c r="L1188" s="1"/>
      <c r="M1188" s="2"/>
      <c r="N1188" s="2"/>
      <c r="O1188" s="283"/>
      <c r="P1188" s="1"/>
      <c r="Q1188" s="2"/>
      <c r="R1188" s="2"/>
      <c r="S1188" s="283"/>
      <c r="T1188" s="1"/>
      <c r="U1188" s="2"/>
      <c r="V1188" s="20"/>
      <c r="W1188" s="88" t="s">
        <v>74</v>
      </c>
      <c r="Z1188" s="74"/>
      <c r="AA1188" s="32" t="s">
        <v>31</v>
      </c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</row>
    <row r="1189" spans="1:44">
      <c r="A1189" s="3" t="s">
        <v>577</v>
      </c>
      <c r="B1189" s="1"/>
      <c r="C1189" s="21"/>
      <c r="D1189" s="283"/>
      <c r="E1189" s="1"/>
      <c r="F1189" s="397"/>
      <c r="G1189" s="283" t="s">
        <v>31</v>
      </c>
      <c r="H1189" s="1"/>
      <c r="I1189" s="2"/>
      <c r="J1189" s="2"/>
      <c r="K1189" s="283" t="s">
        <v>31</v>
      </c>
      <c r="L1189" s="1"/>
      <c r="M1189" s="2"/>
      <c r="N1189" s="2"/>
      <c r="O1189" s="283" t="s">
        <v>31</v>
      </c>
      <c r="P1189" s="1"/>
      <c r="Q1189" s="2"/>
      <c r="R1189" s="2"/>
      <c r="S1189" s="283" t="s">
        <v>31</v>
      </c>
      <c r="T1189" s="1"/>
      <c r="U1189" s="2"/>
      <c r="V1189" s="20"/>
      <c r="Z1189" s="74"/>
      <c r="AA1189" s="32" t="s">
        <v>31</v>
      </c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</row>
    <row r="1190" spans="1:44">
      <c r="A1190" s="3" t="s">
        <v>595</v>
      </c>
      <c r="B1190" s="1"/>
      <c r="C1190" s="21">
        <f>'Rate Design Work eff 10-14-16'!C1186</f>
        <v>0</v>
      </c>
      <c r="D1190" s="283">
        <f>'Rate Design Work eff 9-15-17'!D1186</f>
        <v>2.75</v>
      </c>
      <c r="E1190" s="1"/>
      <c r="F1190" s="397">
        <f>C1190*D1190</f>
        <v>0</v>
      </c>
      <c r="G1190" s="283">
        <f>'Rate Design Work eff 9-15-17'!G1186</f>
        <v>2.81</v>
      </c>
      <c r="H1190" s="1"/>
      <c r="I1190" s="2">
        <f>G1190*C1190</f>
        <v>0</v>
      </c>
      <c r="J1190" s="2"/>
      <c r="K1190" s="283" t="e">
        <f>'Rate Design Work eff 10-14-16'!K1186</f>
        <v>#DIV/0!</v>
      </c>
      <c r="L1190" s="1"/>
      <c r="M1190" s="2" t="e">
        <f>'Rate Design Work eff 10-14-16'!M1186</f>
        <v>#DIV/0!</v>
      </c>
      <c r="N1190" s="2"/>
      <c r="O1190" s="283" t="e">
        <f>'Rate Design Work eff 10-14-16'!O1186</f>
        <v>#DIV/0!</v>
      </c>
      <c r="P1190" s="1"/>
      <c r="Q1190" s="2" t="e">
        <f>'Rate Design Work eff 10-14-16'!Q1186</f>
        <v>#DIV/0!</v>
      </c>
      <c r="R1190" s="2"/>
      <c r="S1190" s="283" t="e">
        <f>'Rate Design Work eff 10-14-16'!S1186</f>
        <v>#DIV/0!</v>
      </c>
      <c r="T1190" s="1"/>
      <c r="U1190" s="2" t="e">
        <f>'Rate Design Work eff 10-14-16'!U1186</f>
        <v>#DIV/0!</v>
      </c>
      <c r="V1190" s="20"/>
      <c r="Z1190" s="32" t="s">
        <v>31</v>
      </c>
      <c r="AA1190" s="1439" t="s">
        <v>31</v>
      </c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</row>
    <row r="1191" spans="1:44">
      <c r="A1191" s="3" t="s">
        <v>596</v>
      </c>
      <c r="B1191" s="1"/>
      <c r="C1191" s="21">
        <f>'Rate Design Work eff 10-14-16'!C1187</f>
        <v>0</v>
      </c>
      <c r="D1191" s="283">
        <f>'Rate Design Work eff 9-15-17'!D1187</f>
        <v>4.79</v>
      </c>
      <c r="E1191" s="1"/>
      <c r="F1191" s="397">
        <f>C1191*D1191</f>
        <v>0</v>
      </c>
      <c r="G1191" s="283">
        <f>'Rate Design Work eff 9-15-17'!G1187</f>
        <v>4.91</v>
      </c>
      <c r="H1191" s="1"/>
      <c r="I1191" s="2">
        <f>G1191*C1191</f>
        <v>0</v>
      </c>
      <c r="J1191" s="2"/>
      <c r="K1191" s="283" t="e">
        <f>'Rate Design Work eff 10-14-16'!K1187</f>
        <v>#DIV/0!</v>
      </c>
      <c r="L1191" s="1"/>
      <c r="M1191" s="2" t="e">
        <f>'Rate Design Work eff 10-14-16'!M1187</f>
        <v>#DIV/0!</v>
      </c>
      <c r="N1191" s="2"/>
      <c r="O1191" s="283" t="e">
        <f>'Rate Design Work eff 10-14-16'!O1187</f>
        <v>#DIV/0!</v>
      </c>
      <c r="P1191" s="1"/>
      <c r="Q1191" s="2" t="e">
        <f>'Rate Design Work eff 10-14-16'!Q1187</f>
        <v>#DIV/0!</v>
      </c>
      <c r="R1191" s="2"/>
      <c r="S1191" s="283" t="e">
        <f>'Rate Design Work eff 10-14-16'!S1187</f>
        <v>#DIV/0!</v>
      </c>
      <c r="T1191" s="1"/>
      <c r="U1191" s="2" t="e">
        <f>'Rate Design Work eff 10-14-16'!U1187</f>
        <v>#DIV/0!</v>
      </c>
      <c r="V1191" s="20"/>
      <c r="Z1191" s="32" t="s">
        <v>31</v>
      </c>
      <c r="AA1191" s="1439" t="s">
        <v>31</v>
      </c>
      <c r="AB1191" s="20"/>
      <c r="AC1191" s="20"/>
      <c r="AD1191" s="20"/>
      <c r="AE1191" s="20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</row>
    <row r="1192" spans="1:44">
      <c r="A1192" s="3" t="s">
        <v>597</v>
      </c>
      <c r="B1192" s="1"/>
      <c r="C1192" s="21">
        <f>'Rate Design Work eff 10-14-16'!C1188</f>
        <v>0</v>
      </c>
      <c r="D1192" s="283">
        <f>'Rate Design Work eff 9-15-17'!D1188</f>
        <v>6.62</v>
      </c>
      <c r="E1192" s="1"/>
      <c r="F1192" s="397">
        <f>C1192*D1192</f>
        <v>0</v>
      </c>
      <c r="G1192" s="283">
        <f>'Rate Design Work eff 9-15-17'!G1188</f>
        <v>6.78</v>
      </c>
      <c r="H1192" s="1"/>
      <c r="I1192" s="2">
        <f>G1192*C1192</f>
        <v>0</v>
      </c>
      <c r="J1192" s="2"/>
      <c r="K1192" s="283" t="e">
        <f>'Rate Design Work eff 10-14-16'!K1188</f>
        <v>#DIV/0!</v>
      </c>
      <c r="L1192" s="1"/>
      <c r="M1192" s="2" t="e">
        <f>'Rate Design Work eff 10-14-16'!M1188</f>
        <v>#DIV/0!</v>
      </c>
      <c r="N1192" s="2"/>
      <c r="O1192" s="283" t="e">
        <f>'Rate Design Work eff 10-14-16'!O1188</f>
        <v>#DIV/0!</v>
      </c>
      <c r="P1192" s="1"/>
      <c r="Q1192" s="2" t="e">
        <f>'Rate Design Work eff 10-14-16'!Q1188</f>
        <v>#DIV/0!</v>
      </c>
      <c r="R1192" s="2"/>
      <c r="S1192" s="283" t="e">
        <f>'Rate Design Work eff 10-14-16'!S1188</f>
        <v>#DIV/0!</v>
      </c>
      <c r="T1192" s="1"/>
      <c r="U1192" s="2" t="e">
        <f>'Rate Design Work eff 10-14-16'!U1188</f>
        <v>#DIV/0!</v>
      </c>
      <c r="V1192" s="20" t="s">
        <v>31</v>
      </c>
      <c r="Z1192" s="32" t="s">
        <v>31</v>
      </c>
      <c r="AA1192" s="1439" t="s">
        <v>31</v>
      </c>
      <c r="AB1192" s="20"/>
      <c r="AC1192" s="20"/>
      <c r="AD1192" s="20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</row>
    <row r="1193" spans="1:44">
      <c r="A1193" s="3" t="s">
        <v>598</v>
      </c>
      <c r="B1193" s="1"/>
      <c r="C1193" s="21">
        <f>'Rate Design Work eff 10-14-16'!C1189</f>
        <v>0</v>
      </c>
      <c r="D1193" s="283">
        <f>'Rate Design Work eff 9-15-17'!D1189</f>
        <v>10.5</v>
      </c>
      <c r="E1193" s="1"/>
      <c r="F1193" s="397">
        <f>C1193*D1193</f>
        <v>0</v>
      </c>
      <c r="G1193" s="283">
        <f>'Rate Design Work eff 9-15-17'!G1189</f>
        <v>10.75</v>
      </c>
      <c r="H1193" s="1"/>
      <c r="I1193" s="2">
        <f>G1193*C1193</f>
        <v>0</v>
      </c>
      <c r="J1193" s="2"/>
      <c r="K1193" s="283" t="e">
        <f>'Rate Design Work eff 10-14-16'!K1189</f>
        <v>#DIV/0!</v>
      </c>
      <c r="L1193" s="1"/>
      <c r="M1193" s="2" t="e">
        <f>'Rate Design Work eff 10-14-16'!M1189</f>
        <v>#DIV/0!</v>
      </c>
      <c r="N1193" s="2"/>
      <c r="O1193" s="283" t="e">
        <f>'Rate Design Work eff 10-14-16'!O1189</f>
        <v>#DIV/0!</v>
      </c>
      <c r="P1193" s="1"/>
      <c r="Q1193" s="2" t="e">
        <f>'Rate Design Work eff 10-14-16'!Q1189</f>
        <v>#DIV/0!</v>
      </c>
      <c r="R1193" s="2"/>
      <c r="S1193" s="283" t="e">
        <f>'Rate Design Work eff 10-14-16'!S1189</f>
        <v>#DIV/0!</v>
      </c>
      <c r="T1193" s="1"/>
      <c r="U1193" s="2" t="e">
        <f>'Rate Design Work eff 10-14-16'!U1189</f>
        <v>#DIV/0!</v>
      </c>
      <c r="V1193" s="20"/>
      <c r="Z1193" s="32" t="s">
        <v>31</v>
      </c>
      <c r="AA1193" s="1439" t="s">
        <v>31</v>
      </c>
      <c r="AB1193" s="20"/>
      <c r="AC1193" s="20"/>
      <c r="AD1193" s="20"/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</row>
    <row r="1194" spans="1:44">
      <c r="A1194" s="3" t="s">
        <v>599</v>
      </c>
      <c r="B1194" s="1"/>
      <c r="C1194" s="21">
        <f>'Rate Design Work eff 10-14-16'!C1190</f>
        <v>0</v>
      </c>
      <c r="D1194" s="283">
        <f>'Rate Design Work eff 9-15-17'!D1190</f>
        <v>24.94</v>
      </c>
      <c r="E1194" s="1"/>
      <c r="F1194" s="397">
        <f>C1194*D1194</f>
        <v>0</v>
      </c>
      <c r="G1194" s="283">
        <f>'Rate Design Work eff 9-15-17'!G1190</f>
        <v>25.54</v>
      </c>
      <c r="H1194" s="1"/>
      <c r="I1194" s="2">
        <f>G1194*C1194</f>
        <v>0</v>
      </c>
      <c r="J1194" s="2"/>
      <c r="K1194" s="283" t="e">
        <f>'Rate Design Work eff 10-14-16'!K1190</f>
        <v>#DIV/0!</v>
      </c>
      <c r="L1194" s="1"/>
      <c r="M1194" s="2" t="e">
        <f>'Rate Design Work eff 10-14-16'!M1190</f>
        <v>#DIV/0!</v>
      </c>
      <c r="N1194" s="2"/>
      <c r="O1194" s="283" t="e">
        <f>'Rate Design Work eff 10-14-16'!O1190</f>
        <v>#DIV/0!</v>
      </c>
      <c r="P1194" s="1"/>
      <c r="Q1194" s="2" t="e">
        <f>'Rate Design Work eff 10-14-16'!Q1190</f>
        <v>#DIV/0!</v>
      </c>
      <c r="R1194" s="2"/>
      <c r="S1194" s="283" t="e">
        <f>'Rate Design Work eff 10-14-16'!S1190</f>
        <v>#DIV/0!</v>
      </c>
      <c r="T1194" s="1"/>
      <c r="U1194" s="2" t="e">
        <f>'Rate Design Work eff 10-14-16'!U1190</f>
        <v>#DIV/0!</v>
      </c>
      <c r="V1194" s="20"/>
      <c r="Z1194" s="32" t="s">
        <v>31</v>
      </c>
      <c r="AA1194" s="1439" t="s">
        <v>31</v>
      </c>
      <c r="AB1194" s="20" t="s">
        <v>31</v>
      </c>
      <c r="AC1194" s="20"/>
      <c r="AD1194" s="20"/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</row>
    <row r="1195" spans="1:44">
      <c r="A1195" s="1"/>
      <c r="B1195" s="1"/>
      <c r="C1195" s="21"/>
      <c r="D1195" s="283">
        <f>'Rate Design Work eff 9-15-17'!D1191</f>
        <v>0</v>
      </c>
      <c r="E1195" s="1"/>
      <c r="F1195" s="397"/>
      <c r="G1195" s="283"/>
      <c r="H1195" s="1"/>
      <c r="I1195" s="2"/>
      <c r="J1195" s="2"/>
      <c r="K1195" s="283"/>
      <c r="L1195" s="1"/>
      <c r="M1195" s="2"/>
      <c r="N1195" s="2"/>
      <c r="O1195" s="283"/>
      <c r="P1195" s="1"/>
      <c r="Q1195" s="2"/>
      <c r="R1195" s="2"/>
      <c r="S1195" s="283"/>
      <c r="T1195" s="1"/>
      <c r="U1195" s="2"/>
      <c r="V1195" s="20"/>
      <c r="Z1195" s="74"/>
      <c r="AA1195" s="74"/>
      <c r="AB1195" s="2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</row>
    <row r="1196" spans="1:44">
      <c r="A1196" s="1" t="s">
        <v>600</v>
      </c>
      <c r="B1196" s="1"/>
      <c r="C1196" s="249">
        <f>'Rate Design Work eff 10-14-16'!C1192</f>
        <v>1180029.4144894434</v>
      </c>
      <c r="D1196" s="367">
        <f>'Rate Design Work eff 9-15-17'!D1192</f>
        <v>7.0449999999999999</v>
      </c>
      <c r="E1196" s="1" t="s">
        <v>364</v>
      </c>
      <c r="F1196" s="399">
        <f>ROUND(D1196*C1196/100,0)</f>
        <v>83133</v>
      </c>
      <c r="G1196" s="367">
        <f>'Rate Design Work eff 9-15-17'!G1192</f>
        <v>7.2149999999999999</v>
      </c>
      <c r="H1196" s="1" t="s">
        <v>364</v>
      </c>
      <c r="I1196" s="2">
        <f>G1196*C1196/100</f>
        <v>85139.122255413342</v>
      </c>
      <c r="J1196" s="2"/>
      <c r="K1196" s="367" t="e">
        <f>'Rate Design Work eff 10-14-16'!K1192</f>
        <v>#DIV/0!</v>
      </c>
      <c r="L1196" s="1" t="s">
        <v>364</v>
      </c>
      <c r="M1196" s="2" t="e">
        <f>'Rate Design Work eff 10-14-16'!M1192</f>
        <v>#DIV/0!</v>
      </c>
      <c r="N1196" s="2"/>
      <c r="O1196" s="367" t="e">
        <f>'Rate Design Work eff 10-14-16'!O1192</f>
        <v>#DIV/0!</v>
      </c>
      <c r="P1196" s="1" t="s">
        <v>364</v>
      </c>
      <c r="Q1196" s="2" t="e">
        <f>'Rate Design Work eff 10-14-16'!Q1192</f>
        <v>#DIV/0!</v>
      </c>
      <c r="R1196" s="2"/>
      <c r="S1196" s="367" t="e">
        <f>'Rate Design Work eff 10-14-16'!S1192</f>
        <v>#DIV/0!</v>
      </c>
      <c r="T1196" s="1" t="s">
        <v>364</v>
      </c>
      <c r="U1196" s="2" t="e">
        <f>'Rate Design Work eff 10-14-16'!U1192</f>
        <v>#DIV/0!</v>
      </c>
      <c r="V1196" s="20"/>
      <c r="W1196" s="856" t="s">
        <v>31</v>
      </c>
      <c r="X1196" s="88" t="s">
        <v>31</v>
      </c>
      <c r="Z1196" s="74"/>
      <c r="AA1196" s="74"/>
      <c r="AB1196" s="20"/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</row>
    <row r="1197" spans="1:44">
      <c r="A1197" s="1" t="s">
        <v>601</v>
      </c>
      <c r="B1197" s="1"/>
      <c r="C1197" s="249">
        <f>'Rate Design Work eff 10-14-16'!C1193</f>
        <v>2267439.2993954606</v>
      </c>
      <c r="D1197" s="406" t="s">
        <v>31</v>
      </c>
      <c r="E1197" s="1" t="s">
        <v>31</v>
      </c>
      <c r="F1197" s="399" t="s">
        <v>31</v>
      </c>
      <c r="G1197" s="406" t="s">
        <v>31</v>
      </c>
      <c r="H1197" s="1" t="s">
        <v>31</v>
      </c>
      <c r="I1197" s="2" t="s">
        <v>31</v>
      </c>
      <c r="J1197" s="2"/>
      <c r="K1197" s="406">
        <v>0</v>
      </c>
      <c r="L1197" s="1" t="s">
        <v>364</v>
      </c>
      <c r="M1197" s="2">
        <f>'Rate Design Work eff 10-14-16'!M1193</f>
        <v>0</v>
      </c>
      <c r="N1197" s="2"/>
      <c r="O1197" s="406">
        <v>0</v>
      </c>
      <c r="P1197" s="1" t="s">
        <v>364</v>
      </c>
      <c r="Q1197" s="2">
        <f>'Rate Design Work eff 10-14-16'!Q1193</f>
        <v>0</v>
      </c>
      <c r="R1197" s="2"/>
      <c r="S1197" s="406">
        <v>0</v>
      </c>
      <c r="T1197" s="1" t="s">
        <v>364</v>
      </c>
      <c r="U1197" s="2">
        <f>'Rate Design Work eff 10-14-16'!U1193</f>
        <v>0</v>
      </c>
      <c r="V1197" s="20"/>
      <c r="Z1197" s="74"/>
      <c r="AA1197" s="32" t="s">
        <v>31</v>
      </c>
      <c r="AB1197" s="2" t="s">
        <v>31</v>
      </c>
      <c r="AC1197" s="2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</row>
    <row r="1198" spans="1:44">
      <c r="A1198" s="1" t="s">
        <v>352</v>
      </c>
      <c r="B1198" s="1"/>
      <c r="C1198" s="249">
        <f>'Rate Design Work eff 10-14-16'!C1194</f>
        <v>59.249999999999972</v>
      </c>
      <c r="D1198" s="400"/>
      <c r="E1198" s="1"/>
      <c r="F1198" s="2"/>
      <c r="G1198" s="400"/>
      <c r="H1198" s="1"/>
      <c r="I1198" s="2"/>
      <c r="J1198" s="2"/>
      <c r="K1198" s="400"/>
      <c r="L1198" s="1"/>
      <c r="M1198" s="2"/>
      <c r="N1198" s="2"/>
      <c r="O1198" s="400"/>
      <c r="P1198" s="1"/>
      <c r="Q1198" s="2"/>
      <c r="R1198" s="2"/>
      <c r="S1198" s="400"/>
      <c r="T1198" s="1"/>
      <c r="U1198" s="2"/>
      <c r="V1198" s="20"/>
      <c r="W1198" s="74"/>
      <c r="X1198" s="74"/>
      <c r="Y1198" s="74"/>
      <c r="Z1198" s="20"/>
      <c r="AA1198" s="20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</row>
    <row r="1199" spans="1:44" s="1118" customFormat="1" hidden="1">
      <c r="A1199" s="968" t="s">
        <v>903</v>
      </c>
      <c r="C1199" s="1122">
        <f>C1201</f>
        <v>3447468.713884904</v>
      </c>
      <c r="D1199" s="254">
        <f>'Rate Design Work eff 9-15-17'!D1195</f>
        <v>0</v>
      </c>
      <c r="E1199" s="1119"/>
      <c r="F1199" s="1123"/>
      <c r="G1199" s="1128">
        <f>'Rate Design Work eff 9-15-17'!G1195</f>
        <v>0</v>
      </c>
      <c r="H1199" s="1126" t="s">
        <v>364</v>
      </c>
      <c r="I1199" s="1000">
        <f>ROUND(G1199*$C1199/100,0)</f>
        <v>0</v>
      </c>
      <c r="J1199" s="1000"/>
      <c r="K1199" s="1128" t="str">
        <f>'Rate Design Work eff 10-14-16'!K1195</f>
        <v xml:space="preserve"> </v>
      </c>
      <c r="L1199" s="1126" t="s">
        <v>364</v>
      </c>
      <c r="M1199" s="2">
        <f>'Rate Design Work eff 10-14-16'!M1195</f>
        <v>0</v>
      </c>
      <c r="N1199" s="1000"/>
      <c r="O1199" s="1128" t="str">
        <f>'Rate Design Work eff 10-14-16'!O1195</f>
        <v xml:space="preserve"> </v>
      </c>
      <c r="P1199" s="1126" t="s">
        <v>364</v>
      </c>
      <c r="Q1199" s="2">
        <f>'Rate Design Work eff 10-14-16'!Q1195</f>
        <v>0</v>
      </c>
      <c r="R1199" s="1000"/>
      <c r="S1199" s="1128">
        <f>'Rate Design Work eff 10-14-16'!S1195</f>
        <v>0</v>
      </c>
      <c r="T1199" s="1126" t="s">
        <v>364</v>
      </c>
      <c r="U1199" s="2">
        <f>'Rate Design Work eff 10-14-16'!U1195</f>
        <v>0</v>
      </c>
      <c r="W1199" s="784"/>
      <c r="Z1199" s="1125"/>
      <c r="AA1199" s="1125"/>
      <c r="AF1199" s="1119"/>
      <c r="AG1199" s="1119"/>
      <c r="AH1199" s="1119"/>
      <c r="AI1199" s="1119"/>
      <c r="AJ1199" s="1119"/>
      <c r="AK1199" s="1119"/>
      <c r="AL1199" s="1119"/>
      <c r="AM1199" s="1119"/>
      <c r="AN1199" s="1119"/>
      <c r="AO1199" s="1119"/>
      <c r="AP1199" s="1119"/>
      <c r="AR1199" s="1124"/>
    </row>
    <row r="1200" spans="1:44" s="1118" customFormat="1" hidden="1">
      <c r="A1200" s="1255" t="s">
        <v>875</v>
      </c>
      <c r="B1200" s="1256"/>
      <c r="C1200" s="1269"/>
      <c r="D1200" s="1270">
        <f>'Rate Design Work eff 9-15-17'!D1196</f>
        <v>7.0449999999999999</v>
      </c>
      <c r="E1200" s="1261" t="s">
        <v>364</v>
      </c>
      <c r="F1200" s="1259"/>
      <c r="G1200" s="1270">
        <f>G1196+G1199</f>
        <v>7.2149999999999999</v>
      </c>
      <c r="H1200" s="1261" t="s">
        <v>364</v>
      </c>
      <c r="I1200" s="1266"/>
      <c r="J1200" s="1266"/>
      <c r="K1200" s="1270" t="e">
        <f>K1196+K1199</f>
        <v>#DIV/0!</v>
      </c>
      <c r="L1200" s="1261" t="s">
        <v>364</v>
      </c>
      <c r="M1200" s="1266"/>
      <c r="N1200" s="1266"/>
      <c r="O1200" s="1270" t="e">
        <f>O1196+O1199</f>
        <v>#DIV/0!</v>
      </c>
      <c r="P1200" s="1261" t="s">
        <v>364</v>
      </c>
      <c r="Q1200" s="1266"/>
      <c r="R1200" s="1266"/>
      <c r="S1200" s="1270" t="e">
        <f>S1196+S1199</f>
        <v>#DIV/0!</v>
      </c>
      <c r="T1200" s="1261" t="s">
        <v>364</v>
      </c>
      <c r="U1200" s="1266"/>
      <c r="W1200" s="784"/>
      <c r="X1200" s="795" t="s">
        <v>31</v>
      </c>
      <c r="Z1200" s="1125"/>
      <c r="AA1200" s="1125"/>
      <c r="AF1200" s="1119"/>
      <c r="AG1200" s="1119"/>
      <c r="AH1200" s="1119"/>
      <c r="AI1200" s="1119"/>
      <c r="AJ1200" s="1119"/>
      <c r="AK1200" s="1119"/>
      <c r="AL1200" s="1119"/>
      <c r="AM1200" s="1119"/>
      <c r="AN1200" s="1119"/>
      <c r="AO1200" s="1119"/>
      <c r="AP1200" s="1119"/>
      <c r="AR1200" s="1124"/>
    </row>
    <row r="1201" spans="1:44">
      <c r="A1201" s="3" t="s">
        <v>481</v>
      </c>
      <c r="C1201" s="249">
        <f>C1196+C1197</f>
        <v>3447468.713884904</v>
      </c>
      <c r="D1201" s="254"/>
      <c r="E1201" s="20"/>
      <c r="F1201" s="257">
        <f>SUM(F1180:F1197)</f>
        <v>245131.2878790611</v>
      </c>
      <c r="G1201" s="254"/>
      <c r="H1201" s="20"/>
      <c r="I1201" s="257">
        <f>SUM(I1180:I1200)</f>
        <v>250952.69147291698</v>
      </c>
      <c r="J1201" s="257"/>
      <c r="K1201" s="254"/>
      <c r="L1201" s="20"/>
      <c r="M1201" s="257" t="e">
        <f>SUM(M1180:M1199)</f>
        <v>#DIV/0!</v>
      </c>
      <c r="N1201" s="257"/>
      <c r="O1201" s="254"/>
      <c r="P1201" s="20"/>
      <c r="Q1201" s="257" t="e">
        <f>SUM(Q1180:Q1200)</f>
        <v>#DIV/0!</v>
      </c>
      <c r="R1201" s="257"/>
      <c r="S1201" s="254"/>
      <c r="T1201" s="20"/>
      <c r="U1201" s="257" t="e">
        <f>SUM(U1180:U1200)</f>
        <v>#DIV/0!</v>
      </c>
      <c r="V1201" s="20"/>
      <c r="W1201" s="74"/>
      <c r="X1201" s="74"/>
      <c r="Y1201" s="74"/>
      <c r="Z1201" s="20"/>
      <c r="AA1201" s="20"/>
      <c r="AB1201" s="20"/>
      <c r="AC1201" s="20"/>
      <c r="AD1201" s="20"/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</row>
    <row r="1202" spans="1:44">
      <c r="A1202" s="3" t="s">
        <v>482</v>
      </c>
      <c r="C1202" s="249">
        <f ca="1">'Table 2'!H122</f>
        <v>43657.854220442547</v>
      </c>
      <c r="D1202" s="254"/>
      <c r="E1202" s="20"/>
      <c r="F1202" s="257">
        <f>'Table 3'!E122</f>
        <v>3805.7819926921766</v>
      </c>
      <c r="G1202" s="254"/>
      <c r="H1202" s="20"/>
      <c r="I1202" s="257">
        <f>F1202</f>
        <v>3805.7819926921766</v>
      </c>
      <c r="J1202" s="257"/>
      <c r="K1202" s="254"/>
      <c r="L1202" s="20"/>
      <c r="M1202" s="257" t="e">
        <f>$I$1202*V1176/($V$1176+$W$1176+$X$1176)</f>
        <v>#DIV/0!</v>
      </c>
      <c r="N1202" s="51"/>
      <c r="O1202" s="294"/>
      <c r="P1202" s="294"/>
      <c r="Q1202" s="257" t="e">
        <f>$I$1202*W1176/($V$1176+$W$1176+$X$1176)</f>
        <v>#DIV/0!</v>
      </c>
      <c r="R1202" s="51"/>
      <c r="S1202" s="294"/>
      <c r="T1202" s="294"/>
      <c r="U1202" s="257" t="e">
        <f>$I$1202*X1176/($V$1176+$W$1176+$X$1176)</f>
        <v>#DIV/0!</v>
      </c>
      <c r="V1202" s="429"/>
      <c r="W1202" s="272"/>
      <c r="X1202" s="74"/>
      <c r="Y1202" s="74"/>
      <c r="Z1202" s="20"/>
      <c r="AA1202" s="20"/>
      <c r="AB1202" s="20"/>
      <c r="AC1202" s="20"/>
      <c r="AD1202" s="20"/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</row>
    <row r="1203" spans="1:44" ht="16.5" thickBot="1">
      <c r="A1203" s="1" t="s">
        <v>9</v>
      </c>
      <c r="B1203" s="1"/>
      <c r="C1203" s="378">
        <f ca="1">C1201+C1202</f>
        <v>3491126.5681053465</v>
      </c>
      <c r="D1203" s="962"/>
      <c r="E1203" s="330"/>
      <c r="F1203" s="259">
        <f>F1201+F1202</f>
        <v>248937.06987175328</v>
      </c>
      <c r="G1203" s="962"/>
      <c r="H1203" s="330"/>
      <c r="I1203" s="259">
        <f>I1201+I1202</f>
        <v>254758.47346560916</v>
      </c>
      <c r="J1203" s="51"/>
      <c r="K1203" s="962"/>
      <c r="L1203" s="330"/>
      <c r="M1203" s="259" t="e">
        <f>M1201+M1202</f>
        <v>#DIV/0!</v>
      </c>
      <c r="N1203" s="297"/>
      <c r="O1203" s="962"/>
      <c r="P1203" s="330"/>
      <c r="Q1203" s="259" t="e">
        <f>Q1201+Q1202</f>
        <v>#DIV/0!</v>
      </c>
      <c r="R1203" s="297"/>
      <c r="S1203" s="962"/>
      <c r="T1203" s="330"/>
      <c r="U1203" s="259" t="e">
        <f>U1201+U1202</f>
        <v>#DIV/0!</v>
      </c>
      <c r="V1203" s="396"/>
      <c r="W1203" s="455"/>
      <c r="X1203" s="74"/>
      <c r="Y1203" s="74"/>
      <c r="Z1203" s="20"/>
      <c r="AA1203" s="20"/>
      <c r="AB1203" s="2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</row>
    <row r="1204" spans="1:44" ht="16.5" thickTop="1">
      <c r="A1204" s="1307" t="s">
        <v>902</v>
      </c>
      <c r="B1204" s="1"/>
      <c r="C1204" s="26"/>
      <c r="D1204" s="407"/>
      <c r="E1204" s="23"/>
      <c r="F1204" s="51"/>
      <c r="G1204" s="407"/>
      <c r="H1204" s="23"/>
      <c r="I1204" s="51"/>
      <c r="J1204" s="51"/>
      <c r="K1204" s="407"/>
      <c r="L1204" s="23"/>
      <c r="M1204" s="51"/>
      <c r="N1204" s="51"/>
      <c r="O1204" s="407"/>
      <c r="P1204" s="23"/>
      <c r="Q1204" s="51"/>
      <c r="R1204" s="51"/>
      <c r="S1204" s="407"/>
      <c r="T1204" s="23"/>
      <c r="U1204" s="51"/>
      <c r="V1204" s="396"/>
      <c r="W1204" s="455"/>
      <c r="X1204" s="74"/>
      <c r="Y1204" s="74"/>
      <c r="Z1204" s="20"/>
      <c r="AA1204" s="20"/>
      <c r="AB1204" s="20"/>
      <c r="AC1204" s="20"/>
      <c r="AD1204" s="20"/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</row>
    <row r="1205" spans="1:44">
      <c r="A1205" s="1"/>
      <c r="B1205" s="1"/>
      <c r="C1205" s="26"/>
      <c r="D1205" s="407" t="s">
        <v>31</v>
      </c>
      <c r="E1205" s="23"/>
      <c r="F1205" s="51"/>
      <c r="G1205" s="407" t="s">
        <v>31</v>
      </c>
      <c r="H1205" s="23"/>
      <c r="I1205" s="51" t="s">
        <v>31</v>
      </c>
      <c r="J1205" s="51"/>
      <c r="K1205" s="407" t="s">
        <v>31</v>
      </c>
      <c r="L1205" s="23"/>
      <c r="M1205" s="51" t="s">
        <v>31</v>
      </c>
      <c r="N1205" s="51"/>
      <c r="O1205" s="407" t="s">
        <v>31</v>
      </c>
      <c r="P1205" s="23"/>
      <c r="Q1205" s="51" t="s">
        <v>31</v>
      </c>
      <c r="R1205" s="51"/>
      <c r="S1205" s="407" t="s">
        <v>31</v>
      </c>
      <c r="T1205" s="23"/>
      <c r="U1205" s="51" t="e">
        <f>M1203+Q1203+U1203</f>
        <v>#DIV/0!</v>
      </c>
      <c r="V1205" s="719"/>
      <c r="W1205" s="719"/>
      <c r="X1205" s="719"/>
      <c r="Y1205" s="74"/>
      <c r="Z1205" s="20"/>
      <c r="AA1205" s="20"/>
      <c r="AB1205" s="20"/>
      <c r="AC1205" s="20"/>
      <c r="AD1205" s="20"/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</row>
    <row r="1206" spans="1:44">
      <c r="A1206" s="278" t="s">
        <v>489</v>
      </c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2" t="e">
        <f>U1205-I1203</f>
        <v>#DIV/0!</v>
      </c>
      <c r="V1206" s="401"/>
      <c r="W1206" s="401"/>
      <c r="X1206" s="401"/>
      <c r="Y1206" s="74"/>
      <c r="Z1206" s="20"/>
      <c r="AA1206" s="20"/>
      <c r="AB1206" s="20"/>
      <c r="AC1206" s="20"/>
      <c r="AD1206" s="20"/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</row>
    <row r="1207" spans="1:44">
      <c r="A1207" s="1" t="s">
        <v>490</v>
      </c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20"/>
      <c r="W1207" s="74"/>
      <c r="X1207" s="74"/>
      <c r="Y1207" s="74"/>
      <c r="Z1207" s="20"/>
      <c r="AA1207" s="20"/>
      <c r="AB1207" s="20"/>
      <c r="AC1207" s="20"/>
      <c r="AD1207" s="20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</row>
    <row r="1208" spans="1:44">
      <c r="A1208" s="1"/>
      <c r="B1208" s="1"/>
      <c r="C1208" s="1"/>
      <c r="D1208" s="404"/>
      <c r="E1208" s="1"/>
      <c r="F1208" s="1"/>
      <c r="G1208" s="404"/>
      <c r="H1208" s="1"/>
      <c r="I1208" s="1"/>
      <c r="J1208" s="1"/>
      <c r="K1208" s="404"/>
      <c r="L1208" s="1"/>
      <c r="M1208" s="1"/>
      <c r="N1208" s="1"/>
      <c r="O1208" s="404"/>
      <c r="P1208" s="1"/>
      <c r="Q1208" s="1"/>
      <c r="R1208" s="1"/>
      <c r="S1208" s="404"/>
      <c r="T1208" s="1"/>
      <c r="U1208" s="1"/>
      <c r="V1208" s="20"/>
      <c r="W1208" s="74"/>
      <c r="X1208" s="74"/>
      <c r="Y1208" s="74"/>
      <c r="Z1208" s="20"/>
      <c r="AA1208" s="20"/>
      <c r="AB1208" s="20"/>
      <c r="AC1208" s="20"/>
      <c r="AD1208" s="20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</row>
    <row r="1209" spans="1:44">
      <c r="A1209" s="1" t="s">
        <v>478</v>
      </c>
      <c r="B1209" s="1"/>
      <c r="C1209" s="21"/>
      <c r="D1209" s="283"/>
      <c r="E1209" s="1"/>
      <c r="F1209" s="397">
        <v>0</v>
      </c>
      <c r="G1209" s="283"/>
      <c r="H1209" s="1"/>
      <c r="I1209" s="2">
        <f>F1209</f>
        <v>0</v>
      </c>
      <c r="J1209" s="2"/>
      <c r="K1209" s="283"/>
      <c r="L1209" s="1"/>
      <c r="M1209" s="2" t="e">
        <f>'Rate Design Work eff 10-14-16'!M1205</f>
        <v>#REF!</v>
      </c>
      <c r="N1209" s="2"/>
      <c r="O1209" s="283"/>
      <c r="P1209" s="1"/>
      <c r="Q1209" s="2" t="e">
        <f>'Rate Design Work eff 10-14-16'!Q1205</f>
        <v>#DIV/0!</v>
      </c>
      <c r="R1209" s="2"/>
      <c r="S1209" s="283"/>
      <c r="T1209" s="1"/>
      <c r="U1209" s="2" t="e">
        <f>'Rate Design Work eff 10-14-16'!U1205</f>
        <v>#DIV/0!</v>
      </c>
      <c r="V1209" s="20"/>
      <c r="W1209" s="74"/>
      <c r="X1209" s="74"/>
      <c r="Y1209" s="74"/>
      <c r="Z1209" s="20"/>
      <c r="AA1209" s="20"/>
      <c r="AB1209" s="20"/>
      <c r="AC1209" s="20"/>
      <c r="AD1209" s="20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</row>
    <row r="1210" spans="1:44">
      <c r="A1210" s="1" t="s">
        <v>485</v>
      </c>
      <c r="B1210" s="1"/>
      <c r="C1210" s="249">
        <f>'Rate Design Work eff 10-14-16'!C1205</f>
        <v>0</v>
      </c>
      <c r="D1210" s="367">
        <f>'Rate Design Work eff 9-15-17'!D1205</f>
        <v>7.0449999999999999</v>
      </c>
      <c r="E1210" s="1" t="s">
        <v>364</v>
      </c>
      <c r="F1210" s="399">
        <f>ROUND(D1210*C1210/100,0)</f>
        <v>0</v>
      </c>
      <c r="G1210" s="367">
        <f>'Rate Design Work eff 9-15-17'!G1205</f>
        <v>7.2149999999999999</v>
      </c>
      <c r="H1210" s="1" t="s">
        <v>364</v>
      </c>
      <c r="I1210" s="2">
        <f>ROUND(C1210*G1210/100,0)</f>
        <v>0</v>
      </c>
      <c r="J1210" s="2"/>
      <c r="K1210" s="367" t="e">
        <f>'Rate Design Work eff 10-14-16'!K1205</f>
        <v>#DIV/0!</v>
      </c>
      <c r="L1210" s="1" t="s">
        <v>364</v>
      </c>
      <c r="M1210" s="2" t="e">
        <f>'Rate Design Work eff 10-14-16'!M1206</f>
        <v>#DIV/0!</v>
      </c>
      <c r="N1210" s="2"/>
      <c r="O1210" s="367" t="e">
        <f>'Rate Design Work eff 10-14-16'!O1205</f>
        <v>#DIV/0!</v>
      </c>
      <c r="P1210" s="1" t="s">
        <v>364</v>
      </c>
      <c r="Q1210" s="2" t="e">
        <f>'Rate Design Work eff 10-14-16'!Q1206</f>
        <v>#DIV/0!</v>
      </c>
      <c r="R1210" s="2"/>
      <c r="S1210" s="367" t="e">
        <f>'Rate Design Work eff 10-14-16'!S1205</f>
        <v>#DIV/0!</v>
      </c>
      <c r="T1210" s="1" t="s">
        <v>364</v>
      </c>
      <c r="U1210" s="2" t="e">
        <f>'Rate Design Work eff 10-14-16'!U1206</f>
        <v>#DIV/0!</v>
      </c>
      <c r="V1210" s="20"/>
      <c r="W1210" s="74"/>
      <c r="X1210" s="74"/>
      <c r="Y1210" s="74"/>
      <c r="Z1210" s="20"/>
      <c r="AA1210" s="20"/>
      <c r="AB1210" s="20"/>
      <c r="AC1210" s="20"/>
      <c r="AD1210" s="20"/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</row>
    <row r="1211" spans="1:44">
      <c r="A1211" s="1" t="s">
        <v>486</v>
      </c>
      <c r="B1211" s="1"/>
      <c r="C1211" s="249">
        <f>'Rate Design Work eff 10-14-16'!C1206</f>
        <v>1151208</v>
      </c>
      <c r="D1211" s="409">
        <f>'Rate Design Work eff 9-15-17'!D1206</f>
        <v>7.0449999999999999</v>
      </c>
      <c r="E1211" s="1" t="s">
        <v>364</v>
      </c>
      <c r="F1211" s="399">
        <f>ROUND(D1211*C1211/100,0)</f>
        <v>81103</v>
      </c>
      <c r="G1211" s="409">
        <f>G1210</f>
        <v>7.2149999999999999</v>
      </c>
      <c r="H1211" s="1" t="s">
        <v>364</v>
      </c>
      <c r="I1211" s="2">
        <f>ROUND(G1211*$C1211/100,0)</f>
        <v>83060</v>
      </c>
      <c r="J1211" s="2"/>
      <c r="K1211" s="409" t="e">
        <f>K1210</f>
        <v>#DIV/0!</v>
      </c>
      <c r="L1211" s="1" t="s">
        <v>364</v>
      </c>
      <c r="M1211" s="2">
        <f>'Rate Design Work eff 10-14-16'!M1207</f>
        <v>0</v>
      </c>
      <c r="N1211" s="2"/>
      <c r="O1211" s="409" t="e">
        <f>O1210</f>
        <v>#DIV/0!</v>
      </c>
      <c r="P1211" s="1" t="s">
        <v>364</v>
      </c>
      <c r="Q1211" s="2">
        <f>'Rate Design Work eff 10-14-16'!Q1207</f>
        <v>0</v>
      </c>
      <c r="R1211" s="2"/>
      <c r="S1211" s="409" t="e">
        <f>S1210</f>
        <v>#DIV/0!</v>
      </c>
      <c r="T1211" s="1" t="s">
        <v>364</v>
      </c>
      <c r="U1211" s="2">
        <f>'Rate Design Work eff 10-14-16'!U1207</f>
        <v>0</v>
      </c>
      <c r="V1211" s="20"/>
      <c r="W1211" s="74"/>
      <c r="X1211" s="74"/>
      <c r="Y1211" s="74"/>
      <c r="Z1211" s="20"/>
      <c r="AA1211" s="20"/>
      <c r="AB1211" s="2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</row>
    <row r="1212" spans="1:44">
      <c r="A1212" s="1" t="s">
        <v>352</v>
      </c>
      <c r="B1212" s="1"/>
      <c r="C1212" s="249">
        <f>'Rate Design Work eff 10-14-16'!C1207</f>
        <v>22.1666666666667</v>
      </c>
      <c r="D1212" s="400"/>
      <c r="E1212" s="1"/>
      <c r="F1212" s="2"/>
      <c r="G1212" s="400"/>
      <c r="H1212" s="1"/>
      <c r="I1212" s="2"/>
      <c r="J1212" s="2"/>
      <c r="K1212" s="400"/>
      <c r="L1212" s="1"/>
      <c r="M1212" s="2"/>
      <c r="N1212" s="2"/>
      <c r="O1212" s="400"/>
      <c r="P1212" s="1"/>
      <c r="Q1212" s="2"/>
      <c r="R1212" s="2"/>
      <c r="S1212" s="400"/>
      <c r="T1212" s="1"/>
      <c r="U1212" s="2"/>
      <c r="V1212" s="20"/>
      <c r="W1212" s="74"/>
      <c r="X1212" s="74"/>
      <c r="Y1212" s="74"/>
      <c r="Z1212" s="20"/>
      <c r="AA1212" s="20"/>
      <c r="AB1212" s="20"/>
      <c r="AC1212" s="20"/>
      <c r="AD1212" s="20"/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</row>
    <row r="1213" spans="1:44" s="1118" customFormat="1" hidden="1">
      <c r="A1213" s="968" t="s">
        <v>903</v>
      </c>
      <c r="C1213" s="1122">
        <f>C1214</f>
        <v>1151208</v>
      </c>
      <c r="D1213" s="254">
        <f>'Rate Design Work eff 9-15-17'!D1208</f>
        <v>0</v>
      </c>
      <c r="E1213" s="1119"/>
      <c r="F1213" s="1123"/>
      <c r="G1213" s="1128">
        <f>'Rate Design Work eff 9-15-17'!G1208</f>
        <v>0</v>
      </c>
      <c r="H1213" s="1126" t="s">
        <v>364</v>
      </c>
      <c r="I1213" s="1000">
        <f>ROUND(G1213*$C1213/100,0)</f>
        <v>0</v>
      </c>
      <c r="J1213" s="1000"/>
      <c r="K1213" s="1128" t="str">
        <f>'Rate Design Work eff 10-14-16'!K1208</f>
        <v xml:space="preserve"> </v>
      </c>
      <c r="L1213" s="1126" t="s">
        <v>31</v>
      </c>
      <c r="M1213" s="2">
        <f>'Rate Design Work eff 10-14-16'!Q1208</f>
        <v>0</v>
      </c>
      <c r="N1213" s="1000"/>
      <c r="O1213" s="1128" t="str">
        <f>'Rate Design Work eff 10-14-16'!O1208</f>
        <v xml:space="preserve"> </v>
      </c>
      <c r="P1213" s="1126" t="s">
        <v>31</v>
      </c>
      <c r="Q1213" s="2">
        <f>'Rate Design Work eff 10-14-16'!Q1208</f>
        <v>0</v>
      </c>
      <c r="R1213" s="1000"/>
      <c r="S1213" s="1128">
        <f>'Rate Design Work eff 10-14-16'!S1208</f>
        <v>0</v>
      </c>
      <c r="T1213" s="1126" t="s">
        <v>364</v>
      </c>
      <c r="U1213" s="1000">
        <f>ROUND(S1213*$C1213/100,0)</f>
        <v>0</v>
      </c>
      <c r="W1213" s="784"/>
      <c r="Z1213" s="1125"/>
      <c r="AA1213" s="1125"/>
      <c r="AF1213" s="1119"/>
      <c r="AG1213" s="1119"/>
      <c r="AH1213" s="1119"/>
      <c r="AI1213" s="1119"/>
      <c r="AJ1213" s="1119"/>
      <c r="AK1213" s="1119"/>
      <c r="AL1213" s="1119"/>
      <c r="AM1213" s="1119"/>
      <c r="AN1213" s="1119"/>
      <c r="AO1213" s="1119"/>
      <c r="AP1213" s="1119"/>
      <c r="AR1213" s="1124"/>
    </row>
    <row r="1214" spans="1:44">
      <c r="A1214" s="3" t="s">
        <v>481</v>
      </c>
      <c r="C1214" s="249">
        <f>C1210+C1211</f>
        <v>1151208</v>
      </c>
      <c r="D1214" s="254"/>
      <c r="E1214" s="20"/>
      <c r="F1214" s="257">
        <f>SUM(F1209:F1211)</f>
        <v>81103</v>
      </c>
      <c r="G1214" s="254"/>
      <c r="H1214" s="20"/>
      <c r="I1214" s="257">
        <f>SUM(I1209:I1213)</f>
        <v>83060</v>
      </c>
      <c r="J1214" s="257"/>
      <c r="K1214" s="254"/>
      <c r="L1214" s="20"/>
      <c r="M1214" s="257" t="e">
        <f>SUM(M1209:M1213)</f>
        <v>#REF!</v>
      </c>
      <c r="N1214" s="257"/>
      <c r="O1214" s="254"/>
      <c r="P1214" s="20"/>
      <c r="Q1214" s="257" t="e">
        <f>SUM(Q1209:Q1213)</f>
        <v>#DIV/0!</v>
      </c>
      <c r="R1214" s="257"/>
      <c r="S1214" s="254"/>
      <c r="T1214" s="20"/>
      <c r="U1214" s="257" t="e">
        <f>SUM(U1209:U1213)</f>
        <v>#DIV/0!</v>
      </c>
      <c r="V1214" s="20"/>
      <c r="W1214" s="74"/>
      <c r="X1214" s="74"/>
      <c r="Y1214" s="74"/>
      <c r="Z1214" s="20"/>
      <c r="AA1214" s="20"/>
      <c r="AB1214" s="20"/>
      <c r="AC1214" s="20"/>
      <c r="AD1214" s="20"/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</row>
    <row r="1215" spans="1:44">
      <c r="A1215" s="3" t="s">
        <v>482</v>
      </c>
      <c r="C1215" s="249">
        <f ca="1">'Table 2'!H123</f>
        <v>14578.601058505523</v>
      </c>
      <c r="D1215" s="254"/>
      <c r="E1215" s="20"/>
      <c r="F1215" s="257">
        <f>'Table 3'!E123</f>
        <v>1258.1353616093459</v>
      </c>
      <c r="G1215" s="254"/>
      <c r="H1215" s="20"/>
      <c r="I1215" s="257">
        <f>F1215</f>
        <v>1258.1353616093459</v>
      </c>
      <c r="J1215" s="257"/>
      <c r="K1215" s="254"/>
      <c r="L1215" s="20"/>
      <c r="M1215" s="257" t="e">
        <f>$I$1215*V1176/($V$1176+$W$1176+$X$1176)</f>
        <v>#DIV/0!</v>
      </c>
      <c r="N1215" s="51"/>
      <c r="O1215" s="294"/>
      <c r="P1215" s="294"/>
      <c r="Q1215" s="257" t="e">
        <f>$I$1215*W1176/($V$1176+$W$1176+$X$1176)</f>
        <v>#DIV/0!</v>
      </c>
      <c r="R1215" s="51"/>
      <c r="S1215" s="294"/>
      <c r="T1215" s="294"/>
      <c r="U1215" s="257" t="e">
        <f>$I$1215*X1176/($V$1176+$W$1176+$X$1176)</f>
        <v>#DIV/0!</v>
      </c>
      <c r="V1215" s="429"/>
      <c r="W1215" s="272"/>
      <c r="X1215" s="74"/>
      <c r="Y1215" s="74"/>
      <c r="Z1215" s="20"/>
      <c r="AA1215" s="20"/>
      <c r="AB1215" s="20"/>
      <c r="AC1215" s="20"/>
      <c r="AD1215" s="20"/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</row>
    <row r="1216" spans="1:44" ht="16.5" thickBot="1">
      <c r="A1216" s="1" t="s">
        <v>9</v>
      </c>
      <c r="B1216" s="1"/>
      <c r="C1216" s="378">
        <f ca="1">C1214+C1215</f>
        <v>1165786.6010585055</v>
      </c>
      <c r="D1216" s="962"/>
      <c r="E1216" s="330"/>
      <c r="F1216" s="259">
        <f>F1214+F1215</f>
        <v>82361.13536160934</v>
      </c>
      <c r="G1216" s="962"/>
      <c r="H1216" s="330"/>
      <c r="I1216" s="259">
        <f>I1214+I1215</f>
        <v>84318.13536160934</v>
      </c>
      <c r="J1216" s="51"/>
      <c r="K1216" s="962"/>
      <c r="L1216" s="330"/>
      <c r="M1216" s="259" t="e">
        <f>M1214+M1215</f>
        <v>#REF!</v>
      </c>
      <c r="N1216" s="297"/>
      <c r="O1216" s="962"/>
      <c r="P1216" s="330"/>
      <c r="Q1216" s="259" t="e">
        <f>Q1214+Q1215</f>
        <v>#DIV/0!</v>
      </c>
      <c r="R1216" s="297"/>
      <c r="S1216" s="962"/>
      <c r="T1216" s="330"/>
      <c r="U1216" s="259" t="e">
        <f>U1214+U1215</f>
        <v>#DIV/0!</v>
      </c>
      <c r="V1216" s="396"/>
      <c r="W1216" s="455"/>
      <c r="X1216" s="74"/>
      <c r="Y1216" s="74"/>
      <c r="Z1216" s="20"/>
      <c r="AA1216" s="20"/>
      <c r="AB1216" s="20"/>
      <c r="AC1216" s="20"/>
      <c r="AD1216" s="20"/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</row>
    <row r="1217" spans="1:44" ht="16.5" thickTop="1">
      <c r="A1217" s="1307" t="s">
        <v>902</v>
      </c>
      <c r="B1217" s="1"/>
      <c r="C1217" s="26"/>
      <c r="D1217" s="407"/>
      <c r="E1217" s="23"/>
      <c r="F1217" s="51"/>
      <c r="G1217" s="407"/>
      <c r="H1217" s="23"/>
      <c r="I1217" s="51"/>
      <c r="J1217" s="51"/>
      <c r="K1217" s="407"/>
      <c r="L1217" s="23"/>
      <c r="M1217" s="51"/>
      <c r="N1217" s="51"/>
      <c r="O1217" s="407"/>
      <c r="P1217" s="23"/>
      <c r="Q1217" s="51"/>
      <c r="R1217" s="51"/>
      <c r="S1217" s="407"/>
      <c r="T1217" s="23"/>
      <c r="U1217" s="51"/>
      <c r="V1217" s="396"/>
      <c r="W1217" s="455"/>
      <c r="X1217" s="74"/>
      <c r="Y1217" s="74"/>
      <c r="Z1217" s="20"/>
      <c r="AA1217" s="20"/>
      <c r="AB1217" s="20"/>
      <c r="AC1217" s="20"/>
      <c r="AD1217" s="20"/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</row>
    <row r="1218" spans="1:44">
      <c r="A1218" s="1"/>
      <c r="B1218" s="1"/>
      <c r="C1218" s="26"/>
      <c r="D1218" s="407"/>
      <c r="E1218" s="23"/>
      <c r="F1218" s="51"/>
      <c r="G1218" s="407"/>
      <c r="H1218" s="23"/>
      <c r="I1218" s="51"/>
      <c r="J1218" s="51"/>
      <c r="K1218" s="407"/>
      <c r="L1218" s="23"/>
      <c r="M1218" s="51"/>
      <c r="N1218" s="51"/>
      <c r="O1218" s="407"/>
      <c r="P1218" s="23"/>
      <c r="Q1218" s="51"/>
      <c r="R1218" s="51"/>
      <c r="S1218" s="407"/>
      <c r="T1218" s="23"/>
      <c r="U1218" s="51"/>
      <c r="V1218" s="719"/>
      <c r="W1218" s="719"/>
      <c r="X1218" s="719"/>
      <c r="Y1218" s="74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</row>
    <row r="1219" spans="1:44" hidden="1">
      <c r="A1219" s="1"/>
      <c r="B1219" s="1"/>
      <c r="C1219" s="26"/>
      <c r="D1219" s="407"/>
      <c r="E1219" s="23"/>
      <c r="F1219" s="51"/>
      <c r="G1219" s="407"/>
      <c r="H1219" s="23"/>
      <c r="I1219" s="51"/>
      <c r="J1219" s="51"/>
      <c r="K1219" s="407"/>
      <c r="L1219" s="23"/>
      <c r="M1219" s="51"/>
      <c r="N1219" s="51"/>
      <c r="O1219" s="407"/>
      <c r="P1219" s="23"/>
      <c r="Q1219" s="51"/>
      <c r="R1219" s="51"/>
      <c r="S1219" s="407"/>
      <c r="T1219" s="23"/>
      <c r="U1219" s="51"/>
      <c r="V1219" s="401"/>
      <c r="W1219" s="401"/>
      <c r="X1219" s="401"/>
      <c r="Y1219" s="74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</row>
    <row r="1220" spans="1:44" hidden="1">
      <c r="A1220" s="1"/>
      <c r="B1220" s="1"/>
      <c r="C1220" s="26"/>
      <c r="D1220" s="407" t="s">
        <v>31</v>
      </c>
      <c r="E1220" s="23"/>
      <c r="F1220" s="51"/>
      <c r="G1220" s="407" t="s">
        <v>31</v>
      </c>
      <c r="H1220" s="23"/>
      <c r="I1220" s="51" t="s">
        <v>31</v>
      </c>
      <c r="J1220" s="51"/>
      <c r="K1220" s="407" t="s">
        <v>31</v>
      </c>
      <c r="L1220" s="23"/>
      <c r="M1220" s="51" t="s">
        <v>31</v>
      </c>
      <c r="N1220" s="51"/>
      <c r="O1220" s="407" t="s">
        <v>31</v>
      </c>
      <c r="P1220" s="23"/>
      <c r="Q1220" s="51" t="s">
        <v>31</v>
      </c>
      <c r="R1220" s="51"/>
      <c r="S1220" s="407" t="s">
        <v>31</v>
      </c>
      <c r="T1220" s="23"/>
      <c r="U1220" s="51" t="s">
        <v>31</v>
      </c>
      <c r="V1220" s="20"/>
      <c r="W1220" s="74"/>
      <c r="X1220" s="74"/>
      <c r="Y1220" s="74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</row>
    <row r="1221" spans="1:44">
      <c r="A1221" s="278" t="s">
        <v>491</v>
      </c>
      <c r="B1221" s="1"/>
      <c r="C1221" s="1"/>
      <c r="D1221" s="1"/>
      <c r="E1221" s="1"/>
      <c r="F1221" s="1"/>
      <c r="G1221" s="1"/>
      <c r="H1221" s="1"/>
      <c r="I1221" s="1" t="s">
        <v>31</v>
      </c>
      <c r="J1221" s="1"/>
      <c r="K1221" s="1"/>
      <c r="L1221" s="1"/>
      <c r="M1221" s="1" t="s">
        <v>31</v>
      </c>
      <c r="N1221" s="1"/>
      <c r="O1221" s="1"/>
      <c r="P1221" s="1"/>
      <c r="Q1221" s="1" t="s">
        <v>31</v>
      </c>
      <c r="R1221" s="1"/>
      <c r="S1221" s="1"/>
      <c r="T1221" s="1"/>
      <c r="U1221" s="1" t="s">
        <v>31</v>
      </c>
      <c r="V1221" s="20"/>
      <c r="W1221" s="74"/>
      <c r="X1221" s="74"/>
      <c r="Y1221" s="74"/>
      <c r="Z1221" s="20"/>
      <c r="AA1221" s="20"/>
      <c r="AB1221" s="20"/>
      <c r="AC1221" s="20"/>
      <c r="AD1221" s="20"/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</row>
    <row r="1222" spans="1:44">
      <c r="A1222" s="1" t="s">
        <v>186</v>
      </c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20"/>
      <c r="W1222" s="74"/>
      <c r="X1222" s="74"/>
      <c r="Y1222" s="74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</row>
    <row r="1223" spans="1:44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20"/>
      <c r="W1223" s="74"/>
      <c r="X1223" s="74"/>
      <c r="Y1223" s="74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</row>
    <row r="1224" spans="1:44">
      <c r="A1224" s="1" t="s">
        <v>492</v>
      </c>
      <c r="B1224" s="1"/>
      <c r="C1224" s="21">
        <f>'Rate Design Work eff 10-14-16'!C1218</f>
        <v>169.46666666666701</v>
      </c>
      <c r="D1224" s="283">
        <f>'Rate Design Work eff 9-15-17'!D1218</f>
        <v>3.8</v>
      </c>
      <c r="E1224" s="1"/>
      <c r="F1224" s="2">
        <f>ROUND(C1224*D1224,0)</f>
        <v>644</v>
      </c>
      <c r="G1224" s="283">
        <f>'Rate Design Work eff 9-15-17'!G1218</f>
        <v>3.9</v>
      </c>
      <c r="H1224" s="1"/>
      <c r="I1224" s="2">
        <f>ROUND(G1224*$C1224,0)</f>
        <v>661</v>
      </c>
      <c r="J1224" s="2"/>
      <c r="K1224" s="283">
        <f>'Rate Design Work eff 10-14-16'!K1218</f>
        <v>3.75</v>
      </c>
      <c r="L1224" s="1"/>
      <c r="M1224" s="2">
        <f>'Rate Design Work eff 10-14-16'!M1218</f>
        <v>636</v>
      </c>
      <c r="N1224" s="2"/>
      <c r="O1224" s="283" t="str">
        <f>'Rate Design Work eff 10-14-16'!O1218</f>
        <v xml:space="preserve"> </v>
      </c>
      <c r="P1224" s="1"/>
      <c r="Q1224" s="2">
        <f>'Rate Design Work eff 10-14-16'!Q1218</f>
        <v>0</v>
      </c>
      <c r="R1224" s="2"/>
      <c r="S1224" s="283" t="str">
        <f>'Rate Design Work eff 10-14-16'!S1218</f>
        <v xml:space="preserve"> </v>
      </c>
      <c r="T1224" s="1"/>
      <c r="U1224" s="2">
        <f>'Rate Design Work eff 10-14-16'!U1218</f>
        <v>0</v>
      </c>
      <c r="V1224" s="20"/>
      <c r="W1224" s="410"/>
      <c r="X1224" s="410"/>
      <c r="Y1224" s="410"/>
      <c r="Z1224" s="20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</row>
    <row r="1225" spans="1:44">
      <c r="A1225" s="1" t="s">
        <v>493</v>
      </c>
      <c r="B1225" s="1"/>
      <c r="C1225" s="21">
        <f>'Rate Design Work eff 10-14-16'!C1219</f>
        <v>180</v>
      </c>
      <c r="D1225" s="283">
        <f>'Rate Design Work eff 9-15-17'!D1219</f>
        <v>6.85</v>
      </c>
      <c r="E1225" s="1"/>
      <c r="F1225" s="2">
        <f>ROUND(C1225*D1225,0)</f>
        <v>1233</v>
      </c>
      <c r="G1225" s="283">
        <f>'Rate Design Work eff 9-15-17'!G1219</f>
        <v>7</v>
      </c>
      <c r="H1225" s="1"/>
      <c r="I1225" s="2">
        <f>ROUND(G1225*$C1225,0)</f>
        <v>1260</v>
      </c>
      <c r="J1225" s="2"/>
      <c r="K1225" s="283">
        <f>'Rate Design Work eff 10-14-16'!K1219</f>
        <v>6.75</v>
      </c>
      <c r="L1225" s="1"/>
      <c r="M1225" s="2">
        <f>'Rate Design Work eff 10-14-16'!M1219</f>
        <v>1215</v>
      </c>
      <c r="N1225" s="2"/>
      <c r="O1225" s="283" t="str">
        <f>'Rate Design Work eff 10-14-16'!O1219</f>
        <v xml:space="preserve"> </v>
      </c>
      <c r="P1225" s="1"/>
      <c r="Q1225" s="2">
        <f>'Rate Design Work eff 10-14-16'!Q1219</f>
        <v>0</v>
      </c>
      <c r="R1225" s="2"/>
      <c r="S1225" s="283" t="str">
        <f>'Rate Design Work eff 10-14-16'!S1219</f>
        <v xml:space="preserve"> </v>
      </c>
      <c r="T1225" s="1"/>
      <c r="U1225" s="2">
        <f>'Rate Design Work eff 10-14-16'!U1219</f>
        <v>0</v>
      </c>
      <c r="V1225" s="20"/>
      <c r="W1225" s="410"/>
      <c r="X1225" s="410"/>
      <c r="Y1225" s="410"/>
      <c r="Z1225" s="20"/>
      <c r="AA1225" s="20"/>
      <c r="AB1225" s="20"/>
      <c r="AC1225" s="20"/>
      <c r="AD1225" s="20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</row>
    <row r="1226" spans="1:44">
      <c r="A1226" s="1" t="s">
        <v>494</v>
      </c>
      <c r="B1226" s="1"/>
      <c r="C1226" s="21">
        <f>SUM(C1224:C1225)</f>
        <v>349.46666666666704</v>
      </c>
      <c r="D1226" s="359"/>
      <c r="E1226" s="1"/>
      <c r="F1226" s="399"/>
      <c r="G1226" s="359"/>
      <c r="H1226" s="1"/>
      <c r="I1226" s="2"/>
      <c r="J1226" s="2"/>
      <c r="K1226" s="359"/>
      <c r="L1226" s="1"/>
      <c r="M1226" s="2"/>
      <c r="N1226" s="2"/>
      <c r="O1226" s="359"/>
      <c r="P1226" s="1"/>
      <c r="Q1226" s="2"/>
      <c r="R1226" s="2"/>
      <c r="S1226" s="359"/>
      <c r="T1226" s="1"/>
      <c r="U1226" s="2"/>
      <c r="V1226" s="20"/>
      <c r="W1226" s="410"/>
      <c r="X1226" s="410"/>
      <c r="Y1226" s="410"/>
      <c r="Z1226" s="20"/>
      <c r="AA1226" s="20"/>
      <c r="AB1226" s="20"/>
      <c r="AC1226" s="20"/>
      <c r="AD1226" s="20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</row>
    <row r="1227" spans="1:44">
      <c r="A1227" s="1" t="s">
        <v>454</v>
      </c>
      <c r="B1227" s="1"/>
      <c r="C1227" s="21">
        <f>'Rate Design Work eff 10-14-16'!C1221</f>
        <v>267781</v>
      </c>
      <c r="D1227" s="312">
        <f>'Rate Design Work eff 9-15-17'!D1221</f>
        <v>8.3840000000000003</v>
      </c>
      <c r="E1227" s="2" t="s">
        <v>364</v>
      </c>
      <c r="F1227" s="399">
        <f>ROUND(D1227*C1227/100,0)</f>
        <v>22451</v>
      </c>
      <c r="G1227" s="312">
        <f>'Rate Design Work eff 9-15-17'!G1221</f>
        <v>8.5820000000000007</v>
      </c>
      <c r="H1227" s="2" t="s">
        <v>364</v>
      </c>
      <c r="I1227" s="2">
        <f>ROUND(G1227*$C1227/100,0)</f>
        <v>22981</v>
      </c>
      <c r="J1227" s="2"/>
      <c r="K1227" s="312" t="e">
        <f>'Rate Design Work eff 10-14-16'!K1221</f>
        <v>#DIV/0!</v>
      </c>
      <c r="L1227" s="2" t="s">
        <v>364</v>
      </c>
      <c r="M1227" s="2" t="e">
        <f>'Rate Design Work eff 10-14-16'!M1221</f>
        <v>#DIV/0!</v>
      </c>
      <c r="N1227" s="2"/>
      <c r="O1227" s="312" t="e">
        <f>'Rate Design Work eff 10-14-16'!O1221</f>
        <v>#DIV/0!</v>
      </c>
      <c r="P1227" s="2" t="s">
        <v>364</v>
      </c>
      <c r="Q1227" s="2" t="e">
        <f>'Rate Design Work eff 10-14-16'!Q1221</f>
        <v>#DIV/0!</v>
      </c>
      <c r="R1227" s="2"/>
      <c r="S1227" s="312" t="e">
        <f>'Rate Design Work eff 10-14-16'!S1221</f>
        <v>#DIV/0!</v>
      </c>
      <c r="T1227" s="2" t="s">
        <v>364</v>
      </c>
      <c r="U1227" s="2" t="e">
        <f>'Rate Design Work eff 10-14-16'!U1221</f>
        <v>#DIV/0!</v>
      </c>
      <c r="V1227" s="20"/>
      <c r="W1227" s="410"/>
      <c r="X1227" s="410"/>
      <c r="Y1227" s="410"/>
      <c r="Z1227" s="20"/>
      <c r="AA1227" s="20"/>
      <c r="AB1227" s="2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</row>
    <row r="1228" spans="1:44" s="1118" customFormat="1" hidden="1">
      <c r="A1228" s="968" t="s">
        <v>891</v>
      </c>
      <c r="C1228" s="1122">
        <f>C1230</f>
        <v>267781</v>
      </c>
      <c r="D1228" s="254">
        <f>'Rate Design Work eff 9-15-17'!D1222</f>
        <v>0</v>
      </c>
      <c r="E1228" s="1119"/>
      <c r="F1228" s="1123"/>
      <c r="G1228" s="1128">
        <f>'Rate Design Work eff 9-15-17'!G1222</f>
        <v>0</v>
      </c>
      <c r="H1228" s="1000" t="s">
        <v>364</v>
      </c>
      <c r="I1228" s="1000">
        <f>ROUND(G1228*$C1228/100,0)</f>
        <v>0</v>
      </c>
      <c r="J1228" s="1000"/>
      <c r="K1228" s="1128" t="str">
        <f>'Rate Design Work eff 10-14-16'!K1222</f>
        <v xml:space="preserve"> </v>
      </c>
      <c r="L1228" s="1126" t="s">
        <v>31</v>
      </c>
      <c r="M1228" s="2">
        <f>'Rate Design Work eff 10-14-16'!M1222</f>
        <v>0</v>
      </c>
      <c r="N1228" s="1123"/>
      <c r="O1228" s="1128" t="str">
        <f>'Rate Design Work eff 10-14-16'!O1222</f>
        <v xml:space="preserve"> </v>
      </c>
      <c r="P1228" s="1126" t="s">
        <v>31</v>
      </c>
      <c r="Q1228" s="2">
        <f>'Rate Design Work eff 10-14-16'!Q1222</f>
        <v>0</v>
      </c>
      <c r="R1228" s="1123"/>
      <c r="S1228" s="1128">
        <f>'Rate Design Work eff 10-14-16'!S1222</f>
        <v>0</v>
      </c>
      <c r="T1228" s="1126" t="s">
        <v>364</v>
      </c>
      <c r="U1228" s="2">
        <f>'Rate Design Work eff 10-14-16'!U1222</f>
        <v>0</v>
      </c>
      <c r="V1228" s="1124">
        <f>'NPC Spread'!J54</f>
        <v>6171.999641091671</v>
      </c>
      <c r="W1228" s="784" t="s">
        <v>857</v>
      </c>
      <c r="Z1228" s="1125"/>
      <c r="AA1228" s="1125"/>
      <c r="AF1228" s="1119"/>
      <c r="AG1228" s="1119"/>
      <c r="AH1228" s="1119"/>
      <c r="AI1228" s="1119"/>
      <c r="AJ1228" s="1119"/>
      <c r="AK1228" s="1119"/>
      <c r="AL1228" s="1119"/>
      <c r="AM1228" s="1119"/>
      <c r="AN1228" s="1119"/>
      <c r="AO1228" s="1119"/>
      <c r="AP1228" s="1119"/>
      <c r="AR1228" s="1124"/>
    </row>
    <row r="1229" spans="1:44" s="1118" customFormat="1" hidden="1">
      <c r="A1229" s="1255" t="s">
        <v>874</v>
      </c>
      <c r="B1229" s="1256"/>
      <c r="C1229" s="1269"/>
      <c r="D1229" s="1265">
        <f>'Rate Design Work eff 9-15-17'!D1223</f>
        <v>8.3840000000000003</v>
      </c>
      <c r="E1229" s="1259" t="s">
        <v>364</v>
      </c>
      <c r="F1229" s="1259"/>
      <c r="G1229" s="1265">
        <f>G1227+G1228</f>
        <v>8.5820000000000007</v>
      </c>
      <c r="H1229" s="1259" t="s">
        <v>364</v>
      </c>
      <c r="I1229" s="1266"/>
      <c r="J1229" s="1266"/>
      <c r="K1229" s="1265" t="e">
        <f>K1227+K1228</f>
        <v>#DIV/0!</v>
      </c>
      <c r="L1229" s="1259" t="s">
        <v>364</v>
      </c>
      <c r="M1229" s="1266"/>
      <c r="N1229" s="1266"/>
      <c r="O1229" s="1265" t="e">
        <f>O1227+O1228</f>
        <v>#DIV/0!</v>
      </c>
      <c r="P1229" s="1259" t="s">
        <v>364</v>
      </c>
      <c r="Q1229" s="1266"/>
      <c r="R1229" s="1266"/>
      <c r="S1229" s="1265" t="e">
        <f>S1227+S1228</f>
        <v>#DIV/0!</v>
      </c>
      <c r="T1229" s="1259" t="s">
        <v>364</v>
      </c>
      <c r="U1229" s="1266"/>
      <c r="V1229" s="1124"/>
      <c r="W1229" s="784"/>
      <c r="X1229" s="1121"/>
      <c r="Z1229" s="1125"/>
      <c r="AA1229" s="1125"/>
      <c r="AF1229" s="1119"/>
      <c r="AG1229" s="1119"/>
      <c r="AH1229" s="1119"/>
      <c r="AI1229" s="1119"/>
      <c r="AJ1229" s="1119"/>
      <c r="AK1229" s="1119"/>
      <c r="AL1229" s="1119"/>
      <c r="AM1229" s="1119"/>
      <c r="AN1229" s="1119"/>
      <c r="AO1229" s="1119"/>
      <c r="AP1229" s="1119"/>
      <c r="AR1229" s="1124"/>
    </row>
    <row r="1230" spans="1:44">
      <c r="A1230" s="1" t="s">
        <v>371</v>
      </c>
      <c r="B1230" s="1"/>
      <c r="C1230" s="304">
        <f>SUM(C1227)</f>
        <v>267781</v>
      </c>
      <c r="D1230" s="21"/>
      <c r="E1230" s="2"/>
      <c r="F1230" s="399">
        <f>SUM(F1224:F1227)</f>
        <v>24328</v>
      </c>
      <c r="G1230" s="21"/>
      <c r="H1230" s="2"/>
      <c r="I1230" s="399">
        <f>SUM(I1224:I1229)</f>
        <v>24902</v>
      </c>
      <c r="J1230" s="399"/>
      <c r="K1230" s="21"/>
      <c r="L1230" s="2"/>
      <c r="M1230" s="399" t="e">
        <f>SUM(M1224:M1229)</f>
        <v>#DIV/0!</v>
      </c>
      <c r="N1230" s="399"/>
      <c r="O1230" s="21"/>
      <c r="P1230" s="2"/>
      <c r="Q1230" s="399" t="e">
        <f>SUM(Q1224:Q1229)</f>
        <v>#DIV/0!</v>
      </c>
      <c r="R1230" s="399"/>
      <c r="S1230" s="21"/>
      <c r="T1230" s="2"/>
      <c r="U1230" s="399" t="e">
        <f>SUM(U1224:U1229)</f>
        <v>#DIV/0!</v>
      </c>
      <c r="V1230" s="20"/>
      <c r="W1230" s="74"/>
      <c r="X1230" s="74"/>
      <c r="Y1230" s="74"/>
      <c r="Z1230" s="20"/>
      <c r="AA1230" s="20"/>
      <c r="AB1230" s="20"/>
      <c r="AC1230" s="20"/>
      <c r="AD1230" s="20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</row>
    <row r="1231" spans="1:44">
      <c r="A1231" s="1" t="s">
        <v>353</v>
      </c>
      <c r="B1231" s="1"/>
      <c r="C1231" s="334">
        <f>'Table 2'!H53</f>
        <v>1846.9158017184013</v>
      </c>
      <c r="D1231" s="963"/>
      <c r="E1231" s="963"/>
      <c r="F1231" s="413">
        <f>'Table 3'!E53</f>
        <v>189.2729477693606</v>
      </c>
      <c r="G1231" s="963"/>
      <c r="H1231" s="963"/>
      <c r="I1231" s="413">
        <f>F1231</f>
        <v>189.2729477693606</v>
      </c>
      <c r="J1231" s="1273"/>
      <c r="K1231" s="963"/>
      <c r="L1231" s="963"/>
      <c r="M1231" s="413" t="e">
        <f>$I$1231*V1235/($V$1235+$W$1235+$X$1235)</f>
        <v>#DIV/0!</v>
      </c>
      <c r="N1231" s="51"/>
      <c r="O1231" s="294"/>
      <c r="P1231" s="294"/>
      <c r="Q1231" s="413" t="e">
        <f>$I$1231*W1235/($V$1235+$W$1235+$X$1235)</f>
        <v>#DIV/0!</v>
      </c>
      <c r="R1231" s="51"/>
      <c r="S1231" s="294"/>
      <c r="T1231" s="294"/>
      <c r="U1231" s="413" t="e">
        <f>$I$1231*X1235/($V$1235+$W$1235+$X$1235)</f>
        <v>#DIV/0!</v>
      </c>
      <c r="V1231" s="274"/>
      <c r="W1231" s="275"/>
      <c r="X1231" s="74"/>
      <c r="Y1231" s="74"/>
      <c r="Z1231" s="20"/>
      <c r="AA1231" s="20"/>
      <c r="AB1231" s="20"/>
      <c r="AC1231" s="20"/>
      <c r="AD1231" s="20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</row>
    <row r="1232" spans="1:44" ht="16.5" thickBot="1">
      <c r="A1232" s="1" t="s">
        <v>372</v>
      </c>
      <c r="B1232" s="1"/>
      <c r="C1232" s="351">
        <f>C1230+C1231</f>
        <v>269627.91580171842</v>
      </c>
      <c r="D1232" s="330"/>
      <c r="E1232" s="330"/>
      <c r="F1232" s="297">
        <f>F1230+F1231</f>
        <v>24517.272947769361</v>
      </c>
      <c r="G1232" s="330"/>
      <c r="H1232" s="330"/>
      <c r="I1232" s="297">
        <f>I1230+I1231</f>
        <v>25091.272947769361</v>
      </c>
      <c r="J1232" s="297"/>
      <c r="K1232" s="330"/>
      <c r="L1232" s="330"/>
      <c r="M1232" s="297" t="e">
        <f>M1230+M1231</f>
        <v>#DIV/0!</v>
      </c>
      <c r="N1232" s="297"/>
      <c r="O1232" s="330"/>
      <c r="P1232" s="330"/>
      <c r="Q1232" s="297" t="e">
        <f>Q1230+Q1231</f>
        <v>#DIV/0!</v>
      </c>
      <c r="R1232" s="297"/>
      <c r="S1232" s="330"/>
      <c r="T1232" s="330"/>
      <c r="U1232" s="297" t="e">
        <f>U1230+U1231</f>
        <v>#DIV/0!</v>
      </c>
      <c r="V1232" s="761" t="s">
        <v>399</v>
      </c>
      <c r="W1232" s="1082">
        <f ca="1">'Rate Spread targets'!X31*1000</f>
        <v>25092.188778846648</v>
      </c>
      <c r="X1232" s="787">
        <f>(I1232-F1232)/F1232</f>
        <v>2.3412065494511854E-2</v>
      </c>
      <c r="Y1232" s="74"/>
      <c r="Z1232" s="20"/>
      <c r="AA1232" s="20"/>
      <c r="AB1232" s="20"/>
      <c r="AC1232" s="20"/>
      <c r="AD1232" s="20"/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</row>
    <row r="1233" spans="1:42" ht="16.5" thickTop="1">
      <c r="A1233" s="1"/>
      <c r="B1233" s="298"/>
      <c r="C1233" s="1"/>
      <c r="D1233" s="1" t="s">
        <v>31</v>
      </c>
      <c r="E1233" s="1"/>
      <c r="F1233" s="1"/>
      <c r="G1233" s="1" t="s">
        <v>31</v>
      </c>
      <c r="H1233" s="1"/>
      <c r="I1233" s="2" t="s">
        <v>31</v>
      </c>
      <c r="J1233" s="2"/>
      <c r="K1233" s="1" t="s">
        <v>31</v>
      </c>
      <c r="L1233" s="1"/>
      <c r="M1233" s="2" t="s">
        <v>31</v>
      </c>
      <c r="N1233" s="2"/>
      <c r="O1233" s="1" t="s">
        <v>31</v>
      </c>
      <c r="P1233" s="1"/>
      <c r="Q1233" s="2" t="s">
        <v>31</v>
      </c>
      <c r="R1233" s="2"/>
      <c r="S1233" s="1" t="s">
        <v>31</v>
      </c>
      <c r="T1233" s="1"/>
      <c r="U1233" s="2" t="s">
        <v>31</v>
      </c>
      <c r="V1233" s="762" t="s">
        <v>257</v>
      </c>
      <c r="W1233" s="780">
        <f ca="1">W1232-I1232</f>
        <v>0.91583107728729374</v>
      </c>
      <c r="X1233" s="783" t="s">
        <v>31</v>
      </c>
      <c r="Y1233" s="261"/>
      <c r="Z1233" s="20"/>
      <c r="AA1233" s="20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</row>
    <row r="1234" spans="1:42" hidden="1">
      <c r="A1234" s="1"/>
      <c r="B1234" s="298"/>
      <c r="C1234" s="1"/>
      <c r="D1234" s="1"/>
      <c r="E1234" s="1"/>
      <c r="F1234" s="1"/>
      <c r="G1234" s="1"/>
      <c r="H1234" s="1"/>
      <c r="I1234" s="2"/>
      <c r="J1234" s="2"/>
      <c r="K1234" s="1"/>
      <c r="L1234" s="1"/>
      <c r="M1234" s="2"/>
      <c r="N1234" s="2"/>
      <c r="O1234" s="1"/>
      <c r="P1234" s="1"/>
      <c r="Q1234" s="2"/>
      <c r="R1234" s="2"/>
      <c r="S1234" s="1"/>
      <c r="T1234" s="1"/>
      <c r="U1234" s="2"/>
      <c r="V1234" s="719"/>
      <c r="W1234" s="719"/>
      <c r="X1234" s="719"/>
      <c r="Y1234" s="261"/>
      <c r="Z1234" s="20"/>
      <c r="AA1234" s="20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</row>
    <row r="1235" spans="1:42" hidden="1">
      <c r="A1235" s="1"/>
      <c r="B1235" s="298"/>
      <c r="C1235" s="1"/>
      <c r="D1235" s="1"/>
      <c r="E1235" s="1"/>
      <c r="F1235" s="1"/>
      <c r="G1235" s="1"/>
      <c r="H1235" s="1"/>
      <c r="I1235" s="2"/>
      <c r="J1235" s="2"/>
      <c r="K1235" s="1"/>
      <c r="L1235" s="1"/>
      <c r="M1235" s="2"/>
      <c r="N1235" s="2"/>
      <c r="O1235" s="1"/>
      <c r="P1235" s="1"/>
      <c r="Q1235" s="2"/>
      <c r="R1235" s="2"/>
      <c r="S1235" s="1"/>
      <c r="T1235" s="1"/>
      <c r="U1235" s="2"/>
      <c r="V1235" s="401"/>
      <c r="W1235" s="401"/>
      <c r="X1235" s="401"/>
      <c r="Y1235" s="261"/>
      <c r="Z1235" s="20"/>
      <c r="AA1235" s="20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</row>
    <row r="1236" spans="1:42">
      <c r="A1236" s="247" t="s">
        <v>495</v>
      </c>
      <c r="B1236" s="288"/>
      <c r="C1236" s="288"/>
      <c r="D1236" s="288"/>
      <c r="E1236" s="288"/>
      <c r="F1236" s="288"/>
      <c r="G1236" s="288"/>
      <c r="H1236" s="288"/>
      <c r="I1236" s="288"/>
      <c r="J1236" s="288"/>
      <c r="K1236" s="288"/>
      <c r="L1236" s="288"/>
      <c r="M1236" s="288"/>
      <c r="N1236" s="288"/>
      <c r="O1236" s="288"/>
      <c r="P1236" s="288"/>
      <c r="Q1236" s="288"/>
      <c r="R1236" s="288"/>
      <c r="S1236" s="288"/>
      <c r="T1236" s="288"/>
      <c r="U1236" s="288"/>
      <c r="V1236" s="20"/>
      <c r="W1236" s="74"/>
      <c r="X1236" s="74"/>
      <c r="Y1236" s="74"/>
      <c r="Z1236" s="20"/>
      <c r="AA1236" s="20"/>
      <c r="AB1236" s="20"/>
      <c r="AC1236" s="20"/>
      <c r="AD1236" s="20"/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</row>
    <row r="1237" spans="1:42">
      <c r="A1237" s="288" t="s">
        <v>496</v>
      </c>
      <c r="B1237" s="288"/>
      <c r="C1237" s="288"/>
      <c r="D1237" s="288"/>
      <c r="E1237" s="288"/>
      <c r="F1237" s="288"/>
      <c r="G1237" s="288"/>
      <c r="H1237" s="288"/>
      <c r="I1237" s="288"/>
      <c r="J1237" s="288"/>
      <c r="K1237" s="288"/>
      <c r="L1237" s="288"/>
      <c r="M1237" s="288"/>
      <c r="N1237" s="288"/>
      <c r="O1237" s="288"/>
      <c r="P1237" s="288"/>
      <c r="Q1237" s="288"/>
      <c r="R1237" s="288"/>
      <c r="S1237" s="288"/>
      <c r="T1237" s="288"/>
      <c r="U1237" s="288"/>
      <c r="V1237" s="263"/>
      <c r="W1237" s="263"/>
      <c r="X1237" s="263"/>
      <c r="Y1237" s="263"/>
      <c r="Z1237" s="263"/>
      <c r="AA1237" s="263"/>
      <c r="AB1237" s="263"/>
      <c r="AC1237" s="263"/>
      <c r="AD1237" s="263"/>
      <c r="AE1237" s="263"/>
      <c r="AF1237" s="263"/>
      <c r="AG1237" s="263"/>
      <c r="AH1237" s="263"/>
      <c r="AI1237" s="263"/>
      <c r="AJ1237" s="263"/>
      <c r="AK1237" s="263"/>
      <c r="AL1237" s="20"/>
      <c r="AM1237" s="20"/>
      <c r="AN1237" s="20"/>
      <c r="AO1237" s="20"/>
      <c r="AP1237" s="20"/>
    </row>
    <row r="1238" spans="1:42">
      <c r="A1238" s="415" t="s">
        <v>497</v>
      </c>
      <c r="B1238" s="288"/>
      <c r="C1238" s="288"/>
      <c r="D1238" s="288"/>
      <c r="E1238" s="288"/>
      <c r="F1238" s="288"/>
      <c r="G1238" s="288"/>
      <c r="H1238" s="288"/>
      <c r="I1238" s="288"/>
      <c r="J1238" s="288"/>
      <c r="K1238" s="288"/>
      <c r="L1238" s="288"/>
      <c r="M1238" s="288"/>
      <c r="N1238" s="288"/>
      <c r="O1238" s="288"/>
      <c r="P1238" s="288"/>
      <c r="Q1238" s="288"/>
      <c r="R1238" s="288"/>
      <c r="S1238" s="288"/>
      <c r="T1238" s="288"/>
      <c r="U1238" s="288"/>
      <c r="V1238" s="263"/>
      <c r="W1238" s="263"/>
      <c r="X1238" s="263"/>
      <c r="Y1238" s="263"/>
      <c r="Z1238" s="263"/>
      <c r="AA1238" s="263"/>
      <c r="AB1238" s="263"/>
      <c r="AC1238" s="263"/>
      <c r="AD1238" s="263"/>
      <c r="AE1238" s="263"/>
      <c r="AF1238" s="263"/>
      <c r="AG1238" s="263"/>
      <c r="AH1238" s="263"/>
      <c r="AI1238" s="263"/>
      <c r="AJ1238" s="263"/>
      <c r="AK1238" s="263"/>
      <c r="AL1238" s="20"/>
      <c r="AM1238" s="20"/>
      <c r="AN1238" s="20"/>
      <c r="AO1238" s="20"/>
      <c r="AP1238" s="20"/>
    </row>
    <row r="1239" spans="1:42">
      <c r="A1239" s="3" t="s">
        <v>498</v>
      </c>
      <c r="F1239" s="248"/>
      <c r="V1239" s="263"/>
      <c r="W1239" s="263"/>
      <c r="X1239" s="74"/>
      <c r="Y1239" s="74"/>
      <c r="Z1239" s="264"/>
      <c r="AA1239" s="264"/>
      <c r="AB1239" s="265"/>
      <c r="AC1239" s="265"/>
      <c r="AD1239" s="265"/>
      <c r="AE1239" s="265"/>
      <c r="AF1239" s="416"/>
      <c r="AG1239" s="267"/>
      <c r="AH1239" s="263"/>
      <c r="AI1239" s="263"/>
      <c r="AJ1239" s="263"/>
      <c r="AK1239" s="263"/>
      <c r="AL1239" s="20"/>
      <c r="AM1239" s="20"/>
      <c r="AN1239" s="20"/>
      <c r="AO1239" s="20"/>
      <c r="AP1239" s="20"/>
    </row>
    <row r="1240" spans="1:42">
      <c r="A1240" s="3" t="s">
        <v>344</v>
      </c>
      <c r="C1240" s="249">
        <f>'Rate Design Work eff 10-14-16'!C1234</f>
        <v>12717.7343365056</v>
      </c>
      <c r="D1240" s="250">
        <f>'Rate Design Work eff 9-15-17'!D1234</f>
        <v>10.050000000000001</v>
      </c>
      <c r="F1240" s="2">
        <f>ROUND(C1240*D1240,0)</f>
        <v>127813</v>
      </c>
      <c r="G1240" s="250">
        <f>'Rate Design Work eff 9-15-17'!G1234</f>
        <v>10.29</v>
      </c>
      <c r="I1240" s="2">
        <f>ROUND(G1240*$C1240,0)</f>
        <v>130865</v>
      </c>
      <c r="J1240" s="2"/>
      <c r="K1240" s="250" t="e">
        <f>'Rate Design Work eff 10-14-16'!K1234</f>
        <v>#DIV/0!</v>
      </c>
      <c r="M1240" s="2" t="e">
        <f>'Rate Design Work eff 10-14-16'!M1234</f>
        <v>#DIV/0!</v>
      </c>
      <c r="N1240" s="2"/>
      <c r="O1240" s="250" t="e">
        <f>'Rate Design Work eff 10-14-16'!O1234</f>
        <v>#DIV/0!</v>
      </c>
      <c r="Q1240" s="2" t="e">
        <f>'Rate Design Work eff 10-14-16'!Q1234</f>
        <v>#DIV/0!</v>
      </c>
      <c r="R1240" s="2"/>
      <c r="S1240" s="250" t="e">
        <f>'Rate Design Work eff 10-14-16'!S1234</f>
        <v>#DIV/0!</v>
      </c>
      <c r="U1240" s="2" t="e">
        <f>'Rate Design Work eff 10-14-16'!U1234</f>
        <v>#DIV/0!</v>
      </c>
      <c r="V1240" s="20"/>
      <c r="W1240" s="266"/>
      <c r="X1240" s="74"/>
      <c r="Y1240" s="74"/>
      <c r="Z1240" s="388"/>
      <c r="AA1240" s="388"/>
      <c r="AB1240" s="268"/>
      <c r="AC1240" s="268"/>
      <c r="AD1240" s="268"/>
      <c r="AE1240" s="268"/>
      <c r="AF1240" s="269"/>
      <c r="AG1240" s="263"/>
      <c r="AH1240" s="266"/>
      <c r="AI1240" s="266"/>
      <c r="AJ1240" s="417"/>
      <c r="AK1240" s="266"/>
      <c r="AL1240" s="20"/>
      <c r="AM1240" s="20"/>
      <c r="AN1240" s="20"/>
      <c r="AO1240" s="20"/>
      <c r="AP1240" s="20"/>
    </row>
    <row r="1241" spans="1:42">
      <c r="A1241" s="3" t="s">
        <v>345</v>
      </c>
      <c r="C1241" s="249">
        <f>'Rate Design Work eff 10-14-16'!C1235</f>
        <v>1066.00041589388</v>
      </c>
      <c r="D1241" s="250">
        <f>'Rate Design Work eff 9-15-17'!D1235</f>
        <v>18.399999999999999</v>
      </c>
      <c r="F1241" s="2">
        <f>ROUND(C1241*D1241,0)</f>
        <v>19614</v>
      </c>
      <c r="G1241" s="250">
        <f>'Rate Design Work eff 9-15-17'!G1235</f>
        <v>18.829999999999998</v>
      </c>
      <c r="I1241" s="2">
        <f>ROUND(G1241*$C1241,0)</f>
        <v>20073</v>
      </c>
      <c r="J1241" s="2"/>
      <c r="K1241" s="250" t="e">
        <f>'Rate Design Work eff 10-14-16'!K1235</f>
        <v>#DIV/0!</v>
      </c>
      <c r="M1241" s="2" t="e">
        <f>'Rate Design Work eff 10-14-16'!M1235</f>
        <v>#DIV/0!</v>
      </c>
      <c r="N1241" s="2"/>
      <c r="O1241" s="250" t="e">
        <f>'Rate Design Work eff 10-14-16'!O1235</f>
        <v>#DIV/0!</v>
      </c>
      <c r="Q1241" s="2" t="e">
        <f>'Rate Design Work eff 10-14-16'!Q1235</f>
        <v>#DIV/0!</v>
      </c>
      <c r="R1241" s="2"/>
      <c r="S1241" s="250" t="e">
        <f>'Rate Design Work eff 10-14-16'!S1235</f>
        <v>#DIV/0!</v>
      </c>
      <c r="U1241" s="2" t="e">
        <f>'Rate Design Work eff 10-14-16'!U1235</f>
        <v>#DIV/0!</v>
      </c>
      <c r="V1241" s="20"/>
      <c r="W1241" s="266"/>
      <c r="X1241" s="74"/>
      <c r="Y1241" s="74"/>
      <c r="Z1241" s="388"/>
      <c r="AA1241" s="388"/>
      <c r="AB1241" s="268"/>
      <c r="AC1241" s="268"/>
      <c r="AD1241" s="268"/>
      <c r="AE1241" s="268"/>
      <c r="AF1241" s="263"/>
      <c r="AG1241" s="263"/>
      <c r="AH1241" s="266"/>
      <c r="AI1241" s="266"/>
      <c r="AJ1241" s="417"/>
      <c r="AK1241" s="266"/>
      <c r="AL1241" s="20"/>
      <c r="AM1241" s="20"/>
      <c r="AN1241" s="20"/>
      <c r="AO1241" s="20"/>
      <c r="AP1241" s="20"/>
    </row>
    <row r="1242" spans="1:42">
      <c r="A1242" s="3" t="s">
        <v>346</v>
      </c>
      <c r="C1242" s="249">
        <f>'Rate Design Work eff 10-14-16'!C1236</f>
        <v>0</v>
      </c>
      <c r="D1242" s="250">
        <f>'Rate Design Work eff 9-15-17'!D1236</f>
        <v>37.21</v>
      </c>
      <c r="F1242" s="2">
        <f>ROUND(C1242*D1242,0)</f>
        <v>0</v>
      </c>
      <c r="G1242" s="250">
        <f>'Rate Design Work eff 9-15-17'!G1236</f>
        <v>38.08</v>
      </c>
      <c r="I1242" s="2">
        <f>ROUND(G1242*$C1242,0)</f>
        <v>0</v>
      </c>
      <c r="J1242" s="2"/>
      <c r="K1242" s="250" t="e">
        <f>'Rate Design Work eff 10-14-16'!K1236</f>
        <v>#DIV/0!</v>
      </c>
      <c r="M1242" s="2" t="e">
        <f>'Rate Design Work eff 10-14-16'!M1236</f>
        <v>#DIV/0!</v>
      </c>
      <c r="N1242" s="2"/>
      <c r="O1242" s="250" t="e">
        <f>'Rate Design Work eff 10-14-16'!O1236</f>
        <v>#DIV/0!</v>
      </c>
      <c r="Q1242" s="2" t="e">
        <f>'Rate Design Work eff 10-14-16'!Q1236</f>
        <v>#DIV/0!</v>
      </c>
      <c r="R1242" s="2"/>
      <c r="S1242" s="250" t="e">
        <f>'Rate Design Work eff 10-14-16'!S1236</f>
        <v>#DIV/0!</v>
      </c>
      <c r="U1242" s="2" t="e">
        <f>'Rate Design Work eff 10-14-16'!U1236</f>
        <v>#DIV/0!</v>
      </c>
      <c r="V1242" s="20"/>
      <c r="W1242" s="266"/>
      <c r="X1242" s="74"/>
      <c r="Y1242" s="74"/>
      <c r="Z1242" s="388"/>
      <c r="AA1242" s="388"/>
      <c r="AB1242" s="268"/>
      <c r="AC1242" s="268"/>
      <c r="AD1242" s="268"/>
      <c r="AE1242" s="268"/>
      <c r="AF1242" s="263"/>
      <c r="AG1242" s="263"/>
      <c r="AH1242" s="266"/>
      <c r="AI1242" s="266"/>
      <c r="AJ1242" s="417"/>
      <c r="AK1242" s="266"/>
      <c r="AL1242" s="20"/>
      <c r="AM1242" s="20"/>
      <c r="AN1242" s="20"/>
      <c r="AO1242" s="20"/>
      <c r="AP1242" s="20"/>
    </row>
    <row r="1243" spans="1:42">
      <c r="A1243" s="3" t="s">
        <v>499</v>
      </c>
      <c r="C1243" s="249"/>
      <c r="D1243" s="418"/>
      <c r="F1243" s="248"/>
      <c r="G1243" s="418"/>
      <c r="K1243" s="418"/>
      <c r="O1243" s="418"/>
      <c r="S1243" s="418"/>
      <c r="V1243" s="20"/>
      <c r="W1243" s="266"/>
      <c r="X1243" s="74"/>
      <c r="Y1243" s="74"/>
      <c r="Z1243" s="20"/>
      <c r="AA1243" s="20"/>
      <c r="AB1243" s="272"/>
      <c r="AC1243" s="272"/>
      <c r="AD1243" s="272"/>
      <c r="AE1243" s="272"/>
      <c r="AF1243" s="263"/>
      <c r="AG1243" s="263"/>
      <c r="AH1243" s="266"/>
      <c r="AI1243" s="266"/>
      <c r="AJ1243" s="417"/>
      <c r="AK1243" s="266"/>
      <c r="AL1243" s="20"/>
      <c r="AM1243" s="20"/>
      <c r="AN1243" s="20"/>
      <c r="AO1243" s="20"/>
      <c r="AP1243" s="20"/>
    </row>
    <row r="1244" spans="1:42">
      <c r="A1244" s="3" t="s">
        <v>344</v>
      </c>
      <c r="C1244" s="249">
        <f>'Rate Design Work eff 10-14-16'!C1238</f>
        <v>4248.0674676650497</v>
      </c>
      <c r="D1244" s="250">
        <f>'Rate Design Work eff 9-15-17'!D1238</f>
        <v>9.43</v>
      </c>
      <c r="F1244" s="2">
        <f>ROUND(C1244*D1244,0)</f>
        <v>40059</v>
      </c>
      <c r="G1244" s="250">
        <f>'Rate Design Work eff 9-15-17'!G1238</f>
        <v>9.65</v>
      </c>
      <c r="I1244" s="2">
        <f>ROUND(G1244*$C1244,0)</f>
        <v>40994</v>
      </c>
      <c r="J1244" s="2"/>
      <c r="K1244" s="250" t="e">
        <f>'Rate Design Work eff 10-14-16'!K1238</f>
        <v>#DIV/0!</v>
      </c>
      <c r="M1244" s="2" t="e">
        <f>'Rate Design Work eff 10-14-16'!M1238</f>
        <v>#DIV/0!</v>
      </c>
      <c r="N1244" s="2"/>
      <c r="O1244" s="250" t="e">
        <f>'Rate Design Work eff 10-14-16'!O1238</f>
        <v>#DIV/0!</v>
      </c>
      <c r="Q1244" s="2" t="e">
        <f>'Rate Design Work eff 10-14-16'!Q1238</f>
        <v>#DIV/0!</v>
      </c>
      <c r="R1244" s="2"/>
      <c r="S1244" s="250" t="e">
        <f>'Rate Design Work eff 10-14-16'!S1238</f>
        <v>#DIV/0!</v>
      </c>
      <c r="U1244" s="2" t="e">
        <f>'Rate Design Work eff 10-14-16'!U1238</f>
        <v>#DIV/0!</v>
      </c>
      <c r="V1244" s="20"/>
      <c r="W1244" s="266"/>
      <c r="X1244" s="74"/>
      <c r="Y1244" s="74"/>
      <c r="Z1244" s="388"/>
      <c r="AA1244" s="388"/>
      <c r="AB1244" s="268"/>
      <c r="AC1244" s="268"/>
      <c r="AD1244" s="268"/>
      <c r="AE1244" s="268"/>
      <c r="AF1244" s="20"/>
      <c r="AG1244" s="20"/>
      <c r="AH1244" s="266"/>
      <c r="AI1244" s="266"/>
      <c r="AJ1244" s="417"/>
      <c r="AK1244" s="266"/>
      <c r="AL1244" s="20"/>
      <c r="AM1244" s="20"/>
      <c r="AN1244" s="20"/>
      <c r="AO1244" s="20"/>
      <c r="AP1244" s="20"/>
    </row>
    <row r="1245" spans="1:42">
      <c r="A1245" s="3" t="s">
        <v>345</v>
      </c>
      <c r="C1245" s="249">
        <f>'Rate Design Work eff 10-14-16'!C1239</f>
        <v>0</v>
      </c>
      <c r="D1245" s="250">
        <f>'Rate Design Work eff 9-15-17'!D1239</f>
        <v>17.170000000000002</v>
      </c>
      <c r="F1245" s="2">
        <f>ROUND(C1245*D1245,0)</f>
        <v>0</v>
      </c>
      <c r="G1245" s="250">
        <f>'Rate Design Work eff 9-15-17'!G1239</f>
        <v>17.57</v>
      </c>
      <c r="I1245" s="2">
        <f>ROUND(G1245*$C1245,0)</f>
        <v>0</v>
      </c>
      <c r="J1245" s="2"/>
      <c r="K1245" s="250" t="e">
        <f>'Rate Design Work eff 10-14-16'!K1239</f>
        <v>#DIV/0!</v>
      </c>
      <c r="M1245" s="2" t="e">
        <f>'Rate Design Work eff 10-14-16'!M1239</f>
        <v>#DIV/0!</v>
      </c>
      <c r="N1245" s="2"/>
      <c r="O1245" s="250" t="e">
        <f>'Rate Design Work eff 10-14-16'!O1239</f>
        <v>#DIV/0!</v>
      </c>
      <c r="Q1245" s="2" t="e">
        <f>'Rate Design Work eff 10-14-16'!Q1239</f>
        <v>#DIV/0!</v>
      </c>
      <c r="R1245" s="2"/>
      <c r="S1245" s="250" t="e">
        <f>'Rate Design Work eff 10-14-16'!S1239</f>
        <v>#DIV/0!</v>
      </c>
      <c r="U1245" s="2" t="e">
        <f>'Rate Design Work eff 10-14-16'!U1239</f>
        <v>#DIV/0!</v>
      </c>
      <c r="V1245" s="20"/>
      <c r="W1245" s="266"/>
      <c r="X1245" s="74"/>
      <c r="Y1245" s="74"/>
      <c r="Z1245" s="388"/>
      <c r="AA1245" s="388"/>
      <c r="AB1245" s="268"/>
      <c r="AC1245" s="268"/>
      <c r="AD1245" s="268"/>
      <c r="AE1245" s="268"/>
      <c r="AF1245" s="20"/>
      <c r="AG1245" s="20"/>
      <c r="AH1245" s="266"/>
      <c r="AI1245" s="266"/>
      <c r="AJ1245" s="417"/>
      <c r="AK1245" s="266"/>
      <c r="AL1245" s="20"/>
      <c r="AM1245" s="20"/>
      <c r="AN1245" s="20"/>
      <c r="AO1245" s="20"/>
      <c r="AP1245" s="20"/>
    </row>
    <row r="1246" spans="1:42">
      <c r="A1246" s="415" t="s">
        <v>500</v>
      </c>
      <c r="C1246" s="249"/>
      <c r="D1246" s="250"/>
      <c r="F1246" s="2"/>
      <c r="G1246" s="250"/>
      <c r="I1246" s="2"/>
      <c r="J1246" s="2"/>
      <c r="K1246" s="250"/>
      <c r="M1246" s="2"/>
      <c r="N1246" s="2"/>
      <c r="O1246" s="250"/>
      <c r="Q1246" s="2"/>
      <c r="R1246" s="2"/>
      <c r="S1246" s="250"/>
      <c r="U1246" s="2"/>
      <c r="V1246" s="20"/>
      <c r="W1246" s="266"/>
      <c r="X1246" s="74"/>
      <c r="Y1246" s="74"/>
      <c r="Z1246" s="20"/>
      <c r="AA1246" s="20"/>
      <c r="AB1246" s="20"/>
      <c r="AC1246" s="20"/>
      <c r="AD1246" s="20"/>
      <c r="AE1246" s="20"/>
      <c r="AF1246" s="20"/>
      <c r="AG1246" s="20"/>
      <c r="AH1246" s="20"/>
      <c r="AI1246" s="20"/>
      <c r="AJ1246" s="417"/>
      <c r="AK1246" s="20"/>
      <c r="AL1246" s="20"/>
      <c r="AM1246" s="20"/>
      <c r="AN1246" s="20"/>
      <c r="AO1246" s="20"/>
      <c r="AP1246" s="20"/>
    </row>
    <row r="1247" spans="1:42">
      <c r="A1247" s="3" t="s">
        <v>498</v>
      </c>
      <c r="C1247" s="249"/>
      <c r="D1247" s="418"/>
      <c r="F1247" s="248"/>
      <c r="G1247" s="418"/>
      <c r="K1247" s="418"/>
      <c r="O1247" s="418"/>
      <c r="S1247" s="418"/>
      <c r="V1247" s="20"/>
      <c r="W1247" s="74"/>
      <c r="X1247" s="74"/>
      <c r="Y1247" s="74"/>
      <c r="Z1247" s="20"/>
      <c r="AA1247" s="20"/>
      <c r="AB1247" s="20"/>
      <c r="AC1247" s="20"/>
      <c r="AD1247" s="20"/>
      <c r="AE1247" s="20"/>
      <c r="AF1247" s="20"/>
      <c r="AG1247" s="20"/>
      <c r="AH1247" s="20"/>
      <c r="AI1247" s="20"/>
      <c r="AJ1247" s="417"/>
      <c r="AK1247" s="20"/>
      <c r="AL1247" s="20"/>
      <c r="AM1247" s="20"/>
      <c r="AN1247" s="20"/>
      <c r="AO1247" s="20"/>
      <c r="AP1247" s="20"/>
    </row>
    <row r="1248" spans="1:42">
      <c r="A1248" s="3" t="s">
        <v>344</v>
      </c>
      <c r="C1248" s="249">
        <f>'Rate Design Work eff 10-14-16'!C1242</f>
        <v>480.00024382612202</v>
      </c>
      <c r="D1248" s="250">
        <f>'Rate Design Work eff 9-15-17'!D1242</f>
        <v>13.13</v>
      </c>
      <c r="F1248" s="2">
        <f>ROUND(C1248*D1248,0)</f>
        <v>6302</v>
      </c>
      <c r="G1248" s="250">
        <f>'Rate Design Work eff 9-15-17'!G1242</f>
        <v>13.44</v>
      </c>
      <c r="I1248" s="2">
        <f>ROUND(G1248*$C1248,0)</f>
        <v>6451</v>
      </c>
      <c r="J1248" s="2"/>
      <c r="K1248" s="250" t="e">
        <f>'Rate Design Work eff 10-14-16'!K1242</f>
        <v>#DIV/0!</v>
      </c>
      <c r="M1248" s="2" t="e">
        <f>'Rate Design Work eff 10-14-16'!M1242</f>
        <v>#DIV/0!</v>
      </c>
      <c r="N1248" s="2"/>
      <c r="O1248" s="250" t="e">
        <f>'Rate Design Work eff 10-14-16'!O1242</f>
        <v>#DIV/0!</v>
      </c>
      <c r="Q1248" s="2" t="e">
        <f>'Rate Design Work eff 10-14-16'!Q1242</f>
        <v>#DIV/0!</v>
      </c>
      <c r="R1248" s="2"/>
      <c r="S1248" s="250" t="e">
        <f>'Rate Design Work eff 10-14-16'!S1242</f>
        <v>#DIV/0!</v>
      </c>
      <c r="U1248" s="2" t="e">
        <f>'Rate Design Work eff 10-14-16'!U1242</f>
        <v>#DIV/0!</v>
      </c>
      <c r="V1248" s="20"/>
      <c r="W1248" s="266"/>
      <c r="X1248" s="74"/>
      <c r="Y1248" s="74"/>
      <c r="Z1248" s="388"/>
      <c r="AA1248" s="388"/>
      <c r="AB1248" s="268"/>
      <c r="AC1248" s="268"/>
      <c r="AD1248" s="268"/>
      <c r="AE1248" s="268"/>
      <c r="AF1248" s="20"/>
      <c r="AG1248" s="20"/>
      <c r="AH1248" s="266"/>
      <c r="AI1248" s="266"/>
      <c r="AJ1248" s="417"/>
      <c r="AK1248" s="266"/>
      <c r="AL1248" s="20"/>
      <c r="AM1248" s="20"/>
      <c r="AN1248" s="20"/>
      <c r="AO1248" s="20"/>
      <c r="AP1248" s="20"/>
    </row>
    <row r="1249" spans="1:42">
      <c r="A1249" s="3" t="s">
        <v>345</v>
      </c>
      <c r="C1249" s="249">
        <f>'Rate Design Work eff 10-14-16'!C1243</f>
        <v>395.99974732766401</v>
      </c>
      <c r="D1249" s="250">
        <f>'Rate Design Work eff 9-15-17'!D1243</f>
        <v>22.05</v>
      </c>
      <c r="F1249" s="2">
        <f>ROUND(C1249*D1249,0)</f>
        <v>8732</v>
      </c>
      <c r="G1249" s="250">
        <f>'Rate Design Work eff 9-15-17'!G1243</f>
        <v>22.57</v>
      </c>
      <c r="I1249" s="2">
        <f>ROUND(G1249*$C1249,0)</f>
        <v>8938</v>
      </c>
      <c r="J1249" s="2"/>
      <c r="K1249" s="250" t="e">
        <f>'Rate Design Work eff 10-14-16'!K1243</f>
        <v>#DIV/0!</v>
      </c>
      <c r="M1249" s="2" t="e">
        <f>'Rate Design Work eff 10-14-16'!M1243</f>
        <v>#DIV/0!</v>
      </c>
      <c r="N1249" s="2"/>
      <c r="O1249" s="250" t="e">
        <f>'Rate Design Work eff 10-14-16'!O1243</f>
        <v>#DIV/0!</v>
      </c>
      <c r="Q1249" s="2" t="e">
        <f>'Rate Design Work eff 10-14-16'!Q1243</f>
        <v>#DIV/0!</v>
      </c>
      <c r="R1249" s="2"/>
      <c r="S1249" s="250" t="e">
        <f>'Rate Design Work eff 10-14-16'!S1243</f>
        <v>#DIV/0!</v>
      </c>
      <c r="U1249" s="2" t="e">
        <f>'Rate Design Work eff 10-14-16'!U1243</f>
        <v>#DIV/0!</v>
      </c>
      <c r="V1249" s="20"/>
      <c r="W1249" s="266"/>
      <c r="X1249" s="74"/>
      <c r="Y1249" s="74"/>
      <c r="Z1249" s="388"/>
      <c r="AA1249" s="388"/>
      <c r="AB1249" s="268"/>
      <c r="AC1249" s="268"/>
      <c r="AD1249" s="268"/>
      <c r="AE1249" s="268"/>
      <c r="AF1249" s="414"/>
      <c r="AG1249" s="414"/>
      <c r="AH1249" s="266"/>
      <c r="AI1249" s="266"/>
      <c r="AJ1249" s="417"/>
      <c r="AK1249" s="266"/>
      <c r="AL1249" s="20"/>
      <c r="AM1249" s="20"/>
      <c r="AN1249" s="20"/>
      <c r="AO1249" s="20"/>
      <c r="AP1249" s="20"/>
    </row>
    <row r="1250" spans="1:42">
      <c r="A1250" s="3" t="s">
        <v>346</v>
      </c>
      <c r="C1250" s="249">
        <f>'Rate Design Work eff 10-14-16'!C1244</f>
        <v>0</v>
      </c>
      <c r="D1250" s="250">
        <f>'Rate Design Work eff 9-15-17'!D1244</f>
        <v>40.89</v>
      </c>
      <c r="F1250" s="2">
        <f>ROUND(C1250*D1250,0)</f>
        <v>0</v>
      </c>
      <c r="G1250" s="250">
        <f>'Rate Design Work eff 9-15-17'!G1244</f>
        <v>41.85</v>
      </c>
      <c r="I1250" s="2">
        <f>ROUND(G1250*$C1250,0)</f>
        <v>0</v>
      </c>
      <c r="J1250" s="2"/>
      <c r="K1250" s="250" t="e">
        <f>'Rate Design Work eff 10-14-16'!K1244</f>
        <v>#DIV/0!</v>
      </c>
      <c r="M1250" s="2" t="e">
        <f>'Rate Design Work eff 10-14-16'!M1244</f>
        <v>#DIV/0!</v>
      </c>
      <c r="N1250" s="2"/>
      <c r="O1250" s="250" t="e">
        <f>'Rate Design Work eff 10-14-16'!O1244</f>
        <v>#DIV/0!</v>
      </c>
      <c r="Q1250" s="2" t="e">
        <f>'Rate Design Work eff 10-14-16'!Q1244</f>
        <v>#DIV/0!</v>
      </c>
      <c r="R1250" s="2"/>
      <c r="S1250" s="250" t="e">
        <f>'Rate Design Work eff 10-14-16'!S1244</f>
        <v>#DIV/0!</v>
      </c>
      <c r="U1250" s="2" t="e">
        <f>'Rate Design Work eff 10-14-16'!U1244</f>
        <v>#DIV/0!</v>
      </c>
      <c r="V1250" s="20"/>
      <c r="W1250" s="266"/>
      <c r="X1250" s="74"/>
      <c r="Y1250" s="74"/>
      <c r="Z1250" s="388"/>
      <c r="AA1250" s="388"/>
      <c r="AB1250" s="268"/>
      <c r="AC1250" s="268"/>
      <c r="AD1250" s="268"/>
      <c r="AE1250" s="268"/>
      <c r="AF1250" s="414"/>
      <c r="AG1250" s="414"/>
      <c r="AH1250" s="266"/>
      <c r="AI1250" s="266"/>
      <c r="AJ1250" s="417"/>
      <c r="AK1250" s="266"/>
      <c r="AL1250" s="20"/>
      <c r="AM1250" s="20"/>
      <c r="AN1250" s="20"/>
      <c r="AO1250" s="20"/>
      <c r="AP1250" s="20"/>
    </row>
    <row r="1251" spans="1:42">
      <c r="A1251" s="3" t="s">
        <v>499</v>
      </c>
      <c r="C1251" s="249"/>
      <c r="D1251" s="418"/>
      <c r="F1251" s="248"/>
      <c r="G1251" s="418"/>
      <c r="K1251" s="418"/>
      <c r="O1251" s="418"/>
      <c r="S1251" s="418"/>
      <c r="V1251" s="20"/>
      <c r="W1251" s="20"/>
      <c r="X1251" s="420"/>
      <c r="Y1251" s="420"/>
      <c r="Z1251" s="420"/>
      <c r="AA1251" s="420"/>
      <c r="AB1251" s="704"/>
      <c r="AC1251" s="704"/>
      <c r="AD1251" s="704"/>
      <c r="AE1251" s="704"/>
      <c r="AF1251" s="414"/>
      <c r="AG1251" s="414"/>
      <c r="AH1251" s="422"/>
      <c r="AI1251" s="20"/>
      <c r="AJ1251" s="417"/>
      <c r="AK1251" s="20"/>
      <c r="AL1251" s="20"/>
      <c r="AM1251" s="20"/>
      <c r="AN1251" s="20"/>
      <c r="AO1251" s="20"/>
      <c r="AP1251" s="20"/>
    </row>
    <row r="1252" spans="1:42">
      <c r="A1252" s="3" t="s">
        <v>344</v>
      </c>
      <c r="C1252" s="249">
        <f>'Rate Design Work eff 10-14-16'!C1246</f>
        <v>0</v>
      </c>
      <c r="D1252" s="250">
        <f>'Rate Design Work eff 9-15-17'!D1246</f>
        <v>12.43</v>
      </c>
      <c r="F1252" s="2">
        <f>ROUND(C1252*D1252,0)</f>
        <v>0</v>
      </c>
      <c r="G1252" s="250">
        <f>'Rate Design Work eff 9-15-17'!G1246</f>
        <v>12.72</v>
      </c>
      <c r="I1252" s="2">
        <f>ROUND(G1252*$C1252,0)</f>
        <v>0</v>
      </c>
      <c r="J1252" s="2"/>
      <c r="K1252" s="250" t="e">
        <f>'Rate Design Work eff 10-14-16'!K1246</f>
        <v>#DIV/0!</v>
      </c>
      <c r="M1252" s="2" t="e">
        <f>'Rate Design Work eff 10-14-16'!M1246</f>
        <v>#DIV/0!</v>
      </c>
      <c r="N1252" s="2"/>
      <c r="O1252" s="250" t="e">
        <f>'Rate Design Work eff 10-14-16'!O1246</f>
        <v>#DIV/0!</v>
      </c>
      <c r="Q1252" s="2" t="e">
        <f>'Rate Design Work eff 10-14-16'!Q1246</f>
        <v>#DIV/0!</v>
      </c>
      <c r="R1252" s="2"/>
      <c r="S1252" s="250" t="e">
        <f>'Rate Design Work eff 10-14-16'!S1246</f>
        <v>#DIV/0!</v>
      </c>
      <c r="U1252" s="2" t="e">
        <f>'Rate Design Work eff 10-14-16'!U1246</f>
        <v>#DIV/0!</v>
      </c>
      <c r="V1252" s="20"/>
      <c r="W1252" s="266"/>
      <c r="X1252" s="74"/>
      <c r="Y1252" s="74"/>
      <c r="Z1252" s="388"/>
      <c r="AA1252" s="388"/>
      <c r="AB1252" s="268"/>
      <c r="AC1252" s="268"/>
      <c r="AD1252" s="268"/>
      <c r="AE1252" s="268"/>
      <c r="AF1252" s="414"/>
      <c r="AG1252" s="414"/>
      <c r="AH1252" s="266"/>
      <c r="AI1252" s="266"/>
      <c r="AJ1252" s="417"/>
      <c r="AK1252" s="266"/>
      <c r="AL1252" s="20"/>
      <c r="AM1252" s="20"/>
      <c r="AN1252" s="20"/>
      <c r="AO1252" s="20"/>
      <c r="AP1252" s="20"/>
    </row>
    <row r="1253" spans="1:42">
      <c r="A1253" s="3" t="s">
        <v>345</v>
      </c>
      <c r="C1253" s="249">
        <f>'Rate Design Work eff 10-14-16'!C1247</f>
        <v>0</v>
      </c>
      <c r="D1253" s="250">
        <f>'Rate Design Work eff 9-15-17'!D1247</f>
        <v>20.85</v>
      </c>
      <c r="F1253" s="2">
        <f>ROUND(C1253*D1253,0)</f>
        <v>0</v>
      </c>
      <c r="G1253" s="250">
        <f>'Rate Design Work eff 9-15-17'!G1247</f>
        <v>21.34</v>
      </c>
      <c r="I1253" s="2">
        <f>ROUND(G1253*$C1253,0)</f>
        <v>0</v>
      </c>
      <c r="J1253" s="2"/>
      <c r="K1253" s="250" t="e">
        <f>'Rate Design Work eff 10-14-16'!K1247</f>
        <v>#DIV/0!</v>
      </c>
      <c r="M1253" s="2" t="e">
        <f>'Rate Design Work eff 10-14-16'!M1247</f>
        <v>#DIV/0!</v>
      </c>
      <c r="N1253" s="2"/>
      <c r="O1253" s="250" t="e">
        <f>'Rate Design Work eff 10-14-16'!O1247</f>
        <v>#DIV/0!</v>
      </c>
      <c r="Q1253" s="2" t="e">
        <f>'Rate Design Work eff 10-14-16'!Q1247</f>
        <v>#DIV/0!</v>
      </c>
      <c r="R1253" s="2"/>
      <c r="S1253" s="250" t="e">
        <f>'Rate Design Work eff 10-14-16'!S1247</f>
        <v>#DIV/0!</v>
      </c>
      <c r="U1253" s="2" t="e">
        <f>'Rate Design Work eff 10-14-16'!U1247</f>
        <v>#DIV/0!</v>
      </c>
      <c r="V1253" s="20"/>
      <c r="W1253" s="266"/>
      <c r="X1253" s="74"/>
      <c r="Y1253" s="74"/>
      <c r="Z1253" s="388"/>
      <c r="AA1253" s="388"/>
      <c r="AB1253" s="268"/>
      <c r="AC1253" s="268"/>
      <c r="AD1253" s="268"/>
      <c r="AE1253" s="268"/>
      <c r="AF1253" s="414"/>
      <c r="AG1253" s="414"/>
      <c r="AH1253" s="266"/>
      <c r="AI1253" s="266"/>
      <c r="AJ1253" s="417"/>
      <c r="AK1253" s="266"/>
      <c r="AL1253" s="20"/>
      <c r="AM1253" s="20"/>
      <c r="AN1253" s="20"/>
      <c r="AO1253" s="20"/>
      <c r="AP1253" s="20"/>
    </row>
    <row r="1254" spans="1:42">
      <c r="A1254" s="415" t="s">
        <v>501</v>
      </c>
      <c r="B1254" s="288"/>
      <c r="C1254" s="249"/>
      <c r="D1254" s="418"/>
      <c r="E1254" s="288"/>
      <c r="F1254" s="288"/>
      <c r="G1254" s="418"/>
      <c r="H1254" s="288"/>
      <c r="I1254" s="288"/>
      <c r="J1254" s="288"/>
      <c r="K1254" s="418"/>
      <c r="L1254" s="288"/>
      <c r="M1254" s="288"/>
      <c r="N1254" s="288"/>
      <c r="O1254" s="418"/>
      <c r="P1254" s="288"/>
      <c r="Q1254" s="288"/>
      <c r="R1254" s="288"/>
      <c r="S1254" s="418"/>
      <c r="T1254" s="288"/>
      <c r="U1254" s="288"/>
      <c r="V1254" s="20"/>
      <c r="W1254" s="20"/>
      <c r="X1254" s="420"/>
      <c r="Y1254" s="420"/>
      <c r="Z1254" s="420"/>
      <c r="AA1254" s="420"/>
      <c r="AB1254" s="704"/>
      <c r="AC1254" s="704"/>
      <c r="AD1254" s="704"/>
      <c r="AE1254" s="704"/>
      <c r="AF1254" s="414"/>
      <c r="AG1254" s="414"/>
      <c r="AH1254" s="422"/>
      <c r="AI1254" s="20"/>
      <c r="AJ1254" s="417"/>
      <c r="AK1254" s="20"/>
      <c r="AL1254" s="20"/>
      <c r="AM1254" s="20"/>
      <c r="AN1254" s="20"/>
      <c r="AO1254" s="20"/>
      <c r="AP1254" s="20"/>
    </row>
    <row r="1255" spans="1:42">
      <c r="A1255" s="3" t="s">
        <v>498</v>
      </c>
      <c r="C1255" s="249"/>
      <c r="D1255" s="418"/>
      <c r="F1255" s="248"/>
      <c r="G1255" s="418"/>
      <c r="K1255" s="418"/>
      <c r="O1255" s="418"/>
      <c r="S1255" s="418"/>
      <c r="V1255" s="20"/>
      <c r="W1255" s="20"/>
      <c r="X1255" s="420"/>
      <c r="Y1255" s="420"/>
      <c r="Z1255" s="420"/>
      <c r="AA1255" s="420"/>
      <c r="AB1255" s="704"/>
      <c r="AC1255" s="704"/>
      <c r="AD1255" s="704"/>
      <c r="AE1255" s="704"/>
      <c r="AF1255" s="414"/>
      <c r="AG1255" s="414"/>
      <c r="AH1255" s="422"/>
      <c r="AI1255" s="20"/>
      <c r="AJ1255" s="417"/>
      <c r="AK1255" s="20"/>
      <c r="AL1255" s="20"/>
      <c r="AM1255" s="20"/>
      <c r="AN1255" s="20"/>
      <c r="AO1255" s="20"/>
      <c r="AP1255" s="20"/>
    </row>
    <row r="1256" spans="1:42">
      <c r="A1256" s="3" t="s">
        <v>344</v>
      </c>
      <c r="C1256" s="249">
        <f>'Rate Design Work eff 10-14-16'!C1250</f>
        <v>0</v>
      </c>
      <c r="D1256" s="250">
        <f>'Rate Design Work eff 9-15-17'!D1250</f>
        <v>13.12</v>
      </c>
      <c r="F1256" s="2">
        <f>ROUND(C1256*D1256,0)</f>
        <v>0</v>
      </c>
      <c r="G1256" s="250">
        <f>'Rate Design Work eff 9-15-17'!G1250</f>
        <v>13.43</v>
      </c>
      <c r="I1256" s="2">
        <f>ROUND(G1256*$C1256,0)</f>
        <v>0</v>
      </c>
      <c r="J1256" s="2"/>
      <c r="K1256" s="250" t="e">
        <f>'Rate Design Work eff 10-14-16'!K1250</f>
        <v>#DIV/0!</v>
      </c>
      <c r="M1256" s="2" t="e">
        <f>'Rate Design Work eff 10-14-16'!M1250</f>
        <v>#DIV/0!</v>
      </c>
      <c r="N1256" s="2"/>
      <c r="O1256" s="250" t="e">
        <f>'Rate Design Work eff 10-14-16'!O1250</f>
        <v>#DIV/0!</v>
      </c>
      <c r="Q1256" s="2" t="e">
        <f>'Rate Design Work eff 10-14-16'!Q1250</f>
        <v>#DIV/0!</v>
      </c>
      <c r="R1256" s="2"/>
      <c r="S1256" s="250" t="e">
        <f>'Rate Design Work eff 10-14-16'!S1250</f>
        <v>#DIV/0!</v>
      </c>
      <c r="U1256" s="2" t="e">
        <f>'Rate Design Work eff 10-14-16'!U1250</f>
        <v>#DIV/0!</v>
      </c>
      <c r="V1256" s="20"/>
      <c r="W1256" s="266"/>
      <c r="X1256" s="74"/>
      <c r="Y1256" s="74"/>
      <c r="Z1256" s="388"/>
      <c r="AA1256" s="388"/>
      <c r="AB1256" s="268"/>
      <c r="AC1256" s="268"/>
      <c r="AD1256" s="268"/>
      <c r="AE1256" s="268"/>
      <c r="AF1256" s="414"/>
      <c r="AG1256" s="414"/>
      <c r="AH1256" s="266"/>
      <c r="AI1256" s="266"/>
      <c r="AJ1256" s="417"/>
      <c r="AK1256" s="266"/>
      <c r="AL1256" s="20"/>
      <c r="AM1256" s="20"/>
      <c r="AN1256" s="20"/>
      <c r="AO1256" s="20"/>
      <c r="AP1256" s="20"/>
    </row>
    <row r="1257" spans="1:42">
      <c r="A1257" s="3" t="s">
        <v>345</v>
      </c>
      <c r="C1257" s="249">
        <f>'Rate Design Work eff 10-14-16'!C1251</f>
        <v>0</v>
      </c>
      <c r="D1257" s="250">
        <f>'Rate Design Work eff 9-15-17'!D1251</f>
        <v>21.33</v>
      </c>
      <c r="F1257" s="2">
        <f>ROUND(C1257*D1257,0)</f>
        <v>0</v>
      </c>
      <c r="G1257" s="250">
        <f>'Rate Design Work eff 9-15-17'!G1251</f>
        <v>21.83</v>
      </c>
      <c r="I1257" s="2">
        <f>ROUND(G1257*$C1257,0)</f>
        <v>0</v>
      </c>
      <c r="J1257" s="2"/>
      <c r="K1257" s="250" t="e">
        <f>'Rate Design Work eff 10-14-16'!K1251</f>
        <v>#DIV/0!</v>
      </c>
      <c r="M1257" s="2" t="e">
        <f>'Rate Design Work eff 10-14-16'!M1251</f>
        <v>#DIV/0!</v>
      </c>
      <c r="N1257" s="2"/>
      <c r="O1257" s="250" t="e">
        <f>'Rate Design Work eff 10-14-16'!O1251</f>
        <v>#DIV/0!</v>
      </c>
      <c r="Q1257" s="2" t="e">
        <f>'Rate Design Work eff 10-14-16'!Q1251</f>
        <v>#DIV/0!</v>
      </c>
      <c r="R1257" s="2"/>
      <c r="S1257" s="250" t="e">
        <f>'Rate Design Work eff 10-14-16'!S1251</f>
        <v>#DIV/0!</v>
      </c>
      <c r="U1257" s="2" t="e">
        <f>'Rate Design Work eff 10-14-16'!U1251</f>
        <v>#DIV/0!</v>
      </c>
      <c r="V1257" s="20"/>
      <c r="W1257" s="266"/>
      <c r="X1257" s="74"/>
      <c r="Y1257" s="74"/>
      <c r="Z1257" s="388"/>
      <c r="AA1257" s="388"/>
      <c r="AB1257" s="268"/>
      <c r="AC1257" s="268"/>
      <c r="AD1257" s="268"/>
      <c r="AE1257" s="268"/>
      <c r="AF1257" s="414"/>
      <c r="AG1257" s="414"/>
      <c r="AH1257" s="266"/>
      <c r="AI1257" s="266"/>
      <c r="AJ1257" s="417"/>
      <c r="AK1257" s="266"/>
      <c r="AL1257" s="20"/>
      <c r="AM1257" s="20"/>
      <c r="AN1257" s="20"/>
      <c r="AO1257" s="20"/>
      <c r="AP1257" s="20"/>
    </row>
    <row r="1258" spans="1:42">
      <c r="A1258" s="3" t="s">
        <v>346</v>
      </c>
      <c r="C1258" s="249">
        <f>'Rate Design Work eff 10-14-16'!C1252</f>
        <v>0</v>
      </c>
      <c r="D1258" s="250">
        <f>'Rate Design Work eff 9-15-17'!D1252</f>
        <v>40.19</v>
      </c>
      <c r="F1258" s="2">
        <f>ROUND(C1258*D1258,0)</f>
        <v>0</v>
      </c>
      <c r="G1258" s="250">
        <f>'Rate Design Work eff 9-15-17'!G1252</f>
        <v>41.13</v>
      </c>
      <c r="I1258" s="2">
        <f>ROUND(G1258*$C1258,0)</f>
        <v>0</v>
      </c>
      <c r="J1258" s="2"/>
      <c r="K1258" s="250" t="e">
        <f>'Rate Design Work eff 10-14-16'!K1252</f>
        <v>#DIV/0!</v>
      </c>
      <c r="M1258" s="2" t="e">
        <f>'Rate Design Work eff 10-14-16'!M1252</f>
        <v>#DIV/0!</v>
      </c>
      <c r="N1258" s="2"/>
      <c r="O1258" s="250" t="e">
        <f>'Rate Design Work eff 10-14-16'!O1252</f>
        <v>#DIV/0!</v>
      </c>
      <c r="Q1258" s="2" t="e">
        <f>'Rate Design Work eff 10-14-16'!Q1252</f>
        <v>#DIV/0!</v>
      </c>
      <c r="R1258" s="2"/>
      <c r="S1258" s="250" t="e">
        <f>'Rate Design Work eff 10-14-16'!S1252</f>
        <v>#DIV/0!</v>
      </c>
      <c r="U1258" s="2" t="e">
        <f>'Rate Design Work eff 10-14-16'!U1252</f>
        <v>#DIV/0!</v>
      </c>
      <c r="V1258" s="20"/>
      <c r="W1258" s="266"/>
      <c r="X1258" s="74"/>
      <c r="Y1258" s="74"/>
      <c r="Z1258" s="388"/>
      <c r="AA1258" s="388"/>
      <c r="AB1258" s="268"/>
      <c r="AC1258" s="268"/>
      <c r="AD1258" s="268"/>
      <c r="AE1258" s="268"/>
      <c r="AF1258" s="414"/>
      <c r="AG1258" s="414"/>
      <c r="AH1258" s="266"/>
      <c r="AI1258" s="266"/>
      <c r="AJ1258" s="417"/>
      <c r="AK1258" s="266"/>
      <c r="AL1258" s="20"/>
      <c r="AM1258" s="20"/>
      <c r="AN1258" s="20"/>
      <c r="AO1258" s="20"/>
      <c r="AP1258" s="20"/>
    </row>
    <row r="1259" spans="1:42">
      <c r="A1259" s="3" t="s">
        <v>499</v>
      </c>
      <c r="C1259" s="249"/>
      <c r="D1259" s="418"/>
      <c r="F1259" s="248"/>
      <c r="G1259" s="418"/>
      <c r="K1259" s="418"/>
      <c r="O1259" s="418"/>
      <c r="S1259" s="418"/>
      <c r="V1259" s="20"/>
      <c r="W1259" s="20"/>
      <c r="X1259" s="420"/>
      <c r="Y1259" s="420"/>
      <c r="Z1259" s="420"/>
      <c r="AA1259" s="420"/>
      <c r="AB1259" s="704"/>
      <c r="AC1259" s="704"/>
      <c r="AD1259" s="704"/>
      <c r="AE1259" s="704"/>
      <c r="AF1259" s="414"/>
      <c r="AG1259" s="414"/>
      <c r="AH1259" s="422"/>
      <c r="AI1259" s="20"/>
      <c r="AJ1259" s="417"/>
      <c r="AK1259" s="20"/>
      <c r="AL1259" s="20"/>
      <c r="AM1259" s="20"/>
      <c r="AN1259" s="20"/>
      <c r="AO1259" s="20"/>
      <c r="AP1259" s="20"/>
    </row>
    <row r="1260" spans="1:42">
      <c r="A1260" s="3" t="s">
        <v>344</v>
      </c>
      <c r="C1260" s="249">
        <f>'Rate Design Work eff 10-14-16'!C1254</f>
        <v>0</v>
      </c>
      <c r="D1260" s="250">
        <f>'Rate Design Work eff 9-15-17'!D1254</f>
        <v>12.43</v>
      </c>
      <c r="F1260" s="2">
        <f>ROUND(C1260*D1260,0)</f>
        <v>0</v>
      </c>
      <c r="G1260" s="250">
        <f>'Rate Design Work eff 9-15-17'!G1254</f>
        <v>12.72</v>
      </c>
      <c r="I1260" s="2">
        <f>ROUND(G1260*$C1260,0)</f>
        <v>0</v>
      </c>
      <c r="J1260" s="2"/>
      <c r="K1260" s="250" t="e">
        <f>'Rate Design Work eff 10-14-16'!K1254</f>
        <v>#DIV/0!</v>
      </c>
      <c r="M1260" s="2" t="e">
        <f>'Rate Design Work eff 10-14-16'!M1254</f>
        <v>#DIV/0!</v>
      </c>
      <c r="N1260" s="2"/>
      <c r="O1260" s="250" t="e">
        <f>'Rate Design Work eff 10-14-16'!O1254</f>
        <v>#DIV/0!</v>
      </c>
      <c r="Q1260" s="2" t="e">
        <f>'Rate Design Work eff 10-14-16'!Q1254</f>
        <v>#DIV/0!</v>
      </c>
      <c r="R1260" s="2"/>
      <c r="S1260" s="250" t="e">
        <f>'Rate Design Work eff 10-14-16'!S1254</f>
        <v>#DIV/0!</v>
      </c>
      <c r="U1260" s="2" t="e">
        <f>'Rate Design Work eff 10-14-16'!U1254</f>
        <v>#DIV/0!</v>
      </c>
      <c r="V1260" s="20"/>
      <c r="W1260" s="266"/>
      <c r="X1260" s="74"/>
      <c r="Y1260" s="74"/>
      <c r="Z1260" s="388"/>
      <c r="AA1260" s="388"/>
      <c r="AB1260" s="268"/>
      <c r="AC1260" s="268"/>
      <c r="AD1260" s="268"/>
      <c r="AE1260" s="268"/>
      <c r="AF1260" s="414"/>
      <c r="AG1260" s="414"/>
      <c r="AH1260" s="266"/>
      <c r="AI1260" s="266"/>
      <c r="AJ1260" s="417"/>
      <c r="AK1260" s="266"/>
      <c r="AL1260" s="20"/>
      <c r="AM1260" s="20"/>
      <c r="AN1260" s="20"/>
      <c r="AO1260" s="20"/>
      <c r="AP1260" s="20"/>
    </row>
    <row r="1261" spans="1:42">
      <c r="A1261" s="3" t="s">
        <v>345</v>
      </c>
      <c r="C1261" s="249">
        <f>'Rate Design Work eff 10-14-16'!C1255</f>
        <v>0</v>
      </c>
      <c r="D1261" s="250">
        <f>'Rate Design Work eff 9-15-17'!D1255</f>
        <v>20.13</v>
      </c>
      <c r="F1261" s="2">
        <f>ROUND(C1261*D1261,0)</f>
        <v>0</v>
      </c>
      <c r="G1261" s="250">
        <f>'Rate Design Work eff 9-15-17'!G1255</f>
        <v>20.6</v>
      </c>
      <c r="I1261" s="2">
        <f>ROUND(G1261*$C1261,0)</f>
        <v>0</v>
      </c>
      <c r="J1261" s="2"/>
      <c r="K1261" s="250" t="e">
        <f>'Rate Design Work eff 10-14-16'!K1255</f>
        <v>#DIV/0!</v>
      </c>
      <c r="M1261" s="2" t="e">
        <f>'Rate Design Work eff 10-14-16'!M1255</f>
        <v>#DIV/0!</v>
      </c>
      <c r="N1261" s="2"/>
      <c r="O1261" s="250" t="e">
        <f>'Rate Design Work eff 10-14-16'!O1255</f>
        <v>#DIV/0!</v>
      </c>
      <c r="Q1261" s="2" t="e">
        <f>'Rate Design Work eff 10-14-16'!Q1255</f>
        <v>#DIV/0!</v>
      </c>
      <c r="R1261" s="2"/>
      <c r="S1261" s="250" t="e">
        <f>'Rate Design Work eff 10-14-16'!S1255</f>
        <v>#DIV/0!</v>
      </c>
      <c r="U1261" s="2" t="e">
        <f>'Rate Design Work eff 10-14-16'!U1255</f>
        <v>#DIV/0!</v>
      </c>
      <c r="V1261" s="20"/>
      <c r="W1261" s="266"/>
      <c r="X1261" s="74"/>
      <c r="Y1261" s="74"/>
      <c r="Z1261" s="388"/>
      <c r="AA1261" s="388"/>
      <c r="AB1261" s="268"/>
      <c r="AC1261" s="268"/>
      <c r="AD1261" s="268"/>
      <c r="AE1261" s="268"/>
      <c r="AF1261" s="414"/>
      <c r="AG1261" s="414"/>
      <c r="AH1261" s="266"/>
      <c r="AI1261" s="266"/>
      <c r="AJ1261" s="417"/>
      <c r="AK1261" s="266"/>
      <c r="AL1261" s="20"/>
      <c r="AM1261" s="20"/>
      <c r="AN1261" s="20"/>
      <c r="AO1261" s="20"/>
      <c r="AP1261" s="20"/>
    </row>
    <row r="1262" spans="1:42">
      <c r="A1262" s="415" t="s">
        <v>502</v>
      </c>
      <c r="B1262" s="288"/>
      <c r="C1262" s="249"/>
      <c r="D1262" s="418"/>
      <c r="E1262" s="288"/>
      <c r="F1262" s="288"/>
      <c r="G1262" s="418"/>
      <c r="H1262" s="288"/>
      <c r="I1262" s="288"/>
      <c r="J1262" s="288"/>
      <c r="K1262" s="418"/>
      <c r="L1262" s="288"/>
      <c r="M1262" s="288"/>
      <c r="N1262" s="288"/>
      <c r="O1262" s="418"/>
      <c r="P1262" s="288"/>
      <c r="Q1262" s="288"/>
      <c r="R1262" s="288"/>
      <c r="S1262" s="418"/>
      <c r="T1262" s="288"/>
      <c r="U1262" s="288"/>
      <c r="V1262" s="20"/>
      <c r="W1262" s="20"/>
      <c r="X1262" s="420"/>
      <c r="Y1262" s="420"/>
      <c r="Z1262" s="420"/>
      <c r="AA1262" s="420"/>
      <c r="AB1262" s="704"/>
      <c r="AC1262" s="704"/>
      <c r="AD1262" s="704"/>
      <c r="AE1262" s="704"/>
      <c r="AF1262" s="414"/>
      <c r="AG1262" s="414"/>
      <c r="AH1262" s="422"/>
      <c r="AI1262" s="20"/>
      <c r="AJ1262" s="417"/>
      <c r="AK1262" s="20"/>
      <c r="AL1262" s="20"/>
      <c r="AM1262" s="20"/>
      <c r="AN1262" s="20"/>
      <c r="AO1262" s="20"/>
      <c r="AP1262" s="20"/>
    </row>
    <row r="1263" spans="1:42">
      <c r="A1263" s="3" t="s">
        <v>344</v>
      </c>
      <c r="C1263" s="249">
        <f>'Rate Design Work eff 10-14-16'!C1257</f>
        <v>335.96501937771501</v>
      </c>
      <c r="D1263" s="250">
        <f>'Rate Design Work eff 9-15-17'!D1257</f>
        <v>10.5</v>
      </c>
      <c r="F1263" s="2">
        <f>ROUND(C1263*D1263,0)</f>
        <v>3528</v>
      </c>
      <c r="G1263" s="250">
        <f>'Rate Design Work eff 9-15-17'!G1257</f>
        <v>10.75</v>
      </c>
      <c r="I1263" s="2">
        <f>ROUND(G1263*$C1263,0)</f>
        <v>3612</v>
      </c>
      <c r="J1263" s="2"/>
      <c r="K1263" s="250" t="e">
        <f>'Rate Design Work eff 10-14-16'!K1257</f>
        <v>#DIV/0!</v>
      </c>
      <c r="M1263" s="2" t="e">
        <f>'Rate Design Work eff 10-14-16'!M1257</f>
        <v>#DIV/0!</v>
      </c>
      <c r="N1263" s="2"/>
      <c r="O1263" s="250" t="e">
        <f>'Rate Design Work eff 10-14-16'!O1257</f>
        <v>#DIV/0!</v>
      </c>
      <c r="Q1263" s="2" t="e">
        <f>'Rate Design Work eff 10-14-16'!Q1257</f>
        <v>#DIV/0!</v>
      </c>
      <c r="R1263" s="2"/>
      <c r="S1263" s="250" t="e">
        <f>'Rate Design Work eff 10-14-16'!S1257</f>
        <v>#DIV/0!</v>
      </c>
      <c r="U1263" s="2" t="e">
        <f>'Rate Design Work eff 10-14-16'!U1257</f>
        <v>#DIV/0!</v>
      </c>
      <c r="V1263" s="20"/>
      <c r="W1263" s="266"/>
      <c r="X1263" s="74"/>
      <c r="Y1263" s="74"/>
      <c r="Z1263" s="388"/>
      <c r="AA1263" s="388"/>
      <c r="AB1263" s="268"/>
      <c r="AC1263" s="268"/>
      <c r="AD1263" s="268"/>
      <c r="AE1263" s="268"/>
      <c r="AF1263" s="414"/>
      <c r="AG1263" s="414"/>
      <c r="AH1263" s="266"/>
      <c r="AI1263" s="266"/>
      <c r="AJ1263" s="417"/>
      <c r="AK1263" s="266"/>
      <c r="AL1263" s="20"/>
      <c r="AM1263" s="20"/>
      <c r="AN1263" s="20"/>
      <c r="AO1263" s="20"/>
      <c r="AP1263" s="20"/>
    </row>
    <row r="1264" spans="1:42">
      <c r="A1264" s="3" t="s">
        <v>345</v>
      </c>
      <c r="C1264" s="249">
        <f>'Rate Design Work eff 10-14-16'!C1258</f>
        <v>758.71802767756799</v>
      </c>
      <c r="D1264" s="250">
        <f>'Rate Design Work eff 9-15-17'!D1258</f>
        <v>18.39</v>
      </c>
      <c r="F1264" s="2">
        <f>ROUND(C1264*D1264,0)</f>
        <v>13953</v>
      </c>
      <c r="G1264" s="250">
        <f>'Rate Design Work eff 9-15-17'!G1258</f>
        <v>18.82</v>
      </c>
      <c r="I1264" s="2">
        <f>ROUND(G1264*$C1264,0)</f>
        <v>14279</v>
      </c>
      <c r="J1264" s="2"/>
      <c r="K1264" s="250" t="e">
        <f>'Rate Design Work eff 10-14-16'!K1258</f>
        <v>#DIV/0!</v>
      </c>
      <c r="M1264" s="2" t="e">
        <f>'Rate Design Work eff 10-14-16'!M1258</f>
        <v>#DIV/0!</v>
      </c>
      <c r="N1264" s="2"/>
      <c r="O1264" s="250" t="e">
        <f>'Rate Design Work eff 10-14-16'!O1258</f>
        <v>#DIV/0!</v>
      </c>
      <c r="Q1264" s="2" t="e">
        <f>'Rate Design Work eff 10-14-16'!Q1258</f>
        <v>#DIV/0!</v>
      </c>
      <c r="R1264" s="2"/>
      <c r="S1264" s="250" t="e">
        <f>'Rate Design Work eff 10-14-16'!S1258</f>
        <v>#DIV/0!</v>
      </c>
      <c r="U1264" s="2" t="e">
        <f>'Rate Design Work eff 10-14-16'!U1258</f>
        <v>#DIV/0!</v>
      </c>
      <c r="V1264" s="20"/>
      <c r="W1264" s="266"/>
      <c r="X1264" s="74"/>
      <c r="Y1264" s="74"/>
      <c r="Z1264" s="388"/>
      <c r="AA1264" s="388"/>
      <c r="AB1264" s="268"/>
      <c r="AC1264" s="268"/>
      <c r="AD1264" s="268"/>
      <c r="AE1264" s="268"/>
      <c r="AF1264" s="414"/>
      <c r="AG1264" s="414"/>
      <c r="AH1264" s="266"/>
      <c r="AI1264" s="266"/>
      <c r="AJ1264" s="417"/>
      <c r="AK1264" s="266"/>
      <c r="AL1264" s="20"/>
      <c r="AM1264" s="20"/>
      <c r="AN1264" s="20"/>
      <c r="AO1264" s="20"/>
      <c r="AP1264" s="20"/>
    </row>
    <row r="1265" spans="1:44">
      <c r="A1265" s="3" t="s">
        <v>346</v>
      </c>
      <c r="C1265" s="249">
        <f>'Rate Design Work eff 10-14-16'!C1259</f>
        <v>0</v>
      </c>
      <c r="D1265" s="250">
        <f>'Rate Design Work eff 9-15-17'!D1259</f>
        <v>39.28</v>
      </c>
      <c r="F1265" s="2">
        <f>ROUND(C1265*D1265,0)</f>
        <v>0</v>
      </c>
      <c r="G1265" s="250">
        <f>'Rate Design Work eff 9-15-17'!G1259</f>
        <v>40.200000000000003</v>
      </c>
      <c r="I1265" s="2">
        <f>ROUND(G1265*$C1265,0)</f>
        <v>0</v>
      </c>
      <c r="J1265" s="2"/>
      <c r="K1265" s="250" t="e">
        <f>'Rate Design Work eff 10-14-16'!K1259</f>
        <v>#DIV/0!</v>
      </c>
      <c r="M1265" s="2" t="e">
        <f>'Rate Design Work eff 10-14-16'!M1259</f>
        <v>#DIV/0!</v>
      </c>
      <c r="N1265" s="2"/>
      <c r="O1265" s="250" t="e">
        <f>'Rate Design Work eff 10-14-16'!O1259</f>
        <v>#DIV/0!</v>
      </c>
      <c r="Q1265" s="2" t="e">
        <f>'Rate Design Work eff 10-14-16'!Q1259</f>
        <v>#DIV/0!</v>
      </c>
      <c r="R1265" s="2"/>
      <c r="S1265" s="250" t="e">
        <f>'Rate Design Work eff 10-14-16'!S1259</f>
        <v>#DIV/0!</v>
      </c>
      <c r="U1265" s="2" t="e">
        <f>'Rate Design Work eff 10-14-16'!U1259</f>
        <v>#DIV/0!</v>
      </c>
      <c r="V1265" s="20"/>
      <c r="W1265" s="266"/>
      <c r="X1265" s="74"/>
      <c r="Y1265" s="74"/>
      <c r="Z1265" s="388"/>
      <c r="AA1265" s="388"/>
      <c r="AB1265" s="268"/>
      <c r="AC1265" s="268"/>
      <c r="AD1265" s="268"/>
      <c r="AE1265" s="268"/>
      <c r="AF1265" s="414"/>
      <c r="AG1265" s="414"/>
      <c r="AH1265" s="266"/>
      <c r="AI1265" s="266"/>
      <c r="AJ1265" s="417"/>
      <c r="AK1265" s="266"/>
      <c r="AL1265" s="20"/>
      <c r="AM1265" s="20"/>
      <c r="AN1265" s="20"/>
      <c r="AO1265" s="20"/>
      <c r="AP1265" s="20"/>
    </row>
    <row r="1266" spans="1:44">
      <c r="A1266" s="5" t="s">
        <v>503</v>
      </c>
      <c r="C1266" s="249"/>
      <c r="D1266" s="250"/>
      <c r="F1266" s="2"/>
      <c r="G1266" s="250"/>
      <c r="I1266" s="2"/>
      <c r="J1266" s="2"/>
      <c r="K1266" s="250"/>
      <c r="M1266" s="2"/>
      <c r="N1266" s="2"/>
      <c r="O1266" s="250"/>
      <c r="Q1266" s="2"/>
      <c r="R1266" s="2"/>
      <c r="S1266" s="250"/>
      <c r="U1266" s="2"/>
      <c r="V1266" s="20"/>
      <c r="W1266" s="20"/>
      <c r="X1266" s="420"/>
      <c r="Y1266" s="420"/>
      <c r="Z1266" s="420"/>
      <c r="AA1266" s="420"/>
      <c r="AB1266" s="705"/>
      <c r="AC1266" s="705"/>
      <c r="AD1266" s="705"/>
      <c r="AE1266" s="705"/>
      <c r="AF1266" s="414"/>
      <c r="AG1266" s="414"/>
      <c r="AH1266" s="422"/>
      <c r="AI1266" s="20"/>
      <c r="AJ1266" s="417"/>
      <c r="AK1266" s="20"/>
      <c r="AL1266" s="20"/>
      <c r="AM1266" s="20"/>
      <c r="AN1266" s="20"/>
      <c r="AO1266" s="20"/>
      <c r="AP1266" s="20"/>
    </row>
    <row r="1267" spans="1:44">
      <c r="A1267" s="3" t="s">
        <v>504</v>
      </c>
      <c r="C1267" s="249">
        <f>'Rate Design Work eff 10-14-16'!C1261</f>
        <v>0</v>
      </c>
      <c r="D1267" s="250">
        <f>'Rate Design Work eff 9-15-17'!D1261</f>
        <v>37.700000000000003</v>
      </c>
      <c r="F1267" s="2">
        <f>ROUND(C1267*D1267,0)</f>
        <v>0</v>
      </c>
      <c r="G1267" s="250">
        <f>'Rate Design Work eff 9-15-17'!G1261</f>
        <v>38.58</v>
      </c>
      <c r="I1267" s="2">
        <f>ROUND(G1267*$C1267,0)</f>
        <v>0</v>
      </c>
      <c r="J1267" s="2"/>
      <c r="K1267" s="250" t="e">
        <f>'Rate Design Work eff 10-14-16'!K1261</f>
        <v>#DIV/0!</v>
      </c>
      <c r="M1267" s="2" t="e">
        <f>'Rate Design Work eff 10-14-16'!M1261</f>
        <v>#DIV/0!</v>
      </c>
      <c r="N1267" s="2"/>
      <c r="O1267" s="250" t="e">
        <f>'Rate Design Work eff 10-14-16'!O1261</f>
        <v>#DIV/0!</v>
      </c>
      <c r="Q1267" s="2" t="e">
        <f>'Rate Design Work eff 10-14-16'!Q1261</f>
        <v>#DIV/0!</v>
      </c>
      <c r="R1267" s="2"/>
      <c r="S1267" s="250" t="e">
        <f>'Rate Design Work eff 10-14-16'!S1261</f>
        <v>#DIV/0!</v>
      </c>
      <c r="U1267" s="2" t="e">
        <f>'Rate Design Work eff 10-14-16'!U1261</f>
        <v>#DIV/0!</v>
      </c>
      <c r="V1267" s="20"/>
      <c r="W1267" s="266"/>
      <c r="X1267" s="74"/>
      <c r="Y1267" s="74"/>
      <c r="Z1267" s="388"/>
      <c r="AA1267" s="388"/>
      <c r="AB1267" s="268"/>
      <c r="AC1267" s="268"/>
      <c r="AD1267" s="268"/>
      <c r="AE1267" s="268"/>
      <c r="AF1267" s="414"/>
      <c r="AG1267" s="414"/>
      <c r="AH1267" s="266"/>
      <c r="AI1267" s="266"/>
      <c r="AJ1267" s="417"/>
      <c r="AK1267" s="266"/>
      <c r="AL1267" s="20"/>
      <c r="AM1267" s="20"/>
      <c r="AN1267" s="20"/>
      <c r="AO1267" s="20"/>
      <c r="AP1267" s="20"/>
    </row>
    <row r="1268" spans="1:44">
      <c r="A1268" s="3" t="s">
        <v>352</v>
      </c>
      <c r="C1268" s="249">
        <f>'Rate Design Work eff 10-14-16'!C1262</f>
        <v>418</v>
      </c>
      <c r="D1268" s="424"/>
      <c r="F1268" s="2"/>
      <c r="G1268" s="424"/>
      <c r="I1268" s="2"/>
      <c r="J1268" s="2"/>
      <c r="K1268" s="424"/>
      <c r="M1268" s="2"/>
      <c r="N1268" s="2"/>
      <c r="O1268" s="424"/>
      <c r="Q1268" s="2"/>
      <c r="R1268" s="2"/>
      <c r="S1268" s="424"/>
      <c r="U1268" s="2"/>
      <c r="V1268" s="20"/>
      <c r="W1268" s="266"/>
      <c r="X1268" s="425"/>
      <c r="Y1268" s="425"/>
      <c r="Z1268" s="20"/>
      <c r="AA1268" s="20"/>
      <c r="AB1268" s="272"/>
      <c r="AC1268" s="272"/>
      <c r="AD1268" s="272"/>
      <c r="AE1268" s="272"/>
      <c r="AF1268" s="263"/>
      <c r="AG1268" s="263"/>
      <c r="AH1268" s="266"/>
      <c r="AI1268" s="266"/>
      <c r="AJ1268" s="266"/>
      <c r="AK1268" s="266"/>
      <c r="AL1268" s="20"/>
      <c r="AM1268" s="20"/>
      <c r="AN1268" s="20"/>
      <c r="AO1268" s="20"/>
      <c r="AP1268" s="20"/>
    </row>
    <row r="1269" spans="1:44" s="1118" customFormat="1" hidden="1">
      <c r="A1269" s="968" t="s">
        <v>903</v>
      </c>
      <c r="C1269" s="1122">
        <f>C1270</f>
        <v>1731861.333333333</v>
      </c>
      <c r="D1269" s="254"/>
      <c r="E1269" s="1119"/>
      <c r="F1269" s="1123"/>
      <c r="G1269" s="1128">
        <f>'Rate Design Work eff 9-15-17'!G1263</f>
        <v>0</v>
      </c>
      <c r="H1269" s="1000" t="s">
        <v>364</v>
      </c>
      <c r="I1269" s="1000">
        <f>ROUND(G1269*$C1269/100,0)</f>
        <v>0</v>
      </c>
      <c r="J1269" s="1000"/>
      <c r="K1269" s="1128" t="str">
        <f>'Rate Design Work eff 10-14-16'!K1263</f>
        <v xml:space="preserve"> </v>
      </c>
      <c r="L1269" s="1126" t="s">
        <v>31</v>
      </c>
      <c r="M1269" s="2">
        <f>'Rate Design Work eff 10-14-16'!M1263</f>
        <v>0</v>
      </c>
      <c r="N1269" s="1123"/>
      <c r="O1269" s="1128" t="str">
        <f>'Rate Design Work eff 10-14-16'!O1263</f>
        <v xml:space="preserve"> </v>
      </c>
      <c r="P1269" s="1126" t="s">
        <v>31</v>
      </c>
      <c r="Q1269" s="2">
        <f>'Rate Design Work eff 10-14-16'!Q1263</f>
        <v>0</v>
      </c>
      <c r="R1269" s="1123"/>
      <c r="S1269" s="1128">
        <f>'Rate Design Work eff 10-14-16'!S1263</f>
        <v>0</v>
      </c>
      <c r="T1269" s="1126" t="s">
        <v>364</v>
      </c>
      <c r="U1269" s="2">
        <f>'Rate Design Work eff 10-14-16'!U1263</f>
        <v>0</v>
      </c>
      <c r="V1269" s="1124">
        <f>'NPC Spread'!J55</f>
        <v>39917.12454488509</v>
      </c>
      <c r="W1269" s="784" t="s">
        <v>857</v>
      </c>
      <c r="Z1269" s="1125"/>
      <c r="AA1269" s="1125"/>
      <c r="AF1269" s="1119"/>
      <c r="AG1269" s="1119"/>
      <c r="AH1269" s="1119"/>
      <c r="AI1269" s="1119"/>
      <c r="AJ1269" s="1119"/>
      <c r="AK1269" s="1119"/>
      <c r="AL1269" s="1119"/>
      <c r="AM1269" s="1119"/>
      <c r="AN1269" s="1119"/>
      <c r="AO1269" s="1119"/>
      <c r="AP1269" s="1119"/>
      <c r="AR1269" s="1124"/>
    </row>
    <row r="1270" spans="1:44">
      <c r="A1270" s="3" t="s">
        <v>371</v>
      </c>
      <c r="C1270" s="249">
        <v>1731861.333333333</v>
      </c>
      <c r="D1270" s="254"/>
      <c r="E1270" s="20"/>
      <c r="F1270" s="257">
        <f>SUM(F1240:F1267)</f>
        <v>220001</v>
      </c>
      <c r="G1270" s="254"/>
      <c r="H1270" s="20"/>
      <c r="I1270" s="257">
        <f>SUM(I1240:I1269)</f>
        <v>225212</v>
      </c>
      <c r="J1270" s="257"/>
      <c r="K1270" s="254"/>
      <c r="L1270" s="20"/>
      <c r="M1270" s="257" t="e">
        <f>SUM(M1240:M1269)</f>
        <v>#DIV/0!</v>
      </c>
      <c r="N1270" s="257"/>
      <c r="O1270" s="254"/>
      <c r="P1270" s="20"/>
      <c r="Q1270" s="257" t="e">
        <f>SUM(Q1240:Q1269)</f>
        <v>#DIV/0!</v>
      </c>
      <c r="R1270" s="257"/>
      <c r="S1270" s="254"/>
      <c r="T1270" s="20"/>
      <c r="U1270" s="257" t="e">
        <f>SUM(U1240:U1269)</f>
        <v>#DIV/0!</v>
      </c>
      <c r="V1270" s="20"/>
      <c r="W1270" s="266"/>
      <c r="X1270" s="706"/>
      <c r="Y1270" s="706"/>
      <c r="Z1270" s="20"/>
      <c r="AA1270" s="20"/>
      <c r="AB1270" s="272"/>
      <c r="AC1270" s="272"/>
      <c r="AD1270" s="272"/>
      <c r="AE1270" s="272"/>
      <c r="AF1270" s="263"/>
      <c r="AG1270" s="263"/>
      <c r="AH1270" s="273"/>
      <c r="AI1270" s="263"/>
      <c r="AJ1270" s="263"/>
      <c r="AK1270" s="263"/>
      <c r="AL1270" s="20"/>
      <c r="AM1270" s="20"/>
      <c r="AN1270" s="20"/>
      <c r="AO1270" s="20"/>
      <c r="AP1270" s="20"/>
    </row>
    <row r="1271" spans="1:44">
      <c r="A1271" s="3" t="s">
        <v>353</v>
      </c>
      <c r="C1271" s="249">
        <f ca="1">'Table 2'!H125</f>
        <v>21931.845042180139</v>
      </c>
      <c r="D1271" s="254"/>
      <c r="E1271" s="20"/>
      <c r="F1271" s="257">
        <f>'Table 3'!E125</f>
        <v>3415.4619210236751</v>
      </c>
      <c r="G1271" s="254"/>
      <c r="H1271" s="20"/>
      <c r="I1271" s="257">
        <f>F1271</f>
        <v>3415.4619210236751</v>
      </c>
      <c r="J1271" s="257"/>
      <c r="K1271" s="254"/>
      <c r="L1271" s="20"/>
      <c r="M1271" s="257" t="e">
        <f>$I$1271*V1275/($V$1275+$W$1275+$X$1275)</f>
        <v>#DIV/0!</v>
      </c>
      <c r="N1271" s="51"/>
      <c r="O1271" s="294"/>
      <c r="P1271" s="294"/>
      <c r="Q1271" s="257" t="e">
        <f>$I$1271*W1275/($V$1275+$W$1275+$X$1275)</f>
        <v>#DIV/0!</v>
      </c>
      <c r="R1271" s="51"/>
      <c r="S1271" s="294"/>
      <c r="T1271" s="294"/>
      <c r="U1271" s="257" t="e">
        <f>$I$1271*X1275/($V$1275+$W$1275+$X$1275)</f>
        <v>#DIV/0!</v>
      </c>
      <c r="V1271" s="429"/>
      <c r="W1271" s="272"/>
      <c r="X1271" s="263"/>
      <c r="Y1271" s="263"/>
      <c r="Z1271" s="263"/>
      <c r="AA1271" s="263"/>
      <c r="AB1271" s="268"/>
      <c r="AC1271" s="268"/>
      <c r="AD1271" s="268"/>
      <c r="AE1271" s="268"/>
      <c r="AF1271" s="266"/>
      <c r="AG1271" s="263"/>
      <c r="AH1271" s="20"/>
      <c r="AI1271" s="20"/>
      <c r="AJ1271" s="20"/>
      <c r="AK1271" s="20"/>
      <c r="AL1271" s="20"/>
      <c r="AM1271" s="20"/>
      <c r="AN1271" s="20"/>
      <c r="AO1271" s="20"/>
      <c r="AP1271" s="20"/>
    </row>
    <row r="1272" spans="1:44" ht="16.5" thickBot="1">
      <c r="A1272" s="3" t="s">
        <v>9</v>
      </c>
      <c r="C1272" s="258">
        <f ca="1">C1270+C1271</f>
        <v>1753793.1783755131</v>
      </c>
      <c r="D1272" s="297"/>
      <c r="E1272" s="297"/>
      <c r="F1272" s="259">
        <f>F1270+F1271</f>
        <v>223416.46192102367</v>
      </c>
      <c r="G1272" s="297"/>
      <c r="H1272" s="297"/>
      <c r="I1272" s="259">
        <f>I1270+I1271</f>
        <v>228627.46192102367</v>
      </c>
      <c r="J1272" s="297"/>
      <c r="K1272" s="297"/>
      <c r="L1272" s="297"/>
      <c r="M1272" s="259" t="e">
        <f>M1270+M1271</f>
        <v>#DIV/0!</v>
      </c>
      <c r="N1272" s="297"/>
      <c r="O1272" s="297"/>
      <c r="P1272" s="297"/>
      <c r="Q1272" s="259" t="e">
        <f>Q1270+Q1271</f>
        <v>#DIV/0!</v>
      </c>
      <c r="R1272" s="297"/>
      <c r="S1272" s="297"/>
      <c r="T1272" s="297"/>
      <c r="U1272" s="259" t="e">
        <f>U1270+U1271</f>
        <v>#DIV/0!</v>
      </c>
      <c r="V1272" s="761" t="s">
        <v>399</v>
      </c>
      <c r="W1272" s="1082">
        <f ca="1">'Rate Spread targets'!X41*1000</f>
        <v>228667.99996226982</v>
      </c>
      <c r="X1272" s="787">
        <f>(I1272-F1272)/F1272</f>
        <v>2.3324154161218684E-2</v>
      </c>
      <c r="Y1272" s="703"/>
      <c r="Z1272" s="263"/>
      <c r="AA1272" s="263"/>
      <c r="AB1272" s="263"/>
      <c r="AC1272" s="263"/>
      <c r="AD1272" s="263"/>
      <c r="AE1272" s="263"/>
      <c r="AF1272" s="263"/>
      <c r="AG1272" s="263"/>
      <c r="AH1272" s="20"/>
      <c r="AI1272" s="20"/>
      <c r="AJ1272" s="20"/>
      <c r="AK1272" s="20"/>
      <c r="AL1272" s="20"/>
      <c r="AM1272" s="20"/>
      <c r="AN1272" s="20"/>
      <c r="AO1272" s="20"/>
      <c r="AP1272" s="20"/>
    </row>
    <row r="1273" spans="1:44" ht="16.5" thickTop="1">
      <c r="A1273" s="1304" t="s">
        <v>902</v>
      </c>
      <c r="C1273" s="743" t="s">
        <v>31</v>
      </c>
      <c r="D1273" s="260" t="s">
        <v>31</v>
      </c>
      <c r="E1273" s="260"/>
      <c r="F1273" s="248"/>
      <c r="G1273" s="260" t="s">
        <v>31</v>
      </c>
      <c r="H1273" s="260"/>
      <c r="I1273" s="2" t="s">
        <v>31</v>
      </c>
      <c r="J1273" s="2"/>
      <c r="K1273" s="260" t="s">
        <v>31</v>
      </c>
      <c r="L1273" s="260"/>
      <c r="M1273" s="2" t="s">
        <v>31</v>
      </c>
      <c r="N1273" s="2"/>
      <c r="O1273" s="260" t="s">
        <v>31</v>
      </c>
      <c r="P1273" s="260"/>
      <c r="Q1273" s="2" t="s">
        <v>31</v>
      </c>
      <c r="R1273" s="2"/>
      <c r="S1273" s="260" t="s">
        <v>31</v>
      </c>
      <c r="T1273" s="260"/>
      <c r="U1273" s="2" t="s">
        <v>31</v>
      </c>
      <c r="V1273" s="762" t="s">
        <v>257</v>
      </c>
      <c r="W1273" s="780">
        <f ca="1">W1272-I1272</f>
        <v>40.538041246152716</v>
      </c>
      <c r="X1273" s="1087">
        <v>-0.14423</v>
      </c>
      <c r="Y1273" s="279"/>
      <c r="Z1273" s="263"/>
      <c r="AA1273" s="263"/>
      <c r="AB1273" s="263"/>
      <c r="AC1273" s="263"/>
      <c r="AD1273" s="263"/>
      <c r="AE1273" s="263"/>
      <c r="AF1273" s="263"/>
      <c r="AG1273" s="263"/>
      <c r="AH1273" s="20"/>
      <c r="AI1273" s="20"/>
      <c r="AJ1273" s="20"/>
      <c r="AK1273" s="20"/>
      <c r="AL1273" s="20"/>
      <c r="AM1273" s="20"/>
      <c r="AN1273" s="20"/>
      <c r="AO1273" s="20"/>
      <c r="AP1273" s="20"/>
    </row>
    <row r="1274" spans="1:44">
      <c r="C1274" s="26"/>
      <c r="D1274" s="260"/>
      <c r="E1274" s="260"/>
      <c r="F1274" s="248"/>
      <c r="G1274" s="260"/>
      <c r="H1274" s="260"/>
      <c r="I1274" s="2"/>
      <c r="J1274" s="2"/>
      <c r="K1274" s="260"/>
      <c r="L1274" s="260"/>
      <c r="M1274" s="2"/>
      <c r="N1274" s="2"/>
      <c r="O1274" s="260"/>
      <c r="P1274" s="260"/>
      <c r="Q1274" s="2"/>
      <c r="R1274" s="2"/>
      <c r="S1274" s="260"/>
      <c r="T1274" s="260"/>
      <c r="U1274" s="2"/>
      <c r="V1274" s="719"/>
      <c r="W1274" s="719"/>
      <c r="X1274" s="719"/>
      <c r="Y1274" s="279"/>
      <c r="Z1274" s="263"/>
      <c r="AA1274" s="263"/>
      <c r="AB1274" s="263"/>
      <c r="AC1274" s="263"/>
      <c r="AD1274" s="263"/>
      <c r="AE1274" s="263"/>
      <c r="AF1274" s="263"/>
      <c r="AG1274" s="263"/>
      <c r="AH1274" s="20"/>
      <c r="AI1274" s="20"/>
      <c r="AJ1274" s="20"/>
      <c r="AK1274" s="20"/>
      <c r="AL1274" s="20"/>
      <c r="AM1274" s="20"/>
      <c r="AN1274" s="20"/>
      <c r="AO1274" s="20"/>
      <c r="AP1274" s="20"/>
    </row>
    <row r="1275" spans="1:44">
      <c r="C1275" s="26"/>
      <c r="D1275" s="260"/>
      <c r="E1275" s="260"/>
      <c r="F1275" s="248"/>
      <c r="G1275" s="260"/>
      <c r="H1275" s="260"/>
      <c r="I1275" s="2"/>
      <c r="J1275" s="2"/>
      <c r="K1275" s="260"/>
      <c r="L1275" s="260"/>
      <c r="M1275" s="2"/>
      <c r="N1275" s="2"/>
      <c r="O1275" s="260"/>
      <c r="P1275" s="260"/>
      <c r="Q1275" s="2"/>
      <c r="R1275" s="2"/>
      <c r="S1275" s="260"/>
      <c r="T1275" s="260"/>
      <c r="U1275" s="2"/>
      <c r="V1275" s="401"/>
      <c r="W1275" s="401"/>
      <c r="X1275" s="401"/>
      <c r="Y1275" s="279"/>
      <c r="Z1275" s="263"/>
      <c r="AA1275" s="263"/>
      <c r="AB1275" s="263"/>
      <c r="AC1275" s="263"/>
      <c r="AD1275" s="263"/>
      <c r="AE1275" s="263"/>
      <c r="AF1275" s="263"/>
      <c r="AG1275" s="263"/>
      <c r="AH1275" s="20"/>
      <c r="AI1275" s="20"/>
      <c r="AJ1275" s="20"/>
      <c r="AK1275" s="20"/>
      <c r="AL1275" s="20"/>
      <c r="AM1275" s="20"/>
      <c r="AN1275" s="20"/>
      <c r="AO1275" s="20"/>
      <c r="AP1275" s="20"/>
    </row>
    <row r="1276" spans="1:44">
      <c r="A1276" s="288"/>
      <c r="B1276" s="298"/>
      <c r="C1276" s="430"/>
      <c r="D1276" s="431"/>
      <c r="E1276" s="288"/>
      <c r="F1276" s="2"/>
      <c r="G1276" s="431"/>
      <c r="H1276" s="288"/>
      <c r="I1276" s="2"/>
      <c r="J1276" s="2"/>
      <c r="K1276" s="431"/>
      <c r="L1276" s="288"/>
      <c r="M1276" s="2"/>
      <c r="N1276" s="2"/>
      <c r="O1276" s="431"/>
      <c r="P1276" s="288"/>
      <c r="Q1276" s="2"/>
      <c r="R1276" s="2"/>
      <c r="S1276" s="431"/>
      <c r="T1276" s="288"/>
      <c r="U1276" s="2"/>
      <c r="V1276" s="20"/>
      <c r="W1276" s="74"/>
      <c r="X1276" s="74"/>
      <c r="Y1276" s="74"/>
      <c r="Z1276" s="20"/>
      <c r="AA1276" s="20"/>
      <c r="AB1276" s="20"/>
      <c r="AC1276" s="20"/>
      <c r="AD1276" s="20"/>
      <c r="AE1276" s="20"/>
      <c r="AF1276" s="20"/>
      <c r="AG1276" s="20"/>
      <c r="AH1276" s="20"/>
      <c r="AI1276" s="20"/>
      <c r="AJ1276" s="20"/>
      <c r="AK1276" s="20"/>
    </row>
    <row r="1277" spans="1:44" s="4" customFormat="1" ht="19.899999999999999" customHeight="1" thickBot="1">
      <c r="A1277" s="432" t="s">
        <v>505</v>
      </c>
      <c r="B1277" s="433"/>
      <c r="C1277" s="434">
        <f ca="1">C27+C101+C205+C597+C637+C769+C897+C915+C1141+C1158+C1172+C1232+C1272</f>
        <v>4085100148.9150887</v>
      </c>
      <c r="D1277" s="435"/>
      <c r="E1277" s="436"/>
      <c r="F1277" s="436">
        <f ca="1">F27+F101+F205+F597+F637+F769+F897+F915+F1141+F1158+F1172+F1232+F1272</f>
        <v>340754727.06462985</v>
      </c>
      <c r="G1277" s="435"/>
      <c r="H1277" s="436"/>
      <c r="I1277" s="436">
        <f ca="1">I27+I101+I205+I597+I637+I769+I897+I953+I1010+I1104+I1141+I1158+I1172+I1232+I1272</f>
        <v>348753292.76729316</v>
      </c>
      <c r="J1277" s="436"/>
      <c r="K1277" s="435"/>
      <c r="L1277" s="436"/>
      <c r="M1277" s="436" t="e">
        <f ca="1">M27+M101+M205+M597+M637+M769+M897+M953+M1010+M1104+M1141+M1158+M1172+M1232+M1272</f>
        <v>#DIV/0!</v>
      </c>
      <c r="N1277" s="436"/>
      <c r="O1277" s="435"/>
      <c r="P1277" s="436"/>
      <c r="Q1277" s="436" t="e">
        <f ca="1">Q27+Q101+Q205+Q597+Q637+Q769+Q897+Q953+Q1010+Q1104+Q1141+Q1158+Q1172+Q1232+Q1272</f>
        <v>#DIV/0!</v>
      </c>
      <c r="R1277" s="436"/>
      <c r="S1277" s="435"/>
      <c r="T1277" s="436"/>
      <c r="U1277" s="436" t="e">
        <f ca="1">U27+U101+U205+U597+U637+U769+U897+U953+U1010+U1104+U1141+U1158+U1172+U1232+U1272</f>
        <v>#DIV/0!</v>
      </c>
      <c r="V1277" s="763" t="s">
        <v>399</v>
      </c>
      <c r="W1277" s="764">
        <f ca="1">W27+W101+W205+W637+W769+W934+W1104+W1141+W1158+W1172+W1232+W1272</f>
        <v>348753038.55906409</v>
      </c>
      <c r="X1277" s="74"/>
      <c r="Y1277" s="74"/>
      <c r="Z1277" s="7"/>
      <c r="AA1277" s="7"/>
      <c r="AB1277" s="7"/>
      <c r="AC1277" s="7"/>
      <c r="AD1277" s="7"/>
      <c r="AE1277" s="7"/>
      <c r="AF1277" s="7"/>
      <c r="AG1277" s="7"/>
      <c r="AH1277" s="7"/>
      <c r="AI1277" s="7"/>
      <c r="AJ1277" s="7"/>
      <c r="AK1277" s="7"/>
    </row>
    <row r="1278" spans="1:44" ht="16.5" thickTop="1">
      <c r="A1278" s="1"/>
      <c r="B1278" s="298"/>
      <c r="C1278" s="322"/>
      <c r="D1278" s="322" t="s">
        <v>31</v>
      </c>
      <c r="E1278" s="1"/>
      <c r="F1278" s="2"/>
      <c r="G1278" s="338" t="s">
        <v>31</v>
      </c>
      <c r="H1278" s="1"/>
      <c r="I1278" s="2" t="s">
        <v>31</v>
      </c>
      <c r="J1278" s="1448"/>
      <c r="K1278" s="338" t="s">
        <v>31</v>
      </c>
      <c r="L1278" s="1"/>
      <c r="M1278" s="2" t="s">
        <v>31</v>
      </c>
      <c r="N1278" s="2"/>
      <c r="O1278" s="338" t="s">
        <v>31</v>
      </c>
      <c r="P1278" s="1"/>
      <c r="Q1278" s="2" t="s">
        <v>31</v>
      </c>
      <c r="R1278" s="2"/>
      <c r="S1278" s="338" t="s">
        <v>31</v>
      </c>
      <c r="T1278" s="1"/>
      <c r="U1278" s="2" t="s">
        <v>31</v>
      </c>
      <c r="V1278" s="112" t="s">
        <v>257</v>
      </c>
      <c r="W1278" s="759">
        <f ca="1">W1277-I1277</f>
        <v>-254.20822906494141</v>
      </c>
      <c r="X1278" s="299" t="s">
        <v>31</v>
      </c>
      <c r="Y1278" s="299"/>
      <c r="Z1278" s="20"/>
      <c r="AA1278" s="20"/>
      <c r="AB1278" s="20"/>
      <c r="AC1278" s="20"/>
      <c r="AD1278" s="20"/>
      <c r="AE1278" s="20"/>
      <c r="AF1278" s="20"/>
      <c r="AG1278" s="20"/>
      <c r="AH1278" s="20"/>
      <c r="AI1278" s="20"/>
      <c r="AJ1278" s="20"/>
      <c r="AK1278" s="20"/>
    </row>
    <row r="1279" spans="1:44">
      <c r="A1279" s="1" t="s">
        <v>34</v>
      </c>
      <c r="B1279" s="298"/>
      <c r="C1279" s="438"/>
      <c r="D1279" s="439"/>
      <c r="E1279" s="442"/>
      <c r="F1279" s="747">
        <f ca="1">'Table 3'!D24+'Table 3'!D56+'Table 3'!D87+'Table 3'!D105+'Table 3'!D129</f>
        <v>594939.23</v>
      </c>
      <c r="G1279" s="441"/>
      <c r="H1279" s="442"/>
      <c r="I1279" s="747">
        <f ca="1">F1279</f>
        <v>594939.23</v>
      </c>
      <c r="J1279" s="51"/>
      <c r="K1279" s="441"/>
      <c r="L1279" s="442"/>
      <c r="M1279" s="747">
        <f ca="1">I1279</f>
        <v>594939.23</v>
      </c>
      <c r="N1279" s="440"/>
      <c r="O1279" s="441"/>
      <c r="P1279" s="442"/>
      <c r="Q1279" s="747" t="s">
        <v>31</v>
      </c>
      <c r="R1279" s="440"/>
      <c r="S1279" s="441"/>
      <c r="T1279" s="442"/>
      <c r="U1279" s="747" t="str">
        <f>Q1279</f>
        <v xml:space="preserve"> </v>
      </c>
      <c r="Z1279" s="20"/>
      <c r="AA1279" s="20"/>
      <c r="AB1279" s="20"/>
      <c r="AC1279" s="20"/>
      <c r="AD1279" s="20"/>
      <c r="AE1279" s="20"/>
      <c r="AF1279" s="20"/>
      <c r="AG1279" s="20"/>
      <c r="AH1279" s="20"/>
      <c r="AI1279" s="20"/>
      <c r="AJ1279" s="20"/>
      <c r="AK1279" s="20"/>
    </row>
    <row r="1280" spans="1:44" s="4" customFormat="1" ht="19.899999999999999" customHeight="1" thickBot="1">
      <c r="A1280" s="444" t="s">
        <v>506</v>
      </c>
      <c r="B1280" s="445"/>
      <c r="C1280" s="446">
        <f ca="1">C1277+C1279</f>
        <v>4085100148.9150887</v>
      </c>
      <c r="D1280" s="1115"/>
      <c r="E1280" s="448"/>
      <c r="F1280" s="449">
        <f ca="1">F1277+F1279</f>
        <v>341349666.29462987</v>
      </c>
      <c r="G1280" s="450"/>
      <c r="H1280" s="448"/>
      <c r="I1280" s="449">
        <f ca="1">I1277+I1279</f>
        <v>349348231.99729317</v>
      </c>
      <c r="J1280" s="1428"/>
      <c r="K1280" s="450"/>
      <c r="L1280" s="448"/>
      <c r="M1280" s="449" t="e">
        <f ca="1">M1277+M1279</f>
        <v>#DIV/0!</v>
      </c>
      <c r="N1280" s="449"/>
      <c r="O1280" s="450"/>
      <c r="P1280" s="448"/>
      <c r="Q1280" s="449" t="e">
        <f ca="1">Q1277+Q1279</f>
        <v>#DIV/0!</v>
      </c>
      <c r="R1280" s="449"/>
      <c r="S1280" s="450"/>
      <c r="T1280" s="448"/>
      <c r="U1280" s="449" t="e">
        <f ca="1">U1277+U1279</f>
        <v>#DIV/0!</v>
      </c>
      <c r="Z1280" s="7"/>
      <c r="AA1280" s="7"/>
      <c r="AB1280" s="7"/>
      <c r="AC1280" s="7"/>
      <c r="AD1280" s="7"/>
      <c r="AE1280" s="7"/>
      <c r="AF1280" s="7"/>
      <c r="AG1280" s="7"/>
      <c r="AH1280" s="7"/>
      <c r="AI1280" s="7"/>
      <c r="AJ1280" s="7"/>
      <c r="AK1280" s="7"/>
    </row>
    <row r="1281" spans="1:37" ht="16.5" thickTop="1">
      <c r="A1281" s="1"/>
      <c r="B1281" s="298"/>
      <c r="C1281" s="21"/>
      <c r="D1281" s="322"/>
      <c r="E1281" s="451"/>
      <c r="F1281" s="2" t="s">
        <v>31</v>
      </c>
      <c r="G1281" s="322"/>
      <c r="H1281" s="1"/>
      <c r="I1281" s="2"/>
      <c r="J1281" s="2"/>
      <c r="K1281" s="322"/>
      <c r="L1281" s="1"/>
      <c r="M1281" s="2"/>
      <c r="N1281" s="2"/>
      <c r="O1281" s="322"/>
      <c r="P1281" s="1"/>
      <c r="Q1281" s="2"/>
      <c r="R1281" s="2"/>
      <c r="S1281" s="322"/>
      <c r="T1281" s="1"/>
      <c r="U1281" s="2"/>
      <c r="V1281" s="20"/>
      <c r="W1281" s="74"/>
      <c r="X1281" s="74"/>
      <c r="Y1281" s="74"/>
      <c r="Z1281" s="20"/>
      <c r="AA1281" s="20"/>
      <c r="AB1281" s="20"/>
      <c r="AC1281" s="20"/>
      <c r="AD1281" s="20"/>
      <c r="AE1281" s="20"/>
      <c r="AF1281" s="20"/>
      <c r="AG1281" s="20"/>
      <c r="AH1281" s="20"/>
      <c r="AI1281" s="20"/>
      <c r="AJ1281" s="20"/>
      <c r="AK1281" s="20"/>
    </row>
    <row r="1282" spans="1:37">
      <c r="C1282" s="452"/>
      <c r="D1282" s="255"/>
      <c r="E1282" s="255"/>
      <c r="F1282" s="453"/>
      <c r="I1282" s="249"/>
      <c r="J1282" s="249"/>
      <c r="M1282" s="249"/>
      <c r="N1282" s="249"/>
      <c r="Q1282" s="249"/>
      <c r="R1282" s="249"/>
      <c r="U1282" s="249"/>
      <c r="V1282" s="20"/>
      <c r="W1282" s="74"/>
      <c r="X1282" s="74"/>
      <c r="Y1282" s="74"/>
      <c r="Z1282" s="20"/>
      <c r="AA1282" s="20"/>
      <c r="AB1282" s="20"/>
      <c r="AC1282" s="20"/>
      <c r="AD1282" s="20"/>
      <c r="AE1282" s="20"/>
      <c r="AF1282" s="20"/>
      <c r="AG1282" s="20"/>
      <c r="AH1282" s="20"/>
      <c r="AI1282" s="20"/>
      <c r="AJ1282" s="20"/>
      <c r="AK1282" s="20"/>
    </row>
    <row r="1283" spans="1:37">
      <c r="A1283" s="454"/>
      <c r="V1283" s="20"/>
      <c r="W1283" s="74"/>
      <c r="X1283" s="74"/>
      <c r="Y1283" s="74"/>
      <c r="Z1283" s="20"/>
      <c r="AA1283" s="20"/>
      <c r="AB1283" s="20"/>
      <c r="AC1283" s="20"/>
      <c r="AD1283" s="20"/>
      <c r="AE1283" s="20"/>
      <c r="AF1283" s="20"/>
      <c r="AG1283" s="20"/>
      <c r="AH1283" s="20"/>
      <c r="AI1283" s="20"/>
      <c r="AJ1283" s="20"/>
      <c r="AK1283" s="20"/>
    </row>
    <row r="1284" spans="1:37">
      <c r="A1284" s="1"/>
      <c r="C1284" s="249"/>
      <c r="F1284" s="314"/>
      <c r="I1284" s="856" t="s">
        <v>31</v>
      </c>
      <c r="J1284" s="84"/>
      <c r="M1284" s="84">
        <f>M23+M95+M96+M183+M184+M185+M616+M617+M743+M894+M949+M1006+M1100+M1138+M1169+M1228+M1269</f>
        <v>0</v>
      </c>
      <c r="N1284" s="84"/>
      <c r="Q1284" s="84" t="e">
        <f>Q23+Q95+Q96+Q183+Q184+Q185+Q616+Q617+Q743+Q894+Q949+Q1006+Q1100+Q1138+Q1169+Q1228+Q1269</f>
        <v>#REF!</v>
      </c>
      <c r="R1284" s="84"/>
      <c r="U1284" s="84">
        <f ca="1">U23+U95+U96+U183+U184+U185+U616+U617+U743+U894+U949+U1006+U1100+U1138+U1169+U1228+U1269</f>
        <v>8572</v>
      </c>
      <c r="V1284" s="401" t="s">
        <v>31</v>
      </c>
      <c r="W1284" s="74"/>
      <c r="X1284" s="74"/>
      <c r="Y1284" s="74"/>
      <c r="Z1284" s="20"/>
      <c r="AA1284" s="20"/>
      <c r="AB1284" s="20"/>
      <c r="AC1284" s="20"/>
      <c r="AD1284" s="20"/>
      <c r="AE1284" s="20"/>
      <c r="AF1284" s="20"/>
      <c r="AG1284" s="20"/>
      <c r="AH1284" s="20"/>
      <c r="AI1284" s="20"/>
      <c r="AJ1284" s="20"/>
      <c r="AK1284" s="20"/>
    </row>
    <row r="1285" spans="1:37">
      <c r="C1285" s="249"/>
      <c r="F1285" s="401"/>
      <c r="V1285" s="20"/>
      <c r="W1285" s="74"/>
      <c r="X1285" s="74"/>
      <c r="Y1285" s="74"/>
      <c r="Z1285" s="20"/>
      <c r="AA1285" s="20"/>
      <c r="AB1285" s="20"/>
      <c r="AC1285" s="20"/>
      <c r="AD1285" s="20"/>
      <c r="AE1285" s="20"/>
      <c r="AF1285" s="20"/>
      <c r="AG1285" s="20"/>
      <c r="AH1285" s="20"/>
      <c r="AI1285" s="20"/>
      <c r="AJ1285" s="20"/>
      <c r="AK1285" s="20"/>
    </row>
    <row r="1286" spans="1:37">
      <c r="V1286" s="20"/>
      <c r="W1286" s="74"/>
      <c r="X1286" s="74"/>
      <c r="Y1286" s="74"/>
      <c r="Z1286" s="20"/>
      <c r="AA1286" s="20"/>
      <c r="AB1286" s="20"/>
      <c r="AC1286" s="20"/>
      <c r="AD1286" s="20"/>
      <c r="AE1286" s="20"/>
      <c r="AF1286" s="20"/>
      <c r="AG1286" s="20"/>
      <c r="AH1286" s="20"/>
      <c r="AI1286" s="20"/>
      <c r="AJ1286" s="20"/>
      <c r="AK1286" s="20"/>
    </row>
    <row r="1287" spans="1:37">
      <c r="C1287" s="249"/>
      <c r="F1287" s="249"/>
      <c r="V1287" s="20"/>
      <c r="W1287" s="74"/>
      <c r="X1287" s="74"/>
      <c r="Y1287" s="74"/>
      <c r="Z1287" s="20"/>
      <c r="AA1287" s="20"/>
      <c r="AB1287" s="20"/>
      <c r="AC1287" s="20"/>
      <c r="AD1287" s="20"/>
      <c r="AE1287" s="20"/>
      <c r="AF1287" s="20"/>
      <c r="AG1287" s="20"/>
      <c r="AH1287" s="20"/>
      <c r="AI1287" s="20"/>
      <c r="AJ1287" s="20"/>
      <c r="AK1287" s="20"/>
    </row>
    <row r="1288" spans="1:37">
      <c r="V1288" s="20"/>
      <c r="W1288" s="74"/>
      <c r="X1288" s="74"/>
      <c r="Y1288" s="74"/>
      <c r="Z1288" s="20"/>
      <c r="AA1288" s="20"/>
      <c r="AB1288" s="20"/>
      <c r="AC1288" s="20"/>
      <c r="AD1288" s="20"/>
      <c r="AE1288" s="20"/>
      <c r="AF1288" s="20"/>
      <c r="AG1288" s="20"/>
      <c r="AH1288" s="20"/>
      <c r="AI1288" s="20"/>
      <c r="AJ1288" s="20"/>
      <c r="AK1288" s="20"/>
    </row>
    <row r="1290" spans="1:37">
      <c r="C1290" s="249"/>
    </row>
    <row r="1291" spans="1:37">
      <c r="C1291" s="249"/>
    </row>
    <row r="1292" spans="1:37">
      <c r="B1292" s="742"/>
      <c r="C1292" s="249"/>
      <c r="W1292" s="3"/>
      <c r="X1292" s="3"/>
      <c r="Y1292" s="3"/>
    </row>
    <row r="1293" spans="1:37">
      <c r="C1293" s="249"/>
      <c r="W1293" s="3"/>
      <c r="X1293" s="3"/>
      <c r="Y1293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8" orientation="portrait" r:id="rId1"/>
  <headerFooter alignWithMargins="0"/>
  <rowBreaks count="6" manualBreakCount="6">
    <brk id="133" max="23" man="1"/>
    <brk id="206" max="23" man="1"/>
    <brk id="716" max="23" man="1"/>
    <brk id="1011" max="23" man="1"/>
    <brk id="1159" max="23" man="1"/>
    <brk id="1235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47"/>
  <sheetViews>
    <sheetView topLeftCell="A3" zoomScale="70" zoomScaleNormal="70" workbookViewId="0">
      <pane xSplit="3" ySplit="9" topLeftCell="D12" activePane="bottomRight" state="frozen"/>
      <selection activeCell="F14" sqref="F14"/>
      <selection pane="topRight" activeCell="F14" sqref="F14"/>
      <selection pane="bottomLeft" activeCell="F14" sqref="F14"/>
      <selection pane="bottomRight" activeCell="D12" sqref="D12"/>
    </sheetView>
  </sheetViews>
  <sheetFormatPr defaultRowHeight="15.75"/>
  <cols>
    <col min="1" max="1" width="3.625" style="4" customWidth="1"/>
    <col min="2" max="2" width="15.5" style="4" customWidth="1"/>
    <col min="3" max="3" width="3.625" style="4" customWidth="1"/>
    <col min="4" max="17" width="13.5" style="4" customWidth="1"/>
    <col min="18" max="18" width="9" style="4"/>
    <col min="19" max="20" width="14.625" style="4" bestFit="1" customWidth="1"/>
    <col min="21" max="23" width="11.125" style="4" bestFit="1" customWidth="1"/>
    <col min="24" max="24" width="9" style="4"/>
    <col min="25" max="25" width="10.375" style="4" customWidth="1"/>
    <col min="26" max="26" width="9" style="4"/>
    <col min="27" max="28" width="15.25" style="4" bestFit="1" customWidth="1"/>
    <col min="29" max="29" width="12.75" style="4" bestFit="1" customWidth="1"/>
    <col min="30" max="33" width="9" style="4"/>
    <col min="34" max="36" width="13.625" style="4" bestFit="1" customWidth="1"/>
    <col min="37" max="16384" width="9" style="4"/>
  </cols>
  <sheetData>
    <row r="1" spans="1:25">
      <c r="M1" s="877"/>
      <c r="N1" s="877"/>
      <c r="Q1" s="4" t="s">
        <v>98</v>
      </c>
    </row>
    <row r="2" spans="1:25">
      <c r="Q2" s="4" t="s">
        <v>166</v>
      </c>
    </row>
    <row r="3" spans="1:25">
      <c r="B3" s="81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6"/>
      <c r="S3" s="816"/>
      <c r="T3" s="816"/>
      <c r="U3" s="816"/>
      <c r="V3" s="406"/>
      <c r="W3" s="406"/>
      <c r="X3" s="406"/>
      <c r="Y3" s="406"/>
    </row>
    <row r="4" spans="1:25" ht="18.75">
      <c r="A4" s="817" t="s">
        <v>812</v>
      </c>
      <c r="B4" s="818"/>
      <c r="C4" s="818"/>
      <c r="D4" s="818"/>
      <c r="E4" s="818"/>
      <c r="F4" s="818"/>
      <c r="G4" s="818"/>
      <c r="H4" s="818"/>
      <c r="I4" s="818"/>
      <c r="J4" s="818"/>
      <c r="K4" s="818"/>
      <c r="L4" s="818"/>
      <c r="M4" s="818"/>
      <c r="N4" s="818"/>
      <c r="O4" s="818"/>
      <c r="P4" s="818"/>
      <c r="Q4" s="818"/>
      <c r="R4" s="816"/>
      <c r="S4" s="816"/>
      <c r="T4" s="816"/>
      <c r="U4" s="816"/>
      <c r="V4" s="406"/>
      <c r="W4" s="406"/>
      <c r="X4" s="406"/>
      <c r="Y4" s="406"/>
    </row>
    <row r="5" spans="1:25" ht="18.75">
      <c r="A5" s="817" t="s">
        <v>2</v>
      </c>
      <c r="B5" s="818"/>
      <c r="C5" s="818"/>
      <c r="D5" s="818"/>
      <c r="E5" s="818"/>
      <c r="F5" s="818"/>
      <c r="G5" s="818"/>
      <c r="H5" s="818"/>
      <c r="I5" s="818"/>
      <c r="J5" s="818"/>
      <c r="K5" s="818"/>
      <c r="L5" s="818"/>
      <c r="M5" s="818"/>
      <c r="N5" s="818"/>
      <c r="O5" s="818"/>
      <c r="P5" s="818"/>
      <c r="Q5" s="818"/>
      <c r="R5" s="816"/>
      <c r="S5" s="816"/>
      <c r="T5" s="816"/>
      <c r="U5" s="816"/>
      <c r="V5" s="406"/>
      <c r="W5" s="406"/>
      <c r="X5" s="406"/>
      <c r="Y5" s="406"/>
    </row>
    <row r="6" spans="1:25" ht="18.75">
      <c r="A6" s="817" t="str">
        <f>'305 Inputs'!B4</f>
        <v>12 Months Ended June 2015</v>
      </c>
      <c r="B6" s="818"/>
      <c r="C6" s="818"/>
      <c r="D6" s="818"/>
      <c r="E6" s="818"/>
      <c r="F6" s="818"/>
      <c r="G6" s="818"/>
      <c r="H6" s="818"/>
      <c r="I6" s="818"/>
      <c r="J6" s="818"/>
      <c r="K6" s="818"/>
      <c r="L6" s="818"/>
      <c r="M6" s="818"/>
      <c r="N6" s="818"/>
      <c r="O6" s="818"/>
      <c r="P6" s="818"/>
      <c r="Q6" s="818"/>
      <c r="R6" s="816"/>
      <c r="S6" s="816"/>
      <c r="T6" s="878"/>
      <c r="U6" s="816"/>
      <c r="V6" s="406"/>
      <c r="W6" s="406"/>
      <c r="X6" s="406"/>
      <c r="Y6" s="406"/>
    </row>
    <row r="7" spans="1:25" ht="18.75">
      <c r="A7" s="879"/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16"/>
      <c r="S7" s="816"/>
      <c r="T7" s="878"/>
      <c r="U7" s="816"/>
      <c r="V7" s="406"/>
      <c r="W7" s="406"/>
      <c r="X7" s="406"/>
      <c r="Y7" s="406"/>
    </row>
    <row r="8" spans="1:25" ht="18.75">
      <c r="A8" s="817"/>
      <c r="B8" s="818"/>
      <c r="C8" s="818"/>
      <c r="D8" s="820"/>
      <c r="E8" s="820"/>
      <c r="F8" s="820"/>
      <c r="G8" s="820"/>
      <c r="H8" s="820"/>
      <c r="I8" s="820"/>
      <c r="J8" s="820" t="s">
        <v>697</v>
      </c>
      <c r="K8" s="820"/>
      <c r="L8" s="820"/>
      <c r="M8" s="820"/>
      <c r="N8" s="820"/>
      <c r="O8" s="820"/>
      <c r="P8" s="820"/>
      <c r="Q8" s="820"/>
      <c r="R8" s="816"/>
      <c r="S8" s="816"/>
      <c r="T8" s="878"/>
      <c r="U8" s="816"/>
      <c r="V8" s="406"/>
      <c r="W8" s="406"/>
      <c r="X8" s="406"/>
      <c r="Y8" s="406"/>
    </row>
    <row r="9" spans="1:25" ht="18.75">
      <c r="A9" s="817"/>
      <c r="B9" s="818"/>
      <c r="C9" s="818"/>
      <c r="D9" s="820"/>
      <c r="E9" s="964"/>
      <c r="F9" s="24" t="s">
        <v>39</v>
      </c>
      <c r="G9" s="820"/>
      <c r="H9" s="820"/>
      <c r="I9" s="820"/>
      <c r="J9" s="829" t="s">
        <v>12</v>
      </c>
      <c r="K9" s="829" t="s">
        <v>9</v>
      </c>
      <c r="L9" s="880"/>
      <c r="M9" s="820" t="s">
        <v>41</v>
      </c>
      <c r="N9" s="820" t="s">
        <v>697</v>
      </c>
      <c r="O9" s="820" t="s">
        <v>45</v>
      </c>
      <c r="P9" s="820"/>
      <c r="Q9" s="820"/>
      <c r="R9" s="818"/>
      <c r="S9" s="818"/>
      <c r="T9" s="819"/>
      <c r="U9" s="818"/>
      <c r="V9" s="406"/>
      <c r="W9" s="406"/>
      <c r="X9" s="406"/>
      <c r="Y9" s="406"/>
    </row>
    <row r="10" spans="1:25" ht="19.5">
      <c r="A10" s="817"/>
      <c r="B10" s="818"/>
      <c r="C10" s="818"/>
      <c r="D10" s="829" t="s">
        <v>39</v>
      </c>
      <c r="E10" s="24"/>
      <c r="F10" s="24" t="s">
        <v>40</v>
      </c>
      <c r="G10" s="40" t="s">
        <v>41</v>
      </c>
      <c r="H10" s="24" t="s">
        <v>193</v>
      </c>
      <c r="I10" s="24" t="s">
        <v>760</v>
      </c>
      <c r="J10" s="40" t="s">
        <v>170</v>
      </c>
      <c r="K10" s="40" t="s">
        <v>75</v>
      </c>
      <c r="L10" s="880" t="s">
        <v>14</v>
      </c>
      <c r="M10" s="40" t="s">
        <v>37</v>
      </c>
      <c r="N10" s="40" t="s">
        <v>726</v>
      </c>
      <c r="O10" s="40" t="s">
        <v>15</v>
      </c>
      <c r="P10" s="820" t="s">
        <v>9</v>
      </c>
      <c r="Q10" s="820" t="s">
        <v>14</v>
      </c>
      <c r="R10" s="818"/>
      <c r="S10" s="818"/>
      <c r="T10" s="819"/>
      <c r="U10" s="818"/>
      <c r="V10" s="406"/>
      <c r="W10" s="406"/>
      <c r="X10" s="406"/>
      <c r="Y10" s="406"/>
    </row>
    <row r="11" spans="1:25">
      <c r="B11" s="5"/>
      <c r="C11" s="7"/>
      <c r="D11" s="27" t="s">
        <v>40</v>
      </c>
      <c r="E11" s="27" t="s">
        <v>44</v>
      </c>
      <c r="F11" s="27" t="s">
        <v>295</v>
      </c>
      <c r="G11" s="27" t="s">
        <v>81</v>
      </c>
      <c r="H11" s="27" t="s">
        <v>44</v>
      </c>
      <c r="I11" s="27" t="s">
        <v>15</v>
      </c>
      <c r="J11" s="27" t="s">
        <v>81</v>
      </c>
      <c r="K11" s="27" t="s">
        <v>81</v>
      </c>
      <c r="L11" s="28" t="s">
        <v>81</v>
      </c>
      <c r="M11" s="27" t="s">
        <v>70</v>
      </c>
      <c r="N11" s="27" t="s">
        <v>70</v>
      </c>
      <c r="O11" s="27" t="s">
        <v>70</v>
      </c>
      <c r="P11" s="27" t="s">
        <v>15</v>
      </c>
      <c r="Q11" s="27" t="s">
        <v>1</v>
      </c>
    </row>
    <row r="12" spans="1:25" ht="15.75" customHeight="1">
      <c r="A12" s="5" t="s">
        <v>17</v>
      </c>
      <c r="B12" s="5"/>
      <c r="D12" s="9"/>
      <c r="E12" s="9"/>
      <c r="F12" s="9"/>
      <c r="G12" s="9"/>
      <c r="H12" s="9"/>
      <c r="I12" s="9"/>
      <c r="J12" s="9"/>
      <c r="K12" s="9"/>
      <c r="L12" s="48"/>
      <c r="M12" s="7"/>
      <c r="N12" s="7"/>
      <c r="O12" s="7"/>
      <c r="P12" s="7"/>
      <c r="U12" s="55"/>
    </row>
    <row r="13" spans="1:25" ht="15.75" customHeight="1">
      <c r="B13" s="4" t="s">
        <v>48</v>
      </c>
      <c r="D13" s="32">
        <f>SUMIF('305 Inputs'!$A$118:$A$143,"=16",'305 Inputs'!$J$118:$J$143)</f>
        <v>99032.333333333328</v>
      </c>
      <c r="E13" s="32">
        <f>F13-D13+D17</f>
        <v>379.50612902532646</v>
      </c>
      <c r="F13" s="32">
        <f>'Rate Design Work eff 10-14-16'!C107/12</f>
        <v>99198.506129025322</v>
      </c>
      <c r="G13" s="32">
        <f>SUMIF('305 Inputs'!$A$118:$A$143,"=16",'305 Inputs'!$H$118:$H$143)</f>
        <v>1419612497</v>
      </c>
      <c r="H13" s="32">
        <f>'Normalized Monthly kWh'!AC6</f>
        <v>18426169.205008153</v>
      </c>
      <c r="I13" s="32">
        <f>'305 VS COGNOS kWh'!E7+'305 VS COGNOS kWh'!K7+'305 VS COGNOS kWh'!E11+'305 VS COGNOS kWh'!K11+G17</f>
        <v>2848477</v>
      </c>
      <c r="J13" s="32">
        <f>Temperature!B22*1000</f>
        <v>36358401.689690225</v>
      </c>
      <c r="K13" s="32">
        <f>H13+I13+J13</f>
        <v>57633047.894698381</v>
      </c>
      <c r="L13" s="92">
        <f t="shared" ref="L13:L18" si="0">G13+K13</f>
        <v>1477245544.8946984</v>
      </c>
      <c r="M13" s="29">
        <f>'Table 3'!D13</f>
        <v>123719398.61</v>
      </c>
      <c r="N13" s="29">
        <f ca="1">'Table 3'!I13</f>
        <v>7105918.175028177</v>
      </c>
      <c r="O13" s="29">
        <f>'Table 3'!M13</f>
        <v>3714132.2520809919</v>
      </c>
      <c r="P13" s="29">
        <f ca="1">N13+O13</f>
        <v>10820050.427109169</v>
      </c>
      <c r="Q13" s="29">
        <f t="shared" ref="Q13:Q18" ca="1" si="1">+P13+M13</f>
        <v>134539449.03710917</v>
      </c>
      <c r="S13" s="8"/>
      <c r="T13" s="8"/>
      <c r="U13" s="55"/>
    </row>
    <row r="14" spans="1:25" ht="15.75" customHeight="1">
      <c r="B14" s="4" t="s">
        <v>93</v>
      </c>
      <c r="D14" s="32">
        <f>SUMIF('305 Inputs'!$A$118:$A$143,"=17",'305 Inputs'!$J$118:$J$143)</f>
        <v>5978.75</v>
      </c>
      <c r="E14" s="32">
        <f t="shared" ref="E14:E18" si="2">F14-D14</f>
        <v>-18.625698924725839</v>
      </c>
      <c r="F14" s="32">
        <f>'Rate Design Work eff 10-14-16'!C122/12</f>
        <v>5960.1243010752742</v>
      </c>
      <c r="G14" s="32">
        <f>SUMIF('305 Inputs'!$A$118:$A$143,"=17",'305 Inputs'!$H$118:$H$143)</f>
        <v>85689625</v>
      </c>
      <c r="H14" s="32">
        <f>'Normalized Monthly kWh'!AC7</f>
        <v>1109915.5774999433</v>
      </c>
      <c r="I14" s="32">
        <f>'305 VS COGNOS kWh'!E8+'305 VS COGNOS kWh'!K8</f>
        <v>-6509</v>
      </c>
      <c r="J14" s="32">
        <f>Temperature!B40*1000</f>
        <v>3090723.7800994902</v>
      </c>
      <c r="K14" s="32">
        <f t="shared" ref="K14:K18" si="3">H14+I14+J14</f>
        <v>4194130.3575994335</v>
      </c>
      <c r="L14" s="92">
        <f t="shared" si="0"/>
        <v>89883755.357599437</v>
      </c>
      <c r="M14" s="29">
        <f>'Table 3'!D14</f>
        <v>7427367.3300000001</v>
      </c>
      <c r="N14" s="29">
        <f>'Table 3'!I14</f>
        <v>478512.83232666308</v>
      </c>
      <c r="O14" s="29">
        <f>'Table 3'!M14</f>
        <v>223122.74200544972</v>
      </c>
      <c r="P14" s="29">
        <f t="shared" ref="P14:P18" si="4">N14+O14</f>
        <v>701635.5743321128</v>
      </c>
      <c r="Q14" s="29">
        <f t="shared" si="1"/>
        <v>8129002.9043321125</v>
      </c>
      <c r="S14" s="8"/>
      <c r="T14" s="8"/>
      <c r="U14" s="55"/>
    </row>
    <row r="15" spans="1:25" ht="15.75" customHeight="1">
      <c r="B15" s="4" t="s">
        <v>49</v>
      </c>
      <c r="D15" s="32">
        <f>SUMIF('305 Inputs'!$A$118:$A$143,"=18",'305 Inputs'!$J$118:$J$143)</f>
        <v>83.333333333333329</v>
      </c>
      <c r="E15" s="32">
        <f t="shared" si="2"/>
        <v>-0.39731182795699738</v>
      </c>
      <c r="F15" s="32">
        <f>'Rate Design Work eff 10-14-16'!C137/12</f>
        <v>82.936021505376331</v>
      </c>
      <c r="G15" s="32">
        <f>SUMIF('305 Inputs'!$A$118:$A$143,"=18",'305 Inputs'!$H$118:$H$143)</f>
        <v>2188990</v>
      </c>
      <c r="H15" s="32">
        <f>'Normalized Monthly kWh'!AC8</f>
        <v>28355.575910563297</v>
      </c>
      <c r="I15" s="32">
        <f>'305 VS COGNOS kWh'!E9+'305 VS COGNOS kWh'!K9</f>
        <v>0</v>
      </c>
      <c r="J15" s="32">
        <f>Temperature!B58*1000</f>
        <v>37785.215800672398</v>
      </c>
      <c r="K15" s="32">
        <f t="shared" si="3"/>
        <v>66140.791711235695</v>
      </c>
      <c r="L15" s="92">
        <f t="shared" si="0"/>
        <v>2255130.7917112359</v>
      </c>
      <c r="M15" s="29">
        <f>'Table 3'!D15</f>
        <v>210220.87</v>
      </c>
      <c r="N15" s="29">
        <f ca="1">'Table 3'!I15</f>
        <v>9436.3095264435851</v>
      </c>
      <c r="O15" s="29">
        <f>'Table 3'!M15</f>
        <v>6290.323577742005</v>
      </c>
      <c r="P15" s="29">
        <f t="shared" ca="1" si="4"/>
        <v>15726.63310418559</v>
      </c>
      <c r="Q15" s="29">
        <f t="shared" ca="1" si="1"/>
        <v>225947.5031041856</v>
      </c>
      <c r="S15" s="8"/>
      <c r="T15" s="8"/>
      <c r="U15" s="55"/>
    </row>
    <row r="16" spans="1:25" ht="15.75" customHeight="1">
      <c r="B16" s="7" t="s">
        <v>156</v>
      </c>
      <c r="D16" s="32">
        <f>SUMIF('305 Inputs'!$A$118:$A$143,"=18x",'305 Inputs'!$J$118:$J$143)</f>
        <v>17</v>
      </c>
      <c r="E16" s="32">
        <f t="shared" si="2"/>
        <v>8.3333333333332149E-2</v>
      </c>
      <c r="F16" s="32">
        <f>'Rate Design Work eff 10-14-16'!C152/12</f>
        <v>17.083333333333332</v>
      </c>
      <c r="G16" s="32">
        <f>SUMIF('305 Inputs'!$A$118:$A$143,"=18x",'305 Inputs'!$H$118:$H$143)</f>
        <v>397063</v>
      </c>
      <c r="H16" s="32">
        <f>'Normalized Monthly kWh'!AC9</f>
        <v>5143.445167760472</v>
      </c>
      <c r="I16" s="32">
        <f>'305 VS COGNOS kWh'!E10+'305 VS COGNOS kWh'!K10</f>
        <v>0</v>
      </c>
      <c r="J16" s="32">
        <v>0</v>
      </c>
      <c r="K16" s="32">
        <f t="shared" si="3"/>
        <v>5143.445167760472</v>
      </c>
      <c r="L16" s="92">
        <f t="shared" si="0"/>
        <v>402206.44516776048</v>
      </c>
      <c r="M16" s="29">
        <f>'Table 3'!D16</f>
        <v>37278.11</v>
      </c>
      <c r="N16" s="29">
        <f ca="1">'Table 3'!I16</f>
        <v>1115.3816378427941</v>
      </c>
      <c r="O16" s="29">
        <f>'Table 3'!M16</f>
        <v>1084.096550000002</v>
      </c>
      <c r="P16" s="29">
        <f t="shared" ca="1" si="4"/>
        <v>2199.4781878427962</v>
      </c>
      <c r="Q16" s="29">
        <f t="shared" ca="1" si="1"/>
        <v>39477.588187842797</v>
      </c>
      <c r="S16" s="8"/>
      <c r="T16" s="8"/>
      <c r="U16" s="55"/>
    </row>
    <row r="17" spans="2:21" ht="15.75" customHeight="1">
      <c r="B17" s="7" t="s">
        <v>244</v>
      </c>
      <c r="D17" s="32">
        <f>SUMIF('305 Inputs'!$A$118:$A$143,"=135",'305 Inputs'!$J$118:$J$143)</f>
        <v>213.33333333333334</v>
      </c>
      <c r="E17" s="32">
        <f>-D17</f>
        <v>-213.33333333333334</v>
      </c>
      <c r="F17" s="32">
        <f>0</f>
        <v>0</v>
      </c>
      <c r="G17" s="32">
        <f>SUMIF('305 Inputs'!$A$118:$A$143,"=135",'305 Inputs'!$H$118:$H$143)</f>
        <v>2901054</v>
      </c>
      <c r="H17" s="32">
        <v>0</v>
      </c>
      <c r="I17" s="32">
        <f>-G17</f>
        <v>-2901054</v>
      </c>
      <c r="J17" s="32">
        <v>0</v>
      </c>
      <c r="K17" s="32">
        <f t="shared" si="3"/>
        <v>-2901054</v>
      </c>
      <c r="L17" s="92">
        <f t="shared" si="0"/>
        <v>0</v>
      </c>
      <c r="M17" s="29">
        <f>'Table 3'!D17</f>
        <v>264078.17</v>
      </c>
      <c r="N17" s="29">
        <f ca="1">'Table 3'!I17</f>
        <v>-264078.17</v>
      </c>
      <c r="O17" s="29">
        <f>'Table 3'!M17</f>
        <v>0</v>
      </c>
      <c r="P17" s="29">
        <f t="shared" ca="1" si="4"/>
        <v>-264078.17</v>
      </c>
      <c r="Q17" s="29">
        <f t="shared" ca="1" si="1"/>
        <v>0</v>
      </c>
      <c r="S17" s="8"/>
      <c r="T17" s="8"/>
      <c r="U17" s="55"/>
    </row>
    <row r="18" spans="2:21" ht="15.75" customHeight="1">
      <c r="B18" s="7" t="s">
        <v>727</v>
      </c>
      <c r="D18" s="93">
        <f>SUMIF('305 Inputs'!$A$118:$A$143,"=24",'305 Inputs'!$J$118:$J$143)</f>
        <v>3463.6666666666665</v>
      </c>
      <c r="E18" s="93">
        <f t="shared" si="2"/>
        <v>-9.2972222221715128</v>
      </c>
      <c r="F18" s="93">
        <f>'Rate Design Work eff 10-14-16'!C250/12</f>
        <v>3454.369444444495</v>
      </c>
      <c r="G18" s="93">
        <f>SUMIF('305 Inputs'!$A$118:$A$143,"=24",'305 Inputs'!$H$118:$H$143)</f>
        <v>21459037</v>
      </c>
      <c r="H18" s="93">
        <f>'Normalized Monthly kWh'!AC11</f>
        <v>278028.18415744783</v>
      </c>
      <c r="I18" s="93">
        <f>'305 VS COGNOS kWh'!E13+'305 VS COGNOS kWh'!K13</f>
        <v>4146</v>
      </c>
      <c r="J18" s="93">
        <f>Temperature!O75*1000</f>
        <v>-496898.02380162448</v>
      </c>
      <c r="K18" s="93">
        <f t="shared" si="3"/>
        <v>-214723.83964417665</v>
      </c>
      <c r="L18" s="94">
        <f t="shared" si="0"/>
        <v>21244313.160355825</v>
      </c>
      <c r="M18" s="31">
        <f>'Table 3'!D18</f>
        <v>2379696.33</v>
      </c>
      <c r="N18" s="31">
        <f>'Table 3'!I18</f>
        <v>16295.019401689016</v>
      </c>
      <c r="O18" s="31">
        <f>'Table 3'!M18</f>
        <v>46175.83215770172</v>
      </c>
      <c r="P18" s="31">
        <f t="shared" si="4"/>
        <v>62470.851559390736</v>
      </c>
      <c r="Q18" s="31">
        <f t="shared" si="1"/>
        <v>2442167.1815593909</v>
      </c>
      <c r="S18" s="8"/>
      <c r="T18" s="8"/>
      <c r="U18" s="55"/>
    </row>
    <row r="19" spans="2:21" ht="15.75" customHeight="1">
      <c r="B19" s="7" t="s">
        <v>35</v>
      </c>
      <c r="C19" s="11"/>
      <c r="D19" s="32">
        <f t="shared" ref="D19:M19" si="5">SUM(D13:D18)</f>
        <v>108788.41666666666</v>
      </c>
      <c r="E19" s="32">
        <f t="shared" si="5"/>
        <v>137.93589605047211</v>
      </c>
      <c r="F19" s="32">
        <f t="shared" si="5"/>
        <v>108713.0192293838</v>
      </c>
      <c r="G19" s="32">
        <f t="shared" si="5"/>
        <v>1532248266</v>
      </c>
      <c r="H19" s="32">
        <f t="shared" si="5"/>
        <v>19847611.987743869</v>
      </c>
      <c r="I19" s="32">
        <f>SUM(I13:I18)</f>
        <v>-54940</v>
      </c>
      <c r="J19" s="32">
        <f t="shared" si="5"/>
        <v>38990012.661788762</v>
      </c>
      <c r="K19" s="32">
        <f t="shared" si="5"/>
        <v>58782684.649532631</v>
      </c>
      <c r="L19" s="92">
        <f t="shared" si="5"/>
        <v>1591030950.6495328</v>
      </c>
      <c r="M19" s="29">
        <f t="shared" si="5"/>
        <v>134038039.42</v>
      </c>
      <c r="N19" s="29">
        <f t="shared" ref="N19:Q19" ca="1" si="6">SUM(N13:N18)</f>
        <v>7347199.5479208147</v>
      </c>
      <c r="O19" s="29">
        <f t="shared" si="6"/>
        <v>3990805.2463718853</v>
      </c>
      <c r="P19" s="29">
        <f t="shared" ca="1" si="6"/>
        <v>11338004.794292701</v>
      </c>
      <c r="Q19" s="29">
        <f t="shared" ca="1" si="6"/>
        <v>145376044.21429268</v>
      </c>
      <c r="S19" s="8"/>
      <c r="T19" s="8"/>
      <c r="U19" s="55"/>
    </row>
    <row r="20" spans="2:21" ht="15.75" customHeight="1">
      <c r="B20" s="7"/>
      <c r="C20" s="11"/>
      <c r="D20" s="9"/>
      <c r="E20" s="9"/>
      <c r="F20" s="9"/>
      <c r="G20" s="9"/>
      <c r="H20" s="9"/>
      <c r="I20" s="9"/>
      <c r="J20" s="9"/>
      <c r="K20" s="9"/>
      <c r="L20" s="48"/>
      <c r="M20" s="29"/>
      <c r="N20" s="29"/>
      <c r="O20" s="29"/>
      <c r="P20" s="29"/>
      <c r="Q20" s="8"/>
      <c r="S20" s="8"/>
      <c r="T20" s="8"/>
      <c r="U20" s="55"/>
    </row>
    <row r="21" spans="2:21" ht="15.75" customHeight="1">
      <c r="B21" s="4" t="s">
        <v>50</v>
      </c>
      <c r="C21" s="11"/>
      <c r="D21" s="93">
        <f>SUMIF('305 Inputs'!$A$118:$A$143,"=15r",'305 Inputs'!$J$118:$J$143)</f>
        <v>1107.4166666666667</v>
      </c>
      <c r="E21" s="93">
        <f>F21-D21+D25</f>
        <v>6.9166666666665151</v>
      </c>
      <c r="F21" s="93">
        <f>'Rate Design Work eff 10-14-16'!C44/12</f>
        <v>1114.3333333333333</v>
      </c>
      <c r="G21" s="93">
        <f>SUMIF('305 Inputs'!$A$118:$A$143,"=15r",'305 Inputs'!$H$118:$H$143)</f>
        <v>1027136</v>
      </c>
      <c r="H21" s="93">
        <f>'Normalized Monthly kWh'!AC10</f>
        <v>13388.012256127642</v>
      </c>
      <c r="I21" s="93">
        <f>'305 VS COGNOS kWh'!E12+'305 VS COGNOS kWh'!K12</f>
        <v>6390</v>
      </c>
      <c r="J21" s="93">
        <v>0</v>
      </c>
      <c r="K21" s="93">
        <f>H21+I21+J21</f>
        <v>19778.012256127644</v>
      </c>
      <c r="L21" s="94">
        <f>G21+K21</f>
        <v>1046914.0122561277</v>
      </c>
      <c r="M21" s="90">
        <f>'Table 3'!D21</f>
        <v>148952.47</v>
      </c>
      <c r="N21" s="31">
        <f ca="1">'Table 3'!I21</f>
        <v>3967.4368057431452</v>
      </c>
      <c r="O21" s="31">
        <f>'Table 3'!M21</f>
        <v>1789.2472664439993</v>
      </c>
      <c r="P21" s="31">
        <f ca="1">N21+O21</f>
        <v>5756.6840721871449</v>
      </c>
      <c r="Q21" s="31">
        <f ca="1">+P21+M21</f>
        <v>154709.15407218714</v>
      </c>
      <c r="S21" s="8"/>
      <c r="T21" s="8"/>
      <c r="U21" s="55"/>
    </row>
    <row r="22" spans="2:21" ht="15.75" customHeight="1">
      <c r="B22" s="4" t="s">
        <v>35</v>
      </c>
      <c r="D22" s="32">
        <f>SUM(D21:D21)</f>
        <v>1107.4166666666667</v>
      </c>
      <c r="E22" s="32">
        <f>SUM(E21:E21)</f>
        <v>6.9166666666665151</v>
      </c>
      <c r="F22" s="32">
        <f>SUM(F21:F21)</f>
        <v>1114.3333333333333</v>
      </c>
      <c r="G22" s="32">
        <f t="shared" ref="G22:Q22" si="7">SUM(G21:G21)</f>
        <v>1027136</v>
      </c>
      <c r="H22" s="32">
        <f t="shared" si="7"/>
        <v>13388.012256127642</v>
      </c>
      <c r="I22" s="32">
        <f t="shared" si="7"/>
        <v>6390</v>
      </c>
      <c r="J22" s="32">
        <f t="shared" si="7"/>
        <v>0</v>
      </c>
      <c r="K22" s="32">
        <f t="shared" si="7"/>
        <v>19778.012256127644</v>
      </c>
      <c r="L22" s="92">
        <f t="shared" si="7"/>
        <v>1046914.0122561277</v>
      </c>
      <c r="M22" s="29">
        <f t="shared" si="7"/>
        <v>148952.47</v>
      </c>
      <c r="N22" s="29">
        <f t="shared" ca="1" si="7"/>
        <v>3967.4368057431452</v>
      </c>
      <c r="O22" s="29">
        <f t="shared" si="7"/>
        <v>1789.2472664439993</v>
      </c>
      <c r="P22" s="29">
        <f t="shared" ca="1" si="7"/>
        <v>5756.6840721871449</v>
      </c>
      <c r="Q22" s="29">
        <f t="shared" ca="1" si="7"/>
        <v>154709.15407218714</v>
      </c>
      <c r="S22" s="12"/>
      <c r="T22" s="12"/>
      <c r="U22" s="16"/>
    </row>
    <row r="23" spans="2:21" ht="15.75" customHeight="1">
      <c r="D23" s="9"/>
      <c r="E23" s="9"/>
      <c r="F23" s="9"/>
      <c r="G23" s="9"/>
      <c r="H23" s="9"/>
      <c r="I23" s="9"/>
      <c r="J23" s="9"/>
      <c r="K23" s="9"/>
      <c r="L23" s="48"/>
      <c r="M23" s="29"/>
      <c r="N23" s="29"/>
      <c r="O23" s="29"/>
      <c r="P23" s="29"/>
      <c r="Q23" s="29"/>
      <c r="S23" s="12"/>
      <c r="T23" s="12"/>
      <c r="U23" s="16"/>
    </row>
    <row r="24" spans="2:21" s="11" customFormat="1" ht="15.75" customHeight="1">
      <c r="B24" s="4" t="s">
        <v>34</v>
      </c>
      <c r="D24" s="93">
        <v>0</v>
      </c>
      <c r="E24" s="93"/>
      <c r="F24" s="93"/>
      <c r="G24" s="93">
        <f>SUMIF('305 Inputs'!$A$118:$A$143,"=aga",'305 Inputs'!$H$118:$H$143)</f>
        <v>0</v>
      </c>
      <c r="H24" s="93"/>
      <c r="I24" s="93"/>
      <c r="J24" s="93">
        <v>0</v>
      </c>
      <c r="K24" s="93">
        <f>J24</f>
        <v>0</v>
      </c>
      <c r="L24" s="94">
        <f>G24+K24</f>
        <v>0</v>
      </c>
      <c r="M24" s="31">
        <f>'Table 3'!D24</f>
        <v>1361.59</v>
      </c>
      <c r="N24" s="31">
        <f>'Table 3'!I24</f>
        <v>0</v>
      </c>
      <c r="O24" s="31">
        <f>'Table 3'!M24</f>
        <v>0</v>
      </c>
      <c r="P24" s="31">
        <f>N24+O24</f>
        <v>0</v>
      </c>
      <c r="Q24" s="31">
        <f>+P24+M24</f>
        <v>1361.59</v>
      </c>
      <c r="S24" s="12"/>
      <c r="T24" s="12"/>
      <c r="U24" s="16"/>
    </row>
    <row r="25" spans="2:21" s="11" customFormat="1" ht="15.75" customHeight="1">
      <c r="B25" s="4"/>
      <c r="D25" s="93"/>
      <c r="E25" s="93"/>
      <c r="F25" s="93"/>
      <c r="G25" s="32"/>
      <c r="H25" s="32"/>
      <c r="I25" s="32"/>
      <c r="J25" s="93"/>
      <c r="K25" s="93"/>
      <c r="L25" s="94"/>
      <c r="M25" s="31"/>
      <c r="N25" s="31"/>
      <c r="O25" s="31"/>
      <c r="P25" s="31"/>
      <c r="Q25" s="31"/>
      <c r="S25" s="12"/>
      <c r="T25" s="12"/>
      <c r="U25" s="16"/>
    </row>
    <row r="26" spans="2:21" s="11" customFormat="1" ht="15.75" customHeight="1">
      <c r="B26" s="4" t="s">
        <v>654</v>
      </c>
      <c r="D26" s="93">
        <f>SUMIF('305 Inputs'!$A$118:$A$143,"=def",'305 Inputs'!$J$118:$J$143)</f>
        <v>0</v>
      </c>
      <c r="E26" s="93"/>
      <c r="F26" s="93"/>
      <c r="G26" s="93">
        <f>SUMIF('305 Inputs'!$A$118:$A$143,"=def",'305 Inputs'!$H$118:$H$143)</f>
        <v>0</v>
      </c>
      <c r="H26" s="93"/>
      <c r="I26" s="93"/>
      <c r="J26" s="93">
        <v>0</v>
      </c>
      <c r="K26" s="93">
        <v>0</v>
      </c>
      <c r="L26" s="94">
        <v>0</v>
      </c>
      <c r="M26" s="31">
        <f>'Table 3'!D26</f>
        <v>-1320000</v>
      </c>
      <c r="N26" s="31">
        <f>'Table 3'!I26</f>
        <v>1320000</v>
      </c>
      <c r="O26" s="31">
        <f>'Table 3'!M26</f>
        <v>0</v>
      </c>
      <c r="P26" s="31">
        <f>N26+O26</f>
        <v>1320000</v>
      </c>
      <c r="Q26" s="31">
        <f t="shared" ref="Q26:Q34" si="8">+P26+M26</f>
        <v>0</v>
      </c>
      <c r="S26" s="12"/>
      <c r="T26" s="12"/>
      <c r="U26" s="16"/>
    </row>
    <row r="27" spans="2:21" ht="15.75" customHeight="1">
      <c r="B27" s="4" t="s">
        <v>728</v>
      </c>
      <c r="D27" s="93">
        <f>SUMIF('305 Inputs'!$A$118:$A$143,"=rev",'305 Inputs'!$J$118:$J$143)</f>
        <v>0</v>
      </c>
      <c r="E27" s="93"/>
      <c r="F27" s="93"/>
      <c r="G27" s="93">
        <f>SUMIF('305 Inputs'!$A$118:$A$143,"=rev",'305 Inputs'!$H$118:$H$143)</f>
        <v>0</v>
      </c>
      <c r="H27" s="93"/>
      <c r="I27" s="93"/>
      <c r="J27" s="93">
        <v>0</v>
      </c>
      <c r="K27" s="93">
        <v>0</v>
      </c>
      <c r="L27" s="94">
        <v>0</v>
      </c>
      <c r="M27" s="31">
        <f>'Table 3'!D27</f>
        <v>-4063055.71</v>
      </c>
      <c r="N27" s="31">
        <f>'Table 3'!I27</f>
        <v>4063055.71</v>
      </c>
      <c r="O27" s="31">
        <f>'Table 3'!M27</f>
        <v>0</v>
      </c>
      <c r="P27" s="31">
        <f t="shared" ref="P27:P36" si="9">N27+O27</f>
        <v>4063055.71</v>
      </c>
      <c r="Q27" s="31">
        <f t="shared" si="8"/>
        <v>0</v>
      </c>
      <c r="S27" s="12"/>
      <c r="T27" s="12"/>
      <c r="U27" s="16"/>
    </row>
    <row r="28" spans="2:21" s="11" customFormat="1" ht="15.75" customHeight="1">
      <c r="B28" s="4" t="s">
        <v>233</v>
      </c>
      <c r="D28" s="93">
        <v>0</v>
      </c>
      <c r="E28" s="93"/>
      <c r="F28" s="93"/>
      <c r="G28" s="93">
        <f>SUMIF('305 Inputs'!$A$118:$A$143,"=acq",'305 Inputs'!$H$118:$H$143)</f>
        <v>0</v>
      </c>
      <c r="H28" s="93"/>
      <c r="I28" s="93"/>
      <c r="J28" s="93">
        <v>0</v>
      </c>
      <c r="K28" s="93">
        <f t="shared" ref="K28:K34" si="10">J28</f>
        <v>0</v>
      </c>
      <c r="L28" s="94">
        <f t="shared" ref="L28:L34" si="11">G28+K28</f>
        <v>0</v>
      </c>
      <c r="M28" s="31">
        <f>'Table 3'!D28</f>
        <v>0</v>
      </c>
      <c r="N28" s="31">
        <f>'Table 3'!I28</f>
        <v>0</v>
      </c>
      <c r="O28" s="31">
        <f>'Table 3'!M28</f>
        <v>0</v>
      </c>
      <c r="P28" s="31">
        <f t="shared" si="9"/>
        <v>0</v>
      </c>
      <c r="Q28" s="31">
        <f t="shared" si="8"/>
        <v>0</v>
      </c>
      <c r="S28" s="12"/>
      <c r="T28" s="12"/>
      <c r="U28" s="16"/>
    </row>
    <row r="29" spans="2:21" s="11" customFormat="1" ht="15.75" customHeight="1">
      <c r="B29" s="4" t="s">
        <v>157</v>
      </c>
      <c r="D29" s="93">
        <v>0</v>
      </c>
      <c r="E29" s="93"/>
      <c r="F29" s="93"/>
      <c r="G29" s="93">
        <f>SUMIF('305 Inputs'!$A$118:$A$143,"=cent",'305 Inputs'!$H$118:$H$143)</f>
        <v>0</v>
      </c>
      <c r="H29" s="93"/>
      <c r="I29" s="93"/>
      <c r="J29" s="93">
        <v>0</v>
      </c>
      <c r="K29" s="93">
        <f t="shared" si="10"/>
        <v>0</v>
      </c>
      <c r="L29" s="94">
        <f t="shared" si="11"/>
        <v>0</v>
      </c>
      <c r="M29" s="31">
        <f>'Table 3'!D29</f>
        <v>0</v>
      </c>
      <c r="N29" s="31">
        <f>'Table 3'!I29</f>
        <v>0</v>
      </c>
      <c r="O29" s="31">
        <f>'Table 3'!M29</f>
        <v>0</v>
      </c>
      <c r="P29" s="31">
        <f t="shared" si="9"/>
        <v>0</v>
      </c>
      <c r="Q29" s="31">
        <f t="shared" si="8"/>
        <v>0</v>
      </c>
      <c r="S29" s="12"/>
      <c r="T29" s="12"/>
      <c r="U29" s="16"/>
    </row>
    <row r="30" spans="2:21" s="11" customFormat="1" ht="15.75" customHeight="1">
      <c r="B30" s="4" t="s">
        <v>171</v>
      </c>
      <c r="D30" s="93">
        <v>0</v>
      </c>
      <c r="E30" s="93"/>
      <c r="F30" s="93"/>
      <c r="G30" s="93">
        <f>SUMIF('305 Inputs'!$A$118:$A$143,"=merger",'305 Inputs'!$H$118:$H$143)</f>
        <v>0</v>
      </c>
      <c r="H30" s="93"/>
      <c r="I30" s="93"/>
      <c r="J30" s="93">
        <v>0</v>
      </c>
      <c r="K30" s="93">
        <f t="shared" si="10"/>
        <v>0</v>
      </c>
      <c r="L30" s="94">
        <f t="shared" si="11"/>
        <v>0</v>
      </c>
      <c r="M30" s="31">
        <f>'Table 3'!D30</f>
        <v>0</v>
      </c>
      <c r="N30" s="31">
        <f>'Table 3'!I30</f>
        <v>0</v>
      </c>
      <c r="O30" s="31">
        <f>'Table 3'!M30</f>
        <v>0</v>
      </c>
      <c r="P30" s="31">
        <f t="shared" si="9"/>
        <v>0</v>
      </c>
      <c r="Q30" s="31">
        <f t="shared" si="8"/>
        <v>0</v>
      </c>
      <c r="S30" s="12"/>
      <c r="T30" s="12"/>
      <c r="U30" s="16"/>
    </row>
    <row r="31" spans="2:21" s="11" customFormat="1" ht="15.75" customHeight="1">
      <c r="B31" s="4" t="s">
        <v>735</v>
      </c>
      <c r="D31" s="93">
        <v>0</v>
      </c>
      <c r="E31" s="93"/>
      <c r="F31" s="93"/>
      <c r="G31" s="93">
        <f>SUMIF('305 Inputs'!$A$118:$A$143,"=merger",'305 Inputs'!$H$118:$H$143)</f>
        <v>0</v>
      </c>
      <c r="H31" s="93"/>
      <c r="I31" s="93"/>
      <c r="J31" s="93">
        <v>0</v>
      </c>
      <c r="K31" s="93">
        <f t="shared" si="10"/>
        <v>0</v>
      </c>
      <c r="L31" s="94">
        <f t="shared" si="11"/>
        <v>0</v>
      </c>
      <c r="M31" s="31">
        <f>'Table 3'!D31</f>
        <v>4745733.83</v>
      </c>
      <c r="N31" s="31">
        <f>'Table 3'!I31</f>
        <v>-4745733.83</v>
      </c>
      <c r="O31" s="31">
        <f>'Table 3'!M31</f>
        <v>0</v>
      </c>
      <c r="P31" s="31">
        <f t="shared" ref="P31" si="12">N31+O31</f>
        <v>-4745733.83</v>
      </c>
      <c r="Q31" s="31">
        <f t="shared" ref="Q31" si="13">+P31+M31</f>
        <v>0</v>
      </c>
      <c r="S31" s="12"/>
      <c r="T31" s="12"/>
      <c r="U31" s="16"/>
    </row>
    <row r="32" spans="2:21" s="11" customFormat="1" ht="15.75" customHeight="1">
      <c r="B32" s="4" t="s">
        <v>736</v>
      </c>
      <c r="D32" s="93">
        <v>0</v>
      </c>
      <c r="E32" s="93"/>
      <c r="F32" s="93"/>
      <c r="G32" s="93">
        <f>SUMIF('305 Inputs'!$A$118:$A$143,"=merger",'305 Inputs'!$H$118:$H$143)</f>
        <v>0</v>
      </c>
      <c r="H32" s="93"/>
      <c r="I32" s="93"/>
      <c r="J32" s="93">
        <v>0</v>
      </c>
      <c r="K32" s="93">
        <f t="shared" si="10"/>
        <v>0</v>
      </c>
      <c r="L32" s="94">
        <f t="shared" si="11"/>
        <v>0</v>
      </c>
      <c r="M32" s="31">
        <f>'Table 3'!D32</f>
        <v>113307.77</v>
      </c>
      <c r="N32" s="31">
        <f>'Table 3'!I32</f>
        <v>-113307.77</v>
      </c>
      <c r="O32" s="31">
        <f>'Table 3'!M32</f>
        <v>0</v>
      </c>
      <c r="P32" s="31">
        <f t="shared" ref="P32" si="14">N32+O32</f>
        <v>-113307.77</v>
      </c>
      <c r="Q32" s="31">
        <f t="shared" ref="Q32" si="15">+P32+M32</f>
        <v>0</v>
      </c>
      <c r="S32" s="12"/>
      <c r="T32" s="12"/>
      <c r="U32" s="16"/>
    </row>
    <row r="33" spans="1:21" s="11" customFormat="1" ht="15.75" customHeight="1">
      <c r="B33" s="4" t="s">
        <v>82</v>
      </c>
      <c r="D33" s="93">
        <v>0</v>
      </c>
      <c r="E33" s="93"/>
      <c r="F33" s="93"/>
      <c r="G33" s="93">
        <f>SUMIF('305 Inputs'!$A$118:$A$143,"=bpa",'305 Inputs'!$H$118:$H$143)</f>
        <v>0</v>
      </c>
      <c r="H33" s="93"/>
      <c r="I33" s="93"/>
      <c r="J33" s="93">
        <v>0</v>
      </c>
      <c r="K33" s="93">
        <f t="shared" si="10"/>
        <v>0</v>
      </c>
      <c r="L33" s="94">
        <f t="shared" si="11"/>
        <v>0</v>
      </c>
      <c r="M33" s="31">
        <f>'Table 3'!D33</f>
        <v>56582.47</v>
      </c>
      <c r="N33" s="31">
        <f>'Table 3'!I33</f>
        <v>-56582.47</v>
      </c>
      <c r="O33" s="31">
        <f>'Table 3'!M33</f>
        <v>0</v>
      </c>
      <c r="P33" s="31">
        <f t="shared" si="9"/>
        <v>-56582.47</v>
      </c>
      <c r="Q33" s="31">
        <f t="shared" si="8"/>
        <v>0</v>
      </c>
      <c r="S33" s="12"/>
      <c r="T33" s="12"/>
      <c r="U33" s="16"/>
    </row>
    <row r="34" spans="1:21" s="11" customFormat="1" ht="15.75" customHeight="1">
      <c r="B34" s="4" t="s">
        <v>668</v>
      </c>
      <c r="D34" s="93">
        <v>0</v>
      </c>
      <c r="E34" s="93"/>
      <c r="F34" s="93"/>
      <c r="G34" s="93">
        <f>SUMIF('305 Inputs'!$A$118:$A$143,"=smud",'305 Inputs'!$H$118:$H$143)</f>
        <v>0</v>
      </c>
      <c r="H34" s="93"/>
      <c r="I34" s="93"/>
      <c r="J34" s="93">
        <v>0</v>
      </c>
      <c r="K34" s="93">
        <f t="shared" si="10"/>
        <v>0</v>
      </c>
      <c r="L34" s="94">
        <f t="shared" si="11"/>
        <v>0</v>
      </c>
      <c r="M34" s="31">
        <f>'Table 3'!D34</f>
        <v>82078.77</v>
      </c>
      <c r="N34" s="31">
        <f>'Table 3'!I34</f>
        <v>-82078.77</v>
      </c>
      <c r="O34" s="31">
        <f>'Table 3'!M34</f>
        <v>0</v>
      </c>
      <c r="P34" s="31">
        <f t="shared" si="9"/>
        <v>-82078.77</v>
      </c>
      <c r="Q34" s="31">
        <f t="shared" si="8"/>
        <v>0</v>
      </c>
      <c r="S34" s="12"/>
      <c r="T34" s="12"/>
      <c r="U34" s="16"/>
    </row>
    <row r="35" spans="1:21" ht="15.75" customHeight="1">
      <c r="B35" s="11"/>
      <c r="D35" s="9"/>
      <c r="E35" s="9"/>
      <c r="F35" s="9"/>
      <c r="G35" s="9"/>
      <c r="H35" s="9"/>
      <c r="I35" s="9"/>
      <c r="J35" s="9"/>
      <c r="K35" s="9"/>
      <c r="L35" s="48"/>
      <c r="M35" s="29"/>
      <c r="N35" s="29"/>
      <c r="O35" s="29"/>
      <c r="P35" s="29"/>
      <c r="Q35" s="29"/>
      <c r="S35" s="12"/>
      <c r="T35" s="12"/>
      <c r="U35" s="16"/>
    </row>
    <row r="36" spans="1:21" s="11" customFormat="1" ht="15.75" customHeight="1">
      <c r="B36" s="4" t="s">
        <v>80</v>
      </c>
      <c r="D36" s="93">
        <v>0</v>
      </c>
      <c r="E36" s="93"/>
      <c r="F36" s="93"/>
      <c r="G36" s="93">
        <f>SUMIF('305 Inputs'!$A$118:$A$143,"=unbilled",'305 Inputs'!$H$118:$H$143)</f>
        <v>19861000</v>
      </c>
      <c r="H36" s="93">
        <f>-G36</f>
        <v>-19861000</v>
      </c>
      <c r="I36" s="93"/>
      <c r="J36" s="93">
        <v>0</v>
      </c>
      <c r="K36" s="93">
        <f>H36+I36+J36</f>
        <v>-19861000</v>
      </c>
      <c r="L36" s="94">
        <f>G36+K36</f>
        <v>0</v>
      </c>
      <c r="M36" s="31">
        <f>'Table 3'!D36</f>
        <v>2025000</v>
      </c>
      <c r="N36" s="31">
        <f>'Table 3'!I36</f>
        <v>-2025000</v>
      </c>
      <c r="O36" s="31">
        <f>'Table 3'!M36</f>
        <v>0</v>
      </c>
      <c r="P36" s="31">
        <f t="shared" si="9"/>
        <v>-2025000</v>
      </c>
      <c r="Q36" s="31">
        <f>+P36+M36</f>
        <v>0</v>
      </c>
      <c r="S36" s="12"/>
      <c r="T36" s="12"/>
      <c r="U36" s="16"/>
    </row>
    <row r="37" spans="1:21" ht="15.75" customHeight="1">
      <c r="D37" s="95"/>
      <c r="E37" s="95"/>
      <c r="F37" s="95"/>
      <c r="G37" s="95"/>
      <c r="H37" s="95"/>
      <c r="I37" s="95"/>
      <c r="J37" s="95"/>
      <c r="K37" s="95"/>
      <c r="L37" s="96"/>
      <c r="M37" s="90"/>
      <c r="N37" s="90"/>
      <c r="O37" s="90"/>
      <c r="P37" s="90"/>
      <c r="Q37" s="8"/>
      <c r="S37" s="12"/>
      <c r="T37" s="12"/>
      <c r="U37" s="16"/>
    </row>
    <row r="38" spans="1:21" ht="15.75" customHeight="1">
      <c r="B38" s="33" t="s">
        <v>9</v>
      </c>
      <c r="C38" s="34"/>
      <c r="D38" s="97">
        <f t="shared" ref="D38:Q38" si="16">+D19+D22+D24+SUM(D26:D36)</f>
        <v>109895.83333333333</v>
      </c>
      <c r="E38" s="97">
        <f t="shared" si="16"/>
        <v>144.85256271713862</v>
      </c>
      <c r="F38" s="97">
        <f t="shared" si="16"/>
        <v>109827.35256271713</v>
      </c>
      <c r="G38" s="97">
        <f>+G19+G22+G24+SUM(G26:G36)</f>
        <v>1553136402</v>
      </c>
      <c r="H38" s="97">
        <f t="shared" si="16"/>
        <v>0</v>
      </c>
      <c r="I38" s="97">
        <f t="shared" si="16"/>
        <v>-48550</v>
      </c>
      <c r="J38" s="97">
        <f t="shared" si="16"/>
        <v>38990012.661788762</v>
      </c>
      <c r="K38" s="97">
        <f t="shared" si="16"/>
        <v>38941462.661788762</v>
      </c>
      <c r="L38" s="97">
        <f t="shared" si="16"/>
        <v>1592077864.6617889</v>
      </c>
      <c r="M38" s="37">
        <f t="shared" si="16"/>
        <v>135828000.61000001</v>
      </c>
      <c r="N38" s="37">
        <f t="shared" ca="1" si="16"/>
        <v>5711519.8547265576</v>
      </c>
      <c r="O38" s="37">
        <f t="shared" si="16"/>
        <v>3992594.4936383292</v>
      </c>
      <c r="P38" s="37">
        <f t="shared" ca="1" si="16"/>
        <v>9704114.3483648878</v>
      </c>
      <c r="Q38" s="37">
        <f t="shared" ca="1" si="16"/>
        <v>145532114.95836487</v>
      </c>
      <c r="S38" s="8"/>
      <c r="T38" s="8"/>
      <c r="U38" s="55"/>
    </row>
    <row r="39" spans="1:21" ht="15.75" customHeight="1">
      <c r="D39" s="9"/>
      <c r="E39" s="9"/>
      <c r="F39" s="9" t="s">
        <v>31</v>
      </c>
      <c r="G39" s="881"/>
      <c r="H39" s="881"/>
      <c r="I39" s="881"/>
      <c r="J39" s="9"/>
      <c r="K39" s="9"/>
      <c r="L39" s="48"/>
      <c r="M39" s="29"/>
      <c r="N39" s="639"/>
      <c r="O39" s="639"/>
      <c r="P39" s="639"/>
      <c r="Q39" s="8"/>
      <c r="S39" s="8"/>
      <c r="T39" s="8"/>
      <c r="U39" s="55"/>
    </row>
    <row r="40" spans="1:21" ht="15.75" customHeight="1">
      <c r="A40" s="5" t="s">
        <v>18</v>
      </c>
      <c r="B40" s="5"/>
      <c r="D40" s="9"/>
      <c r="E40" s="9"/>
      <c r="F40" s="9"/>
      <c r="G40" s="9"/>
      <c r="H40" s="9"/>
      <c r="I40" s="9"/>
      <c r="J40" s="9"/>
      <c r="K40" s="9"/>
      <c r="L40" s="48"/>
      <c r="M40" s="29"/>
      <c r="N40" s="29"/>
      <c r="O40" s="29"/>
      <c r="P40" s="29"/>
      <c r="Q40" s="8"/>
      <c r="S40" s="8"/>
      <c r="T40" s="8"/>
      <c r="U40" s="55"/>
    </row>
    <row r="41" spans="1:21" ht="15.75" customHeight="1">
      <c r="B41" s="882" t="s">
        <v>51</v>
      </c>
      <c r="D41" s="32">
        <f>SUMIF('305 Inputs'!$A$7:$A$44,"=24",'305 Inputs'!$J$7:$J$443)</f>
        <v>15038.583333333334</v>
      </c>
      <c r="E41" s="32">
        <f t="shared" ref="E41:E43" si="17">F41-D41</f>
        <v>-29.091666667827667</v>
      </c>
      <c r="F41" s="32">
        <f>'Rate Design Work eff 10-14-16'!C285/12</f>
        <v>15009.491666665506</v>
      </c>
      <c r="G41" s="32">
        <f>SUMIF('305 Inputs'!$A$7:$A$44,"=24",'305 Inputs'!$H$7:$H$44)</f>
        <v>503606452</v>
      </c>
      <c r="H41" s="32">
        <f>'Normalized Monthly kWh'!AC14</f>
        <v>3477825.992467748</v>
      </c>
      <c r="I41" s="32">
        <f>'305 VS COGNOS kWh'!E18+'305 VS COGNOS kWh'!K18+'305 VS COGNOS kWh'!E26+'305 VS COGNOS kWh'!K26</f>
        <v>637283</v>
      </c>
      <c r="J41" s="32">
        <f>Temperature!B75*1000</f>
        <v>-11638549.794266243</v>
      </c>
      <c r="K41" s="32">
        <f>H41+I41+J41</f>
        <v>-7523440.8017984945</v>
      </c>
      <c r="L41" s="92">
        <f>G41+K41</f>
        <v>496083011.19820148</v>
      </c>
      <c r="M41" s="29">
        <f>'Table 3'!D41</f>
        <v>45615590.169999994</v>
      </c>
      <c r="N41" s="29">
        <f>'Table 3'!I41</f>
        <v>-1796602.4963724366</v>
      </c>
      <c r="O41" s="29">
        <f>'Table 3'!M41</f>
        <v>506451.22851899266</v>
      </c>
      <c r="P41" s="29">
        <f>N41+O41</f>
        <v>-1290151.267853444</v>
      </c>
      <c r="Q41" s="29">
        <f>+P41+M41</f>
        <v>44325438.902146548</v>
      </c>
      <c r="S41" s="8"/>
      <c r="T41" s="8"/>
      <c r="U41" s="55"/>
    </row>
    <row r="42" spans="1:21" s="11" customFormat="1" ht="15.75" customHeight="1">
      <c r="B42" s="882" t="s">
        <v>52</v>
      </c>
      <c r="D42" s="32">
        <f>SUMIF('305 Inputs'!$A$7:$A$44,"=24f",'305 Inputs'!$J$7:$J$44)</f>
        <v>116.75</v>
      </c>
      <c r="E42" s="32">
        <f t="shared" si="17"/>
        <v>8.3333333336099713E-3</v>
      </c>
      <c r="F42" s="32">
        <f>'Rate Design Work eff 10-14-16'!C389/12</f>
        <v>116.75833333333361</v>
      </c>
      <c r="G42" s="32">
        <f>SUMIF('305 Inputs'!$A$7:$A$44,"=24f",'305 Inputs'!$H$7:$H$44)</f>
        <v>1273620</v>
      </c>
      <c r="H42" s="32">
        <f>'Normalized Monthly kWh'!AC15</f>
        <v>8762.5736653830463</v>
      </c>
      <c r="I42" s="32">
        <f>'305 VS COGNOS kWh'!E19+'305 VS COGNOS kWh'!K19</f>
        <v>-3150.2057046880946</v>
      </c>
      <c r="J42" s="32">
        <v>0</v>
      </c>
      <c r="K42" s="32">
        <f>H42+I42+J42</f>
        <v>5612.3679606949518</v>
      </c>
      <c r="L42" s="92">
        <f>G42+K42</f>
        <v>1279232.3679606949</v>
      </c>
      <c r="M42" s="29">
        <f>'Table 3'!D42</f>
        <v>169247.65</v>
      </c>
      <c r="N42" s="29">
        <f>'Table 3'!I42</f>
        <v>-2728.6277806973535</v>
      </c>
      <c r="O42" s="29">
        <f>'Table 3'!M42</f>
        <v>3702.3162136331957</v>
      </c>
      <c r="P42" s="29">
        <f>N42+O42</f>
        <v>973.68843293584223</v>
      </c>
      <c r="Q42" s="29">
        <f>+P42+M42</f>
        <v>170221.33843293582</v>
      </c>
      <c r="S42" s="12"/>
      <c r="T42" s="12"/>
      <c r="U42" s="16"/>
    </row>
    <row r="43" spans="1:21" ht="15.75" customHeight="1">
      <c r="B43" s="882" t="s">
        <v>57</v>
      </c>
      <c r="D43" s="93">
        <f>SUMIF('305 Inputs'!$A$7:$A$44,"=24fp",'305 Inputs'!$J$7:$J$44)</f>
        <v>81.333333333333329</v>
      </c>
      <c r="E43" s="93">
        <f t="shared" si="17"/>
        <v>-0.6906150793650454</v>
      </c>
      <c r="F43" s="93">
        <f>'Rate Design Work eff 10-14-16'!C495/12</f>
        <v>80.642718253968283</v>
      </c>
      <c r="G43" s="93">
        <f>SUMIF('305 Inputs'!$A$7:$A$44,"=24fp",'305 Inputs'!$H$7:$H$44)</f>
        <v>300479</v>
      </c>
      <c r="H43" s="93">
        <f>'Normalized Monthly kWh'!AC16</f>
        <v>1965.5392472718752</v>
      </c>
      <c r="I43" s="93">
        <f>'305 VS COGNOS kWh'!E20+'305 VS COGNOS kWh'!K20</f>
        <v>-15499</v>
      </c>
      <c r="J43" s="93">
        <v>0</v>
      </c>
      <c r="K43" s="93">
        <f>H43+I43+J43</f>
        <v>-13533.460752728124</v>
      </c>
      <c r="L43" s="94">
        <f>G43+K43</f>
        <v>286945.5392472719</v>
      </c>
      <c r="M43" s="31">
        <f>'Table 3'!D43</f>
        <v>98574.930000000008</v>
      </c>
      <c r="N43" s="31">
        <f>'Table 3'!I43</f>
        <v>43.986943983981973</v>
      </c>
      <c r="O43" s="31">
        <f>'Table 3'!M43</f>
        <v>4056.8145556797972</v>
      </c>
      <c r="P43" s="31">
        <f t="shared" ref="P43" si="18">N43+O43</f>
        <v>4100.8014996637794</v>
      </c>
      <c r="Q43" s="31">
        <f>+P43+M43</f>
        <v>102675.73149966379</v>
      </c>
      <c r="S43" s="8"/>
      <c r="T43" s="8"/>
      <c r="U43" s="55"/>
    </row>
    <row r="44" spans="1:21" ht="15.75" customHeight="1">
      <c r="B44" s="4" t="s">
        <v>35</v>
      </c>
      <c r="D44" s="32">
        <f t="shared" ref="D44:J44" si="19">SUM(D41:D43)</f>
        <v>15236.666666666668</v>
      </c>
      <c r="E44" s="32">
        <f t="shared" si="19"/>
        <v>-29.773948413859102</v>
      </c>
      <c r="F44" s="32">
        <f t="shared" si="19"/>
        <v>15206.892718252808</v>
      </c>
      <c r="G44" s="32">
        <f>SUM(G41:G43)</f>
        <v>505180551</v>
      </c>
      <c r="H44" s="32">
        <f t="shared" si="19"/>
        <v>3488554.1053804033</v>
      </c>
      <c r="I44" s="32">
        <f t="shared" si="19"/>
        <v>618633.79429531191</v>
      </c>
      <c r="J44" s="32">
        <f t="shared" si="19"/>
        <v>-11638549.794266243</v>
      </c>
      <c r="K44" s="32">
        <f>H44+I44+J44</f>
        <v>-7531361.8945905268</v>
      </c>
      <c r="L44" s="92">
        <f t="shared" ref="L44:Q44" si="20">SUM(L41:L43)</f>
        <v>497649189.10540944</v>
      </c>
      <c r="M44" s="32">
        <f t="shared" si="20"/>
        <v>45883412.749999993</v>
      </c>
      <c r="N44" s="32">
        <f t="shared" si="20"/>
        <v>-1799287.13720915</v>
      </c>
      <c r="O44" s="32">
        <f t="shared" si="20"/>
        <v>514210.35928830563</v>
      </c>
      <c r="P44" s="32">
        <f t="shared" si="20"/>
        <v>-1285076.7779208443</v>
      </c>
      <c r="Q44" s="32">
        <f t="shared" si="20"/>
        <v>44598335.97207915</v>
      </c>
      <c r="U44" s="55"/>
    </row>
    <row r="45" spans="1:21" ht="15.75" customHeight="1">
      <c r="D45" s="32"/>
      <c r="E45" s="32"/>
      <c r="F45" s="32"/>
      <c r="G45" s="9"/>
      <c r="H45" s="9"/>
      <c r="I45" s="9"/>
      <c r="J45" s="9"/>
      <c r="K45" s="9"/>
      <c r="L45" s="48" t="s">
        <v>31</v>
      </c>
      <c r="M45" s="29"/>
      <c r="N45" s="29"/>
      <c r="O45" s="29"/>
      <c r="P45" s="29"/>
      <c r="Q45" s="8"/>
      <c r="S45" s="8"/>
      <c r="T45" s="8"/>
      <c r="U45" s="55"/>
    </row>
    <row r="46" spans="1:21" ht="15.75" customHeight="1">
      <c r="B46" s="882" t="s">
        <v>53</v>
      </c>
      <c r="D46" s="93">
        <f>SUMIF('305 Inputs'!$A$7:$A$44,"=36",'305 Inputs'!$J$7:$J$44)</f>
        <v>975.33333333333337</v>
      </c>
      <c r="E46" s="93">
        <f>F46-D46</f>
        <v>-3.908333333336941</v>
      </c>
      <c r="F46" s="93">
        <f>'Rate Design Work eff 10-14-16'!C647/12</f>
        <v>971.42499999999643</v>
      </c>
      <c r="G46" s="93">
        <f>SUMIF('305 Inputs'!$A$7:$A$44,"=36",'305 Inputs'!$H$7:$H$44)</f>
        <v>835429230</v>
      </c>
      <c r="H46" s="93">
        <f>'Normalized Monthly kWh'!AC18</f>
        <v>5770845.7835495584</v>
      </c>
      <c r="I46" s="93">
        <f>'305 VS COGNOS kWh'!E22+'305 VS COGNOS kWh'!K22+'305 VS COGNOS kWh'!E27+'305 VS COGNOS kWh'!K27</f>
        <v>1275320</v>
      </c>
      <c r="J46" s="93">
        <f>Temperature!B110*1000</f>
        <v>-19390986.185094025</v>
      </c>
      <c r="K46" s="93">
        <f>H46+I46+J46</f>
        <v>-12344820.401544467</v>
      </c>
      <c r="L46" s="94">
        <f>G46+K46</f>
        <v>823084409.59845555</v>
      </c>
      <c r="M46" s="31">
        <f>'Table 3'!D46</f>
        <v>64133720.529999994</v>
      </c>
      <c r="N46" s="31">
        <f>'Table 3'!I46</f>
        <v>-2207112.5268989215</v>
      </c>
      <c r="O46" s="31">
        <f>'Table 3'!M46</f>
        <v>1715717.8856074065</v>
      </c>
      <c r="P46" s="31">
        <f t="shared" ref="P46" si="21">N46+O46</f>
        <v>-491394.64129151497</v>
      </c>
      <c r="Q46" s="31">
        <f>+P46+M46</f>
        <v>63642325.88870848</v>
      </c>
      <c r="S46" s="8"/>
      <c r="T46" s="8"/>
      <c r="U46" s="55"/>
    </row>
    <row r="47" spans="1:21" ht="15.75" customHeight="1">
      <c r="B47" s="4" t="s">
        <v>35</v>
      </c>
      <c r="D47" s="32">
        <f t="shared" ref="D47:I47" si="22">SUM(D46:D46)</f>
        <v>975.33333333333337</v>
      </c>
      <c r="E47" s="32">
        <f t="shared" si="22"/>
        <v>-3.908333333336941</v>
      </c>
      <c r="F47" s="32">
        <f t="shared" si="22"/>
        <v>971.42499999999643</v>
      </c>
      <c r="G47" s="32">
        <f>SUM(G46:G46)</f>
        <v>835429230</v>
      </c>
      <c r="H47" s="32">
        <f t="shared" si="22"/>
        <v>5770845.7835495584</v>
      </c>
      <c r="I47" s="32">
        <f t="shared" si="22"/>
        <v>1275320</v>
      </c>
      <c r="J47" s="32">
        <f t="shared" ref="J47:Q47" si="23">SUM(J46:J46)</f>
        <v>-19390986.185094025</v>
      </c>
      <c r="K47" s="32">
        <f t="shared" si="23"/>
        <v>-12344820.401544467</v>
      </c>
      <c r="L47" s="92">
        <f t="shared" si="23"/>
        <v>823084409.59845555</v>
      </c>
      <c r="M47" s="29">
        <f t="shared" si="23"/>
        <v>64133720.529999994</v>
      </c>
      <c r="N47" s="29">
        <f t="shared" si="23"/>
        <v>-2207112.5268989215</v>
      </c>
      <c r="O47" s="29">
        <f t="shared" si="23"/>
        <v>1715717.8856074065</v>
      </c>
      <c r="P47" s="29">
        <f t="shared" si="23"/>
        <v>-491394.64129151497</v>
      </c>
      <c r="Q47" s="29">
        <f t="shared" si="23"/>
        <v>63642325.88870848</v>
      </c>
      <c r="S47" s="8"/>
      <c r="T47" s="8"/>
      <c r="U47" s="55"/>
    </row>
    <row r="48" spans="1:21" ht="15.75" customHeight="1">
      <c r="D48" s="32"/>
      <c r="E48" s="32"/>
      <c r="F48" s="32"/>
      <c r="G48" s="9"/>
      <c r="H48" s="9"/>
      <c r="I48" s="9"/>
      <c r="J48" s="9" t="s">
        <v>31</v>
      </c>
      <c r="K48" s="9" t="s">
        <v>31</v>
      </c>
      <c r="L48" s="48" t="s">
        <v>31</v>
      </c>
      <c r="M48" s="29" t="s">
        <v>31</v>
      </c>
      <c r="N48" s="29" t="s">
        <v>31</v>
      </c>
      <c r="O48" s="29" t="s">
        <v>31</v>
      </c>
      <c r="P48" s="29"/>
      <c r="Q48" s="29" t="s">
        <v>31</v>
      </c>
      <c r="S48" s="8"/>
      <c r="T48" s="8"/>
      <c r="U48" s="55"/>
    </row>
    <row r="49" spans="2:21" ht="15.75" customHeight="1">
      <c r="B49" s="882" t="s">
        <v>54</v>
      </c>
      <c r="C49" s="11"/>
      <c r="D49" s="93">
        <f>SUMIF('305 Inputs'!$A$7:$A$44,"=48t",'305 Inputs'!$J$7:$J$44)</f>
        <v>36.083333333333336</v>
      </c>
      <c r="E49" s="93">
        <f>F49-D49</f>
        <v>-0.64393939393936961</v>
      </c>
      <c r="F49" s="93">
        <f>'Rate Design Work eff 10-14-16'!C1056/12</f>
        <v>35.439393939393966</v>
      </c>
      <c r="G49" s="93">
        <f>SUMIF('305 Inputs'!$A$7:$A$44,"=48t",'305 Inputs'!$H$7:$H$44)</f>
        <v>198521160</v>
      </c>
      <c r="H49" s="93">
        <f>'Normalized Monthly kWh'!AC19</f>
        <v>1375380.6050737028</v>
      </c>
      <c r="I49" s="93">
        <f>'305 VS COGNOS kWh'!E23+'305 VS COGNOS kWh'!K23</f>
        <v>892800</v>
      </c>
      <c r="J49" s="93">
        <f>(Temperature!B127+Temperature!F127)*1000</f>
        <v>-4668906.8399751736</v>
      </c>
      <c r="K49" s="93">
        <f>H49+I49+J49</f>
        <v>-2400726.2349014711</v>
      </c>
      <c r="L49" s="94">
        <f>G49+K49</f>
        <v>196120433.76509854</v>
      </c>
      <c r="M49" s="31">
        <f>'Table 3'!D49</f>
        <v>13874291.709999999</v>
      </c>
      <c r="N49" s="31">
        <f>'Table 3'!I49</f>
        <v>-426624.80953038874</v>
      </c>
      <c r="O49" s="31">
        <f>'Table 3'!M49</f>
        <v>353411.76070720889</v>
      </c>
      <c r="P49" s="31">
        <f t="shared" ref="P49" si="24">N49+O49</f>
        <v>-73213.048823179852</v>
      </c>
      <c r="Q49" s="31">
        <f>+P49+M49</f>
        <v>13801078.661176819</v>
      </c>
      <c r="U49" s="55"/>
    </row>
    <row r="50" spans="2:21" ht="15.75" customHeight="1">
      <c r="B50" s="4" t="s">
        <v>35</v>
      </c>
      <c r="D50" s="32">
        <f t="shared" ref="D50:I50" si="25">SUM(D49)</f>
        <v>36.083333333333336</v>
      </c>
      <c r="E50" s="32">
        <f t="shared" si="25"/>
        <v>-0.64393939393936961</v>
      </c>
      <c r="F50" s="32">
        <f t="shared" si="25"/>
        <v>35.439393939393966</v>
      </c>
      <c r="G50" s="32">
        <f>SUM(G49)</f>
        <v>198521160</v>
      </c>
      <c r="H50" s="32">
        <f t="shared" si="25"/>
        <v>1375380.6050737028</v>
      </c>
      <c r="I50" s="32">
        <f t="shared" si="25"/>
        <v>892800</v>
      </c>
      <c r="J50" s="32">
        <f t="shared" ref="J50:Q50" si="26">SUM(J49)</f>
        <v>-4668906.8399751736</v>
      </c>
      <c r="K50" s="32">
        <f t="shared" si="26"/>
        <v>-2400726.2349014711</v>
      </c>
      <c r="L50" s="92">
        <f>SUM(L49)</f>
        <v>196120433.76509854</v>
      </c>
      <c r="M50" s="29">
        <f>SUM(M49)</f>
        <v>13874291.709999999</v>
      </c>
      <c r="N50" s="29">
        <f t="shared" si="26"/>
        <v>-426624.80953038874</v>
      </c>
      <c r="O50" s="29">
        <f t="shared" si="26"/>
        <v>353411.76070720889</v>
      </c>
      <c r="P50" s="29">
        <f t="shared" si="26"/>
        <v>-73213.048823179852</v>
      </c>
      <c r="Q50" s="29">
        <f t="shared" si="26"/>
        <v>13801078.661176819</v>
      </c>
      <c r="S50" s="8"/>
      <c r="T50" s="8"/>
      <c r="U50" s="55"/>
    </row>
    <row r="51" spans="2:21" ht="15.75" customHeight="1">
      <c r="D51" s="32"/>
      <c r="E51" s="32"/>
      <c r="F51" s="32"/>
      <c r="G51" s="9"/>
      <c r="H51" s="9"/>
      <c r="I51" s="9"/>
      <c r="J51" s="9" t="s">
        <v>31</v>
      </c>
      <c r="K51" s="9" t="s">
        <v>31</v>
      </c>
      <c r="L51" s="48" t="s">
        <v>31</v>
      </c>
      <c r="M51" s="29" t="s">
        <v>31</v>
      </c>
      <c r="N51" s="29" t="s">
        <v>31</v>
      </c>
      <c r="O51" s="29" t="s">
        <v>31</v>
      </c>
      <c r="P51" s="29"/>
      <c r="Q51" s="29" t="s">
        <v>31</v>
      </c>
      <c r="S51" s="8"/>
      <c r="T51" s="8"/>
      <c r="U51" s="55"/>
    </row>
    <row r="52" spans="2:21" ht="15.75" customHeight="1">
      <c r="B52" s="882" t="s">
        <v>55</v>
      </c>
      <c r="D52" s="32">
        <f>SUMIF('305 Inputs'!$A$7:$A$44,"=15n",'305 Inputs'!$J$7:$J$44)</f>
        <v>1290.3333333333333</v>
      </c>
      <c r="E52" s="32">
        <f t="shared" ref="E52:E53" si="27">F52-D52</f>
        <v>2.8333333333334849</v>
      </c>
      <c r="F52" s="32">
        <f>'Rate Design Work eff 10-14-16'!C62/12</f>
        <v>1293.1666666666667</v>
      </c>
      <c r="G52" s="32">
        <f>SUMIF('305 Inputs'!$A$7:$A$44,"=15n",'305 Inputs'!$H$7:$H$44)</f>
        <v>2060602</v>
      </c>
      <c r="H52" s="32">
        <f>'Normalized Monthly kWh'!AC20</f>
        <v>14372.590194620605</v>
      </c>
      <c r="I52" s="32">
        <f>'305 VS COGNOS kWh'!E24+'305 VS COGNOS kWh'!K24</f>
        <v>23254</v>
      </c>
      <c r="J52" s="32">
        <v>0</v>
      </c>
      <c r="K52" s="32">
        <f>H52+I52+J52</f>
        <v>37626.590194620607</v>
      </c>
      <c r="L52" s="92">
        <f>G52+K52</f>
        <v>2098228.5901946207</v>
      </c>
      <c r="M52" s="29">
        <f>'Table 3'!D52</f>
        <v>291043.54000000004</v>
      </c>
      <c r="N52" s="29">
        <f>'Table 3'!I52</f>
        <v>1291.2324236590434</v>
      </c>
      <c r="O52" s="29">
        <f>'Table 3'!M52</f>
        <v>3795.1486014280235</v>
      </c>
      <c r="P52" s="29">
        <f>N52+O52</f>
        <v>5086.3810250870665</v>
      </c>
      <c r="Q52" s="29">
        <f>+P52+M52</f>
        <v>296129.92102508713</v>
      </c>
      <c r="S52" s="8"/>
      <c r="T52" s="8"/>
      <c r="U52" s="55"/>
    </row>
    <row r="53" spans="2:21" ht="15.75" customHeight="1">
      <c r="B53" s="882" t="s">
        <v>56</v>
      </c>
      <c r="D53" s="93">
        <f>SUMIF('305 Inputs'!$A$7:$A$44,"=54",'305 Inputs'!$J$7:$J$44)</f>
        <v>29.083333333333332</v>
      </c>
      <c r="E53" s="93">
        <f t="shared" si="27"/>
        <v>3.8888888888919837E-2</v>
      </c>
      <c r="F53" s="93">
        <f>'Rate Design Work eff 10-14-16'!C1220/12</f>
        <v>29.122222222222252</v>
      </c>
      <c r="G53" s="93">
        <f>SUMIF('305 Inputs'!$A$7:$A$44,"=54",'305 Inputs'!$H$7:$H$44)</f>
        <v>269682</v>
      </c>
      <c r="H53" s="93">
        <f>'Normalized Monthly kWh'!AC21</f>
        <v>1846.9158017184013</v>
      </c>
      <c r="I53" s="93">
        <f>'305 VS COGNOS kWh'!E25+'305 VS COGNOS kWh'!K25</f>
        <v>-1901</v>
      </c>
      <c r="J53" s="93">
        <v>0</v>
      </c>
      <c r="K53" s="93">
        <f>H53+I53+J53</f>
        <v>-54.084198281598674</v>
      </c>
      <c r="L53" s="94">
        <f>G53+K53</f>
        <v>269627.91580171842</v>
      </c>
      <c r="M53" s="31">
        <f>'Table 3'!D53</f>
        <v>24562.3</v>
      </c>
      <c r="N53" s="31">
        <f>'Table 3'!I53</f>
        <v>-745.60624223063996</v>
      </c>
      <c r="O53" s="31">
        <f>'Table 3'!M53</f>
        <v>291.57919000000038</v>
      </c>
      <c r="P53" s="31">
        <f t="shared" ref="P53" si="28">N53+O53</f>
        <v>-454.02705223063958</v>
      </c>
      <c r="Q53" s="31">
        <f>+P53+M53</f>
        <v>24108.272947769361</v>
      </c>
      <c r="S53" s="8"/>
      <c r="T53" s="8"/>
      <c r="U53" s="55"/>
    </row>
    <row r="54" spans="2:21" ht="15.75" customHeight="1">
      <c r="B54" s="4" t="s">
        <v>35</v>
      </c>
      <c r="D54" s="32">
        <f t="shared" ref="D54:I54" si="29">SUM(D52:D53)</f>
        <v>1319.4166666666665</v>
      </c>
      <c r="E54" s="32">
        <f t="shared" si="29"/>
        <v>2.8722222222224048</v>
      </c>
      <c r="F54" s="32">
        <f t="shared" si="29"/>
        <v>1322.288888888889</v>
      </c>
      <c r="G54" s="32">
        <f>SUM(G52:G53)</f>
        <v>2330284</v>
      </c>
      <c r="H54" s="32">
        <f t="shared" si="29"/>
        <v>16219.505996339007</v>
      </c>
      <c r="I54" s="32">
        <f t="shared" si="29"/>
        <v>21353</v>
      </c>
      <c r="J54" s="32">
        <f t="shared" ref="J54:Q54" si="30">SUM(J52:J53)</f>
        <v>0</v>
      </c>
      <c r="K54" s="32">
        <f t="shared" si="30"/>
        <v>37572.505996339009</v>
      </c>
      <c r="L54" s="92">
        <f t="shared" si="30"/>
        <v>2367856.505996339</v>
      </c>
      <c r="M54" s="29">
        <f t="shared" si="30"/>
        <v>315605.84000000003</v>
      </c>
      <c r="N54" s="29">
        <f t="shared" si="30"/>
        <v>545.62618142840347</v>
      </c>
      <c r="O54" s="29">
        <f t="shared" si="30"/>
        <v>4086.7277914280239</v>
      </c>
      <c r="P54" s="29">
        <f t="shared" si="30"/>
        <v>4632.3539728564265</v>
      </c>
      <c r="Q54" s="29">
        <f t="shared" si="30"/>
        <v>320238.1939728565</v>
      </c>
      <c r="U54" s="55"/>
    </row>
    <row r="55" spans="2:21" ht="15.75" customHeight="1">
      <c r="D55" s="32"/>
      <c r="E55" s="32"/>
      <c r="F55" s="32" t="s">
        <v>31</v>
      </c>
      <c r="G55" s="9"/>
      <c r="H55" s="9"/>
      <c r="I55" s="9"/>
      <c r="J55" s="9" t="s">
        <v>31</v>
      </c>
      <c r="K55" s="9" t="s">
        <v>31</v>
      </c>
      <c r="L55" s="48" t="s">
        <v>31</v>
      </c>
      <c r="M55" s="29" t="s">
        <v>31</v>
      </c>
      <c r="N55" s="29" t="s">
        <v>31</v>
      </c>
      <c r="O55" s="29" t="s">
        <v>31</v>
      </c>
      <c r="P55" s="29"/>
      <c r="Q55" s="8"/>
      <c r="S55" s="8"/>
      <c r="T55" s="8"/>
      <c r="U55" s="55"/>
    </row>
    <row r="56" spans="2:21" s="11" customFormat="1" ht="15.75" customHeight="1">
      <c r="B56" s="4" t="s">
        <v>34</v>
      </c>
      <c r="D56" s="93">
        <v>0</v>
      </c>
      <c r="E56" s="93"/>
      <c r="F56" s="93"/>
      <c r="G56" s="93">
        <f>SUMIF('305 Inputs'!$A$7:$A$44,"=aga",'305 Inputs'!$H$7:$H$44)</f>
        <v>0</v>
      </c>
      <c r="H56" s="93"/>
      <c r="I56" s="93"/>
      <c r="J56" s="93">
        <v>0</v>
      </c>
      <c r="K56" s="93">
        <f>J56</f>
        <v>0</v>
      </c>
      <c r="L56" s="94">
        <f>G56+K56</f>
        <v>0</v>
      </c>
      <c r="M56" s="31">
        <f>'Table 3'!D56</f>
        <v>401953.01999999996</v>
      </c>
      <c r="N56" s="31">
        <f>'Table 3'!I56</f>
        <v>0</v>
      </c>
      <c r="O56" s="31">
        <f>'Table 3'!M56</f>
        <v>0</v>
      </c>
      <c r="P56" s="31">
        <f t="shared" ref="P56" si="31">N56+O56</f>
        <v>0</v>
      </c>
      <c r="Q56" s="31">
        <f>+P56+M56</f>
        <v>401953.01999999996</v>
      </c>
      <c r="S56" s="12"/>
      <c r="T56" s="12"/>
      <c r="U56" s="16"/>
    </row>
    <row r="57" spans="2:21" s="11" customFormat="1" ht="15.75" customHeight="1">
      <c r="B57" s="4"/>
      <c r="D57" s="93"/>
      <c r="E57" s="93"/>
      <c r="F57" s="93"/>
      <c r="G57" s="32"/>
      <c r="H57" s="32"/>
      <c r="I57" s="32"/>
      <c r="J57" s="93"/>
      <c r="K57" s="93"/>
      <c r="L57" s="94"/>
      <c r="M57" s="31"/>
      <c r="N57" s="31"/>
      <c r="O57" s="31"/>
      <c r="P57" s="31"/>
      <c r="Q57" s="31"/>
      <c r="S57" s="12"/>
      <c r="T57" s="12"/>
      <c r="U57" s="16"/>
    </row>
    <row r="58" spans="2:21" s="11" customFormat="1" ht="15.75" customHeight="1">
      <c r="B58" s="4" t="s">
        <v>654</v>
      </c>
      <c r="D58" s="93">
        <f>SUMIF('305 Inputs'!$A$7:$A$44,"=def",'305 Inputs'!$J$7:$J$44)</f>
        <v>0</v>
      </c>
      <c r="E58" s="93"/>
      <c r="F58" s="93"/>
      <c r="G58" s="93">
        <f>SUMIF('305 Inputs'!$A$7:$A$44,"=def",'305 Inputs'!$H$7:$H$44)</f>
        <v>0</v>
      </c>
      <c r="H58" s="93"/>
      <c r="I58" s="93"/>
      <c r="J58" s="93">
        <v>0</v>
      </c>
      <c r="K58" s="93">
        <f>J58</f>
        <v>0</v>
      </c>
      <c r="L58" s="94">
        <v>0</v>
      </c>
      <c r="M58" s="31">
        <f>'Table 3'!D58</f>
        <v>-1020000</v>
      </c>
      <c r="N58" s="31">
        <f>'Table 3'!I58</f>
        <v>1020000</v>
      </c>
      <c r="O58" s="31">
        <f>'Table 3'!M58</f>
        <v>0</v>
      </c>
      <c r="P58" s="31">
        <f t="shared" ref="P58:P66" si="32">N58+O58</f>
        <v>1020000</v>
      </c>
      <c r="Q58" s="31">
        <f t="shared" ref="Q58:Q64" si="33">+P58+M58</f>
        <v>0</v>
      </c>
      <c r="S58" s="12"/>
      <c r="T58" s="12"/>
      <c r="U58" s="16"/>
    </row>
    <row r="59" spans="2:21" ht="15.75" customHeight="1">
      <c r="B59" s="4" t="s">
        <v>728</v>
      </c>
      <c r="D59" s="93">
        <f>SUMIF('305 Inputs'!$A$7:$A$44,"=rev",'305 Inputs'!$J$7:$J$44)</f>
        <v>0</v>
      </c>
      <c r="E59" s="93"/>
      <c r="F59" s="93"/>
      <c r="G59" s="93">
        <f>SUMIF('305 Inputs'!$A$7:$A$44,"=rep",'305 Inputs'!$H$7:$H$44)</f>
        <v>0</v>
      </c>
      <c r="H59" s="93"/>
      <c r="I59" s="93"/>
      <c r="J59" s="93">
        <v>0</v>
      </c>
      <c r="K59" s="93">
        <f t="shared" ref="K59:K64" si="34">J59</f>
        <v>0</v>
      </c>
      <c r="L59" s="94">
        <v>0</v>
      </c>
      <c r="M59" s="29">
        <f>'Table 3'!D59</f>
        <v>-3727273.96</v>
      </c>
      <c r="N59" s="639">
        <f>'Table 3'!I59</f>
        <v>3727273.96</v>
      </c>
      <c r="O59" s="31">
        <f>'Table 3'!M59</f>
        <v>0</v>
      </c>
      <c r="P59" s="31">
        <f t="shared" si="32"/>
        <v>3727273.96</v>
      </c>
      <c r="Q59" s="31">
        <f t="shared" si="33"/>
        <v>0</v>
      </c>
      <c r="S59" s="8"/>
      <c r="T59" s="8"/>
      <c r="U59" s="55"/>
    </row>
    <row r="60" spans="2:21" s="11" customFormat="1" ht="15.75" customHeight="1">
      <c r="B60" s="4" t="s">
        <v>233</v>
      </c>
      <c r="D60" s="93">
        <v>0</v>
      </c>
      <c r="E60" s="93"/>
      <c r="F60" s="93"/>
      <c r="G60" s="93">
        <f>SUMIF('305 Inputs'!$A$7:$A$44,"=acq",'305 Inputs'!$H$7:$H$44)</f>
        <v>0</v>
      </c>
      <c r="H60" s="93"/>
      <c r="I60" s="93"/>
      <c r="J60" s="93">
        <v>0</v>
      </c>
      <c r="K60" s="93">
        <f t="shared" si="34"/>
        <v>0</v>
      </c>
      <c r="L60" s="94">
        <f>G60+K60</f>
        <v>0</v>
      </c>
      <c r="M60" s="31">
        <f>'Table 3'!D60</f>
        <v>0</v>
      </c>
      <c r="N60" s="31">
        <f>'Table 3'!I60</f>
        <v>0</v>
      </c>
      <c r="O60" s="31">
        <f>'Table 3'!M60</f>
        <v>0</v>
      </c>
      <c r="P60" s="31">
        <f t="shared" si="32"/>
        <v>0</v>
      </c>
      <c r="Q60" s="31">
        <f t="shared" si="33"/>
        <v>0</v>
      </c>
      <c r="S60" s="12"/>
      <c r="T60" s="12"/>
      <c r="U60" s="16"/>
    </row>
    <row r="61" spans="2:21" s="11" customFormat="1" ht="15.75" customHeight="1">
      <c r="B61" s="4" t="s">
        <v>735</v>
      </c>
      <c r="D61" s="93">
        <v>0</v>
      </c>
      <c r="E61" s="93"/>
      <c r="F61" s="93"/>
      <c r="G61" s="93">
        <f>SUMIF('305 Inputs'!$A$7:$A$44,"=cent",'305 Inputs'!$H$7:$H$44)</f>
        <v>0</v>
      </c>
      <c r="H61" s="93"/>
      <c r="I61" s="93"/>
      <c r="J61" s="93">
        <v>0</v>
      </c>
      <c r="K61" s="93">
        <f t="shared" si="34"/>
        <v>0</v>
      </c>
      <c r="L61" s="94">
        <f>G61+K61</f>
        <v>0</v>
      </c>
      <c r="M61" s="31">
        <f>'Table 3'!D61</f>
        <v>4353907.04</v>
      </c>
      <c r="N61" s="31">
        <f>'Table 3'!I61</f>
        <v>-4353907.04</v>
      </c>
      <c r="O61" s="31">
        <f>'Table 3'!M61</f>
        <v>0</v>
      </c>
      <c r="P61" s="31">
        <f t="shared" si="32"/>
        <v>-4353907.04</v>
      </c>
      <c r="Q61" s="31">
        <f t="shared" si="33"/>
        <v>0</v>
      </c>
      <c r="S61" s="12"/>
      <c r="T61" s="12"/>
      <c r="U61" s="16"/>
    </row>
    <row r="62" spans="2:21" s="11" customFormat="1" ht="15.75" customHeight="1">
      <c r="B62" s="4" t="s">
        <v>736</v>
      </c>
      <c r="D62" s="93">
        <v>0</v>
      </c>
      <c r="E62" s="93"/>
      <c r="F62" s="93"/>
      <c r="G62" s="93">
        <f>SUMIF('305 Inputs'!$A$7:$A$44,"=merger",'305 Inputs'!$H$7:$H$44)</f>
        <v>0</v>
      </c>
      <c r="H62" s="93"/>
      <c r="I62" s="93"/>
      <c r="J62" s="93">
        <v>0</v>
      </c>
      <c r="K62" s="93">
        <f t="shared" si="34"/>
        <v>0</v>
      </c>
      <c r="L62" s="94">
        <v>0</v>
      </c>
      <c r="M62" s="31">
        <f>'Table 3'!D62</f>
        <v>30640.87</v>
      </c>
      <c r="N62" s="31">
        <f>'Table 3'!I62</f>
        <v>-30640.87</v>
      </c>
      <c r="O62" s="31">
        <f>'Table 3'!M62</f>
        <v>0</v>
      </c>
      <c r="P62" s="31">
        <f t="shared" si="32"/>
        <v>-30640.87</v>
      </c>
      <c r="Q62" s="31">
        <f t="shared" si="33"/>
        <v>0</v>
      </c>
      <c r="S62" s="12"/>
      <c r="T62" s="12"/>
      <c r="U62" s="16"/>
    </row>
    <row r="63" spans="2:21" s="11" customFormat="1" ht="15.75" customHeight="1">
      <c r="B63" s="4" t="s">
        <v>95</v>
      </c>
      <c r="D63" s="93">
        <v>0</v>
      </c>
      <c r="E63" s="93"/>
      <c r="F63" s="93"/>
      <c r="G63" s="93">
        <f>SUMIF('305 Inputs'!$A$7:$A$44,"=bpa",'305 Inputs'!$H$7:$H$44)</f>
        <v>0</v>
      </c>
      <c r="H63" s="93"/>
      <c r="I63" s="93"/>
      <c r="J63" s="93">
        <v>0</v>
      </c>
      <c r="K63" s="93">
        <f t="shared" si="34"/>
        <v>0</v>
      </c>
      <c r="L63" s="94">
        <f>G63+K63</f>
        <v>0</v>
      </c>
      <c r="M63" s="31">
        <f>'Table 3'!D63</f>
        <v>2680.38</v>
      </c>
      <c r="N63" s="31">
        <f>'Table 3'!I63</f>
        <v>-2680.38</v>
      </c>
      <c r="O63" s="31">
        <f>'Table 3'!M63</f>
        <v>0</v>
      </c>
      <c r="P63" s="31">
        <f t="shared" si="32"/>
        <v>-2680.38</v>
      </c>
      <c r="Q63" s="31">
        <f t="shared" si="33"/>
        <v>0</v>
      </c>
      <c r="S63" s="12"/>
      <c r="T63" s="12"/>
      <c r="U63" s="16"/>
    </row>
    <row r="64" spans="2:21" s="11" customFormat="1" ht="15.75" customHeight="1">
      <c r="B64" s="4" t="s">
        <v>668</v>
      </c>
      <c r="D64" s="93">
        <v>0</v>
      </c>
      <c r="E64" s="93"/>
      <c r="F64" s="93"/>
      <c r="G64" s="93">
        <f>SUMIF('305 Inputs'!$A$7:$A$44,"=smud",'305 Inputs'!$H$7:$H$44)</f>
        <v>0</v>
      </c>
      <c r="H64" s="93"/>
      <c r="I64" s="93"/>
      <c r="J64" s="93">
        <v>0</v>
      </c>
      <c r="K64" s="93">
        <f t="shared" si="34"/>
        <v>0</v>
      </c>
      <c r="L64" s="94">
        <f>G64+K64</f>
        <v>0</v>
      </c>
      <c r="M64" s="31">
        <f>'Table 3'!D64</f>
        <v>75892.78</v>
      </c>
      <c r="N64" s="31">
        <f>'Table 3'!I64</f>
        <v>-75892.78</v>
      </c>
      <c r="O64" s="31">
        <f>'Table 3'!M64</f>
        <v>0</v>
      </c>
      <c r="P64" s="31">
        <f t="shared" si="32"/>
        <v>-75892.78</v>
      </c>
      <c r="Q64" s="31">
        <f t="shared" si="33"/>
        <v>0</v>
      </c>
      <c r="S64" s="12"/>
      <c r="T64" s="12"/>
      <c r="U64" s="16"/>
    </row>
    <row r="65" spans="1:21" ht="15.75" customHeight="1">
      <c r="B65" s="11"/>
      <c r="D65" s="32"/>
      <c r="E65" s="32"/>
      <c r="F65" s="32"/>
      <c r="G65" s="32"/>
      <c r="H65" s="32"/>
      <c r="I65" s="32"/>
      <c r="J65" s="9"/>
      <c r="K65" s="9"/>
      <c r="L65" s="48"/>
      <c r="M65" s="29"/>
      <c r="N65" s="639"/>
      <c r="O65" s="29"/>
      <c r="P65" s="29"/>
      <c r="Q65" s="29"/>
      <c r="S65" s="8"/>
      <c r="T65" s="8"/>
      <c r="U65" s="55"/>
    </row>
    <row r="66" spans="1:21" s="11" customFormat="1" ht="15.75" customHeight="1">
      <c r="B66" s="4" t="s">
        <v>80</v>
      </c>
      <c r="D66" s="93">
        <v>0</v>
      </c>
      <c r="E66" s="93"/>
      <c r="F66" s="93"/>
      <c r="G66" s="93">
        <f>SUMIF('305 Inputs'!$A$7:$A$44,"=unbilled",'305 Inputs'!$H$7:$H$44)</f>
        <v>10651000</v>
      </c>
      <c r="H66" s="93">
        <f>-G66</f>
        <v>-10651000</v>
      </c>
      <c r="I66" s="93"/>
      <c r="J66" s="93">
        <v>0</v>
      </c>
      <c r="K66" s="93">
        <f>H66+I66+J66</f>
        <v>-10651000</v>
      </c>
      <c r="L66" s="94">
        <f>G66+K66</f>
        <v>0</v>
      </c>
      <c r="M66" s="31">
        <f>'Table 3'!D66</f>
        <v>969000</v>
      </c>
      <c r="N66" s="31">
        <f>'Table 3'!I66</f>
        <v>-969000</v>
      </c>
      <c r="O66" s="31">
        <f>'Table 3'!M66</f>
        <v>0</v>
      </c>
      <c r="P66" s="31">
        <f t="shared" si="32"/>
        <v>-969000</v>
      </c>
      <c r="Q66" s="31">
        <f>+P66+M66</f>
        <v>0</v>
      </c>
      <c r="S66" s="12"/>
      <c r="T66" s="12"/>
      <c r="U66" s="16"/>
    </row>
    <row r="67" spans="1:21" ht="15.75" customHeight="1">
      <c r="B67" s="11"/>
      <c r="D67" s="32"/>
      <c r="E67" s="32"/>
      <c r="F67" s="32"/>
      <c r="G67" s="98"/>
      <c r="H67" s="9"/>
      <c r="I67" s="9"/>
      <c r="J67" s="9"/>
      <c r="K67" s="9"/>
      <c r="L67" s="99"/>
      <c r="M67" s="29"/>
      <c r="N67" s="639"/>
      <c r="O67" s="639"/>
      <c r="P67" s="639"/>
      <c r="Q67" s="8"/>
      <c r="S67" s="8"/>
      <c r="T67" s="8"/>
      <c r="U67" s="55"/>
    </row>
    <row r="68" spans="1:21" ht="15.75" customHeight="1">
      <c r="B68" s="33" t="s">
        <v>9</v>
      </c>
      <c r="C68" s="34"/>
      <c r="D68" s="97">
        <f>+D44+D47+D50+SUM(D56:D66)+D54</f>
        <v>17567.500000000004</v>
      </c>
      <c r="E68" s="97">
        <f>+E44+E47+E50+SUM(E56:E66)+E54</f>
        <v>-31.453998918913008</v>
      </c>
      <c r="F68" s="97">
        <f>+F44+F47+F50+SUM(F56:F66)+F54</f>
        <v>17536.046001081086</v>
      </c>
      <c r="G68" s="97">
        <f>+G44+G47+G50+G54+SUM(G56:G66)</f>
        <v>1552112225</v>
      </c>
      <c r="H68" s="97">
        <f>+H44+H47+H50+H54+SUM(H56:H66)</f>
        <v>0</v>
      </c>
      <c r="I68" s="97">
        <f>+I44+I47+I50+I54+SUM(I56:I66)</f>
        <v>2808106.7942953119</v>
      </c>
      <c r="J68" s="97">
        <f>+J44+J47+J50+SUM(J56:J66)+J54</f>
        <v>-35698442.819335438</v>
      </c>
      <c r="K68" s="97">
        <f>+K44+K47+K50+SUM(K56:K66)+K54</f>
        <v>-32890336.025040127</v>
      </c>
      <c r="L68" s="97">
        <f>+L44+L47+L50+SUM(L56:L66)+L54</f>
        <v>1519221888.9749599</v>
      </c>
      <c r="M68" s="37">
        <f>+M44+M47+M50+M54+M56+SUM(M58:M66)</f>
        <v>125293830.95999998</v>
      </c>
      <c r="N68" s="37">
        <f>+N44+N47+N50+N54+N56+SUM(N58:N66)</f>
        <v>-5117325.9574570321</v>
      </c>
      <c r="O68" s="37">
        <f>+O44+O47+O50+O54+O56+SUM(O58:O66)</f>
        <v>2587426.733394349</v>
      </c>
      <c r="P68" s="37">
        <f>+P44+P47+P50+P54+P56+SUM(P58:P66)</f>
        <v>-2529899.2240626831</v>
      </c>
      <c r="Q68" s="37">
        <f>+Q44+Q47+Q50+Q54+Q56+Q60+Q61+Q62+Q63+Q66+Q64</f>
        <v>122763931.7359373</v>
      </c>
      <c r="S68" s="8"/>
      <c r="T68" s="8"/>
      <c r="U68" s="55"/>
    </row>
    <row r="69" spans="1:21" ht="15.75" customHeight="1">
      <c r="D69" s="32"/>
      <c r="E69" s="32"/>
      <c r="F69" s="32"/>
      <c r="G69" s="100"/>
      <c r="H69" s="32"/>
      <c r="I69" s="32"/>
      <c r="J69" s="32"/>
      <c r="K69" s="32"/>
      <c r="L69" s="92"/>
      <c r="M69" s="29"/>
      <c r="N69" s="29"/>
      <c r="O69" s="29"/>
      <c r="P69" s="29"/>
      <c r="Q69" s="639" t="s">
        <v>31</v>
      </c>
      <c r="U69" s="55"/>
    </row>
    <row r="70" spans="1:21" ht="15.75" customHeight="1">
      <c r="A70" s="5" t="s">
        <v>30</v>
      </c>
      <c r="B70" s="5"/>
      <c r="D70" s="32"/>
      <c r="E70" s="32"/>
      <c r="F70" s="32"/>
      <c r="G70" s="9"/>
      <c r="H70" s="9"/>
      <c r="I70" s="9"/>
      <c r="J70" s="9"/>
      <c r="K70" s="9"/>
      <c r="L70" s="48"/>
      <c r="M70" s="29"/>
      <c r="N70" s="29"/>
      <c r="O70" s="29"/>
      <c r="P70" s="29"/>
      <c r="Q70" s="8" t="s">
        <v>31</v>
      </c>
      <c r="S70" s="8"/>
      <c r="T70" s="8"/>
      <c r="U70" s="55"/>
    </row>
    <row r="71" spans="1:21" ht="15.75" customHeight="1">
      <c r="B71" s="882" t="s">
        <v>51</v>
      </c>
      <c r="D71" s="32">
        <f>SUMIF('305 Inputs'!$A$51:$A$71,"=24",'305 Inputs'!$J$51:$J$71)</f>
        <v>388</v>
      </c>
      <c r="E71" s="32">
        <f>F71-D71</f>
        <v>-8.1916666666658671</v>
      </c>
      <c r="F71" s="32">
        <f>'Rate Design Work eff 10-14-16'!C319/12</f>
        <v>379.80833333333413</v>
      </c>
      <c r="G71" s="32">
        <f ca="1">SUMIF('305 Inputs'!$A$51:$A$71,"=24",'305 Inputs'!$H$51:$H$70)</f>
        <v>17601447</v>
      </c>
      <c r="H71" s="32">
        <f ca="1">'Normalized Monthly kWh'!AC24</f>
        <v>53727.522773253761</v>
      </c>
      <c r="I71" s="32">
        <f>'305 VS COGNOS kWh'!E32+'305 VS COGNOS kWh'!K32</f>
        <v>-321296</v>
      </c>
      <c r="J71" s="32">
        <v>0</v>
      </c>
      <c r="K71" s="32">
        <f ca="1">H71+I71+J71</f>
        <v>-267568.47722674627</v>
      </c>
      <c r="L71" s="92">
        <f ca="1">G71+K71</f>
        <v>17333878.522773255</v>
      </c>
      <c r="M71" s="29">
        <f>'Table 3'!D71</f>
        <v>1603928.4</v>
      </c>
      <c r="N71" s="29">
        <f ca="1">'Table 3'!I71</f>
        <v>-65709.284743375625</v>
      </c>
      <c r="O71" s="29">
        <f>'Table 3'!M71</f>
        <v>17866.04892944335</v>
      </c>
      <c r="P71" s="29">
        <f ca="1">N71+O71</f>
        <v>-47843.235813932275</v>
      </c>
      <c r="Q71" s="29">
        <f ca="1">+P71+M71</f>
        <v>1556085.1641860676</v>
      </c>
      <c r="S71" s="8"/>
      <c r="T71" s="8"/>
      <c r="U71" s="55"/>
    </row>
    <row r="72" spans="1:21" s="11" customFormat="1" ht="15.75" customHeight="1">
      <c r="B72" s="882" t="s">
        <v>52</v>
      </c>
      <c r="D72" s="32">
        <f>SUMIF('305 Inputs'!$A$51:$A$71,"=24f",'305 Inputs'!$J$51:$J$71)</f>
        <v>4</v>
      </c>
      <c r="E72" s="32">
        <f t="shared" ref="E72:E73" si="35">F72-D72</f>
        <v>0</v>
      </c>
      <c r="F72" s="32">
        <f>'Rate Design Work eff 10-14-16'!C424/12</f>
        <v>4</v>
      </c>
      <c r="G72" s="32">
        <f ca="1">SUMIF('305 Inputs'!$A$51:$A$71,"=24f",'305 Inputs'!$H$51:$H$70)</f>
        <v>33312</v>
      </c>
      <c r="H72" s="32">
        <f ca="1">'Normalized Monthly kWh'!AC25</f>
        <v>103.57381938517956</v>
      </c>
      <c r="I72" s="32">
        <f>'305 VS COGNOS kWh'!E33+'305 VS COGNOS kWh'!K33</f>
        <v>0</v>
      </c>
      <c r="J72" s="32">
        <v>0</v>
      </c>
      <c r="K72" s="32">
        <f ca="1">H72+I72+J72</f>
        <v>103.57381938517956</v>
      </c>
      <c r="L72" s="92">
        <f ca="1">G72+K72</f>
        <v>33415.573819385179</v>
      </c>
      <c r="M72" s="29">
        <f>'Table 3'!D72</f>
        <v>8155.79</v>
      </c>
      <c r="N72" s="29">
        <f ca="1">'Table 3'!I72</f>
        <v>-86.838990934616135</v>
      </c>
      <c r="O72" s="29">
        <f>'Table 3'!M72</f>
        <v>387.15218041665958</v>
      </c>
      <c r="P72" s="29">
        <f ca="1">N72+O72</f>
        <v>300.31318948204341</v>
      </c>
      <c r="Q72" s="29">
        <f ca="1">+P72+M72</f>
        <v>8456.1031894820426</v>
      </c>
      <c r="S72" s="12"/>
      <c r="T72" s="12"/>
      <c r="U72" s="16"/>
    </row>
    <row r="73" spans="1:21" ht="15.75" customHeight="1">
      <c r="B73" s="882" t="s">
        <v>57</v>
      </c>
      <c r="C73" s="11"/>
      <c r="D73" s="93">
        <f>SUMIF('305 Inputs'!$A$51:$A$71,"=24fp",'305 Inputs'!$J$51:$J$71)</f>
        <v>1</v>
      </c>
      <c r="E73" s="93">
        <f t="shared" si="35"/>
        <v>-2.8703703703700012E-2</v>
      </c>
      <c r="F73" s="93">
        <f>'Rate Design Work eff 10-14-16'!C530/12</f>
        <v>0.97129629629629999</v>
      </c>
      <c r="G73" s="93">
        <f ca="1">SUMIF('305 Inputs'!$A$51:$A$71,"=24fp",'305 Inputs'!H$51:H$70)</f>
        <v>5786</v>
      </c>
      <c r="H73" s="93">
        <f ca="1">'Normalized Monthly kWh'!AC26</f>
        <v>17.989857077409003</v>
      </c>
      <c r="I73" s="93">
        <f>'305 VS COGNOS kWh'!E34+'305 VS COGNOS kWh'!K34</f>
        <v>0</v>
      </c>
      <c r="J73" s="93">
        <v>0</v>
      </c>
      <c r="K73" s="93">
        <f ca="1">H73+I73+J73</f>
        <v>17.989857077409003</v>
      </c>
      <c r="L73" s="94">
        <f ca="1">G73+K73</f>
        <v>5803.9898570774094</v>
      </c>
      <c r="M73" s="31">
        <f>'Table 3'!D73</f>
        <v>1986.1699999999998</v>
      </c>
      <c r="N73" s="31">
        <f ca="1">'Table 3'!I73</f>
        <v>13.864655067583801</v>
      </c>
      <c r="O73" s="31">
        <f>'Table 3'!M73</f>
        <v>81.435490000000073</v>
      </c>
      <c r="P73" s="31">
        <f t="shared" ref="P73" ca="1" si="36">N73+O73</f>
        <v>95.30014506758387</v>
      </c>
      <c r="Q73" s="31">
        <f ca="1">+P73+M73</f>
        <v>2081.4701450675839</v>
      </c>
      <c r="S73" s="8"/>
      <c r="T73" s="8"/>
      <c r="U73" s="55"/>
    </row>
    <row r="74" spans="1:21" ht="15.75" customHeight="1">
      <c r="B74" s="4" t="s">
        <v>35</v>
      </c>
      <c r="D74" s="32">
        <f t="shared" ref="D74:I74" si="37">SUM(D71:D73)</f>
        <v>393</v>
      </c>
      <c r="E74" s="32">
        <f t="shared" si="37"/>
        <v>-8.220370370369567</v>
      </c>
      <c r="F74" s="32">
        <f t="shared" si="37"/>
        <v>384.77962962963045</v>
      </c>
      <c r="G74" s="32">
        <f t="shared" ca="1" si="37"/>
        <v>17640545</v>
      </c>
      <c r="H74" s="32">
        <f t="shared" ca="1" si="37"/>
        <v>53849.086449716349</v>
      </c>
      <c r="I74" s="32">
        <f t="shared" si="37"/>
        <v>-321296</v>
      </c>
      <c r="J74" s="32">
        <f t="shared" ref="J74:Q74" si="38">SUM(J71:J73)</f>
        <v>0</v>
      </c>
      <c r="K74" s="32">
        <f ca="1">H74+I74+J74</f>
        <v>-267446.91355028364</v>
      </c>
      <c r="L74" s="92">
        <f ca="1">SUM(L71:L73)</f>
        <v>17373098.086449716</v>
      </c>
      <c r="M74" s="29">
        <f t="shared" si="38"/>
        <v>1614070.3599999999</v>
      </c>
      <c r="N74" s="29">
        <f t="shared" ca="1" si="38"/>
        <v>-65782.259079242664</v>
      </c>
      <c r="O74" s="29">
        <f t="shared" si="38"/>
        <v>18334.636599860009</v>
      </c>
      <c r="P74" s="29">
        <f ca="1">SUM(P71:P73)</f>
        <v>-47447.622479382648</v>
      </c>
      <c r="Q74" s="29">
        <f t="shared" ca="1" si="38"/>
        <v>1566622.7375206174</v>
      </c>
      <c r="U74" s="55"/>
    </row>
    <row r="75" spans="1:21" ht="15.75" customHeight="1">
      <c r="D75" s="32"/>
      <c r="E75" s="32"/>
      <c r="F75" s="32"/>
      <c r="G75" s="9"/>
      <c r="H75" s="9"/>
      <c r="I75" s="9"/>
      <c r="J75" s="9" t="s">
        <v>31</v>
      </c>
      <c r="K75" s="9" t="s">
        <v>31</v>
      </c>
      <c r="L75" s="48" t="s">
        <v>31</v>
      </c>
      <c r="M75" s="29" t="s">
        <v>31</v>
      </c>
      <c r="N75" s="29" t="s">
        <v>31</v>
      </c>
      <c r="O75" s="29" t="s">
        <v>31</v>
      </c>
      <c r="P75" s="29"/>
      <c r="Q75" s="8"/>
      <c r="S75" s="8"/>
      <c r="T75" s="8"/>
      <c r="U75" s="55"/>
    </row>
    <row r="76" spans="1:21" s="11" customFormat="1" ht="15.75" customHeight="1">
      <c r="B76" s="882" t="s">
        <v>53</v>
      </c>
      <c r="C76" s="4"/>
      <c r="D76" s="93">
        <f>SUMIF('305 Inputs'!$A$51:$A$71,"=36",'305 Inputs'!$J$51:$J$71)</f>
        <v>114.75</v>
      </c>
      <c r="E76" s="93">
        <f>F76-D76</f>
        <v>-0.32222222222235075</v>
      </c>
      <c r="F76" s="93">
        <f>'Rate Design Work eff 10-14-16'!C685/12</f>
        <v>114.42777777777765</v>
      </c>
      <c r="G76" s="93">
        <f ca="1">SUMIF('305 Inputs'!$A$51:$A$71,"=36",'305 Inputs'!H$51:H$70)</f>
        <v>103604672</v>
      </c>
      <c r="H76" s="93">
        <f ca="1">'Normalized Monthly kWh'!AC27</f>
        <v>327096.30737224856</v>
      </c>
      <c r="I76" s="93">
        <f>'305 VS COGNOS kWh'!E35+'305 VS COGNOS kWh'!K35</f>
        <v>1597900</v>
      </c>
      <c r="J76" s="93">
        <v>0</v>
      </c>
      <c r="K76" s="93">
        <f ca="1">H76+I76+J76</f>
        <v>1924996.3073722485</v>
      </c>
      <c r="L76" s="94">
        <f ca="1">G76+K76</f>
        <v>105529668.30737224</v>
      </c>
      <c r="M76" s="31">
        <f>'Table 3'!D76</f>
        <v>8310982.5799999991</v>
      </c>
      <c r="N76" s="31">
        <f ca="1">'Table 3'!I76</f>
        <v>-109014.60329232484</v>
      </c>
      <c r="O76" s="31">
        <f>'Table 3'!M76</f>
        <v>247441.52485666983</v>
      </c>
      <c r="P76" s="31">
        <f t="shared" ref="P76" ca="1" si="39">N76+O76</f>
        <v>138426.92156434499</v>
      </c>
      <c r="Q76" s="31">
        <f ca="1">+P76+M76</f>
        <v>8449409.5015643444</v>
      </c>
      <c r="S76" s="12"/>
      <c r="T76" s="12"/>
      <c r="U76" s="16"/>
    </row>
    <row r="77" spans="1:21" ht="15.75" customHeight="1">
      <c r="B77" s="4" t="s">
        <v>35</v>
      </c>
      <c r="D77" s="32">
        <f t="shared" ref="D77:Q77" si="40">SUM(D76:D76)</f>
        <v>114.75</v>
      </c>
      <c r="E77" s="32">
        <f t="shared" si="40"/>
        <v>-0.32222222222235075</v>
      </c>
      <c r="F77" s="32">
        <f t="shared" si="40"/>
        <v>114.42777777777765</v>
      </c>
      <c r="G77" s="32">
        <f t="shared" ca="1" si="40"/>
        <v>103604672</v>
      </c>
      <c r="H77" s="32">
        <f t="shared" ca="1" si="40"/>
        <v>327096.30737224856</v>
      </c>
      <c r="I77" s="32">
        <f t="shared" si="40"/>
        <v>1597900</v>
      </c>
      <c r="J77" s="32">
        <f t="shared" si="40"/>
        <v>0</v>
      </c>
      <c r="K77" s="32">
        <f t="shared" ca="1" si="40"/>
        <v>1924996.3073722485</v>
      </c>
      <c r="L77" s="92">
        <f t="shared" ca="1" si="40"/>
        <v>105529668.30737224</v>
      </c>
      <c r="M77" s="29">
        <f t="shared" si="40"/>
        <v>8310982.5799999991</v>
      </c>
      <c r="N77" s="29">
        <f t="shared" ca="1" si="40"/>
        <v>-109014.60329232484</v>
      </c>
      <c r="O77" s="29">
        <f t="shared" si="40"/>
        <v>247441.52485666983</v>
      </c>
      <c r="P77" s="29">
        <f t="shared" ca="1" si="40"/>
        <v>138426.92156434499</v>
      </c>
      <c r="Q77" s="29">
        <f t="shared" ca="1" si="40"/>
        <v>8449409.5015643444</v>
      </c>
      <c r="S77" s="8"/>
      <c r="T77" s="8"/>
      <c r="U77" s="55"/>
    </row>
    <row r="78" spans="1:21" ht="15.75" customHeight="1">
      <c r="D78" s="32"/>
      <c r="E78" s="32"/>
      <c r="F78" s="32"/>
      <c r="G78" s="32"/>
      <c r="H78" s="32"/>
      <c r="I78" s="32"/>
      <c r="J78" s="9"/>
      <c r="K78" s="9"/>
      <c r="L78" s="48"/>
      <c r="M78" s="29"/>
      <c r="N78" s="29"/>
      <c r="O78" s="29"/>
      <c r="P78" s="29"/>
      <c r="Q78" s="8"/>
      <c r="S78" s="8"/>
      <c r="T78" s="8"/>
      <c r="U78" s="55"/>
    </row>
    <row r="79" spans="1:21" ht="15.75" customHeight="1">
      <c r="B79" s="882" t="s">
        <v>159</v>
      </c>
      <c r="C79" s="11"/>
      <c r="D79" s="32">
        <f>SUMIF('305 Inputs'!$A$51:$A$71,"=47",'305 Inputs'!$J$51:$J$71)</f>
        <v>1</v>
      </c>
      <c r="E79" s="32">
        <f t="shared" ref="E79:E81" si="41">F79-D79</f>
        <v>0</v>
      </c>
      <c r="F79" s="32">
        <f>'Rate Design Work eff 10-14-16'!C884/12</f>
        <v>1</v>
      </c>
      <c r="G79" s="32">
        <f ca="1">SUMIF('305 Inputs'!$A$51:$A$71,"=47",'305 Inputs'!H$51:H$70)</f>
        <v>2148000</v>
      </c>
      <c r="H79" s="32">
        <f ca="1">'Normalized Monthly kWh'!AC28</f>
        <v>6982.7291342675553</v>
      </c>
      <c r="I79" s="32">
        <f>'305 VS COGNOS kWh'!E36+'305 VS COGNOS kWh'!K36</f>
        <v>97825</v>
      </c>
      <c r="J79" s="32">
        <v>0</v>
      </c>
      <c r="K79" s="32">
        <f ca="1">H79+I79+J79</f>
        <v>104807.72913426756</v>
      </c>
      <c r="L79" s="92">
        <f ca="1">G79+K79</f>
        <v>2252807.7291342677</v>
      </c>
      <c r="M79" s="29">
        <f>'Table 3'!D79</f>
        <v>308414.28999999998</v>
      </c>
      <c r="N79" s="29">
        <f ca="1">'Table 3'!I79</f>
        <v>3765.0839190115425</v>
      </c>
      <c r="O79" s="29">
        <f>'Table 3'!M79</f>
        <v>8064.5314999999828</v>
      </c>
      <c r="P79" s="29">
        <f ca="1">N79+O79</f>
        <v>11829.615419011525</v>
      </c>
      <c r="Q79" s="29">
        <f ca="1">+P79+M79</f>
        <v>320243.90541901148</v>
      </c>
      <c r="S79" s="8"/>
      <c r="T79" s="8"/>
      <c r="U79" s="55"/>
    </row>
    <row r="80" spans="1:21" ht="15.75" customHeight="1">
      <c r="B80" s="882" t="s">
        <v>54</v>
      </c>
      <c r="C80" s="11"/>
      <c r="D80" s="32">
        <f>SUMIF('305 Inputs'!$A$51:$A$71,"=48t",'305 Inputs'!$J$51:$J$71)-D81</f>
        <v>30</v>
      </c>
      <c r="E80" s="32">
        <f t="shared" si="41"/>
        <v>-0.28535353535351859</v>
      </c>
      <c r="F80" s="32">
        <f>'Rate Design Work eff 10-14-16'!C1073/12</f>
        <v>29.714646464646481</v>
      </c>
      <c r="G80" s="32">
        <f>'305 VS COGNOS kWh'!C37</f>
        <v>214945150</v>
      </c>
      <c r="H80" s="32">
        <f ca="1">'Normalized Monthly kWh'!AC30</f>
        <v>673134.21796614002</v>
      </c>
      <c r="I80" s="32">
        <f>'305 VS COGNOS kWh'!E37+'305 VS COGNOS kWh'!K37</f>
        <v>1552100</v>
      </c>
      <c r="J80" s="32">
        <v>0</v>
      </c>
      <c r="K80" s="32">
        <f ca="1">H80+I80+J80</f>
        <v>2225234.2179661402</v>
      </c>
      <c r="L80" s="92">
        <f ca="1">G80+K80</f>
        <v>217170384.21796614</v>
      </c>
      <c r="M80" s="29">
        <f>'Table 3'!D80</f>
        <v>15030428.960000001</v>
      </c>
      <c r="N80" s="29">
        <f ca="1">'Table 3'!I80</f>
        <v>-268241.99957591522</v>
      </c>
      <c r="O80" s="29">
        <f>'Table 3'!M80</f>
        <v>382932.95765800029</v>
      </c>
      <c r="P80" s="29">
        <f ca="1">N80+O80</f>
        <v>114690.95808208507</v>
      </c>
      <c r="Q80" s="29">
        <f ca="1">+P80+M80</f>
        <v>15145119.918082086</v>
      </c>
      <c r="S80" s="8"/>
      <c r="T80" s="8"/>
      <c r="U80" s="55"/>
    </row>
    <row r="81" spans="2:21" ht="15.75" customHeight="1">
      <c r="B81" s="882" t="s">
        <v>571</v>
      </c>
      <c r="C81" s="11"/>
      <c r="D81" s="93">
        <v>1</v>
      </c>
      <c r="E81" s="93">
        <f t="shared" si="41"/>
        <v>2.7777777777748813E-3</v>
      </c>
      <c r="F81" s="93">
        <f>'Rate Design Work eff 10-14-16'!C1093/12</f>
        <v>1.0027777777777749</v>
      </c>
      <c r="G81" s="93">
        <f>'305 VS COGNOS kWh'!C38</f>
        <v>458478000</v>
      </c>
      <c r="H81" s="93">
        <f ca="1">'Normalized Monthly kWh'!AC29</f>
        <v>1425501.8481051379</v>
      </c>
      <c r="I81" s="93">
        <f>'305 VS COGNOS kWh'!E38+'305 VS COGNOS kWh'!K38</f>
        <v>0</v>
      </c>
      <c r="J81" s="93">
        <v>0</v>
      </c>
      <c r="K81" s="93">
        <f ca="1">H81+I81+J81</f>
        <v>1425501.8481051379</v>
      </c>
      <c r="L81" s="94">
        <f ca="1">G81+K81</f>
        <v>459903501.84810513</v>
      </c>
      <c r="M81" s="31">
        <f>'Table 3'!D81</f>
        <v>26655601.359999999</v>
      </c>
      <c r="N81" s="31">
        <f ca="1">'Table 3'!I81</f>
        <v>-803224.59915905178</v>
      </c>
      <c r="O81" s="31">
        <f>'Table 3'!M81</f>
        <v>702014.10399999842</v>
      </c>
      <c r="P81" s="31">
        <f t="shared" ref="P81" ca="1" si="42">N81+O81</f>
        <v>-101210.49515905336</v>
      </c>
      <c r="Q81" s="31">
        <f ca="1">+P81+M81</f>
        <v>26554390.864840947</v>
      </c>
      <c r="U81" s="55"/>
    </row>
    <row r="82" spans="2:21" ht="15.75" customHeight="1">
      <c r="B82" s="4" t="s">
        <v>35</v>
      </c>
      <c r="D82" s="32">
        <f t="shared" ref="D82:I82" si="43">SUM(D79:D81)</f>
        <v>32</v>
      </c>
      <c r="E82" s="32">
        <f t="shared" si="43"/>
        <v>-0.28257575757574371</v>
      </c>
      <c r="F82" s="32">
        <f t="shared" si="43"/>
        <v>31.717424242424258</v>
      </c>
      <c r="G82" s="32">
        <f t="shared" ca="1" si="43"/>
        <v>675571150</v>
      </c>
      <c r="H82" s="32">
        <f t="shared" ca="1" si="43"/>
        <v>2105618.7952055456</v>
      </c>
      <c r="I82" s="32">
        <f t="shared" si="43"/>
        <v>1649925</v>
      </c>
      <c r="J82" s="32">
        <f t="shared" ref="J82:Q82" si="44">SUM(J79:J81)</f>
        <v>0</v>
      </c>
      <c r="K82" s="32">
        <f ca="1">H82+I82+J82</f>
        <v>3755543.7952055456</v>
      </c>
      <c r="L82" s="92">
        <f ca="1">SUM(L79:L81)</f>
        <v>679326693.79520559</v>
      </c>
      <c r="M82" s="29">
        <f t="shared" si="44"/>
        <v>41994444.609999999</v>
      </c>
      <c r="N82" s="29">
        <f t="shared" ca="1" si="44"/>
        <v>-1067701.5148159554</v>
      </c>
      <c r="O82" s="29">
        <f t="shared" si="44"/>
        <v>1093011.5931579988</v>
      </c>
      <c r="P82" s="29">
        <f t="shared" ca="1" si="44"/>
        <v>25310.078342043227</v>
      </c>
      <c r="Q82" s="29">
        <f t="shared" ca="1" si="44"/>
        <v>42019754.688342042</v>
      </c>
      <c r="S82" s="8"/>
      <c r="T82" s="8"/>
      <c r="U82" s="55"/>
    </row>
    <row r="83" spans="2:21" ht="15.75" customHeight="1">
      <c r="D83" s="32"/>
      <c r="E83" s="32"/>
      <c r="F83" s="32"/>
      <c r="G83" s="32"/>
      <c r="H83" s="32"/>
      <c r="I83" s="32"/>
      <c r="J83" s="9"/>
      <c r="K83" s="32"/>
      <c r="L83" s="48"/>
      <c r="M83" s="29"/>
      <c r="N83" s="29"/>
      <c r="O83" s="29"/>
      <c r="P83" s="29"/>
      <c r="Q83" s="8"/>
      <c r="S83" s="8"/>
      <c r="T83" s="8"/>
      <c r="U83" s="55"/>
    </row>
    <row r="84" spans="2:21" ht="15.75" customHeight="1">
      <c r="B84" s="882" t="s">
        <v>55</v>
      </c>
      <c r="D84" s="93">
        <f>SUMIF('305 Inputs'!$A$51:$A$71,"=15n",'305 Inputs'!$J$51:$J$71)</f>
        <v>55.166666666666664</v>
      </c>
      <c r="E84" s="93">
        <f>F84-D84</f>
        <v>-1.75</v>
      </c>
      <c r="F84" s="93">
        <f>'Rate Design Work eff 10-14-16'!C80/12</f>
        <v>53.416666666666664</v>
      </c>
      <c r="G84" s="93">
        <f ca="1">SUMIF('305 Inputs'!$A$51:$A$71,"=15n",'305 Inputs'!H$51:H$70)</f>
        <v>138128</v>
      </c>
      <c r="H84" s="93">
        <f ca="1">'Normalized Monthly kWh'!AC31</f>
        <v>435.81097248984889</v>
      </c>
      <c r="I84" s="93">
        <f>'305 VS COGNOS kWh'!E40+'305 VS COGNOS kWh'!K40</f>
        <v>2040</v>
      </c>
      <c r="J84" s="93">
        <v>0</v>
      </c>
      <c r="K84" s="93">
        <f ca="1">H84+I84+J84</f>
        <v>2475.8109724898491</v>
      </c>
      <c r="L84" s="94">
        <f ca="1">G84+K84</f>
        <v>140603.81097248985</v>
      </c>
      <c r="M84" s="90">
        <f>'Table 3'!D84</f>
        <v>18281.759999999998</v>
      </c>
      <c r="N84" s="31">
        <f ca="1">'Table 3'!I84</f>
        <v>-21.39768674588268</v>
      </c>
      <c r="O84" s="31">
        <f>'Table 3'!M84</f>
        <v>213.18880843696752</v>
      </c>
      <c r="P84" s="31">
        <f t="shared" ref="P84" ca="1" si="45">N84+O84</f>
        <v>191.79112169108484</v>
      </c>
      <c r="Q84" s="31">
        <f ca="1">+P84+M84</f>
        <v>18473.551121691082</v>
      </c>
      <c r="S84" s="8"/>
      <c r="T84" s="8"/>
      <c r="U84" s="55"/>
    </row>
    <row r="85" spans="2:21" ht="15.75" customHeight="1">
      <c r="B85" s="4" t="s">
        <v>35</v>
      </c>
      <c r="D85" s="32">
        <f t="shared" ref="D85:Q85" si="46">SUM(D84:D84)</f>
        <v>55.166666666666664</v>
      </c>
      <c r="E85" s="32">
        <f t="shared" si="46"/>
        <v>-1.75</v>
      </c>
      <c r="F85" s="32">
        <f t="shared" si="46"/>
        <v>53.416666666666664</v>
      </c>
      <c r="G85" s="32">
        <f ca="1">SUM(G84:G84)</f>
        <v>138128</v>
      </c>
      <c r="H85" s="32">
        <f ca="1">SUM(H84:H84)</f>
        <v>435.81097248984889</v>
      </c>
      <c r="I85" s="32">
        <f>SUM(I84:I84)</f>
        <v>2040</v>
      </c>
      <c r="J85" s="32">
        <f t="shared" si="46"/>
        <v>0</v>
      </c>
      <c r="K85" s="32">
        <f t="shared" ca="1" si="46"/>
        <v>2475.8109724898491</v>
      </c>
      <c r="L85" s="92">
        <f t="shared" ca="1" si="46"/>
        <v>140603.81097248985</v>
      </c>
      <c r="M85" s="29">
        <f t="shared" si="46"/>
        <v>18281.759999999998</v>
      </c>
      <c r="N85" s="29">
        <f t="shared" ca="1" si="46"/>
        <v>-21.39768674588268</v>
      </c>
      <c r="O85" s="29">
        <f t="shared" si="46"/>
        <v>213.18880843696752</v>
      </c>
      <c r="P85" s="29">
        <f ca="1">SUM(P84:P84)</f>
        <v>191.79112169108484</v>
      </c>
      <c r="Q85" s="29">
        <f t="shared" ca="1" si="46"/>
        <v>18473.551121691082</v>
      </c>
      <c r="U85" s="55"/>
    </row>
    <row r="86" spans="2:21" ht="15.75" customHeight="1">
      <c r="D86" s="32"/>
      <c r="E86" s="32"/>
      <c r="F86" s="32"/>
      <c r="G86" s="32"/>
      <c r="H86" s="32"/>
      <c r="I86" s="32"/>
      <c r="J86" s="9" t="s">
        <v>31</v>
      </c>
      <c r="K86" s="9" t="s">
        <v>31</v>
      </c>
      <c r="L86" s="48" t="s">
        <v>31</v>
      </c>
      <c r="M86" s="29" t="s">
        <v>31</v>
      </c>
      <c r="N86" s="29"/>
      <c r="O86" s="29"/>
      <c r="P86" s="29"/>
      <c r="Q86" s="8"/>
      <c r="S86" s="8"/>
      <c r="T86" s="8"/>
      <c r="U86" s="55"/>
    </row>
    <row r="87" spans="2:21" s="11" customFormat="1" ht="15.75" customHeight="1">
      <c r="B87" s="4" t="s">
        <v>34</v>
      </c>
      <c r="D87" s="93">
        <v>0</v>
      </c>
      <c r="E87" s="93"/>
      <c r="F87" s="93"/>
      <c r="G87" s="93">
        <f ca="1">SUMIF('305 Inputs'!$A$51:$A$71,"=aga",'305 Inputs'!H$51:H$70)</f>
        <v>0</v>
      </c>
      <c r="H87" s="93"/>
      <c r="I87" s="93"/>
      <c r="J87" s="93">
        <v>0</v>
      </c>
      <c r="K87" s="32">
        <f>H87+J87</f>
        <v>0</v>
      </c>
      <c r="L87" s="94">
        <f ca="1">G87+K87</f>
        <v>0</v>
      </c>
      <c r="M87" s="31">
        <f>'Table 3'!D87</f>
        <v>0</v>
      </c>
      <c r="N87" s="31">
        <f>'Table 3'!I87</f>
        <v>0</v>
      </c>
      <c r="O87" s="31">
        <f>'Table 3'!M87</f>
        <v>0</v>
      </c>
      <c r="P87" s="31">
        <f t="shared" ref="P87" si="47">N87+O87</f>
        <v>0</v>
      </c>
      <c r="Q87" s="31">
        <f>+P87+M87</f>
        <v>0</v>
      </c>
      <c r="S87" s="12"/>
      <c r="T87" s="12"/>
      <c r="U87" s="16"/>
    </row>
    <row r="88" spans="2:21" s="11" customFormat="1" ht="15.75" customHeight="1">
      <c r="B88" s="4"/>
      <c r="D88" s="93"/>
      <c r="E88" s="93"/>
      <c r="F88" s="93"/>
      <c r="G88" s="93"/>
      <c r="H88" s="93"/>
      <c r="I88" s="93"/>
      <c r="J88" s="93"/>
      <c r="K88" s="93"/>
      <c r="L88" s="94"/>
      <c r="M88" s="31"/>
      <c r="N88" s="31"/>
      <c r="O88" s="31"/>
      <c r="P88" s="31"/>
      <c r="Q88" s="31"/>
      <c r="S88" s="12"/>
      <c r="T88" s="12"/>
      <c r="U88" s="16"/>
    </row>
    <row r="89" spans="2:21" s="11" customFormat="1" ht="15.75" customHeight="1">
      <c r="B89" s="4" t="s">
        <v>654</v>
      </c>
      <c r="D89" s="93">
        <f>SUMIF('305 Inputs'!$A$51:$A$71,"=def",'305 Inputs'!$J$51:$J$71)</f>
        <v>0</v>
      </c>
      <c r="E89" s="93"/>
      <c r="F89" s="93"/>
      <c r="G89" s="93">
        <f ca="1">SUMIF('305 Inputs'!$A$51:$A$71,"=def",'305 Inputs'!H$51:H$70)</f>
        <v>0</v>
      </c>
      <c r="H89" s="93"/>
      <c r="I89" s="93"/>
      <c r="J89" s="93">
        <v>0</v>
      </c>
      <c r="K89" s="93">
        <f>J89</f>
        <v>0</v>
      </c>
      <c r="L89" s="94">
        <v>0</v>
      </c>
      <c r="M89" s="31">
        <f>'Table 3'!D89</f>
        <v>-510000</v>
      </c>
      <c r="N89" s="31">
        <f>'Table 3'!I89</f>
        <v>510000</v>
      </c>
      <c r="O89" s="31">
        <f>'Table 3'!M89</f>
        <v>0</v>
      </c>
      <c r="P89" s="31">
        <f t="shared" ref="P89:P93" si="48">N89+O89</f>
        <v>510000</v>
      </c>
      <c r="Q89" s="31">
        <f>+P89+M89</f>
        <v>0</v>
      </c>
      <c r="S89" s="12"/>
      <c r="T89" s="12"/>
      <c r="U89" s="16"/>
    </row>
    <row r="90" spans="2:21" ht="15.75" customHeight="1">
      <c r="B90" s="4" t="s">
        <v>728</v>
      </c>
      <c r="D90" s="93">
        <f>SUMIF('305 Inputs'!$A$51:$A$71,"=rev",'305 Inputs'!$J$51:$J$71)</f>
        <v>0</v>
      </c>
      <c r="E90" s="93"/>
      <c r="F90" s="93"/>
      <c r="G90" s="93">
        <f ca="1">SUMIF('305 Inputs'!$A$51:$A$71,"=rev",'305 Inputs'!H$51:H$70)</f>
        <v>0</v>
      </c>
      <c r="H90" s="93"/>
      <c r="I90" s="93"/>
      <c r="J90" s="93">
        <v>0</v>
      </c>
      <c r="K90" s="93">
        <f t="shared" ref="K90:K93" si="49">J90</f>
        <v>0</v>
      </c>
      <c r="L90" s="94">
        <v>0</v>
      </c>
      <c r="M90" s="29">
        <f>'Table 3'!D90</f>
        <v>-1549981.7899999998</v>
      </c>
      <c r="N90" s="29">
        <f>'Table 3'!I90</f>
        <v>1549981.7899999998</v>
      </c>
      <c r="O90" s="31">
        <f>'Table 3'!M90</f>
        <v>0</v>
      </c>
      <c r="P90" s="31">
        <f t="shared" si="48"/>
        <v>1549981.7899999998</v>
      </c>
      <c r="Q90" s="31">
        <f>+P90+M90</f>
        <v>0</v>
      </c>
      <c r="S90" s="8"/>
      <c r="T90" s="8"/>
      <c r="U90" s="55"/>
    </row>
    <row r="91" spans="2:21" s="11" customFormat="1" ht="15.75" customHeight="1">
      <c r="B91" s="4" t="s">
        <v>735</v>
      </c>
      <c r="D91" s="93">
        <v>0</v>
      </c>
      <c r="E91" s="93"/>
      <c r="F91" s="93"/>
      <c r="G91" s="93">
        <f ca="1">SUMIF('305 Inputs'!$A$51:$A$71,"=cent",'305 Inputs'!H$51:H$70)</f>
        <v>0</v>
      </c>
      <c r="H91" s="93"/>
      <c r="I91" s="93"/>
      <c r="J91" s="93">
        <v>0</v>
      </c>
      <c r="K91" s="93">
        <f t="shared" si="49"/>
        <v>0</v>
      </c>
      <c r="L91" s="94">
        <f ca="1">G91+K91</f>
        <v>0</v>
      </c>
      <c r="M91" s="31">
        <f>'Table 3'!D91</f>
        <v>1862570.43</v>
      </c>
      <c r="N91" s="31">
        <f>'Table 3'!I91</f>
        <v>-1862570.43</v>
      </c>
      <c r="O91" s="31">
        <f>'Table 3'!M91</f>
        <v>0</v>
      </c>
      <c r="P91" s="31">
        <f t="shared" si="48"/>
        <v>-1862570.43</v>
      </c>
      <c r="Q91" s="31">
        <f>+P91+M91</f>
        <v>0</v>
      </c>
      <c r="S91" s="12"/>
      <c r="T91" s="12"/>
      <c r="U91" s="16"/>
    </row>
    <row r="92" spans="2:21" s="11" customFormat="1" ht="15.75" customHeight="1">
      <c r="B92" s="4" t="s">
        <v>96</v>
      </c>
      <c r="D92" s="93">
        <v>0</v>
      </c>
      <c r="E92" s="93"/>
      <c r="F92" s="93"/>
      <c r="G92" s="93">
        <f ca="1">SUMIF('305 Inputs'!$A$51:$A$71,"=bpa",'305 Inputs'!H$51:H$70)</f>
        <v>0</v>
      </c>
      <c r="H92" s="93"/>
      <c r="I92" s="93"/>
      <c r="J92" s="93">
        <v>0</v>
      </c>
      <c r="K92" s="93">
        <f t="shared" si="49"/>
        <v>0</v>
      </c>
      <c r="L92" s="94">
        <f ca="1">G92+K92</f>
        <v>0</v>
      </c>
      <c r="M92" s="31">
        <f>'Table 3'!D92</f>
        <v>-123.33</v>
      </c>
      <c r="N92" s="31">
        <f>'Table 3'!I92</f>
        <v>123.33</v>
      </c>
      <c r="O92" s="31">
        <f>'Table 3'!M92</f>
        <v>0</v>
      </c>
      <c r="P92" s="31">
        <f t="shared" si="48"/>
        <v>123.33</v>
      </c>
      <c r="Q92" s="31">
        <f>+P92+M92</f>
        <v>0</v>
      </c>
      <c r="S92" s="12"/>
      <c r="T92" s="12"/>
      <c r="U92" s="16"/>
    </row>
    <row r="93" spans="2:21" s="11" customFormat="1" ht="15.75" customHeight="1">
      <c r="B93" s="4" t="s">
        <v>668</v>
      </c>
      <c r="D93" s="93">
        <v>0</v>
      </c>
      <c r="E93" s="93"/>
      <c r="F93" s="93"/>
      <c r="G93" s="93">
        <f ca="1">SUMIF('305 Inputs'!$A$51:$A$71,"=smudj",'305 Inputs'!H$51:H$70)</f>
        <v>0</v>
      </c>
      <c r="H93" s="93"/>
      <c r="I93" s="93"/>
      <c r="J93" s="93">
        <v>0</v>
      </c>
      <c r="K93" s="93">
        <f t="shared" si="49"/>
        <v>0</v>
      </c>
      <c r="L93" s="94">
        <f ca="1">G93+K93</f>
        <v>0</v>
      </c>
      <c r="M93" s="31">
        <f>'Table 3'!D93</f>
        <v>39997.230000000003</v>
      </c>
      <c r="N93" s="31">
        <f>'Table 3'!I93</f>
        <v>-39997.230000000003</v>
      </c>
      <c r="O93" s="31">
        <f>'Table 3'!M93</f>
        <v>0</v>
      </c>
      <c r="P93" s="31">
        <f t="shared" si="48"/>
        <v>-39997.230000000003</v>
      </c>
      <c r="Q93" s="31">
        <f>+P93+M93</f>
        <v>0</v>
      </c>
      <c r="S93" s="12"/>
      <c r="T93" s="12"/>
      <c r="U93" s="16"/>
    </row>
    <row r="94" spans="2:21" ht="15.75" customHeight="1">
      <c r="D94" s="32"/>
      <c r="E94" s="32"/>
      <c r="F94" s="32"/>
      <c r="G94" s="32"/>
      <c r="H94" s="32"/>
      <c r="I94" s="32"/>
      <c r="J94" s="9"/>
      <c r="K94" s="9"/>
      <c r="L94" s="48"/>
      <c r="M94" s="29"/>
      <c r="N94" s="29"/>
      <c r="O94" s="29"/>
      <c r="P94" s="29"/>
      <c r="Q94" s="29"/>
      <c r="S94" s="8"/>
      <c r="T94" s="8"/>
      <c r="U94" s="55"/>
    </row>
    <row r="95" spans="2:21" s="11" customFormat="1" ht="15.75" customHeight="1">
      <c r="B95" s="4" t="s">
        <v>80</v>
      </c>
      <c r="D95" s="93">
        <v>0</v>
      </c>
      <c r="E95" s="93"/>
      <c r="F95" s="93"/>
      <c r="G95" s="93">
        <f ca="1">SUMIF('305 Inputs'!$A$51:$A$71,"unbilled",'305 Inputs'!H$51:H$70)</f>
        <v>2487000</v>
      </c>
      <c r="H95" s="93">
        <f ca="1">-G95</f>
        <v>-2487000</v>
      </c>
      <c r="I95" s="93"/>
      <c r="J95" s="93">
        <v>0</v>
      </c>
      <c r="K95" s="93">
        <f ca="1">H95+I95+J95</f>
        <v>-2487000</v>
      </c>
      <c r="L95" s="94">
        <f ca="1">G95+K95</f>
        <v>0</v>
      </c>
      <c r="M95" s="31">
        <f ca="1">'Table 3'!D95</f>
        <v>164000</v>
      </c>
      <c r="N95" s="31">
        <f ca="1">'Table 3'!I95</f>
        <v>-164000</v>
      </c>
      <c r="O95" s="31">
        <f ca="1">'Table 3'!M95</f>
        <v>0</v>
      </c>
      <c r="P95" s="31">
        <f t="shared" ref="P95" ca="1" si="50">N95+O95</f>
        <v>-164000</v>
      </c>
      <c r="Q95" s="31">
        <f ca="1">+P95+M95</f>
        <v>0</v>
      </c>
      <c r="S95" s="12"/>
      <c r="T95" s="12"/>
      <c r="U95" s="16"/>
    </row>
    <row r="96" spans="2:21" ht="15.75" customHeight="1">
      <c r="B96" s="11"/>
      <c r="D96" s="32"/>
      <c r="E96" s="32"/>
      <c r="F96" s="32"/>
      <c r="G96" s="32"/>
      <c r="H96" s="32"/>
      <c r="I96" s="32"/>
      <c r="J96" s="9"/>
      <c r="K96" s="9"/>
      <c r="L96" s="48"/>
      <c r="M96" s="29"/>
      <c r="N96" s="639"/>
      <c r="O96" s="639"/>
      <c r="P96" s="639"/>
      <c r="Q96" s="8"/>
      <c r="S96" s="8"/>
      <c r="T96" s="8"/>
      <c r="U96" s="55"/>
    </row>
    <row r="97" spans="1:21" ht="15.75" customHeight="1">
      <c r="B97" s="33" t="s">
        <v>9</v>
      </c>
      <c r="C97" s="34"/>
      <c r="D97" s="97">
        <f t="shared" ref="D97:Q97" si="51">+D74+D77+D82+D85+D87+SUM(D89:D95)</f>
        <v>594.91666666666663</v>
      </c>
      <c r="E97" s="97">
        <f>+E74+E77+E82+E85+E87+SUM(E89:E95)</f>
        <v>-10.575168350167662</v>
      </c>
      <c r="F97" s="97">
        <f t="shared" si="51"/>
        <v>584.34149831649893</v>
      </c>
      <c r="G97" s="97">
        <f t="shared" ca="1" si="51"/>
        <v>799441495</v>
      </c>
      <c r="H97" s="97">
        <f t="shared" ca="1" si="51"/>
        <v>0</v>
      </c>
      <c r="I97" s="97">
        <f t="shared" si="51"/>
        <v>2928569</v>
      </c>
      <c r="J97" s="97">
        <f t="shared" si="51"/>
        <v>0</v>
      </c>
      <c r="K97" s="97">
        <f t="shared" ca="1" si="51"/>
        <v>2928569</v>
      </c>
      <c r="L97" s="97">
        <f t="shared" ca="1" si="51"/>
        <v>802370064</v>
      </c>
      <c r="M97" s="37">
        <f t="shared" ca="1" si="51"/>
        <v>51944241.849999994</v>
      </c>
      <c r="N97" s="37">
        <f t="shared" ca="1" si="51"/>
        <v>-1248982.3148742691</v>
      </c>
      <c r="O97" s="37">
        <f t="shared" ca="1" si="51"/>
        <v>1359000.9434229657</v>
      </c>
      <c r="P97" s="37">
        <f t="shared" ca="1" si="51"/>
        <v>110018.62854869651</v>
      </c>
      <c r="Q97" s="37">
        <f t="shared" ca="1" si="51"/>
        <v>52054260.478548698</v>
      </c>
      <c r="S97" s="8"/>
      <c r="T97" s="8"/>
      <c r="U97" s="55"/>
    </row>
    <row r="98" spans="1:21" ht="15.75" customHeight="1">
      <c r="B98" s="7"/>
      <c r="C98" s="7"/>
      <c r="D98" s="32" t="s">
        <v>31</v>
      </c>
      <c r="E98" s="32"/>
      <c r="F98" s="32"/>
      <c r="G98" s="32"/>
      <c r="H98" s="32"/>
      <c r="I98" s="32"/>
      <c r="J98" s="9"/>
      <c r="K98" s="9"/>
      <c r="L98" s="48"/>
      <c r="M98" s="29" t="s">
        <v>31</v>
      </c>
      <c r="N98" s="9"/>
      <c r="O98" s="9"/>
      <c r="P98" s="9"/>
      <c r="Q98" s="9"/>
      <c r="S98" s="8"/>
      <c r="T98" s="8"/>
      <c r="U98" s="55"/>
    </row>
    <row r="99" spans="1:21" ht="15.75" customHeight="1">
      <c r="A99" s="5" t="s">
        <v>198</v>
      </c>
      <c r="B99" s="882"/>
      <c r="D99" s="32"/>
      <c r="E99" s="32"/>
      <c r="F99" s="32"/>
      <c r="G99" s="32"/>
      <c r="H99" s="32"/>
      <c r="I99" s="32"/>
      <c r="J99" s="9"/>
      <c r="K99" s="9"/>
      <c r="L99" s="48"/>
      <c r="M99" s="29"/>
      <c r="N99" s="29"/>
      <c r="O99" s="29"/>
      <c r="P99" s="29"/>
      <c r="Q99" s="29"/>
      <c r="U99" s="55"/>
    </row>
    <row r="100" spans="1:21" ht="15.75" customHeight="1">
      <c r="A100" s="5"/>
      <c r="B100" s="882"/>
      <c r="D100" s="32"/>
      <c r="E100" s="32"/>
      <c r="F100" s="32"/>
      <c r="G100" s="32"/>
      <c r="H100" s="32"/>
      <c r="I100" s="32"/>
      <c r="J100" s="9"/>
      <c r="K100" s="9"/>
      <c r="L100" s="48"/>
      <c r="M100" s="29"/>
      <c r="N100" s="29"/>
      <c r="O100" s="29"/>
      <c r="P100" s="29"/>
      <c r="Q100" s="29"/>
      <c r="U100" s="55"/>
    </row>
    <row r="101" spans="1:21" ht="15.75" customHeight="1">
      <c r="B101" s="882" t="s">
        <v>58</v>
      </c>
      <c r="D101" s="32">
        <f ca="1">SUMIF('305 Inputs'!$A$77:$A$97,"=40",'305 Inputs'!$J$77:$J$96)</f>
        <v>3474</v>
      </c>
      <c r="E101" s="32">
        <f t="shared" ref="E101:E102" ca="1" si="52">F101-D101</f>
        <v>76.710832317071436</v>
      </c>
      <c r="F101" s="32">
        <f>'Rate Design Work eff 10-14-16'!C779</f>
        <v>3550.7108323170714</v>
      </c>
      <c r="G101" s="32">
        <f>SUMIF('305 Inputs'!$A$77:$A$97,"=40",'305 Inputs'!$H$77:$H$97)</f>
        <v>132878300</v>
      </c>
      <c r="H101" s="32">
        <f ca="1">'Normalized Monthly kWh'!AC34</f>
        <v>1885731.2072950637</v>
      </c>
      <c r="I101" s="32">
        <f>'305 VS COGNOS kWh'!E45+'305 VS COGNOS kWh'!K45</f>
        <v>3693500</v>
      </c>
      <c r="J101" s="32">
        <f>Temperature!B92*1000</f>
        <v>-26429215.105051007</v>
      </c>
      <c r="K101" s="32">
        <f ca="1">H101+I101+J101</f>
        <v>-20849983.897755943</v>
      </c>
      <c r="L101" s="92">
        <f ca="1">G101+K101</f>
        <v>112028316.10224405</v>
      </c>
      <c r="M101" s="29">
        <f>'Table 3'!D101</f>
        <v>10772805.279999999</v>
      </c>
      <c r="N101" s="29">
        <f ca="1">'Table 3'!I101</f>
        <v>-1211034.5081889937</v>
      </c>
      <c r="O101" s="29">
        <f>'Table 3'!M101</f>
        <v>115620.43969059736</v>
      </c>
      <c r="P101" s="29">
        <f ca="1">N101+O101</f>
        <v>-1095414.0684983963</v>
      </c>
      <c r="Q101" s="29">
        <f ca="1">+P101+M101</f>
        <v>9677391.2115016021</v>
      </c>
      <c r="S101" s="8"/>
      <c r="T101" s="8"/>
      <c r="U101" s="55"/>
    </row>
    <row r="102" spans="1:21" ht="15.75" customHeight="1">
      <c r="B102" s="882" t="s">
        <v>59</v>
      </c>
      <c r="D102" s="93">
        <f ca="1">SUMIF('305 Inputs'!$A$77:$A$97,"=40x",'305 Inputs'!$J$77:$J$96)</f>
        <v>1737.75</v>
      </c>
      <c r="E102" s="93">
        <f t="shared" ca="1" si="52"/>
        <v>-63.532968107673696</v>
      </c>
      <c r="F102" s="93">
        <f>'Rate Design Work eff 10-14-16'!C832</f>
        <v>1674.2170318923263</v>
      </c>
      <c r="G102" s="93">
        <f>SUMIF('305 Inputs'!$A$77:$A$97,"=40x",'305 Inputs'!$H$77:$H$97)</f>
        <v>47343132</v>
      </c>
      <c r="H102" s="93">
        <f ca="1">'Normalized Monthly kWh'!AC35</f>
        <v>665268.792704936</v>
      </c>
      <c r="I102" s="93">
        <f>'305 VS COGNOS kWh'!E46+'305 VS COGNOS kWh'!K46</f>
        <v>838155</v>
      </c>
      <c r="J102" s="93">
        <v>0</v>
      </c>
      <c r="K102" s="93">
        <f ca="1">H102+I102+J102</f>
        <v>1503423.7927049361</v>
      </c>
      <c r="L102" s="94">
        <f ca="1">G102+K102</f>
        <v>48846555.79270494</v>
      </c>
      <c r="M102" s="90">
        <f>'Table 3'!D102</f>
        <v>4076711.77</v>
      </c>
      <c r="N102" s="31">
        <f ca="1">'Table 3'!I102</f>
        <v>-18207.680521708113</v>
      </c>
      <c r="O102" s="31">
        <f>'Table 3'!M102</f>
        <v>43865.69902010588</v>
      </c>
      <c r="P102" s="31">
        <f t="shared" ref="P102" ca="1" si="53">N102+O102</f>
        <v>25658.018498397767</v>
      </c>
      <c r="Q102" s="31">
        <f ca="1">+P102+M102</f>
        <v>4102369.7884983979</v>
      </c>
      <c r="S102" s="8"/>
      <c r="T102" s="8"/>
      <c r="U102" s="55"/>
    </row>
    <row r="103" spans="1:21" ht="15.75" customHeight="1">
      <c r="B103" s="4" t="s">
        <v>35</v>
      </c>
      <c r="D103" s="32">
        <f t="shared" ref="D103:I103" ca="1" si="54">SUM(D101:D102)</f>
        <v>5211.75</v>
      </c>
      <c r="E103" s="32">
        <f t="shared" ca="1" si="54"/>
        <v>13.17786420939774</v>
      </c>
      <c r="F103" s="32">
        <f t="shared" si="54"/>
        <v>5224.9278642093977</v>
      </c>
      <c r="G103" s="32">
        <f t="shared" si="54"/>
        <v>180221432</v>
      </c>
      <c r="H103" s="32">
        <f t="shared" ca="1" si="54"/>
        <v>2550999.9999999995</v>
      </c>
      <c r="I103" s="32">
        <f t="shared" si="54"/>
        <v>4531655</v>
      </c>
      <c r="J103" s="32">
        <f t="shared" ref="J103:Q103" si="55">SUM(J101:J102)</f>
        <v>-26429215.105051007</v>
      </c>
      <c r="K103" s="32">
        <f ca="1">SUM(K101:K102)</f>
        <v>-19346560.105051007</v>
      </c>
      <c r="L103" s="92">
        <f ca="1">SUM(L101:L102)</f>
        <v>160874871.89494899</v>
      </c>
      <c r="M103" s="29">
        <f t="shared" si="55"/>
        <v>14849517.049999999</v>
      </c>
      <c r="N103" s="29">
        <f t="shared" ca="1" si="55"/>
        <v>-1229242.1887107019</v>
      </c>
      <c r="O103" s="29">
        <f>SUM(O101:O102)</f>
        <v>159486.13871070324</v>
      </c>
      <c r="P103" s="29">
        <f ca="1">SUM(P101:P102)</f>
        <v>-1069756.0499999986</v>
      </c>
      <c r="Q103" s="29">
        <f t="shared" ca="1" si="55"/>
        <v>13779761</v>
      </c>
      <c r="S103" s="8"/>
      <c r="T103" s="8"/>
      <c r="U103" s="55"/>
    </row>
    <row r="104" spans="1:21" s="11" customFormat="1" ht="15.75" customHeight="1">
      <c r="A104" s="4"/>
      <c r="B104" s="4"/>
      <c r="C104" s="4"/>
      <c r="D104" s="32"/>
      <c r="E104" s="32"/>
      <c r="F104" s="32"/>
      <c r="G104" s="32"/>
      <c r="H104" s="32"/>
      <c r="I104" s="32"/>
      <c r="J104" s="9" t="s">
        <v>31</v>
      </c>
      <c r="K104" s="9" t="s">
        <v>31</v>
      </c>
      <c r="L104" s="48" t="s">
        <v>31</v>
      </c>
      <c r="M104" s="29" t="s">
        <v>31</v>
      </c>
      <c r="N104" s="29" t="s">
        <v>31</v>
      </c>
      <c r="O104" s="29" t="s">
        <v>31</v>
      </c>
      <c r="P104" s="29"/>
      <c r="Q104" s="9"/>
      <c r="R104" s="11" t="s">
        <v>31</v>
      </c>
      <c r="S104" s="12"/>
      <c r="T104" s="12"/>
      <c r="U104" s="16"/>
    </row>
    <row r="105" spans="1:21" s="11" customFormat="1" ht="15.75" customHeight="1">
      <c r="B105" s="4" t="s">
        <v>34</v>
      </c>
      <c r="D105" s="93">
        <v>0</v>
      </c>
      <c r="E105" s="93"/>
      <c r="F105" s="93"/>
      <c r="G105" s="93">
        <f ca="1">SUMIF('305 Inputs'!$B$77:$B$97,"=aga",'305 Inputs'!$H$77:$H$96)</f>
        <v>0</v>
      </c>
      <c r="H105" s="93"/>
      <c r="I105" s="93"/>
      <c r="J105" s="93">
        <v>0</v>
      </c>
      <c r="K105" s="93">
        <f>J105</f>
        <v>0</v>
      </c>
      <c r="L105" s="94">
        <f ca="1">G105+K105</f>
        <v>0</v>
      </c>
      <c r="M105" s="31">
        <f ca="1">'Table 3'!D105</f>
        <v>191533.78000000003</v>
      </c>
      <c r="N105" s="31">
        <f>'Table 3'!I105</f>
        <v>0</v>
      </c>
      <c r="O105" s="31">
        <f ca="1">'Table 3'!M105</f>
        <v>0</v>
      </c>
      <c r="P105" s="31">
        <f t="shared" ref="P105" ca="1" si="56">N105+O105</f>
        <v>0</v>
      </c>
      <c r="Q105" s="31">
        <f ca="1">+P105+M105</f>
        <v>191533.78000000003</v>
      </c>
      <c r="S105" s="12"/>
      <c r="T105" s="12"/>
      <c r="U105" s="16"/>
    </row>
    <row r="106" spans="1:21" s="11" customFormat="1" ht="15.75" customHeight="1">
      <c r="B106" s="4"/>
      <c r="D106" s="93"/>
      <c r="E106" s="93"/>
      <c r="F106" s="93"/>
      <c r="G106" s="93"/>
      <c r="H106" s="93"/>
      <c r="I106" s="93"/>
      <c r="J106" s="93"/>
      <c r="K106" s="93"/>
      <c r="L106" s="94"/>
      <c r="M106" s="31"/>
      <c r="N106" s="31"/>
      <c r="O106" s="31"/>
      <c r="P106" s="31"/>
      <c r="Q106" s="31"/>
      <c r="S106" s="12"/>
      <c r="T106" s="12"/>
      <c r="U106" s="16"/>
    </row>
    <row r="107" spans="1:21" s="11" customFormat="1" ht="15.75" customHeight="1">
      <c r="B107" s="4" t="s">
        <v>729</v>
      </c>
      <c r="D107" s="93">
        <f ca="1">SUMIF('305 Inputs'!$A$77:$A$97,"=irr",'305 Inputs'!$J$77:$J$96)</f>
        <v>0</v>
      </c>
      <c r="E107" s="93"/>
      <c r="F107" s="93"/>
      <c r="G107" s="93">
        <f ca="1">SUMIF('305 Inputs'!$A$77:$A$97,"=irr",'305 Inputs'!$H$77:$H$96)</f>
        <v>0</v>
      </c>
      <c r="H107" s="93"/>
      <c r="I107" s="93"/>
      <c r="J107" s="93">
        <v>0</v>
      </c>
      <c r="K107" s="93">
        <f>J107</f>
        <v>0</v>
      </c>
      <c r="L107" s="94">
        <v>0</v>
      </c>
      <c r="M107" s="31">
        <f ca="1">'Table 3'!D107</f>
        <v>64000</v>
      </c>
      <c r="N107" s="31">
        <f ca="1">'Table 3'!I107</f>
        <v>-64000</v>
      </c>
      <c r="O107" s="31">
        <f ca="1">'Table 3'!M107</f>
        <v>0</v>
      </c>
      <c r="P107" s="31">
        <f t="shared" ref="P107:P113" ca="1" si="57">N107+O107</f>
        <v>-64000</v>
      </c>
      <c r="Q107" s="31">
        <f t="shared" ref="Q107:Q113" ca="1" si="58">+P107+M107</f>
        <v>0</v>
      </c>
      <c r="S107" s="12"/>
      <c r="T107" s="12"/>
      <c r="U107" s="16"/>
    </row>
    <row r="108" spans="1:21" s="11" customFormat="1" ht="15.75" customHeight="1">
      <c r="B108" s="4" t="s">
        <v>654</v>
      </c>
      <c r="D108" s="93">
        <f ca="1">SUMIF('305 Inputs'!$A$77:$A$97,"=def",'305 Inputs'!$J$77:$J$96)</f>
        <v>0</v>
      </c>
      <c r="E108" s="93"/>
      <c r="F108" s="93"/>
      <c r="G108" s="93">
        <f ca="1">SUMIF('305 Inputs'!$A$77:$A$97,"=def",'305 Inputs'!$H$77:$H$96)</f>
        <v>0</v>
      </c>
      <c r="H108" s="93"/>
      <c r="I108" s="93"/>
      <c r="J108" s="93">
        <v>0</v>
      </c>
      <c r="K108" s="93">
        <f t="shared" ref="K108:K113" si="59">J108</f>
        <v>0</v>
      </c>
      <c r="L108" s="94">
        <v>0</v>
      </c>
      <c r="M108" s="31">
        <f ca="1">'Table 3'!D108</f>
        <v>-120000</v>
      </c>
      <c r="N108" s="31">
        <f ca="1">'Table 3'!I108</f>
        <v>120000</v>
      </c>
      <c r="O108" s="31">
        <f ca="1">'Table 3'!M108</f>
        <v>0</v>
      </c>
      <c r="P108" s="31">
        <f t="shared" ca="1" si="57"/>
        <v>120000</v>
      </c>
      <c r="Q108" s="31">
        <f t="shared" ca="1" si="58"/>
        <v>0</v>
      </c>
      <c r="S108" s="12"/>
      <c r="T108" s="12"/>
      <c r="U108" s="16"/>
    </row>
    <row r="109" spans="1:21" ht="15.75" customHeight="1">
      <c r="B109" s="4" t="s">
        <v>728</v>
      </c>
      <c r="D109" s="93">
        <f ca="1">SUMIF('305 Inputs'!$A$77:$A$97,"=rev",'305 Inputs'!$J$77:$J$96)</f>
        <v>0</v>
      </c>
      <c r="E109" s="93"/>
      <c r="F109" s="93"/>
      <c r="G109" s="93">
        <f ca="1">SUMIF('305 Inputs'!$A$77:$A$97,"=rev",'305 Inputs'!$H$77:$H$96)</f>
        <v>0</v>
      </c>
      <c r="H109" s="93"/>
      <c r="I109" s="93"/>
      <c r="J109" s="93">
        <v>0</v>
      </c>
      <c r="K109" s="93">
        <f t="shared" si="59"/>
        <v>0</v>
      </c>
      <c r="L109" s="94">
        <v>0</v>
      </c>
      <c r="M109" s="29">
        <f ca="1">'Table 3'!D109</f>
        <v>-474497.04000000004</v>
      </c>
      <c r="N109" s="29">
        <f ca="1">'Table 3'!I109</f>
        <v>474497.04000000004</v>
      </c>
      <c r="O109" s="31">
        <f ca="1">'Table 3'!M109</f>
        <v>0</v>
      </c>
      <c r="P109" s="31">
        <f t="shared" ca="1" si="57"/>
        <v>474497.04000000004</v>
      </c>
      <c r="Q109" s="31">
        <f t="shared" ca="1" si="58"/>
        <v>0</v>
      </c>
      <c r="S109" s="8"/>
      <c r="T109" s="8"/>
      <c r="U109" s="55"/>
    </row>
    <row r="110" spans="1:21" s="11" customFormat="1" ht="15.75" customHeight="1">
      <c r="B110" s="4" t="s">
        <v>157</v>
      </c>
      <c r="D110" s="93">
        <v>0</v>
      </c>
      <c r="E110" s="93"/>
      <c r="F110" s="93"/>
      <c r="G110" s="93">
        <f ca="1">SUMIF('305 Inputs'!$B$77:$B$97,"=cent",'305 Inputs'!$H$77:$H$96)</f>
        <v>0</v>
      </c>
      <c r="H110" s="93"/>
      <c r="I110" s="93"/>
      <c r="J110" s="93">
        <v>0</v>
      </c>
      <c r="K110" s="93">
        <f t="shared" si="59"/>
        <v>0</v>
      </c>
      <c r="L110" s="94">
        <f ca="1">G110+K110</f>
        <v>0</v>
      </c>
      <c r="M110" s="31">
        <f ca="1">'Table 3'!D110</f>
        <v>540165.32999999996</v>
      </c>
      <c r="N110" s="31">
        <f ca="1">'Table 3'!I110</f>
        <v>-540165.32999999996</v>
      </c>
      <c r="O110" s="31">
        <f ca="1">'Table 3'!M110</f>
        <v>0</v>
      </c>
      <c r="P110" s="31">
        <f t="shared" ca="1" si="57"/>
        <v>-540165.32999999996</v>
      </c>
      <c r="Q110" s="31">
        <f t="shared" ca="1" si="58"/>
        <v>0</v>
      </c>
      <c r="S110" s="12"/>
      <c r="T110" s="12"/>
      <c r="U110" s="16"/>
    </row>
    <row r="111" spans="1:21" s="11" customFormat="1" ht="15.75" customHeight="1">
      <c r="B111" s="4" t="s">
        <v>171</v>
      </c>
      <c r="D111" s="93">
        <v>0</v>
      </c>
      <c r="E111" s="93"/>
      <c r="F111" s="93"/>
      <c r="G111" s="93">
        <f ca="1">SUMIF('305 Inputs'!$B$77:$B$97,"=merger",'305 Inputs'!$H$77:$H$96)</f>
        <v>0</v>
      </c>
      <c r="H111" s="93"/>
      <c r="I111" s="93"/>
      <c r="J111" s="93">
        <v>0</v>
      </c>
      <c r="K111" s="93">
        <f t="shared" si="59"/>
        <v>0</v>
      </c>
      <c r="L111" s="94">
        <f ca="1">G111+K111</f>
        <v>0</v>
      </c>
      <c r="M111" s="31">
        <f ca="1">'Table 3'!D111</f>
        <v>130.54</v>
      </c>
      <c r="N111" s="31">
        <f ca="1">'Table 3'!I111</f>
        <v>-130.54</v>
      </c>
      <c r="O111" s="31">
        <f ca="1">'Table 3'!M111</f>
        <v>0</v>
      </c>
      <c r="P111" s="31">
        <f t="shared" ca="1" si="57"/>
        <v>-130.54</v>
      </c>
      <c r="Q111" s="31">
        <f t="shared" ca="1" si="58"/>
        <v>0</v>
      </c>
      <c r="S111" s="12"/>
      <c r="T111" s="12"/>
      <c r="U111" s="16"/>
    </row>
    <row r="112" spans="1:21" s="11" customFormat="1" ht="15.75" customHeight="1">
      <c r="B112" s="4" t="s">
        <v>96</v>
      </c>
      <c r="D112" s="93">
        <v>0</v>
      </c>
      <c r="E112" s="93"/>
      <c r="F112" s="93"/>
      <c r="G112" s="93">
        <f ca="1">SUMIF('305 Inputs'!$B$77:$B$97,"=bpa",'305 Inputs'!$H$77:$H$96)</f>
        <v>0</v>
      </c>
      <c r="H112" s="93"/>
      <c r="I112" s="93"/>
      <c r="J112" s="93">
        <v>0</v>
      </c>
      <c r="K112" s="93">
        <f t="shared" si="59"/>
        <v>0</v>
      </c>
      <c r="L112" s="94">
        <f ca="1">G112+K112</f>
        <v>0</v>
      </c>
      <c r="M112" s="31">
        <f ca="1">'Table 3'!D112</f>
        <v>19561.62</v>
      </c>
      <c r="N112" s="31">
        <f ca="1">'Table 3'!I112</f>
        <v>-19561.62</v>
      </c>
      <c r="O112" s="31">
        <f ca="1">'Table 3'!M112</f>
        <v>0</v>
      </c>
      <c r="P112" s="31">
        <f t="shared" ca="1" si="57"/>
        <v>-19561.62</v>
      </c>
      <c r="Q112" s="31">
        <f t="shared" ca="1" si="58"/>
        <v>0</v>
      </c>
      <c r="S112" s="12"/>
      <c r="T112" s="12"/>
      <c r="U112" s="16"/>
    </row>
    <row r="113" spans="1:21" s="11" customFormat="1" ht="15.75" customHeight="1">
      <c r="B113" s="4" t="s">
        <v>158</v>
      </c>
      <c r="D113" s="93">
        <v>0</v>
      </c>
      <c r="E113" s="93"/>
      <c r="F113" s="93"/>
      <c r="G113" s="93">
        <f ca="1">SUMIF('305 Inputs'!$A$77:$A$97,"=bpaadj",'305 Inputs'!$H$77:$H$96)</f>
        <v>0</v>
      </c>
      <c r="H113" s="93"/>
      <c r="I113" s="93"/>
      <c r="J113" s="93">
        <v>0</v>
      </c>
      <c r="K113" s="93">
        <f t="shared" si="59"/>
        <v>0</v>
      </c>
      <c r="L113" s="94">
        <f ca="1">G113+K113</f>
        <v>0</v>
      </c>
      <c r="M113" s="31">
        <f ca="1">'Table 3'!D113</f>
        <v>75671.41</v>
      </c>
      <c r="N113" s="31">
        <f ca="1">'Table 3'!I113</f>
        <v>-75671.41</v>
      </c>
      <c r="O113" s="31">
        <f ca="1">'Table 3'!M113</f>
        <v>0</v>
      </c>
      <c r="P113" s="31">
        <f t="shared" ca="1" si="57"/>
        <v>-75671.41</v>
      </c>
      <c r="Q113" s="31">
        <f t="shared" ca="1" si="58"/>
        <v>0</v>
      </c>
      <c r="S113" s="12"/>
      <c r="T113" s="12"/>
      <c r="U113" s="16"/>
    </row>
    <row r="114" spans="1:21" ht="15.75" customHeight="1">
      <c r="D114" s="32"/>
      <c r="E114" s="32"/>
      <c r="F114" s="32"/>
      <c r="G114" s="32"/>
      <c r="H114" s="32"/>
      <c r="I114" s="32"/>
      <c r="J114" s="9"/>
      <c r="K114" s="9"/>
      <c r="L114" s="48"/>
      <c r="M114" s="29"/>
      <c r="N114" s="29"/>
      <c r="O114" s="29"/>
      <c r="P114" s="29"/>
      <c r="Q114" s="29"/>
      <c r="S114" s="8"/>
      <c r="T114" s="8"/>
      <c r="U114" s="55"/>
    </row>
    <row r="115" spans="1:21" s="11" customFormat="1" ht="15.75" customHeight="1">
      <c r="B115" s="4" t="s">
        <v>80</v>
      </c>
      <c r="D115" s="93">
        <v>0</v>
      </c>
      <c r="E115" s="93"/>
      <c r="F115" s="93"/>
      <c r="G115" s="93">
        <f ca="1">SUMIF('305 Inputs'!$B$77:$B$97,"=unbilled",'305 Inputs'!$H$77:$H$96)</f>
        <v>2551000</v>
      </c>
      <c r="H115" s="93">
        <f ca="1">-G115</f>
        <v>-2551000</v>
      </c>
      <c r="I115" s="93"/>
      <c r="J115" s="93">
        <v>0</v>
      </c>
      <c r="K115" s="93">
        <f ca="1">H115+I115+J115</f>
        <v>-2551000</v>
      </c>
      <c r="L115" s="94">
        <f ca="1">G115+K115</f>
        <v>0</v>
      </c>
      <c r="M115" s="31">
        <f ca="1">'Table 3'!D115</f>
        <v>193000</v>
      </c>
      <c r="N115" s="31">
        <f ca="1">'Table 3'!I115</f>
        <v>-193000</v>
      </c>
      <c r="O115" s="31">
        <f ca="1">'Table 3'!M115</f>
        <v>0</v>
      </c>
      <c r="P115" s="31">
        <f t="shared" ref="P115" ca="1" si="60">N115+O115</f>
        <v>-193000</v>
      </c>
      <c r="Q115" s="31">
        <f ca="1">+P115+M115</f>
        <v>0</v>
      </c>
      <c r="S115" s="12"/>
      <c r="T115" s="12"/>
      <c r="U115" s="16"/>
    </row>
    <row r="116" spans="1:21" ht="15.75" customHeight="1">
      <c r="B116" s="882"/>
      <c r="D116" s="32"/>
      <c r="E116" s="32"/>
      <c r="F116" s="32"/>
      <c r="G116" s="32"/>
      <c r="H116" s="32"/>
      <c r="I116" s="32"/>
      <c r="J116" s="32"/>
      <c r="K116" s="32"/>
      <c r="L116" s="92"/>
      <c r="M116" s="29"/>
      <c r="N116" s="29"/>
      <c r="O116" s="29"/>
      <c r="P116" s="29"/>
      <c r="Q116" s="29"/>
      <c r="S116" s="8"/>
      <c r="T116" s="8"/>
      <c r="U116" s="55"/>
    </row>
    <row r="117" spans="1:21" ht="15.75" customHeight="1">
      <c r="B117" s="33" t="s">
        <v>9</v>
      </c>
      <c r="C117" s="34"/>
      <c r="D117" s="97">
        <f t="shared" ref="D117:Q117" ca="1" si="61">D103+D105+SUM(D107:D115)</f>
        <v>5211.75</v>
      </c>
      <c r="E117" s="97">
        <f t="shared" ca="1" si="61"/>
        <v>13.17786420939774</v>
      </c>
      <c r="F117" s="97">
        <f t="shared" si="61"/>
        <v>5224.9278642093977</v>
      </c>
      <c r="G117" s="97">
        <f ca="1">G103+G105+SUM(G107:G115)</f>
        <v>182772432</v>
      </c>
      <c r="H117" s="97">
        <f ca="1">H103+H105+SUM(H107:H115)</f>
        <v>0</v>
      </c>
      <c r="I117" s="97">
        <f>I103+I105+SUM(I107:I115)</f>
        <v>4531655</v>
      </c>
      <c r="J117" s="97">
        <f t="shared" si="61"/>
        <v>-26429215.105051007</v>
      </c>
      <c r="K117" s="97">
        <f t="shared" ca="1" si="61"/>
        <v>-21897560.105051007</v>
      </c>
      <c r="L117" s="97">
        <f t="shared" ca="1" si="61"/>
        <v>160874871.89494899</v>
      </c>
      <c r="M117" s="37">
        <f t="shared" ca="1" si="61"/>
        <v>15339082.689999998</v>
      </c>
      <c r="N117" s="37">
        <f t="shared" ca="1" si="61"/>
        <v>-1527274.0487107018</v>
      </c>
      <c r="O117" s="37">
        <f t="shared" ca="1" si="61"/>
        <v>159486.13871070324</v>
      </c>
      <c r="P117" s="37">
        <f t="shared" ca="1" si="61"/>
        <v>-1367787.9099999985</v>
      </c>
      <c r="Q117" s="37">
        <f t="shared" ca="1" si="61"/>
        <v>13971294.779999999</v>
      </c>
      <c r="S117" s="8"/>
      <c r="T117" s="8"/>
      <c r="U117" s="55"/>
    </row>
    <row r="118" spans="1:21" ht="15.75" customHeight="1">
      <c r="B118" s="882"/>
      <c r="D118" s="32"/>
      <c r="E118" s="32"/>
      <c r="F118" s="32"/>
      <c r="G118" s="32"/>
      <c r="H118" s="32"/>
      <c r="I118" s="32"/>
      <c r="J118" s="32"/>
      <c r="K118" s="32"/>
      <c r="L118" s="92"/>
      <c r="M118" s="29"/>
      <c r="N118" s="29"/>
      <c r="O118" s="29"/>
      <c r="P118" s="29"/>
      <c r="Q118" s="29"/>
      <c r="S118" s="8"/>
      <c r="T118" s="8"/>
      <c r="U118" s="55"/>
    </row>
    <row r="119" spans="1:21" ht="15.75" customHeight="1">
      <c r="A119" s="5" t="s">
        <v>36</v>
      </c>
      <c r="B119" s="882"/>
      <c r="D119" s="32"/>
      <c r="E119" s="32"/>
      <c r="F119" s="32"/>
      <c r="G119" s="32"/>
      <c r="H119" s="32"/>
      <c r="I119" s="32"/>
      <c r="J119" s="9"/>
      <c r="K119" s="9"/>
      <c r="L119" s="48"/>
      <c r="M119" s="29"/>
      <c r="N119" s="29"/>
      <c r="O119" s="29"/>
      <c r="P119" s="29"/>
      <c r="Q119" s="29"/>
      <c r="U119" s="55"/>
    </row>
    <row r="120" spans="1:21" ht="15.75" customHeight="1">
      <c r="A120" s="5"/>
      <c r="B120" s="882"/>
      <c r="D120" s="32"/>
      <c r="E120" s="32"/>
      <c r="F120" s="32"/>
      <c r="G120" s="32"/>
      <c r="H120" s="32"/>
      <c r="I120" s="32"/>
      <c r="J120" s="9"/>
      <c r="K120" s="9"/>
      <c r="L120" s="48"/>
      <c r="M120" s="29"/>
      <c r="N120" s="29"/>
      <c r="O120" s="29"/>
      <c r="P120" s="29"/>
      <c r="Q120" s="29"/>
      <c r="U120" s="55"/>
    </row>
    <row r="121" spans="1:21" ht="15.75" customHeight="1">
      <c r="B121" s="882" t="s">
        <v>61</v>
      </c>
      <c r="D121" s="32">
        <f ca="1">SUMIF('305 Inputs'!A103:A113,"=52",'305 Inputs'!J103:J112)</f>
        <v>14.166666666666666</v>
      </c>
      <c r="E121" s="32">
        <f t="shared" ref="E121:E126" ca="1" si="62">F121-D121</f>
        <v>-13</v>
      </c>
      <c r="F121" s="32">
        <f>'Rate Design Work eff 10-14-16'!C1150/12</f>
        <v>1.1666666666666667</v>
      </c>
      <c r="G121" s="32">
        <f ca="1">SUMIF('305 Inputs'!$A$103:$A$113,"=52",'305 Inputs'!H$103:H$112)</f>
        <v>202401</v>
      </c>
      <c r="H121" s="32">
        <f ca="1">'Normalized Monthly kWh'!AC38</f>
        <v>2653.5816237928889</v>
      </c>
      <c r="I121" s="32">
        <f>'305 VS COGNOS kWh'!E51+'305 VS COGNOS kWh'!K51</f>
        <v>7140.6687584779802</v>
      </c>
      <c r="J121" s="32">
        <v>0</v>
      </c>
      <c r="K121" s="32">
        <f t="shared" ref="K121:K126" ca="1" si="63">H121+I121+J121</f>
        <v>9794.2503822708695</v>
      </c>
      <c r="L121" s="92">
        <f t="shared" ref="L121:L126" ca="1" si="64">G121+K121</f>
        <v>212195.25038227087</v>
      </c>
      <c r="M121" s="29">
        <f>'Table 3'!D121</f>
        <v>34679.26</v>
      </c>
      <c r="N121" s="29">
        <f ca="1">'Table 3'!I121</f>
        <v>1445.6386078647761</v>
      </c>
      <c r="O121" s="29">
        <f>'Table 3'!M121</f>
        <v>377.2433458266969</v>
      </c>
      <c r="P121" s="29">
        <f ca="1">N121+O121</f>
        <v>1822.881953691473</v>
      </c>
      <c r="Q121" s="29">
        <f t="shared" ref="Q121:Q127" ca="1" si="65">+P121+M121</f>
        <v>36502.141953691476</v>
      </c>
      <c r="S121" s="8"/>
      <c r="T121" s="8"/>
      <c r="U121" s="55"/>
    </row>
    <row r="122" spans="1:21" ht="15.75" customHeight="1">
      <c r="B122" s="882" t="s">
        <v>62</v>
      </c>
      <c r="D122" s="32">
        <f ca="1">SUMIF('305 Inputs'!$A$103:$A$113,"=53f",'305 Inputs'!J103:J112)</f>
        <v>110.41666666666667</v>
      </c>
      <c r="E122" s="32">
        <f t="shared" ca="1" si="62"/>
        <v>-105.47916666666667</v>
      </c>
      <c r="F122" s="32">
        <f>'Rate Design Work eff 10-14-16'!C1194/12</f>
        <v>4.9374999999999973</v>
      </c>
      <c r="G122" s="32">
        <f ca="1">SUMIF('305 Inputs'!$A$103:$A$113,"=53f",'305 Inputs'!H$103:H$112)</f>
        <v>3447449</v>
      </c>
      <c r="H122" s="32">
        <f ca="1">'Normalized Monthly kWh'!AC39</f>
        <v>43657.854220442547</v>
      </c>
      <c r="I122" s="32">
        <f>'305 VS COGNOS kWh'!E52+'305 VS COGNOS kWh'!K52</f>
        <v>19.713884904239421</v>
      </c>
      <c r="J122" s="32">
        <v>0</v>
      </c>
      <c r="K122" s="32">
        <f t="shared" ca="1" si="63"/>
        <v>43677.568105346785</v>
      </c>
      <c r="L122" s="92">
        <f t="shared" ca="1" si="64"/>
        <v>3491126.568105347</v>
      </c>
      <c r="M122" s="29">
        <f>'Table 3'!D122</f>
        <v>247377.26</v>
      </c>
      <c r="N122" s="29">
        <f ca="1">'Table 3'!I122</f>
        <v>-5079.4618538452323</v>
      </c>
      <c r="O122" s="29">
        <f>'Table 3'!M122</f>
        <v>2502.2534505984513</v>
      </c>
      <c r="P122" s="29">
        <f t="shared" ref="P122:P127" ca="1" si="66">N122+O122</f>
        <v>-2577.208403246781</v>
      </c>
      <c r="Q122" s="29">
        <f t="shared" ca="1" si="65"/>
        <v>244800.05159675324</v>
      </c>
      <c r="S122" s="8"/>
      <c r="T122" s="8"/>
      <c r="U122" s="55"/>
    </row>
    <row r="123" spans="1:21" ht="15.75" customHeight="1">
      <c r="B123" s="882" t="s">
        <v>63</v>
      </c>
      <c r="D123" s="32">
        <f ca="1">SUMIF('305 Inputs'!$A$103:$A$113,"=53m",'305 Inputs'!J103:J112)</f>
        <v>105</v>
      </c>
      <c r="E123" s="32">
        <f t="shared" ca="1" si="62"/>
        <v>-103.15277777777777</v>
      </c>
      <c r="F123" s="32">
        <f>'Rate Design Work eff 10-14-16'!C1207/12</f>
        <v>1.847222222222225</v>
      </c>
      <c r="G123" s="32">
        <f ca="1">SUMIF('305 Inputs'!$A$103:$A$113,"=53m",'305 Inputs'!H$103:H$112)</f>
        <v>1151385</v>
      </c>
      <c r="H123" s="32">
        <f ca="1">'Normalized Monthly kWh'!AC40</f>
        <v>14578.601058505523</v>
      </c>
      <c r="I123" s="32">
        <f>'305 VS COGNOS kWh'!E53+'305 VS COGNOS kWh'!K53</f>
        <v>-177</v>
      </c>
      <c r="J123" s="32">
        <v>0</v>
      </c>
      <c r="K123" s="32">
        <f t="shared" ca="1" si="63"/>
        <v>14401.601058505523</v>
      </c>
      <c r="L123" s="92">
        <f t="shared" ca="1" si="64"/>
        <v>1165786.6010585055</v>
      </c>
      <c r="M123" s="29">
        <f>'Table 3'!D123</f>
        <v>81786.179999999993</v>
      </c>
      <c r="N123" s="29">
        <f ca="1">'Table 3'!I123</f>
        <v>-1686.1037283905505</v>
      </c>
      <c r="O123" s="29">
        <f>'Table 3'!M123</f>
        <v>891.05908999989333</v>
      </c>
      <c r="P123" s="29">
        <f t="shared" ca="1" si="66"/>
        <v>-795.04463839065716</v>
      </c>
      <c r="Q123" s="29">
        <f t="shared" ca="1" si="65"/>
        <v>80991.13536160934</v>
      </c>
      <c r="S123" s="8"/>
      <c r="T123" s="8"/>
      <c r="U123" s="55"/>
    </row>
    <row r="124" spans="1:21" ht="15.75" customHeight="1">
      <c r="B124" s="882" t="s">
        <v>64</v>
      </c>
      <c r="D124" s="32">
        <f ca="1">SUMIF('305 Inputs'!$A$103:$A$113,"=51",'305 Inputs'!J103:J112)</f>
        <v>163.58333333333334</v>
      </c>
      <c r="E124" s="32">
        <f t="shared" ca="1" si="62"/>
        <v>13.416666666666657</v>
      </c>
      <c r="F124" s="32">
        <f>'Rate Design Work eff 10-14-16'!C1135/12</f>
        <v>177</v>
      </c>
      <c r="G124" s="32">
        <f ca="1">SUMIF('305 Inputs'!$A$103:$A$113,"=51",'305 Inputs'!H$103:H$112)</f>
        <v>3892466</v>
      </c>
      <c r="H124" s="32">
        <f ca="1">'Normalized Monthly kWh'!AC41</f>
        <v>49178.118055078899</v>
      </c>
      <c r="I124" s="32">
        <f>'305 VS COGNOS kWh'!E54+'305 VS COGNOS kWh'!K54</f>
        <v>-9086.3325852618509</v>
      </c>
      <c r="J124" s="32">
        <v>0</v>
      </c>
      <c r="K124" s="32">
        <f t="shared" ca="1" si="63"/>
        <v>40091.785469817049</v>
      </c>
      <c r="L124" s="92">
        <f t="shared" ca="1" si="64"/>
        <v>3932557.785469817</v>
      </c>
      <c r="M124" s="29">
        <f>'Table 3'!D124</f>
        <v>760182.18</v>
      </c>
      <c r="N124" s="29">
        <f ca="1">'Table 3'!I124</f>
        <v>827.08168747696436</v>
      </c>
      <c r="O124" s="29">
        <f>'Table 3'!M124</f>
        <v>7963.943692685687</v>
      </c>
      <c r="P124" s="29">
        <f t="shared" ca="1" si="66"/>
        <v>8791.0253801626513</v>
      </c>
      <c r="Q124" s="29">
        <f t="shared" ca="1" si="65"/>
        <v>768973.20538016269</v>
      </c>
      <c r="S124" s="8"/>
      <c r="T124" s="8"/>
      <c r="U124" s="55"/>
    </row>
    <row r="125" spans="1:21" s="11" customFormat="1" ht="15.75" customHeight="1">
      <c r="B125" s="882" t="s">
        <v>65</v>
      </c>
      <c r="D125" s="32">
        <f ca="1">SUMIF('305 Inputs'!$A$103:$A$113,"=57",'305 Inputs'!J103:J112)</f>
        <v>40</v>
      </c>
      <c r="E125" s="32">
        <f t="shared" ca="1" si="62"/>
        <v>-5.1666666666666643</v>
      </c>
      <c r="F125" s="32">
        <f>'Rate Design Work eff 10-14-16'!C1262/12</f>
        <v>34.833333333333336</v>
      </c>
      <c r="G125" s="32">
        <f ca="1">SUMIF('305 Inputs'!$A$103:$A$113,"=57",'305 Inputs'!H$103:H$112)</f>
        <v>1733378</v>
      </c>
      <c r="H125" s="32">
        <f ca="1">'Normalized Monthly kWh'!AC42</f>
        <v>21931.845042180139</v>
      </c>
      <c r="I125" s="32">
        <f>'305 VS COGNOS kWh'!E55+'305 VS COGNOS kWh'!K55</f>
        <v>-1516.6666666669771</v>
      </c>
      <c r="J125" s="32">
        <v>0</v>
      </c>
      <c r="K125" s="32">
        <f t="shared" ca="1" si="63"/>
        <v>20415.178375513162</v>
      </c>
      <c r="L125" s="92">
        <f t="shared" ca="1" si="64"/>
        <v>1753793.1783755131</v>
      </c>
      <c r="M125" s="29">
        <f>'Table 3'!D125</f>
        <v>218370.52</v>
      </c>
      <c r="N125" s="29">
        <f ca="1">'Table 3'!I125</f>
        <v>-922.72485431296718</v>
      </c>
      <c r="O125" s="29">
        <f>'Table 3'!M125</f>
        <v>2253.6667753366637</v>
      </c>
      <c r="P125" s="29">
        <f t="shared" ca="1" si="66"/>
        <v>1330.9419210236965</v>
      </c>
      <c r="Q125" s="29">
        <f t="shared" ca="1" si="65"/>
        <v>219701.4619210237</v>
      </c>
      <c r="S125" s="12"/>
      <c r="T125" s="12"/>
      <c r="U125" s="16"/>
    </row>
    <row r="126" spans="1:21" s="11" customFormat="1" ht="15.75" customHeight="1">
      <c r="B126" s="882" t="s">
        <v>730</v>
      </c>
      <c r="D126" s="93">
        <f ca="1">SUMIF('305 Inputs'!$A$103:$A$113,"=12",'305 Inputs'!J103:J112)</f>
        <v>0</v>
      </c>
      <c r="E126" s="93">
        <f t="shared" ca="1" si="62"/>
        <v>0</v>
      </c>
      <c r="F126" s="93">
        <v>0</v>
      </c>
      <c r="G126" s="93">
        <f ca="1">SUMIF('305 Inputs'!$A$103:$A$113,"=12",'305 Inputs'!H$103:H$112)</f>
        <v>0</v>
      </c>
      <c r="H126" s="93">
        <v>0</v>
      </c>
      <c r="I126" s="93">
        <v>0</v>
      </c>
      <c r="J126" s="93">
        <v>0</v>
      </c>
      <c r="K126" s="93">
        <f t="shared" si="63"/>
        <v>0</v>
      </c>
      <c r="L126" s="94">
        <f t="shared" ca="1" si="64"/>
        <v>0</v>
      </c>
      <c r="M126" s="31">
        <f>'Table 3'!D126</f>
        <v>0</v>
      </c>
      <c r="N126" s="31">
        <f ca="1">'Table 3'!I126</f>
        <v>0</v>
      </c>
      <c r="O126" s="31">
        <f ca="1">'Table 3'!M126</f>
        <v>0</v>
      </c>
      <c r="P126" s="31">
        <f t="shared" ca="1" si="66"/>
        <v>0</v>
      </c>
      <c r="Q126" s="31">
        <f t="shared" ca="1" si="65"/>
        <v>0</v>
      </c>
      <c r="S126" s="12"/>
      <c r="T126" s="12"/>
      <c r="U126" s="16"/>
    </row>
    <row r="127" spans="1:21" ht="15.75" customHeight="1">
      <c r="B127" s="4" t="s">
        <v>69</v>
      </c>
      <c r="D127" s="32">
        <f t="shared" ref="D127:N127" ca="1" si="67">SUM(D121:D126)</f>
        <v>433.16666666666669</v>
      </c>
      <c r="E127" s="32">
        <f t="shared" ca="1" si="67"/>
        <v>-213.38194444444446</v>
      </c>
      <c r="F127" s="32">
        <f t="shared" si="67"/>
        <v>219.78472222222223</v>
      </c>
      <c r="G127" s="32">
        <f t="shared" ca="1" si="67"/>
        <v>10427079</v>
      </c>
      <c r="H127" s="32">
        <f t="shared" ca="1" si="67"/>
        <v>132000</v>
      </c>
      <c r="I127" s="32">
        <f t="shared" si="67"/>
        <v>-3619.6166085466084</v>
      </c>
      <c r="J127" s="32">
        <f t="shared" si="67"/>
        <v>0</v>
      </c>
      <c r="K127" s="32">
        <f t="shared" ca="1" si="67"/>
        <v>128380.38339145338</v>
      </c>
      <c r="L127" s="92">
        <f t="shared" ca="1" si="67"/>
        <v>10555459.383391453</v>
      </c>
      <c r="M127" s="29">
        <f t="shared" si="67"/>
        <v>1342395.4000000001</v>
      </c>
      <c r="N127" s="29">
        <f t="shared" ca="1" si="67"/>
        <v>-5415.5701412070093</v>
      </c>
      <c r="O127" s="29">
        <f t="shared" ref="O127" ca="1" si="68">SUM(O121:O126)</f>
        <v>13988.166354447392</v>
      </c>
      <c r="P127" s="29">
        <f t="shared" ca="1" si="66"/>
        <v>8572.5962132403838</v>
      </c>
      <c r="Q127" s="29">
        <f t="shared" ca="1" si="65"/>
        <v>1350967.9962132405</v>
      </c>
      <c r="S127" s="8"/>
      <c r="T127" s="8"/>
      <c r="U127" s="55"/>
    </row>
    <row r="128" spans="1:21" ht="15.75" customHeight="1">
      <c r="D128" s="32"/>
      <c r="E128" s="32"/>
      <c r="F128" s="32"/>
      <c r="G128" s="32"/>
      <c r="H128" s="32"/>
      <c r="I128" s="32"/>
      <c r="J128" s="9"/>
      <c r="K128" s="9"/>
      <c r="L128" s="48"/>
      <c r="M128" s="29"/>
      <c r="N128" s="29"/>
      <c r="O128" s="29"/>
      <c r="P128" s="29"/>
      <c r="Q128" s="29"/>
      <c r="S128" s="8"/>
      <c r="T128" s="8"/>
      <c r="U128" s="55"/>
    </row>
    <row r="129" spans="1:21" ht="15.75" customHeight="1">
      <c r="B129" s="882" t="s">
        <v>34</v>
      </c>
      <c r="D129" s="93">
        <v>0</v>
      </c>
      <c r="E129" s="93"/>
      <c r="F129" s="93"/>
      <c r="G129" s="93">
        <f ca="1">SUMIF('305 Inputs'!$A$103:$A$113,"=aga",'305 Inputs'!H$103:H$112)</f>
        <v>0</v>
      </c>
      <c r="H129" s="93"/>
      <c r="I129" s="93"/>
      <c r="J129" s="93">
        <v>0</v>
      </c>
      <c r="K129" s="93">
        <f>J129</f>
        <v>0</v>
      </c>
      <c r="L129" s="94">
        <f ca="1">G129+K129</f>
        <v>0</v>
      </c>
      <c r="M129" s="31">
        <f>'Table 3'!D129</f>
        <v>90.84</v>
      </c>
      <c r="N129" s="31">
        <f>'Table 3'!I129</f>
        <v>0</v>
      </c>
      <c r="O129" s="31">
        <f>'Table 3'!M129</f>
        <v>0</v>
      </c>
      <c r="P129" s="31">
        <f t="shared" ref="P129" si="69">N129+O129</f>
        <v>0</v>
      </c>
      <c r="Q129" s="31">
        <f>+P129+M129</f>
        <v>90.84</v>
      </c>
      <c r="S129" s="8"/>
      <c r="T129" s="8"/>
      <c r="U129" s="55"/>
    </row>
    <row r="130" spans="1:21" ht="15.75" customHeight="1">
      <c r="B130" s="882"/>
      <c r="D130" s="93"/>
      <c r="E130" s="93"/>
      <c r="F130" s="93"/>
      <c r="G130" s="93"/>
      <c r="H130" s="93"/>
      <c r="I130" s="93"/>
      <c r="J130" s="93"/>
      <c r="K130" s="93"/>
      <c r="L130" s="94"/>
      <c r="M130" s="31"/>
      <c r="N130" s="31"/>
      <c r="O130" s="31"/>
      <c r="P130" s="31"/>
      <c r="Q130" s="31"/>
      <c r="S130" s="8"/>
      <c r="T130" s="8"/>
      <c r="U130" s="55"/>
    </row>
    <row r="131" spans="1:21" ht="15.75" customHeight="1">
      <c r="B131" s="4" t="s">
        <v>654</v>
      </c>
      <c r="D131" s="93">
        <f ca="1">SUMIF('305 Inputs'!$A$103:$A$113,"=def",'305 Inputs'!J103:J112)</f>
        <v>0</v>
      </c>
      <c r="E131" s="93"/>
      <c r="F131" s="93"/>
      <c r="G131" s="93">
        <f ca="1">SUMIF('305 Inputs'!$A$103:$A$113,"=def",'305 Inputs'!H$103:H$112)</f>
        <v>0</v>
      </c>
      <c r="H131" s="93"/>
      <c r="I131" s="93"/>
      <c r="J131" s="93">
        <v>0</v>
      </c>
      <c r="K131" s="93">
        <f>J131</f>
        <v>0</v>
      </c>
      <c r="L131" s="94">
        <v>0</v>
      </c>
      <c r="M131" s="31">
        <f>'Table 3'!D131</f>
        <v>-30000</v>
      </c>
      <c r="N131" s="31">
        <f>'Table 3'!F131</f>
        <v>30000</v>
      </c>
      <c r="O131" s="31">
        <f>'Table 3'!M131</f>
        <v>0</v>
      </c>
      <c r="P131" s="31">
        <f t="shared" ref="P131:P133" si="70">N131+O131</f>
        <v>30000</v>
      </c>
      <c r="Q131" s="31">
        <f>+P131+M131</f>
        <v>0</v>
      </c>
      <c r="S131" s="8"/>
      <c r="T131" s="8"/>
      <c r="U131" s="55"/>
    </row>
    <row r="132" spans="1:21" ht="15.75" customHeight="1">
      <c r="B132" s="4" t="s">
        <v>728</v>
      </c>
      <c r="D132" s="93">
        <f ca="1">SUMIF('305 Inputs'!$A$103:$A$113,"=rev",'305 Inputs'!J103:J112)</f>
        <v>0</v>
      </c>
      <c r="E132" s="93"/>
      <c r="F132" s="93"/>
      <c r="G132" s="93">
        <f ca="1">SUMIF('305 Inputs'!$A$103:$A$113,"=rev",'305 Inputs'!H$103:H$112)</f>
        <v>0</v>
      </c>
      <c r="H132" s="93"/>
      <c r="I132" s="93"/>
      <c r="J132" s="93">
        <v>0</v>
      </c>
      <c r="K132" s="93">
        <f>J132</f>
        <v>0</v>
      </c>
      <c r="L132" s="94">
        <v>0</v>
      </c>
      <c r="M132" s="31">
        <f>'Table 3'!D132</f>
        <v>-23841.899999999998</v>
      </c>
      <c r="N132" s="31">
        <f>'Table 3'!F132</f>
        <v>23841.899999999998</v>
      </c>
      <c r="O132" s="31">
        <f>'Table 3'!M132</f>
        <v>0</v>
      </c>
      <c r="P132" s="31">
        <f t="shared" si="70"/>
        <v>23841.899999999998</v>
      </c>
      <c r="Q132" s="31">
        <f>+P132+M132</f>
        <v>0</v>
      </c>
      <c r="S132" s="8"/>
      <c r="T132" s="8"/>
      <c r="U132" s="55"/>
    </row>
    <row r="133" spans="1:21" ht="15.75" customHeight="1">
      <c r="B133" s="4" t="s">
        <v>157</v>
      </c>
      <c r="D133" s="93">
        <v>0</v>
      </c>
      <c r="E133" s="93"/>
      <c r="F133" s="93"/>
      <c r="G133" s="93">
        <f ca="1">SUMIF('305 Inputs'!$B$103:$B$113,"=cent",'305 Inputs'!$H$103:$H$112)</f>
        <v>0</v>
      </c>
      <c r="H133" s="93"/>
      <c r="I133" s="93"/>
      <c r="J133" s="93">
        <v>0</v>
      </c>
      <c r="K133" s="93">
        <f>J133</f>
        <v>0</v>
      </c>
      <c r="L133" s="94">
        <f ca="1">G133+K133</f>
        <v>0</v>
      </c>
      <c r="M133" s="31">
        <f>'Table 3'!D133</f>
        <v>30606.84</v>
      </c>
      <c r="N133" s="31">
        <f>'Table 3'!I133</f>
        <v>-30606.84</v>
      </c>
      <c r="O133" s="31">
        <f>'Table 3'!M133</f>
        <v>0</v>
      </c>
      <c r="P133" s="31">
        <f t="shared" si="70"/>
        <v>-30606.84</v>
      </c>
      <c r="Q133" s="31">
        <f>+P133+M133</f>
        <v>0</v>
      </c>
      <c r="S133" s="8"/>
      <c r="T133" s="8"/>
      <c r="U133" s="55"/>
    </row>
    <row r="134" spans="1:21" ht="15.75" customHeight="1">
      <c r="B134" s="11"/>
      <c r="D134" s="32"/>
      <c r="E134" s="32"/>
      <c r="F134" s="32"/>
      <c r="G134" s="32"/>
      <c r="H134" s="32"/>
      <c r="I134" s="32"/>
      <c r="J134" s="9"/>
      <c r="K134" s="9"/>
      <c r="L134" s="48"/>
      <c r="M134" s="29"/>
      <c r="N134" s="639"/>
      <c r="O134" s="639"/>
      <c r="P134" s="639"/>
      <c r="Q134" s="8"/>
      <c r="S134" s="8"/>
      <c r="T134" s="8"/>
      <c r="U134" s="55"/>
    </row>
    <row r="135" spans="1:21" s="11" customFormat="1" ht="15.75" customHeight="1">
      <c r="B135" s="4" t="s">
        <v>80</v>
      </c>
      <c r="D135" s="93">
        <v>0</v>
      </c>
      <c r="E135" s="93"/>
      <c r="F135" s="93"/>
      <c r="G135" s="93">
        <f ca="1">SUMIF('305 Inputs'!$B$103:$B$113,"=unbilled",'305 Inputs'!$H$103:$H$112)</f>
        <v>132000</v>
      </c>
      <c r="H135" s="93">
        <f ca="1">-G135</f>
        <v>-132000</v>
      </c>
      <c r="I135" s="93"/>
      <c r="J135" s="93">
        <v>0</v>
      </c>
      <c r="K135" s="93">
        <f ca="1">H135+I135+J135</f>
        <v>-132000</v>
      </c>
      <c r="L135" s="94">
        <f ca="1">G135+K135</f>
        <v>0</v>
      </c>
      <c r="M135" s="31">
        <f>'Table 3'!D135</f>
        <v>21000</v>
      </c>
      <c r="N135" s="31">
        <f>'Table 3'!I135</f>
        <v>-21000</v>
      </c>
      <c r="O135" s="31">
        <f>'Table 3'!M135</f>
        <v>0</v>
      </c>
      <c r="P135" s="31">
        <f t="shared" ref="P135" si="71">N135+O135</f>
        <v>-21000</v>
      </c>
      <c r="Q135" s="31">
        <f>+P135+M135</f>
        <v>0</v>
      </c>
      <c r="S135" s="12"/>
      <c r="T135" s="12"/>
      <c r="U135" s="16"/>
    </row>
    <row r="136" spans="1:21" ht="15.75" customHeight="1">
      <c r="B136" s="11"/>
      <c r="D136" s="32"/>
      <c r="E136" s="32"/>
      <c r="F136" s="32"/>
      <c r="G136" s="32"/>
      <c r="H136" s="32"/>
      <c r="I136" s="32"/>
      <c r="J136" s="9"/>
      <c r="K136" s="9"/>
      <c r="L136" s="48"/>
      <c r="M136" s="29"/>
      <c r="N136" s="639"/>
      <c r="O136" s="639"/>
      <c r="P136" s="639"/>
      <c r="Q136" s="8"/>
      <c r="S136" s="8"/>
      <c r="T136" s="8"/>
      <c r="U136" s="55"/>
    </row>
    <row r="137" spans="1:21" ht="15.75" customHeight="1">
      <c r="B137" s="33" t="s">
        <v>9</v>
      </c>
      <c r="C137" s="34"/>
      <c r="D137" s="97">
        <f t="shared" ref="D137:Q137" ca="1" si="72">D127+D129+SUM(D131:D135)</f>
        <v>433.16666666666669</v>
      </c>
      <c r="E137" s="97">
        <f t="shared" ca="1" si="72"/>
        <v>-213.38194444444446</v>
      </c>
      <c r="F137" s="97">
        <f t="shared" si="72"/>
        <v>219.78472222222223</v>
      </c>
      <c r="G137" s="97">
        <f t="shared" ca="1" si="72"/>
        <v>10559079</v>
      </c>
      <c r="H137" s="97">
        <f t="shared" ca="1" si="72"/>
        <v>0</v>
      </c>
      <c r="I137" s="97">
        <f t="shared" si="72"/>
        <v>-3619.6166085466084</v>
      </c>
      <c r="J137" s="97">
        <f t="shared" si="72"/>
        <v>0</v>
      </c>
      <c r="K137" s="97">
        <f t="shared" ca="1" si="72"/>
        <v>-3619.6166085466248</v>
      </c>
      <c r="L137" s="97">
        <f t="shared" ca="1" si="72"/>
        <v>10555459.383391453</v>
      </c>
      <c r="M137" s="37">
        <f t="shared" si="72"/>
        <v>1340251.1800000002</v>
      </c>
      <c r="N137" s="37">
        <f t="shared" ca="1" si="72"/>
        <v>-3180.5101412070153</v>
      </c>
      <c r="O137" s="37">
        <f t="shared" ca="1" si="72"/>
        <v>13988.166354447392</v>
      </c>
      <c r="P137" s="37">
        <f t="shared" ca="1" si="72"/>
        <v>10807.656213240378</v>
      </c>
      <c r="Q137" s="37">
        <f t="shared" ca="1" si="72"/>
        <v>1351058.8362132406</v>
      </c>
      <c r="S137" s="8"/>
      <c r="T137" s="8"/>
      <c r="U137" s="55"/>
    </row>
    <row r="138" spans="1:21" ht="15.75" customHeight="1">
      <c r="B138" s="7"/>
      <c r="C138" s="7"/>
      <c r="D138" s="32" t="s">
        <v>31</v>
      </c>
      <c r="E138" s="32"/>
      <c r="F138" s="32"/>
      <c r="G138" s="32"/>
      <c r="H138" s="32"/>
      <c r="I138" s="32"/>
      <c r="J138" s="9"/>
      <c r="K138" s="9"/>
      <c r="L138" s="48"/>
      <c r="M138" s="29" t="s">
        <v>31</v>
      </c>
      <c r="N138" s="9"/>
      <c r="O138" s="9"/>
      <c r="P138" s="9"/>
      <c r="Q138" s="9"/>
      <c r="S138" s="8"/>
      <c r="T138" s="8"/>
      <c r="U138" s="55"/>
    </row>
    <row r="139" spans="1:21" ht="15.75" customHeight="1" thickBot="1">
      <c r="D139" s="32"/>
      <c r="E139" s="32"/>
      <c r="F139" s="32"/>
      <c r="G139" s="32"/>
      <c r="H139" s="32"/>
      <c r="I139" s="32"/>
      <c r="J139" s="9"/>
      <c r="K139" s="9"/>
      <c r="L139" s="48"/>
      <c r="M139" s="29"/>
      <c r="N139" s="9"/>
      <c r="O139" s="9"/>
      <c r="P139" s="9"/>
      <c r="Q139" s="8" t="s">
        <v>31</v>
      </c>
      <c r="S139" s="8"/>
      <c r="T139" s="8"/>
      <c r="U139" s="55"/>
    </row>
    <row r="140" spans="1:21" s="13" customFormat="1" ht="15.75" customHeight="1" thickTop="1" thickBot="1">
      <c r="A140" s="49"/>
      <c r="B140" s="35" t="s">
        <v>9</v>
      </c>
      <c r="C140" s="36"/>
      <c r="D140" s="101">
        <f t="shared" ref="D140:Q140" ca="1" si="73">D38+D68+D97+D117+D137</f>
        <v>133703.16666666666</v>
      </c>
      <c r="E140" s="101">
        <f t="shared" ca="1" si="73"/>
        <v>-97.380684786988766</v>
      </c>
      <c r="F140" s="101">
        <f t="shared" si="73"/>
        <v>133392.45264854634</v>
      </c>
      <c r="G140" s="101">
        <f t="shared" ca="1" si="73"/>
        <v>4098021633</v>
      </c>
      <c r="H140" s="101">
        <f t="shared" ca="1" si="73"/>
        <v>0</v>
      </c>
      <c r="I140" s="101">
        <f t="shared" si="73"/>
        <v>10216161.177686764</v>
      </c>
      <c r="J140" s="101">
        <f t="shared" si="73"/>
        <v>-23137645.262597684</v>
      </c>
      <c r="K140" s="101">
        <f t="shared" ca="1" si="73"/>
        <v>-12921484.08491092</v>
      </c>
      <c r="L140" s="102">
        <f t="shared" ca="1" si="73"/>
        <v>4085100148.9150891</v>
      </c>
      <c r="M140" s="39">
        <f t="shared" ca="1" si="73"/>
        <v>329745407.28999996</v>
      </c>
      <c r="N140" s="39">
        <f t="shared" ca="1" si="73"/>
        <v>-2185242.9764566524</v>
      </c>
      <c r="O140" s="39">
        <f t="shared" ca="1" si="73"/>
        <v>8112496.4755207952</v>
      </c>
      <c r="P140" s="39">
        <f t="shared" ca="1" si="73"/>
        <v>5927253.4990641437</v>
      </c>
      <c r="Q140" s="39">
        <f t="shared" ca="1" si="73"/>
        <v>335672660.78906405</v>
      </c>
      <c r="S140" s="17"/>
      <c r="T140" s="17"/>
      <c r="U140" s="18"/>
    </row>
    <row r="141" spans="1:21" ht="15.75" customHeight="1" thickTop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41" t="s">
        <v>31</v>
      </c>
      <c r="M141" s="29" t="s">
        <v>31</v>
      </c>
      <c r="N141" s="7" t="s">
        <v>31</v>
      </c>
      <c r="O141" s="7"/>
      <c r="P141" s="7"/>
      <c r="Q141" s="639" t="s">
        <v>31</v>
      </c>
    </row>
    <row r="142" spans="1:21" ht="15.75" customHeight="1">
      <c r="A142" s="7"/>
      <c r="B142" s="7"/>
      <c r="C142" s="7"/>
      <c r="D142" s="7"/>
      <c r="E142" s="7"/>
      <c r="F142" s="7"/>
      <c r="G142" s="32"/>
      <c r="H142" s="32"/>
      <c r="I142" s="32"/>
      <c r="J142" s="7"/>
      <c r="K142" s="7"/>
      <c r="L142" s="88" t="s">
        <v>31</v>
      </c>
      <c r="M142" s="29" t="s">
        <v>31</v>
      </c>
      <c r="N142" s="29"/>
      <c r="O142" s="7"/>
      <c r="P142" s="32"/>
      <c r="Q142" s="7"/>
    </row>
    <row r="143" spans="1:21" ht="15.75" customHeight="1">
      <c r="A143" s="7"/>
      <c r="B143" s="876" t="s">
        <v>731</v>
      </c>
      <c r="C143" s="7"/>
      <c r="D143" s="7"/>
      <c r="E143" s="7"/>
      <c r="F143" s="7" t="s">
        <v>31</v>
      </c>
      <c r="G143" s="32"/>
      <c r="H143" s="32"/>
      <c r="I143" s="32"/>
      <c r="J143" s="7"/>
      <c r="K143" s="7"/>
      <c r="L143" s="7"/>
      <c r="M143" s="7"/>
      <c r="N143" s="7"/>
      <c r="O143" s="7"/>
      <c r="P143" s="29"/>
      <c r="Q143" s="7"/>
    </row>
    <row r="144" spans="1:21" ht="15.75" customHeight="1">
      <c r="A144" s="7"/>
      <c r="B144" s="876" t="s">
        <v>732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</row>
    <row r="145" spans="2:12" ht="15.75" customHeight="1">
      <c r="B145" s="44" t="s">
        <v>852</v>
      </c>
      <c r="L145" s="7"/>
    </row>
    <row r="146" spans="2:12" ht="15.75" customHeight="1">
      <c r="L146" s="7"/>
    </row>
    <row r="147" spans="2:12" ht="15.75" customHeight="1">
      <c r="B147" s="44"/>
      <c r="L147" s="7"/>
    </row>
  </sheetData>
  <printOptions horizontalCentered="1"/>
  <pageMargins left="0.5" right="0.5" top="1" bottom="1" header="0.5" footer="0.5"/>
  <pageSetup scale="44" fitToHeight="0" orientation="landscape" r:id="rId1"/>
  <headerFooter alignWithMargins="0">
    <oddFooter>&amp;LPrepared by Pricing &amp;D&amp;CPage &amp;P of &amp;N&amp;R&amp;F&amp;A</oddFooter>
  </headerFooter>
  <rowBreaks count="1" manualBreakCount="1">
    <brk id="98" max="12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"/>
  <sheetViews>
    <sheetView view="pageBreakPreview" topLeftCell="A3" zoomScale="70" zoomScaleNormal="70" zoomScaleSheetLayoutView="70" workbookViewId="0">
      <pane xSplit="3" ySplit="9" topLeftCell="D12" activePane="bottomRight" state="frozen"/>
      <selection activeCell="F14" sqref="F14"/>
      <selection pane="topRight" activeCell="F14" sqref="F14"/>
      <selection pane="bottomLeft" activeCell="F14" sqref="F14"/>
      <selection pane="bottomRight" activeCell="D12" sqref="D12"/>
    </sheetView>
  </sheetViews>
  <sheetFormatPr defaultRowHeight="15.75"/>
  <cols>
    <col min="1" max="1" width="3.625" style="4" customWidth="1"/>
    <col min="2" max="2" width="19.5" style="4" customWidth="1"/>
    <col min="3" max="3" width="3.625" style="4" customWidth="1"/>
    <col min="4" max="10" width="13.75" style="4" customWidth="1"/>
    <col min="11" max="11" width="10" style="4" hidden="1" customWidth="1"/>
    <col min="12" max="14" width="26.375" style="4" customWidth="1"/>
    <col min="15" max="15" width="3.625" style="4" customWidth="1"/>
    <col min="16" max="17" width="13.75" style="4" customWidth="1"/>
    <col min="18" max="18" width="33.375" style="4" customWidth="1"/>
    <col min="19" max="19" width="27" style="4" customWidth="1"/>
    <col min="20" max="16384" width="9" style="4"/>
  </cols>
  <sheetData>
    <row r="1" spans="1:19">
      <c r="J1" s="7"/>
      <c r="N1" s="4" t="s">
        <v>74</v>
      </c>
      <c r="Q1" s="4" t="s">
        <v>29</v>
      </c>
    </row>
    <row r="2" spans="1:19">
      <c r="J2" s="7"/>
      <c r="Q2" s="4" t="s">
        <v>167</v>
      </c>
    </row>
    <row r="3" spans="1:19" ht="18.75">
      <c r="A3" s="817" t="s">
        <v>811</v>
      </c>
      <c r="B3" s="817"/>
      <c r="C3" s="817"/>
      <c r="D3" s="817"/>
      <c r="E3" s="817"/>
      <c r="F3" s="817"/>
      <c r="G3" s="817"/>
      <c r="H3" s="817"/>
      <c r="I3" s="817"/>
      <c r="J3" s="817"/>
      <c r="K3" s="817"/>
      <c r="L3" s="817"/>
      <c r="M3" s="817"/>
      <c r="N3" s="817"/>
      <c r="O3" s="817"/>
      <c r="P3" s="817"/>
      <c r="Q3" s="817"/>
      <c r="R3" s="820"/>
    </row>
    <row r="4" spans="1:19" ht="18.75">
      <c r="A4" s="817" t="s">
        <v>47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20"/>
    </row>
    <row r="5" spans="1:19" ht="18.75">
      <c r="A5" s="817" t="s">
        <v>2</v>
      </c>
      <c r="B5" s="817"/>
      <c r="C5" s="817"/>
      <c r="D5" s="817"/>
      <c r="E5" s="817"/>
      <c r="F5" s="817"/>
      <c r="G5" s="817"/>
      <c r="H5" s="817"/>
      <c r="I5" s="817"/>
      <c r="J5" s="817"/>
      <c r="K5" s="817"/>
      <c r="L5" s="817"/>
      <c r="M5" s="817"/>
      <c r="N5" s="817"/>
      <c r="O5" s="817"/>
      <c r="P5" s="817"/>
      <c r="Q5" s="817"/>
      <c r="R5" s="820"/>
    </row>
    <row r="6" spans="1:19" ht="18.75">
      <c r="A6" s="817" t="str">
        <f>'305 Inputs'!B4</f>
        <v>12 Months Ended June 2015</v>
      </c>
      <c r="B6" s="817"/>
      <c r="C6" s="817"/>
      <c r="D6" s="817"/>
      <c r="E6" s="817"/>
      <c r="F6" s="817"/>
      <c r="G6" s="817"/>
      <c r="H6" s="817"/>
      <c r="I6" s="817"/>
      <c r="J6" s="817"/>
      <c r="K6" s="817"/>
      <c r="L6" s="817"/>
      <c r="M6" s="817"/>
      <c r="N6" s="817"/>
      <c r="O6" s="817"/>
      <c r="P6" s="817"/>
      <c r="Q6" s="817"/>
      <c r="R6" s="820"/>
    </row>
    <row r="7" spans="1:19" ht="18.75">
      <c r="A7" s="817"/>
      <c r="B7" s="818"/>
      <c r="C7" s="818"/>
      <c r="D7" s="818"/>
      <c r="E7" s="818"/>
      <c r="F7" s="820"/>
      <c r="G7" s="820"/>
      <c r="H7" s="820"/>
      <c r="I7" s="820"/>
      <c r="J7" s="829"/>
      <c r="K7" s="820"/>
      <c r="L7" s="820"/>
      <c r="M7" s="820"/>
      <c r="N7" s="820"/>
      <c r="O7" s="818"/>
      <c r="P7" s="818"/>
      <c r="Q7" s="818"/>
      <c r="R7" s="820"/>
    </row>
    <row r="8" spans="1:19" ht="18.75">
      <c r="A8" s="817"/>
      <c r="B8" s="818"/>
      <c r="C8" s="818"/>
      <c r="D8" s="818"/>
      <c r="E8" s="818"/>
      <c r="F8" s="820"/>
      <c r="G8" s="820"/>
      <c r="H8" s="820"/>
      <c r="I8" s="820"/>
      <c r="J8" s="829"/>
      <c r="K8" s="820"/>
      <c r="L8" s="820"/>
      <c r="M8" s="40"/>
      <c r="N8" s="883"/>
      <c r="O8" s="884"/>
      <c r="P8" s="820"/>
      <c r="Q8" s="820"/>
      <c r="R8" s="820"/>
    </row>
    <row r="9" spans="1:19" ht="18.75">
      <c r="A9" s="817"/>
      <c r="B9" s="818"/>
      <c r="C9" s="818"/>
      <c r="D9" s="820">
        <v>305</v>
      </c>
      <c r="E9" s="1494" t="s">
        <v>697</v>
      </c>
      <c r="F9" s="1494"/>
      <c r="G9" s="1494"/>
      <c r="H9" s="1494"/>
      <c r="I9" s="1494"/>
      <c r="J9" s="1495"/>
      <c r="K9" s="885" t="s">
        <v>45</v>
      </c>
      <c r="L9" s="886"/>
      <c r="M9" s="886"/>
      <c r="N9" s="887"/>
      <c r="O9" s="888"/>
      <c r="P9" s="889"/>
      <c r="Q9" s="890"/>
      <c r="R9" s="818"/>
    </row>
    <row r="10" spans="1:19" ht="19.5">
      <c r="A10" s="817"/>
      <c r="B10" s="818"/>
      <c r="C10" s="818"/>
      <c r="D10" s="820"/>
      <c r="E10" s="24" t="s">
        <v>193</v>
      </c>
      <c r="F10" s="946"/>
      <c r="G10" s="891" t="s">
        <v>97</v>
      </c>
      <c r="H10" s="892"/>
      <c r="I10" s="829" t="s">
        <v>698</v>
      </c>
      <c r="J10" s="892" t="s">
        <v>85</v>
      </c>
      <c r="K10" s="893"/>
      <c r="L10" s="62" t="s">
        <v>768</v>
      </c>
      <c r="M10" s="894" t="s">
        <v>733</v>
      </c>
      <c r="N10" s="880" t="s">
        <v>86</v>
      </c>
      <c r="O10" s="895"/>
      <c r="P10" s="820" t="s">
        <v>10</v>
      </c>
      <c r="Q10" s="820" t="s">
        <v>14</v>
      </c>
      <c r="R10" s="818"/>
    </row>
    <row r="11" spans="1:19" ht="18.75">
      <c r="B11" s="5"/>
      <c r="D11" s="28" t="s">
        <v>33</v>
      </c>
      <c r="E11" s="27" t="s">
        <v>44</v>
      </c>
      <c r="F11" s="27" t="s">
        <v>83</v>
      </c>
      <c r="G11" s="27" t="s">
        <v>44</v>
      </c>
      <c r="H11" s="27" t="s">
        <v>12</v>
      </c>
      <c r="I11" s="27" t="s">
        <v>87</v>
      </c>
      <c r="J11" s="897" t="s">
        <v>84</v>
      </c>
      <c r="K11" s="56" t="s">
        <v>246</v>
      </c>
      <c r="L11" s="56" t="s">
        <v>31</v>
      </c>
      <c r="M11" s="27" t="s">
        <v>87</v>
      </c>
      <c r="N11" s="897" t="s">
        <v>734</v>
      </c>
      <c r="O11" s="896"/>
      <c r="P11" s="27" t="s">
        <v>15</v>
      </c>
      <c r="Q11" s="27" t="s">
        <v>1</v>
      </c>
      <c r="R11" s="47"/>
    </row>
    <row r="12" spans="1:19">
      <c r="A12" s="5" t="s">
        <v>17</v>
      </c>
      <c r="B12" s="5"/>
      <c r="D12" s="104"/>
      <c r="E12" s="7"/>
      <c r="F12" s="45"/>
      <c r="G12" s="45"/>
      <c r="H12" s="45"/>
      <c r="I12" s="45"/>
      <c r="J12" s="898"/>
      <c r="K12" s="116"/>
      <c r="L12" s="116"/>
      <c r="M12" s="45"/>
      <c r="N12" s="46"/>
      <c r="O12" s="899"/>
      <c r="P12" s="45"/>
      <c r="Q12" s="47"/>
      <c r="R12" s="47"/>
    </row>
    <row r="13" spans="1:19">
      <c r="B13" s="4" t="s">
        <v>48</v>
      </c>
      <c r="D13" s="30">
        <f>SUMIF('305 Inputs'!$B$118:$B$143,"=16",'305 Inputs'!$I$118:$I$143)</f>
        <v>123719398.61</v>
      </c>
      <c r="E13" s="29">
        <f>'Normalized Monthly revenue'!AC6</f>
        <v>1871290.0371091876</v>
      </c>
      <c r="F13" s="29">
        <f ca="1">'305 VS COGNOS Revenue'!E7+'305 VS COGNOS Revenue'!K7+'305 VS COGNOS Revenue'!R7+'305 VS COGNOS Revenue'!G7+'305 VS COGNOS Revenue'!I7+'305 VS COGNOS Revenue'!E11+'305 VS COGNOS Revenue'!K11+'305 VS COGNOS Revenue'!R11+'305 VS COGNOS Revenue'!G11+'305 VS COGNOS Revenue'!I11+D17+G17</f>
        <v>-3644549.7120810105</v>
      </c>
      <c r="G13" s="29">
        <f ca="1">-SUMIF('305 Inputs'!A118:A143,"=b16",'305 Inputs'!I$118:I$142)</f>
        <v>5986321.0899999999</v>
      </c>
      <c r="H13" s="29">
        <f>Temperature!G22*1000</f>
        <v>2892856.76</v>
      </c>
      <c r="I13" s="29">
        <f ca="1">SUM(E13:H13)</f>
        <v>7105918.175028177</v>
      </c>
      <c r="J13" s="30">
        <f ca="1">D13+I13</f>
        <v>130825316.78502817</v>
      </c>
      <c r="K13" s="793">
        <v>0</v>
      </c>
      <c r="L13" s="29">
        <f>'305 VS COGNOS Revenue'!X7</f>
        <v>3714132.2520809919</v>
      </c>
      <c r="M13" s="29">
        <f>SUM(L13:L13)</f>
        <v>3714132.2520809919</v>
      </c>
      <c r="N13" s="30">
        <f ca="1">J13+M13</f>
        <v>134539449.03710917</v>
      </c>
      <c r="O13" s="10"/>
      <c r="P13" s="29">
        <f ca="1">I13+M13</f>
        <v>10820050.427109169</v>
      </c>
      <c r="Q13" s="639">
        <f ca="1">+D13+P13</f>
        <v>134539449.03710917</v>
      </c>
      <c r="R13" s="900"/>
      <c r="S13" s="639">
        <f ca="1">D13+F13+G13</f>
        <v>126061169.98791899</v>
      </c>
    </row>
    <row r="14" spans="1:19">
      <c r="B14" s="4" t="s">
        <v>93</v>
      </c>
      <c r="D14" s="30">
        <f>SUMIF('305 Inputs'!$B$118:$B$143,"=17",'305 Inputs'!$I$118:$I$143)</f>
        <v>7427367.3300000001</v>
      </c>
      <c r="E14" s="29">
        <f>'Normalized Monthly revenue'!AC7</f>
        <v>112036.90433211296</v>
      </c>
      <c r="F14" s="29">
        <f>'305 VS COGNOS Revenue'!E8+'305 VS COGNOS Revenue'!K8+'305 VS COGNOS Revenue'!R8+'305 VS COGNOS Revenue'!G8+'305 VS COGNOS Revenue'!I8</f>
        <v>-241509.44200544991</v>
      </c>
      <c r="G14" s="29">
        <f>-SUMIF('305 Inputs'!$A$118:$A$143,"=b17",'305 Inputs'!I118:I143)</f>
        <v>361610.95</v>
      </c>
      <c r="H14" s="29">
        <f>Temperature!G40*1000</f>
        <v>246374.42</v>
      </c>
      <c r="I14" s="29">
        <f t="shared" ref="I14:I18" si="0">SUM(E14:H14)</f>
        <v>478512.83232666308</v>
      </c>
      <c r="J14" s="30">
        <f t="shared" ref="J14:J18" si="1">D14+I14</f>
        <v>7905880.1623266628</v>
      </c>
      <c r="K14" s="902">
        <f>$K$13</f>
        <v>0</v>
      </c>
      <c r="L14" s="29">
        <f>'305 VS COGNOS Revenue'!X8</f>
        <v>223122.74200544972</v>
      </c>
      <c r="M14" s="29">
        <f t="shared" ref="M14:M18" si="2">SUM(L14:L14)</f>
        <v>223122.74200544972</v>
      </c>
      <c r="N14" s="30">
        <f t="shared" ref="N14:N18" si="3">J14+M14</f>
        <v>8129002.9043321125</v>
      </c>
      <c r="O14" s="10"/>
      <c r="P14" s="29">
        <f t="shared" ref="P14:P18" si="4">I14+M14</f>
        <v>701635.5743321128</v>
      </c>
      <c r="Q14" s="639">
        <f t="shared" ref="Q14:Q18" si="5">+D14+P14</f>
        <v>8129002.9043321125</v>
      </c>
      <c r="R14" s="900"/>
      <c r="S14" s="639">
        <f t="shared" ref="S14:S18" si="6">D14+F14+G14</f>
        <v>7547468.8379945504</v>
      </c>
    </row>
    <row r="15" spans="1:19">
      <c r="B15" s="4" t="s">
        <v>49</v>
      </c>
      <c r="D15" s="30">
        <f>SUMIF('305 Inputs'!$B$118:$B$143,"=18",'305 Inputs'!$I$118:$I$143)</f>
        <v>210220.87</v>
      </c>
      <c r="E15" s="29">
        <f>'Normalized Monthly revenue'!AC8</f>
        <v>3166.5031041856219</v>
      </c>
      <c r="F15" s="29">
        <f>'305 VS COGNOS Revenue'!E9+'305 VS COGNOS Revenue'!K9+'305 VS COGNOS Revenue'!R9+'305 VS COGNOS Revenue'!G9+'305 VS COGNOS Revenue'!I9</f>
        <v>-6143.9335777420374</v>
      </c>
      <c r="G15" s="29">
        <f ca="1">-SUMIF('305 Inputs'!$A$118:$A$143,"=b18",'305 Inputs'!I$118:I$142)</f>
        <v>9237.4500000000007</v>
      </c>
      <c r="H15" s="29">
        <f>Temperature!G58*1000</f>
        <v>3176.29</v>
      </c>
      <c r="I15" s="29">
        <f t="shared" ca="1" si="0"/>
        <v>9436.3095264435851</v>
      </c>
      <c r="J15" s="30">
        <f t="shared" ca="1" si="1"/>
        <v>219657.17952644359</v>
      </c>
      <c r="K15" s="902">
        <f>$K$13</f>
        <v>0</v>
      </c>
      <c r="L15" s="29">
        <f>'305 VS COGNOS Revenue'!X9</f>
        <v>6290.323577742005</v>
      </c>
      <c r="M15" s="29">
        <f t="shared" si="2"/>
        <v>6290.323577742005</v>
      </c>
      <c r="N15" s="30">
        <f t="shared" ca="1" si="3"/>
        <v>225947.5031041856</v>
      </c>
      <c r="O15" s="10"/>
      <c r="P15" s="29">
        <f t="shared" ca="1" si="4"/>
        <v>15726.63310418559</v>
      </c>
      <c r="Q15" s="639">
        <f t="shared" ca="1" si="5"/>
        <v>225947.5031041856</v>
      </c>
      <c r="R15" s="900"/>
      <c r="S15" s="639">
        <f t="shared" ca="1" si="6"/>
        <v>213314.38642225796</v>
      </c>
    </row>
    <row r="16" spans="1:19">
      <c r="B16" s="7" t="s">
        <v>156</v>
      </c>
      <c r="D16" s="30">
        <f>SUMIF('305 Inputs'!$B$118:$B$143,"=18x",'305 Inputs'!$I$118:$I$143)</f>
        <v>37278.11</v>
      </c>
      <c r="E16" s="29">
        <f>'Normalized Monthly revenue'!AC9</f>
        <v>561.58818784280481</v>
      </c>
      <c r="F16" s="29">
        <f>'305 VS COGNOS Revenue'!E10+'305 VS COGNOS Revenue'!K10+'305 VS COGNOS Revenue'!R10+'305 VS COGNOS Revenue'!G10+'305 VS COGNOS Revenue'!I10</f>
        <v>-1121.7865500000105</v>
      </c>
      <c r="G16" s="29">
        <f ca="1">-SUMIF('305 Inputs'!$A$118:$A$143,"=b18x",'305 Inputs'!I$118:I$141)</f>
        <v>1675.58</v>
      </c>
      <c r="H16" s="29">
        <v>0</v>
      </c>
      <c r="I16" s="29">
        <f t="shared" ca="1" si="0"/>
        <v>1115.3816378427941</v>
      </c>
      <c r="J16" s="30">
        <f t="shared" ca="1" si="1"/>
        <v>38393.491637842795</v>
      </c>
      <c r="K16" s="902">
        <f>$K$13</f>
        <v>0</v>
      </c>
      <c r="L16" s="29">
        <f>'305 VS COGNOS Revenue'!X10</f>
        <v>1084.096550000002</v>
      </c>
      <c r="M16" s="29">
        <f t="shared" si="2"/>
        <v>1084.096550000002</v>
      </c>
      <c r="N16" s="30">
        <f t="shared" ca="1" si="3"/>
        <v>39477.588187842797</v>
      </c>
      <c r="O16" s="10"/>
      <c r="P16" s="29">
        <f t="shared" ca="1" si="4"/>
        <v>2199.4781878427962</v>
      </c>
      <c r="Q16" s="639">
        <f t="shared" ca="1" si="5"/>
        <v>39477.588187842797</v>
      </c>
      <c r="R16" s="900"/>
      <c r="S16" s="639">
        <f t="shared" ca="1" si="6"/>
        <v>37831.903449999991</v>
      </c>
    </row>
    <row r="17" spans="1:19">
      <c r="B17" s="7" t="s">
        <v>244</v>
      </c>
      <c r="D17" s="30">
        <f>SUMIF('305 Inputs'!$B$118:$B$143,"=135",'305 Inputs'!$I$118:$I$143)</f>
        <v>264078.17</v>
      </c>
      <c r="E17" s="29">
        <v>0</v>
      </c>
      <c r="F17" s="29">
        <f ca="1">-D17-G17</f>
        <v>-276110.82</v>
      </c>
      <c r="G17" s="29">
        <f ca="1">-SUMIF('305 Inputs'!$A$118:$A$143,"=b135",'305 Inputs'!I$118:I$142)</f>
        <v>12032.65</v>
      </c>
      <c r="H17" s="29">
        <v>0</v>
      </c>
      <c r="I17" s="29">
        <f t="shared" ca="1" si="0"/>
        <v>-264078.17</v>
      </c>
      <c r="J17" s="30">
        <f t="shared" ca="1" si="1"/>
        <v>0</v>
      </c>
      <c r="K17" s="902">
        <f>$K$13</f>
        <v>0</v>
      </c>
      <c r="L17" s="29">
        <f>'305 VS COGNOS Revenue'!X11</f>
        <v>0</v>
      </c>
      <c r="M17" s="29">
        <f t="shared" si="2"/>
        <v>0</v>
      </c>
      <c r="N17" s="30">
        <f t="shared" ca="1" si="3"/>
        <v>0</v>
      </c>
      <c r="O17" s="10"/>
      <c r="P17" s="29">
        <f t="shared" ca="1" si="4"/>
        <v>-264078.17</v>
      </c>
      <c r="Q17" s="639">
        <f t="shared" ca="1" si="5"/>
        <v>0</v>
      </c>
      <c r="R17" s="900"/>
      <c r="S17" s="639">
        <f t="shared" ca="1" si="6"/>
        <v>-2.3646862246096134E-11</v>
      </c>
    </row>
    <row r="18" spans="1:19">
      <c r="B18" s="7" t="s">
        <v>727</v>
      </c>
      <c r="D18" s="78">
        <f>SUMIF('305 Inputs'!$B$118:$B$143,"=24",'305 Inputs'!$I$118:$I$143)</f>
        <v>2379696.33</v>
      </c>
      <c r="E18" s="31">
        <f>'Normalized Monthly revenue'!AC11</f>
        <v>35708.181559390563</v>
      </c>
      <c r="F18" s="31">
        <f>'305 VS COGNOS Revenue'!E13+'305 VS COGNOS Revenue'!K13+'305 VS COGNOS Revenue'!R13+'305 VS COGNOS Revenue'!G13+'305 VS COGNOS Revenue'!I13</f>
        <v>-61765.562157701548</v>
      </c>
      <c r="G18" s="31">
        <f>-SUMIF('305 Inputs'!$A$118:$A$143,"=b24",'305 Inputs'!I$118:I$144)</f>
        <v>87583.64</v>
      </c>
      <c r="H18" s="31">
        <f>Temperature!V75*1000</f>
        <v>-45231.24</v>
      </c>
      <c r="I18" s="31">
        <f t="shared" si="0"/>
        <v>16295.019401689016</v>
      </c>
      <c r="J18" s="78">
        <f t="shared" si="1"/>
        <v>2395991.3494016891</v>
      </c>
      <c r="K18" s="903">
        <f>$K$13</f>
        <v>0</v>
      </c>
      <c r="L18" s="31">
        <f>'305 VS COGNOS Revenue'!X13</f>
        <v>46175.83215770172</v>
      </c>
      <c r="M18" s="31">
        <f t="shared" si="2"/>
        <v>46175.83215770172</v>
      </c>
      <c r="N18" s="78">
        <f t="shared" si="3"/>
        <v>2442167.1815593909</v>
      </c>
      <c r="O18" s="10"/>
      <c r="P18" s="31">
        <f t="shared" si="4"/>
        <v>62470.851559390736</v>
      </c>
      <c r="Q18" s="638">
        <f t="shared" si="5"/>
        <v>2442167.1815593909</v>
      </c>
      <c r="R18" s="900"/>
      <c r="S18" s="639">
        <f t="shared" si="6"/>
        <v>2405514.4078422985</v>
      </c>
    </row>
    <row r="19" spans="1:19">
      <c r="B19" s="4" t="s">
        <v>35</v>
      </c>
      <c r="D19" s="30">
        <f>SUM(D13:D18)</f>
        <v>134038039.42</v>
      </c>
      <c r="E19" s="960">
        <f>SUM(E13:E18)</f>
        <v>2022763.2142927197</v>
      </c>
      <c r="F19" s="29">
        <f ca="1">SUM(F13:F18)</f>
        <v>-4231201.2563719032</v>
      </c>
      <c r="G19" s="29">
        <f t="shared" ref="G19:I19" ca="1" si="7">SUM(G13:G18)</f>
        <v>6458461.3600000003</v>
      </c>
      <c r="H19" s="29">
        <f t="shared" si="7"/>
        <v>3097176.2299999995</v>
      </c>
      <c r="I19" s="29">
        <f t="shared" ca="1" si="7"/>
        <v>7347199.5479208147</v>
      </c>
      <c r="J19" s="30">
        <f ca="1">SUM(J13:J18)</f>
        <v>141385238.96792081</v>
      </c>
      <c r="K19" s="902"/>
      <c r="L19" s="29">
        <f>SUM(L13:L18)</f>
        <v>3990805.2463718853</v>
      </c>
      <c r="M19" s="29">
        <f>SUM(M13:M18)</f>
        <v>3990805.2463718853</v>
      </c>
      <c r="N19" s="29">
        <f ca="1">SUM(N13:N18)</f>
        <v>145376044.21429268</v>
      </c>
      <c r="O19" s="10"/>
      <c r="P19" s="29">
        <f ca="1">SUM(P13:P18)</f>
        <v>11338004.794292701</v>
      </c>
      <c r="Q19" s="29">
        <f ca="1">SUM(Q13:Q18)</f>
        <v>145376044.21429268</v>
      </c>
      <c r="R19" s="900"/>
      <c r="S19" s="639">
        <f ca="1">SUM(S13:S18)</f>
        <v>136265299.52362809</v>
      </c>
    </row>
    <row r="20" spans="1:19">
      <c r="D20" s="30"/>
      <c r="E20" s="29"/>
      <c r="F20" s="29"/>
      <c r="G20" s="29"/>
      <c r="H20" s="29"/>
      <c r="I20" s="29"/>
      <c r="J20" s="30"/>
      <c r="K20" s="902"/>
      <c r="L20" s="29"/>
      <c r="M20" s="29" t="s">
        <v>31</v>
      </c>
      <c r="N20" s="30"/>
      <c r="O20" s="10"/>
      <c r="P20" s="29"/>
      <c r="Q20" s="639"/>
      <c r="R20" s="900"/>
      <c r="S20" s="901"/>
    </row>
    <row r="21" spans="1:19" s="11" customFormat="1">
      <c r="B21" s="7" t="s">
        <v>50</v>
      </c>
      <c r="D21" s="78">
        <f>SUMIF('305 Inputs'!$B$118:$B$143,"=15r",'305 Inputs'!$I$118:$I$143)</f>
        <v>148952.47</v>
      </c>
      <c r="E21" s="31">
        <f>'Normalized Monthly revenue'!AC10</f>
        <v>2236.7857072807878</v>
      </c>
      <c r="F21" s="31">
        <f>'305 VS COGNOS Revenue'!E12+'305 VS COGNOS Revenue'!K12+'305 VS COGNOS Revenue'!R12+'305 VS COGNOS Revenue'!G12+'305 VS COGNOS Revenue'!I12</f>
        <v>-2606.7589015376425</v>
      </c>
      <c r="G21" s="31">
        <f ca="1">-SUMIF('305 Inputs'!$A$118:$A$143,"=b15r",'305 Inputs'!I$118:I$141)</f>
        <v>4337.41</v>
      </c>
      <c r="H21" s="31">
        <v>0</v>
      </c>
      <c r="I21" s="31">
        <f ca="1">SUM(E21:H21)</f>
        <v>3967.4368057431452</v>
      </c>
      <c r="J21" s="78">
        <f ca="1">D21+I21</f>
        <v>152919.90680574314</v>
      </c>
      <c r="K21" s="903">
        <v>0</v>
      </c>
      <c r="L21" s="31">
        <f>'305 VS COGNOS Revenue'!X12</f>
        <v>1789.2472664439993</v>
      </c>
      <c r="M21" s="31">
        <f>SUM(L21:L21)</f>
        <v>1789.2472664439993</v>
      </c>
      <c r="N21" s="78">
        <f ca="1">J21+M21</f>
        <v>154709.15407218714</v>
      </c>
      <c r="O21" s="632"/>
      <c r="P21" s="31">
        <f ca="1">I21+M21</f>
        <v>5756.6840721871449</v>
      </c>
      <c r="Q21" s="638">
        <f ca="1">+D21+P21</f>
        <v>154709.15407218714</v>
      </c>
      <c r="R21" s="900"/>
      <c r="S21" s="639">
        <f ca="1">D21+F21+G21</f>
        <v>150683.12109846238</v>
      </c>
    </row>
    <row r="22" spans="1:19">
      <c r="B22" s="4" t="s">
        <v>35</v>
      </c>
      <c r="D22" s="30">
        <f t="shared" ref="D22:J22" si="8">SUM(D21:D21)</f>
        <v>148952.47</v>
      </c>
      <c r="E22" s="960">
        <f t="shared" si="8"/>
        <v>2236.7857072807878</v>
      </c>
      <c r="F22" s="29">
        <f t="shared" si="8"/>
        <v>-2606.7589015376425</v>
      </c>
      <c r="G22" s="29">
        <f t="shared" ca="1" si="8"/>
        <v>4337.41</v>
      </c>
      <c r="H22" s="29">
        <f t="shared" si="8"/>
        <v>0</v>
      </c>
      <c r="I22" s="29">
        <f t="shared" ca="1" si="8"/>
        <v>3967.4368057431452</v>
      </c>
      <c r="J22" s="30">
        <f t="shared" ca="1" si="8"/>
        <v>152919.90680574314</v>
      </c>
      <c r="K22" s="903"/>
      <c r="L22" s="29">
        <f>SUM(L21:L21)</f>
        <v>1789.2472664439993</v>
      </c>
      <c r="M22" s="29">
        <f>SUM(M21:M21)</f>
        <v>1789.2472664439993</v>
      </c>
      <c r="N22" s="30">
        <f ca="1">SUM(N21:N21)</f>
        <v>154709.15407218714</v>
      </c>
      <c r="O22" s="10"/>
      <c r="P22" s="29">
        <f ca="1">SUM(P21:P21)</f>
        <v>5756.6840721871449</v>
      </c>
      <c r="Q22" s="29">
        <f ca="1">SUM(Q21:Q21)</f>
        <v>154709.15407218714</v>
      </c>
      <c r="R22" s="900"/>
    </row>
    <row r="23" spans="1:19">
      <c r="D23" s="30"/>
      <c r="E23" s="29"/>
      <c r="F23" s="29"/>
      <c r="G23" s="29"/>
      <c r="H23" s="29"/>
      <c r="I23" s="29"/>
      <c r="J23" s="30"/>
      <c r="K23" s="903"/>
      <c r="L23" s="902"/>
      <c r="M23" s="902"/>
      <c r="N23" s="30"/>
      <c r="O23" s="10"/>
      <c r="P23" s="29"/>
      <c r="Q23" s="639"/>
      <c r="R23" s="900"/>
      <c r="S23" s="904"/>
    </row>
    <row r="24" spans="1:19" s="11" customFormat="1">
      <c r="A24" s="4"/>
      <c r="B24" s="4" t="s">
        <v>34</v>
      </c>
      <c r="C24" s="4"/>
      <c r="D24" s="78">
        <f>SUMIF('305 Inputs'!$B$118:$B$143,"=aga",'305 Inputs'!$I$118:$I$143)</f>
        <v>1361.59</v>
      </c>
      <c r="E24" s="31"/>
      <c r="F24" s="31">
        <v>0</v>
      </c>
      <c r="G24" s="31">
        <v>0</v>
      </c>
      <c r="H24" s="31">
        <v>0</v>
      </c>
      <c r="I24" s="31">
        <f>SUM(F24:H24)</f>
        <v>0</v>
      </c>
      <c r="J24" s="78">
        <f>D24+I24</f>
        <v>1361.59</v>
      </c>
      <c r="K24" s="903">
        <v>0</v>
      </c>
      <c r="L24" s="31">
        <f>ROUND(J24*K24*((366-30)/(366+30*K24)),0)</f>
        <v>0</v>
      </c>
      <c r="M24" s="31">
        <f>SUM(L24:L24)</f>
        <v>0</v>
      </c>
      <c r="N24" s="30">
        <f>J24+M24</f>
        <v>1361.59</v>
      </c>
      <c r="O24" s="632"/>
      <c r="P24" s="31">
        <f>I24+M24</f>
        <v>0</v>
      </c>
      <c r="Q24" s="638">
        <f>+D24+P24</f>
        <v>1361.59</v>
      </c>
      <c r="R24" s="900"/>
    </row>
    <row r="25" spans="1:19" s="11" customFormat="1">
      <c r="A25" s="4"/>
      <c r="C25" s="4"/>
      <c r="D25" s="78"/>
      <c r="E25" s="31"/>
      <c r="F25" s="31"/>
      <c r="G25" s="31"/>
      <c r="H25" s="31"/>
      <c r="I25" s="31"/>
      <c r="J25" s="78"/>
      <c r="K25" s="903"/>
      <c r="L25" s="31"/>
      <c r="M25" s="31"/>
      <c r="N25" s="78"/>
      <c r="O25" s="632"/>
      <c r="P25" s="29"/>
      <c r="Q25" s="638"/>
      <c r="R25" s="900"/>
    </row>
    <row r="26" spans="1:19" s="11" customFormat="1">
      <c r="A26" s="4"/>
      <c r="B26" s="4" t="s">
        <v>654</v>
      </c>
      <c r="C26" s="4"/>
      <c r="D26" s="78">
        <f>SUMIF('305 Inputs'!$B$118:$B$143,"=def",'305 Inputs'!$I$118:$I$143)</f>
        <v>-1320000</v>
      </c>
      <c r="E26" s="31"/>
      <c r="F26" s="31">
        <f>-D26</f>
        <v>1320000</v>
      </c>
      <c r="G26" s="31">
        <v>0</v>
      </c>
      <c r="H26" s="31">
        <v>0</v>
      </c>
      <c r="I26" s="31">
        <f t="shared" ref="I26:I34" si="9">SUM(F26:H26)</f>
        <v>1320000</v>
      </c>
      <c r="J26" s="78">
        <f t="shared" ref="J26:J34" si="10">D26+I26</f>
        <v>0</v>
      </c>
      <c r="K26" s="903">
        <v>0</v>
      </c>
      <c r="L26" s="31">
        <f t="shared" ref="L26:L34" si="11">ROUND(J26*K26*((366-30)/(366+30*K26)),0)</f>
        <v>0</v>
      </c>
      <c r="M26" s="31">
        <f t="shared" ref="M26:M34" si="12">SUM(L26:L26)</f>
        <v>0</v>
      </c>
      <c r="N26" s="78">
        <f t="shared" ref="N26:N34" si="13">J26+M26</f>
        <v>0</v>
      </c>
      <c r="O26" s="632"/>
      <c r="P26" s="31">
        <f>I26+M26</f>
        <v>1320000</v>
      </c>
      <c r="Q26" s="638">
        <f t="shared" ref="Q26:Q34" si="14">+D26+P26</f>
        <v>0</v>
      </c>
      <c r="R26" s="900"/>
    </row>
    <row r="27" spans="1:19" s="11" customFormat="1">
      <c r="A27" s="4"/>
      <c r="B27" s="4" t="s">
        <v>728</v>
      </c>
      <c r="C27" s="4"/>
      <c r="D27" s="78">
        <f>SUMIF('305 Inputs'!$B$118:$B$143,"=rev",'305 Inputs'!$I$118:$I$143)</f>
        <v>-4063055.71</v>
      </c>
      <c r="E27" s="31"/>
      <c r="F27" s="31">
        <f>-D27</f>
        <v>4063055.71</v>
      </c>
      <c r="G27" s="31">
        <v>0</v>
      </c>
      <c r="H27" s="31">
        <v>0</v>
      </c>
      <c r="I27" s="31">
        <f t="shared" si="9"/>
        <v>4063055.71</v>
      </c>
      <c r="J27" s="78">
        <f t="shared" si="10"/>
        <v>0</v>
      </c>
      <c r="K27" s="903">
        <v>0</v>
      </c>
      <c r="L27" s="31">
        <f t="shared" si="11"/>
        <v>0</v>
      </c>
      <c r="M27" s="31">
        <f t="shared" si="12"/>
        <v>0</v>
      </c>
      <c r="N27" s="78">
        <f t="shared" si="13"/>
        <v>0</v>
      </c>
      <c r="O27" s="632"/>
      <c r="P27" s="31">
        <f t="shared" ref="P27" si="15">I27+M27</f>
        <v>4063055.71</v>
      </c>
      <c r="Q27" s="638">
        <f t="shared" si="14"/>
        <v>0</v>
      </c>
      <c r="R27" s="900"/>
    </row>
    <row r="28" spans="1:19" s="11" customFormat="1">
      <c r="B28" s="4" t="s">
        <v>233</v>
      </c>
      <c r="D28" s="78">
        <f>SUMIF('305 Inputs'!$B$118:$B$143,"=acq",'305 Inputs'!$I$118:$I$143)</f>
        <v>0</v>
      </c>
      <c r="E28" s="31"/>
      <c r="F28" s="31">
        <f>-D28</f>
        <v>0</v>
      </c>
      <c r="G28" s="31">
        <v>0</v>
      </c>
      <c r="H28" s="31">
        <v>0</v>
      </c>
      <c r="I28" s="31">
        <f t="shared" si="9"/>
        <v>0</v>
      </c>
      <c r="J28" s="78">
        <f t="shared" si="10"/>
        <v>0</v>
      </c>
      <c r="K28" s="903">
        <v>0</v>
      </c>
      <c r="L28" s="31">
        <f t="shared" si="11"/>
        <v>0</v>
      </c>
      <c r="M28" s="31">
        <f t="shared" si="12"/>
        <v>0</v>
      </c>
      <c r="N28" s="78">
        <f t="shared" si="13"/>
        <v>0</v>
      </c>
      <c r="O28" s="632"/>
      <c r="P28" s="31">
        <f>I28+M28</f>
        <v>0</v>
      </c>
      <c r="Q28" s="638">
        <f t="shared" si="14"/>
        <v>0</v>
      </c>
      <c r="R28" s="12"/>
    </row>
    <row r="29" spans="1:19" s="11" customFormat="1">
      <c r="B29" s="4" t="s">
        <v>157</v>
      </c>
      <c r="D29" s="78">
        <f>SUMIF('305 Inputs'!$B$118:$B$143,"=cent",'305 Inputs'!$I$118:$I$143)</f>
        <v>0</v>
      </c>
      <c r="E29" s="31"/>
      <c r="F29" s="31">
        <f>-D29</f>
        <v>0</v>
      </c>
      <c r="G29" s="31">
        <v>0</v>
      </c>
      <c r="H29" s="31">
        <v>0</v>
      </c>
      <c r="I29" s="31">
        <f t="shared" si="9"/>
        <v>0</v>
      </c>
      <c r="J29" s="78">
        <f t="shared" si="10"/>
        <v>0</v>
      </c>
      <c r="K29" s="903">
        <v>0</v>
      </c>
      <c r="L29" s="31">
        <f t="shared" si="11"/>
        <v>0</v>
      </c>
      <c r="M29" s="31">
        <f t="shared" si="12"/>
        <v>0</v>
      </c>
      <c r="N29" s="78">
        <f t="shared" si="13"/>
        <v>0</v>
      </c>
      <c r="O29" s="632"/>
      <c r="P29" s="31">
        <f>I29+M29</f>
        <v>0</v>
      </c>
      <c r="Q29" s="638">
        <f t="shared" si="14"/>
        <v>0</v>
      </c>
      <c r="R29" s="12"/>
      <c r="S29" s="12"/>
    </row>
    <row r="30" spans="1:19" s="11" customFormat="1">
      <c r="B30" s="4" t="s">
        <v>171</v>
      </c>
      <c r="D30" s="78">
        <f>SUMIF('305 Inputs'!$B$118:$B$143,"=merger",'305 Inputs'!$I$118:$I$143)</f>
        <v>0</v>
      </c>
      <c r="E30" s="31"/>
      <c r="F30" s="31">
        <f>-D30</f>
        <v>0</v>
      </c>
      <c r="G30" s="31">
        <v>0</v>
      </c>
      <c r="H30" s="31">
        <v>0</v>
      </c>
      <c r="I30" s="31">
        <f t="shared" si="9"/>
        <v>0</v>
      </c>
      <c r="J30" s="78">
        <f t="shared" si="10"/>
        <v>0</v>
      </c>
      <c r="K30" s="903">
        <v>0</v>
      </c>
      <c r="L30" s="31">
        <f t="shared" si="11"/>
        <v>0</v>
      </c>
      <c r="M30" s="31">
        <f t="shared" si="12"/>
        <v>0</v>
      </c>
      <c r="N30" s="78">
        <f t="shared" si="13"/>
        <v>0</v>
      </c>
      <c r="O30" s="632"/>
      <c r="P30" s="31">
        <f>I30+M30</f>
        <v>0</v>
      </c>
      <c r="Q30" s="638">
        <f t="shared" si="14"/>
        <v>0</v>
      </c>
      <c r="R30" s="12"/>
      <c r="S30" s="12"/>
    </row>
    <row r="31" spans="1:19" s="11" customFormat="1">
      <c r="B31" s="4" t="s">
        <v>735</v>
      </c>
      <c r="D31" s="78">
        <f>SUMIF('305 Inputs'!$B$118:$B$143,"=dsm",'305 Inputs'!$I$118:$I$143)</f>
        <v>4745733.83</v>
      </c>
      <c r="E31" s="31"/>
      <c r="F31" s="31">
        <f t="shared" ref="F31:F32" si="16">-D31</f>
        <v>-4745733.83</v>
      </c>
      <c r="G31" s="31">
        <v>0</v>
      </c>
      <c r="H31" s="31">
        <v>0</v>
      </c>
      <c r="I31" s="31">
        <f t="shared" si="9"/>
        <v>-4745733.83</v>
      </c>
      <c r="J31" s="78">
        <f t="shared" si="10"/>
        <v>0</v>
      </c>
      <c r="K31" s="903">
        <v>0</v>
      </c>
      <c r="L31" s="31">
        <f t="shared" si="11"/>
        <v>0</v>
      </c>
      <c r="M31" s="31">
        <f t="shared" si="12"/>
        <v>0</v>
      </c>
      <c r="N31" s="78">
        <f t="shared" si="13"/>
        <v>0</v>
      </c>
      <c r="O31" s="632"/>
      <c r="P31" s="31">
        <f t="shared" ref="P31:P32" si="17">I31+M31</f>
        <v>-4745733.83</v>
      </c>
      <c r="Q31" s="638">
        <f t="shared" si="14"/>
        <v>0</v>
      </c>
      <c r="R31" s="12"/>
      <c r="S31" s="12"/>
    </row>
    <row r="32" spans="1:19" s="11" customFormat="1">
      <c r="B32" s="4" t="s">
        <v>736</v>
      </c>
      <c r="D32" s="78">
        <f>SUMIF('305 Inputs'!$B$118:$B$143,"=blue",'305 Inputs'!$I$118:$I$143)</f>
        <v>113307.77</v>
      </c>
      <c r="E32" s="31"/>
      <c r="F32" s="31">
        <f t="shared" si="16"/>
        <v>-113307.77</v>
      </c>
      <c r="G32" s="31">
        <v>0</v>
      </c>
      <c r="H32" s="31">
        <v>0</v>
      </c>
      <c r="I32" s="31">
        <f t="shared" si="9"/>
        <v>-113307.77</v>
      </c>
      <c r="J32" s="78">
        <f t="shared" si="10"/>
        <v>0</v>
      </c>
      <c r="K32" s="903">
        <v>0</v>
      </c>
      <c r="L32" s="31">
        <f t="shared" si="11"/>
        <v>0</v>
      </c>
      <c r="M32" s="31">
        <f t="shared" si="12"/>
        <v>0</v>
      </c>
      <c r="N32" s="78">
        <f t="shared" si="13"/>
        <v>0</v>
      </c>
      <c r="O32" s="632"/>
      <c r="P32" s="31">
        <f t="shared" si="17"/>
        <v>-113307.77</v>
      </c>
      <c r="Q32" s="638">
        <f t="shared" si="14"/>
        <v>0</v>
      </c>
      <c r="R32" s="12"/>
      <c r="S32" s="12"/>
    </row>
    <row r="33" spans="1:19" s="11" customFormat="1">
      <c r="A33" s="4"/>
      <c r="B33" s="4" t="s">
        <v>94</v>
      </c>
      <c r="C33" s="4"/>
      <c r="D33" s="78">
        <f>SUMIF('305 Inputs'!$B$118:$B$143,"=bpa",'305 Inputs'!$I$118:$I$143)</f>
        <v>56582.47</v>
      </c>
      <c r="E33" s="31"/>
      <c r="F33" s="31">
        <v>0</v>
      </c>
      <c r="G33" s="31">
        <f>-D33</f>
        <v>-56582.47</v>
      </c>
      <c r="H33" s="31">
        <v>0</v>
      </c>
      <c r="I33" s="31">
        <f t="shared" si="9"/>
        <v>-56582.47</v>
      </c>
      <c r="J33" s="78">
        <f t="shared" si="10"/>
        <v>0</v>
      </c>
      <c r="K33" s="903">
        <v>0</v>
      </c>
      <c r="L33" s="31">
        <f t="shared" si="11"/>
        <v>0</v>
      </c>
      <c r="M33" s="31">
        <f t="shared" si="12"/>
        <v>0</v>
      </c>
      <c r="N33" s="78">
        <f t="shared" si="13"/>
        <v>0</v>
      </c>
      <c r="O33" s="632"/>
      <c r="P33" s="31">
        <f>I33+M33</f>
        <v>-56582.47</v>
      </c>
      <c r="Q33" s="638">
        <f t="shared" si="14"/>
        <v>0</v>
      </c>
      <c r="R33" s="12"/>
    </row>
    <row r="34" spans="1:19" s="11" customFormat="1">
      <c r="A34" s="4"/>
      <c r="B34" s="4" t="s">
        <v>668</v>
      </c>
      <c r="C34" s="4"/>
      <c r="D34" s="78">
        <f>SUMIF('305 Inputs'!$B$118:$B$143,"=smud",'305 Inputs'!$I$118:$I$143)</f>
        <v>82078.77</v>
      </c>
      <c r="E34" s="31"/>
      <c r="F34" s="31">
        <f>D34*-1</f>
        <v>-82078.77</v>
      </c>
      <c r="G34" s="31">
        <v>0</v>
      </c>
      <c r="H34" s="31">
        <v>0</v>
      </c>
      <c r="I34" s="31">
        <f t="shared" si="9"/>
        <v>-82078.77</v>
      </c>
      <c r="J34" s="78">
        <f t="shared" si="10"/>
        <v>0</v>
      </c>
      <c r="K34" s="903">
        <v>0</v>
      </c>
      <c r="L34" s="31">
        <f t="shared" si="11"/>
        <v>0</v>
      </c>
      <c r="M34" s="31">
        <f t="shared" si="12"/>
        <v>0</v>
      </c>
      <c r="N34" s="78">
        <f t="shared" si="13"/>
        <v>0</v>
      </c>
      <c r="O34" s="632"/>
      <c r="P34" s="31">
        <f>I34+M34</f>
        <v>-82078.77</v>
      </c>
      <c r="Q34" s="638">
        <f t="shared" si="14"/>
        <v>0</v>
      </c>
      <c r="R34" s="12"/>
    </row>
    <row r="35" spans="1:19" s="11" customFormat="1">
      <c r="A35" s="4"/>
      <c r="C35" s="4"/>
      <c r="D35" s="78"/>
      <c r="E35" s="31"/>
      <c r="F35" s="31"/>
      <c r="G35" s="31"/>
      <c r="H35" s="31"/>
      <c r="I35" s="31"/>
      <c r="J35" s="78"/>
      <c r="K35" s="903"/>
      <c r="L35" s="29"/>
      <c r="M35" s="31"/>
      <c r="N35" s="78"/>
      <c r="O35" s="632"/>
      <c r="P35" s="31"/>
      <c r="Q35" s="638"/>
      <c r="R35" s="12"/>
    </row>
    <row r="36" spans="1:19" s="11" customFormat="1">
      <c r="B36" s="4" t="s">
        <v>78</v>
      </c>
      <c r="D36" s="78">
        <f>SUMIF('305 Inputs'!$B$118:$B$143,"=unbilled",'305 Inputs'!$I$118:$I$143)</f>
        <v>2025000</v>
      </c>
      <c r="E36" s="31">
        <f>-D36</f>
        <v>-2025000</v>
      </c>
      <c r="F36" s="31">
        <v>0</v>
      </c>
      <c r="G36" s="31">
        <v>0</v>
      </c>
      <c r="H36" s="31">
        <v>0</v>
      </c>
      <c r="I36" s="31">
        <f>SUM(E36:H36)</f>
        <v>-2025000</v>
      </c>
      <c r="J36" s="78">
        <f>D36+I36</f>
        <v>0</v>
      </c>
      <c r="K36" s="903">
        <v>0</v>
      </c>
      <c r="L36" s="31">
        <f t="shared" ref="L36" si="18">ROUND(J36*K36*((366-30)/(366+30*K36)),0)</f>
        <v>0</v>
      </c>
      <c r="M36" s="31">
        <f>SUM(L36:L36)</f>
        <v>0</v>
      </c>
      <c r="N36" s="78">
        <f>J36+M36</f>
        <v>0</v>
      </c>
      <c r="O36" s="632"/>
      <c r="P36" s="31">
        <f>I36+M36</f>
        <v>-2025000</v>
      </c>
      <c r="Q36" s="638">
        <f>+D36+P36</f>
        <v>0</v>
      </c>
      <c r="R36" s="12"/>
    </row>
    <row r="37" spans="1:19" s="11" customFormat="1">
      <c r="A37" s="4"/>
      <c r="C37" s="4"/>
      <c r="D37" s="78"/>
      <c r="E37" s="31"/>
      <c r="F37" s="31"/>
      <c r="G37" s="31"/>
      <c r="H37" s="31"/>
      <c r="I37" s="31"/>
      <c r="J37" s="78"/>
      <c r="K37" s="903"/>
      <c r="L37" s="903"/>
      <c r="M37" s="903"/>
      <c r="N37" s="78"/>
      <c r="O37" s="632"/>
      <c r="P37" s="31"/>
      <c r="Q37" s="31"/>
      <c r="R37" s="12"/>
    </row>
    <row r="38" spans="1:19">
      <c r="B38" s="33" t="s">
        <v>9</v>
      </c>
      <c r="C38" s="34"/>
      <c r="D38" s="79">
        <f t="shared" ref="D38:N38" si="19">+D19+D22+D24+SUM(D26:D36)</f>
        <v>135828000.61000001</v>
      </c>
      <c r="E38" s="80">
        <f t="shared" si="19"/>
        <v>0</v>
      </c>
      <c r="F38" s="37">
        <f t="shared" ca="1" si="19"/>
        <v>-3791872.6752734408</v>
      </c>
      <c r="G38" s="37">
        <f t="shared" ca="1" si="19"/>
        <v>6406216.3000000007</v>
      </c>
      <c r="H38" s="37">
        <f t="shared" si="19"/>
        <v>3097176.2299999995</v>
      </c>
      <c r="I38" s="37">
        <f t="shared" ca="1" si="19"/>
        <v>5711519.8547265576</v>
      </c>
      <c r="J38" s="79">
        <f t="shared" ca="1" si="19"/>
        <v>141539520.46472657</v>
      </c>
      <c r="K38" s="37">
        <f t="shared" si="19"/>
        <v>0</v>
      </c>
      <c r="L38" s="37">
        <f t="shared" si="19"/>
        <v>3992594.4936383292</v>
      </c>
      <c r="M38" s="37">
        <f t="shared" si="19"/>
        <v>3992594.4936383292</v>
      </c>
      <c r="N38" s="79">
        <f t="shared" ca="1" si="19"/>
        <v>145532114.95836487</v>
      </c>
      <c r="O38" s="80"/>
      <c r="P38" s="37">
        <f ca="1">+P19+P22+P24+SUM(P26:P36)</f>
        <v>9704114.3483648878</v>
      </c>
      <c r="Q38" s="37">
        <f ca="1">+Q19+Q22+Q24+SUM(Q26:Q36)</f>
        <v>145532114.95836487</v>
      </c>
      <c r="R38" s="8"/>
    </row>
    <row r="39" spans="1:19">
      <c r="D39" s="30"/>
      <c r="E39" s="29"/>
      <c r="F39" s="29"/>
      <c r="G39" s="29"/>
      <c r="H39" s="29"/>
      <c r="I39" s="29"/>
      <c r="J39" s="30"/>
      <c r="K39" s="29"/>
      <c r="L39" s="29"/>
      <c r="M39" s="29"/>
      <c r="N39" s="30"/>
      <c r="O39" s="10"/>
      <c r="P39" s="9"/>
      <c r="Q39" s="639"/>
      <c r="R39" s="8"/>
    </row>
    <row r="40" spans="1:19">
      <c r="A40" s="5" t="s">
        <v>18</v>
      </c>
      <c r="B40" s="5"/>
      <c r="D40" s="30"/>
      <c r="E40" s="29"/>
      <c r="F40" s="29"/>
      <c r="G40" s="29"/>
      <c r="H40" s="29"/>
      <c r="I40" s="29"/>
      <c r="J40" s="30"/>
      <c r="K40" s="29"/>
      <c r="L40" s="29"/>
      <c r="M40" s="29"/>
      <c r="N40" s="30"/>
      <c r="O40" s="10"/>
      <c r="P40" s="9"/>
      <c r="Q40" s="639"/>
      <c r="R40" s="8"/>
    </row>
    <row r="41" spans="1:19">
      <c r="B41" s="882" t="s">
        <v>51</v>
      </c>
      <c r="D41" s="30">
        <f>SUMIF('305 Inputs'!$B$7:$B$44,"=24",'305 Inputs'!$I$7:$I$44)</f>
        <v>45615590.169999994</v>
      </c>
      <c r="E41" s="29">
        <f>'Normalized Monthly revenue'!AC14</f>
        <v>355356.90214655403</v>
      </c>
      <c r="F41" s="29">
        <f>'305 VS COGNOS Revenue'!E18+'305 VS COGNOS Revenue'!K18+'305 VS COGNOS Revenue'!R18+'305 VS COGNOS Revenue'!E26+'305 VS COGNOS Revenue'!K26+'305 VS COGNOS Revenue'!R26+'305 VS COGNOS Revenue'!G18+'305 VS COGNOS Revenue'!I18+'305 VS COGNOS Revenue'!G26+'305 VS COGNOS Revenue'!I26</f>
        <v>-1377173.3385189907</v>
      </c>
      <c r="G41" s="29">
        <f>-SUMIF('305 Inputs'!$A$7:$A$43,"=b24",'305 Inputs'!$I$7:$I$44)</f>
        <v>121684.09</v>
      </c>
      <c r="H41" s="29">
        <f>Temperature!I75*1000</f>
        <v>-896470.15000000014</v>
      </c>
      <c r="I41" s="29">
        <f>SUM(E41:H41)</f>
        <v>-1796602.4963724366</v>
      </c>
      <c r="J41" s="30">
        <f>D41+I41</f>
        <v>43818987.673627555</v>
      </c>
      <c r="K41" s="793">
        <f>$K$13</f>
        <v>0</v>
      </c>
      <c r="L41" s="29">
        <f>'305 VS COGNOS Revenue'!X18+'305 VS COGNOS Revenue'!X26</f>
        <v>506451.22851899266</v>
      </c>
      <c r="M41" s="29">
        <f>SUM(L41:L41)</f>
        <v>506451.22851899266</v>
      </c>
      <c r="N41" s="30">
        <f>J41+M41</f>
        <v>44325438.902146548</v>
      </c>
      <c r="O41" s="10"/>
      <c r="P41" s="29">
        <f>I41+M41</f>
        <v>-1290151.267853444</v>
      </c>
      <c r="Q41" s="639">
        <f>+D41+P41</f>
        <v>44325438.902146548</v>
      </c>
      <c r="R41" s="8"/>
      <c r="S41" s="639">
        <f t="shared" ref="S41:S43" si="20">D41+F41+G41</f>
        <v>44360100.921481006</v>
      </c>
    </row>
    <row r="42" spans="1:19" s="11" customFormat="1">
      <c r="B42" s="882" t="s">
        <v>52</v>
      </c>
      <c r="D42" s="30">
        <f>SUMIF('305 Inputs'!$B$7:$B$44,"=24f",'305 Inputs'!$I$7:$I$44)</f>
        <v>169247.65</v>
      </c>
      <c r="E42" s="29">
        <f>'Normalized Monthly revenue'!AC15</f>
        <v>1323.3384329358348</v>
      </c>
      <c r="F42" s="29">
        <f>'305 VS COGNOS Revenue'!E19+'305 VS COGNOS Revenue'!K19+'305 VS COGNOS Revenue'!R19+'305 VS COGNOS Revenue'!G19+'305 VS COGNOS Revenue'!I19</f>
        <v>-4055.566213633188</v>
      </c>
      <c r="G42" s="29">
        <f>-SUMIF('305 Inputs'!$A$7:$A$43,"=b24f",'305 Inputs'!$I$7:$I$44)</f>
        <v>3.6</v>
      </c>
      <c r="H42" s="29">
        <v>0</v>
      </c>
      <c r="I42" s="29">
        <f>SUM(E42:H42)</f>
        <v>-2728.6277806973535</v>
      </c>
      <c r="J42" s="30">
        <f>D42+I42</f>
        <v>166519.02221930263</v>
      </c>
      <c r="K42" s="902">
        <f>$K$13</f>
        <v>0</v>
      </c>
      <c r="L42" s="29">
        <f>'305 VS COGNOS Revenue'!X19</f>
        <v>3702.3162136331957</v>
      </c>
      <c r="M42" s="29">
        <f>SUM(L42:L42)</f>
        <v>3702.3162136331957</v>
      </c>
      <c r="N42" s="30">
        <f>J42+M42</f>
        <v>170221.33843293582</v>
      </c>
      <c r="O42" s="10"/>
      <c r="P42" s="29">
        <f>I42+M42</f>
        <v>973.68843293584223</v>
      </c>
      <c r="Q42" s="639">
        <f>+D42+P42</f>
        <v>170221.33843293582</v>
      </c>
      <c r="R42" s="12"/>
      <c r="S42" s="639">
        <f t="shared" si="20"/>
        <v>165195.6837863668</v>
      </c>
    </row>
    <row r="43" spans="1:19">
      <c r="B43" s="882" t="s">
        <v>57</v>
      </c>
      <c r="C43" s="11"/>
      <c r="D43" s="78">
        <f>SUMIF('305 Inputs'!$B$7:$B$44,"=24fp",'305 Inputs'!$I$7:$I$44)</f>
        <v>98574.930000000008</v>
      </c>
      <c r="E43" s="31">
        <f>'Normalized Monthly revenue'!AC16</f>
        <v>783.73149966378082</v>
      </c>
      <c r="F43" s="31">
        <f>'305 VS COGNOS Revenue'!E20+'305 VS COGNOS Revenue'!K20+'305 VS COGNOS Revenue'!R20+'305 VS COGNOS Revenue'!G20+'305 VS COGNOS Revenue'!I20</f>
        <v>-2006.4145556797989</v>
      </c>
      <c r="G43" s="31">
        <f>-SUMIF('305 Inputs'!$A$7:$A$43,"=b24fp",'305 Inputs'!$I$7:$I$44)</f>
        <v>1266.67</v>
      </c>
      <c r="H43" s="31">
        <v>0</v>
      </c>
      <c r="I43" s="31">
        <f>SUM(E43:H43)</f>
        <v>43.986943983981973</v>
      </c>
      <c r="J43" s="78">
        <f>D43+I43</f>
        <v>98618.91694398399</v>
      </c>
      <c r="K43" s="903">
        <f>$K$13</f>
        <v>0</v>
      </c>
      <c r="L43" s="31">
        <f>'305 VS COGNOS Revenue'!X20</f>
        <v>4056.8145556797972</v>
      </c>
      <c r="M43" s="31">
        <f>SUM(L43:L43)</f>
        <v>4056.8145556797972</v>
      </c>
      <c r="N43" s="78">
        <f>J43+M43</f>
        <v>102675.73149966379</v>
      </c>
      <c r="O43" s="632"/>
      <c r="P43" s="31">
        <f t="shared" ref="P43" si="21">I43+M43</f>
        <v>4100.8014996637794</v>
      </c>
      <c r="Q43" s="638">
        <f>+D43+P43</f>
        <v>102675.73149966379</v>
      </c>
      <c r="R43" s="8"/>
      <c r="S43" s="639">
        <f t="shared" si="20"/>
        <v>97835.185444320203</v>
      </c>
    </row>
    <row r="44" spans="1:19">
      <c r="B44" s="4" t="s">
        <v>35</v>
      </c>
      <c r="D44" s="30">
        <f t="shared" ref="D44:J44" si="22">SUM(D41:D43)</f>
        <v>45883412.749999993</v>
      </c>
      <c r="E44" s="960">
        <f t="shared" si="22"/>
        <v>357463.97207915364</v>
      </c>
      <c r="F44" s="29">
        <f t="shared" si="22"/>
        <v>-1383235.3192883036</v>
      </c>
      <c r="G44" s="29">
        <f t="shared" si="22"/>
        <v>122954.36</v>
      </c>
      <c r="H44" s="29">
        <f t="shared" si="22"/>
        <v>-896470.15000000014</v>
      </c>
      <c r="I44" s="29">
        <f t="shared" si="22"/>
        <v>-1799287.13720915</v>
      </c>
      <c r="J44" s="30">
        <f t="shared" si="22"/>
        <v>44084125.612790838</v>
      </c>
      <c r="K44" s="902"/>
      <c r="L44" s="29">
        <f>SUM(L41:L43)</f>
        <v>514210.35928830563</v>
      </c>
      <c r="M44" s="29">
        <f>SUM(M41:M43)</f>
        <v>514210.35928830563</v>
      </c>
      <c r="N44" s="30">
        <f>SUM(N41:N43)</f>
        <v>44598335.97207915</v>
      </c>
      <c r="O44" s="10"/>
      <c r="P44" s="29">
        <f>SUM(P41:P43)</f>
        <v>-1285076.7779208443</v>
      </c>
      <c r="Q44" s="29">
        <f>SUM(Q41:Q43)</f>
        <v>44598335.97207915</v>
      </c>
      <c r="R44" s="8"/>
      <c r="S44" s="639">
        <f>SUM(S41:S43)</f>
        <v>44623131.790711693</v>
      </c>
    </row>
    <row r="45" spans="1:19">
      <c r="D45" s="30"/>
      <c r="E45" s="29"/>
      <c r="F45" s="29"/>
      <c r="G45" s="29"/>
      <c r="H45" s="29"/>
      <c r="I45" s="29"/>
      <c r="J45" s="30"/>
      <c r="K45" s="29"/>
      <c r="L45" s="29"/>
      <c r="M45" s="29"/>
      <c r="N45" s="30"/>
      <c r="O45" s="10"/>
      <c r="P45" s="29"/>
      <c r="Q45" s="639"/>
      <c r="R45" s="8"/>
    </row>
    <row r="46" spans="1:19">
      <c r="B46" s="882" t="s">
        <v>53</v>
      </c>
      <c r="D46" s="78">
        <f>SUMIF('305 Inputs'!$B$7:$B$44,"=36",'305 Inputs'!$I$7:$I$44)</f>
        <v>64133720.529999994</v>
      </c>
      <c r="E46" s="31">
        <f>'Normalized Monthly revenue'!AC18</f>
        <v>500452.88870847702</v>
      </c>
      <c r="F46" s="31">
        <f>'305 VS COGNOS Revenue'!E22+'305 VS COGNOS Revenue'!K22+'305 VS COGNOS Revenue'!R22+'305 VS COGNOS Revenue'!G22+'305 VS COGNOS Revenue'!I22+'305 VS COGNOS Revenue'!E27+'305 VS COGNOS Revenue'!K27+'305 VS COGNOS Revenue'!R27+'305 VS COGNOS Revenue'!G27+'305 VS COGNOS Revenue'!I27</f>
        <v>-1919427.7856073985</v>
      </c>
      <c r="G46" s="31">
        <f>-SUMIF('305 Inputs'!$A$7:$A$43,"=b36",'305 Inputs'!$I$7:$I$44)</f>
        <v>258507.18</v>
      </c>
      <c r="H46" s="31">
        <f>Temperature!G110*1000</f>
        <v>-1046644.81</v>
      </c>
      <c r="I46" s="31">
        <f>SUM(E46:H46)</f>
        <v>-2207112.5268989215</v>
      </c>
      <c r="J46" s="78">
        <f>D46+I46</f>
        <v>61926608.003101073</v>
      </c>
      <c r="K46" s="905">
        <f>$K$13</f>
        <v>0</v>
      </c>
      <c r="L46" s="31">
        <f>'305 VS COGNOS Revenue'!X22+'305 VS COGNOS Revenue'!X27</f>
        <v>1715717.8856074065</v>
      </c>
      <c r="M46" s="31">
        <f>SUM(L46:L46)</f>
        <v>1715717.8856074065</v>
      </c>
      <c r="N46" s="78">
        <f>J46+M46</f>
        <v>63642325.88870848</v>
      </c>
      <c r="O46" s="632"/>
      <c r="P46" s="31">
        <f t="shared" ref="P46" si="23">I46+M46</f>
        <v>-491394.64129151497</v>
      </c>
      <c r="Q46" s="638">
        <f>+D46+P46</f>
        <v>63642325.88870848</v>
      </c>
      <c r="R46" s="8"/>
      <c r="S46" s="639">
        <f>D46+F46+G46</f>
        <v>62472799.924392596</v>
      </c>
    </row>
    <row r="47" spans="1:19">
      <c r="B47" s="4" t="s">
        <v>35</v>
      </c>
      <c r="D47" s="30">
        <f t="shared" ref="D47:J47" si="24">SUM(D46:D46)</f>
        <v>64133720.529999994</v>
      </c>
      <c r="E47" s="960">
        <f t="shared" si="24"/>
        <v>500452.88870847702</v>
      </c>
      <c r="F47" s="29">
        <f t="shared" si="24"/>
        <v>-1919427.7856073985</v>
      </c>
      <c r="G47" s="29">
        <f t="shared" si="24"/>
        <v>258507.18</v>
      </c>
      <c r="H47" s="29">
        <f t="shared" si="24"/>
        <v>-1046644.81</v>
      </c>
      <c r="I47" s="29">
        <f t="shared" si="24"/>
        <v>-2207112.5268989215</v>
      </c>
      <c r="J47" s="30">
        <f t="shared" si="24"/>
        <v>61926608.003101073</v>
      </c>
      <c r="K47" s="902"/>
      <c r="L47" s="29">
        <f>SUM(L46:L46)</f>
        <v>1715717.8856074065</v>
      </c>
      <c r="M47" s="29">
        <f>SUM(M46:M46)</f>
        <v>1715717.8856074065</v>
      </c>
      <c r="N47" s="30">
        <f>SUM(N46:N46)</f>
        <v>63642325.88870848</v>
      </c>
      <c r="O47" s="10"/>
      <c r="P47" s="29">
        <f>SUM(P46:P46)</f>
        <v>-491394.64129151497</v>
      </c>
      <c r="Q47" s="29">
        <f>SUM(Q46:Q46)</f>
        <v>63642325.88870848</v>
      </c>
      <c r="R47" s="8"/>
    </row>
    <row r="48" spans="1:19">
      <c r="B48" s="882"/>
      <c r="D48" s="30"/>
      <c r="E48" s="29"/>
      <c r="F48" s="29"/>
      <c r="G48" s="29"/>
      <c r="H48" s="29"/>
      <c r="I48" s="29"/>
      <c r="J48" s="30"/>
      <c r="K48" s="902"/>
      <c r="L48" s="29"/>
      <c r="M48" s="29"/>
      <c r="N48" s="30"/>
      <c r="O48" s="10"/>
      <c r="P48" s="29"/>
      <c r="Q48" s="639"/>
      <c r="R48" s="8"/>
    </row>
    <row r="49" spans="1:19" s="11" customFormat="1">
      <c r="B49" s="882" t="s">
        <v>54</v>
      </c>
      <c r="D49" s="78">
        <f>SUMIF('305 Inputs'!$B$7:$B$44,"=48t",'305 Inputs'!$I$7:$I$44)</f>
        <v>13874291.709999999</v>
      </c>
      <c r="E49" s="31">
        <f>'Normalized Monthly revenue'!AC19</f>
        <v>108570.66117682151</v>
      </c>
      <c r="F49" s="31">
        <f>'305 VS COGNOS Revenue'!E23+'305 VS COGNOS Revenue'!K23+'305 VS COGNOS Revenue'!R23+'305 VS COGNOS Revenue'!G23+'305 VS COGNOS Revenue'!I23</f>
        <v>-321141.46070721024</v>
      </c>
      <c r="G49" s="31">
        <f>-SUMIF('305 Inputs'!$A$7:$A$43,"=b48t",'305 Inputs'!$I$7:$I$44)</f>
        <v>0</v>
      </c>
      <c r="H49" s="31">
        <f>(Temperature!D127+Temperature!H127)*1000</f>
        <v>-214054.01</v>
      </c>
      <c r="I49" s="31">
        <f>SUM(E49:H49)</f>
        <v>-426624.80953038874</v>
      </c>
      <c r="J49" s="78">
        <f>D49+I49</f>
        <v>13447666.90046961</v>
      </c>
      <c r="K49" s="905">
        <f>$K$13</f>
        <v>0</v>
      </c>
      <c r="L49" s="31">
        <f>'305 VS COGNOS Revenue'!X23</f>
        <v>353411.76070720889</v>
      </c>
      <c r="M49" s="31">
        <f>SUM(L49:L49)</f>
        <v>353411.76070720889</v>
      </c>
      <c r="N49" s="78">
        <f>J49+M49</f>
        <v>13801078.661176819</v>
      </c>
      <c r="O49" s="632"/>
      <c r="P49" s="31">
        <f t="shared" ref="P49" si="25">I49+M49</f>
        <v>-73213.048823179852</v>
      </c>
      <c r="Q49" s="638">
        <f>+D49+P49</f>
        <v>13801078.661176819</v>
      </c>
      <c r="R49" s="12"/>
      <c r="S49" s="639">
        <f>D49+F49+G49</f>
        <v>13553150.249292789</v>
      </c>
    </row>
    <row r="50" spans="1:19">
      <c r="B50" s="4" t="s">
        <v>35</v>
      </c>
      <c r="D50" s="30">
        <f t="shared" ref="D50:J50" si="26">SUM(D49)</f>
        <v>13874291.709999999</v>
      </c>
      <c r="E50" s="960">
        <f t="shared" si="26"/>
        <v>108570.66117682151</v>
      </c>
      <c r="F50" s="29">
        <f t="shared" si="26"/>
        <v>-321141.46070721024</v>
      </c>
      <c r="G50" s="29">
        <f t="shared" si="26"/>
        <v>0</v>
      </c>
      <c r="H50" s="29">
        <f t="shared" si="26"/>
        <v>-214054.01</v>
      </c>
      <c r="I50" s="29">
        <f t="shared" si="26"/>
        <v>-426624.80953038874</v>
      </c>
      <c r="J50" s="30">
        <f t="shared" si="26"/>
        <v>13447666.90046961</v>
      </c>
      <c r="K50" s="902"/>
      <c r="L50" s="29">
        <f>SUM(L49)</f>
        <v>353411.76070720889</v>
      </c>
      <c r="M50" s="29">
        <f>SUM(M49)</f>
        <v>353411.76070720889</v>
      </c>
      <c r="N50" s="30">
        <f>SUM(N49)</f>
        <v>13801078.661176819</v>
      </c>
      <c r="O50" s="10"/>
      <c r="P50" s="29">
        <f>SUM(P49)</f>
        <v>-73213.048823179852</v>
      </c>
      <c r="Q50" s="29">
        <f>SUM(Q49)</f>
        <v>13801078.661176819</v>
      </c>
      <c r="R50" s="8"/>
    </row>
    <row r="51" spans="1:19">
      <c r="D51" s="30"/>
      <c r="E51" s="29"/>
      <c r="F51" s="29"/>
      <c r="G51" s="29"/>
      <c r="H51" s="29"/>
      <c r="I51" s="29"/>
      <c r="J51" s="30" t="s">
        <v>31</v>
      </c>
      <c r="K51" s="29"/>
      <c r="L51" s="29"/>
      <c r="M51" s="29"/>
      <c r="N51" s="30"/>
      <c r="O51" s="906"/>
      <c r="P51" s="29"/>
      <c r="Q51" s="639"/>
    </row>
    <row r="52" spans="1:19">
      <c r="B52" s="882" t="s">
        <v>55</v>
      </c>
      <c r="D52" s="30">
        <f>SUMIF('305 Inputs'!$B$7:$B$44,"=15n",'305 Inputs'!$I$7:$I$44)</f>
        <v>291043.54000000004</v>
      </c>
      <c r="E52" s="29">
        <f>'Normalized Monthly revenue'!AC20</f>
        <v>2323.2050877783413</v>
      </c>
      <c r="F52" s="29">
        <f>'305 VS COGNOS Revenue'!E24+'305 VS COGNOS Revenue'!K24+'305 VS COGNOS Revenue'!R24+'305 VS COGNOS Revenue'!G24+'305 VS COGNOS Revenue'!I24</f>
        <v>-3347.0126641192978</v>
      </c>
      <c r="G52" s="29">
        <f>-SUMIF('305 Inputs'!$A$7:$A$43,"=b15n",'305 Inputs'!$I$7:$I$44)</f>
        <v>2315.04</v>
      </c>
      <c r="H52" s="29">
        <v>0</v>
      </c>
      <c r="I52" s="29">
        <f>SUM(E52:H52)</f>
        <v>1291.2324236590434</v>
      </c>
      <c r="J52" s="30">
        <f>D52+I52</f>
        <v>292334.7724236591</v>
      </c>
      <c r="K52" s="902">
        <v>0</v>
      </c>
      <c r="L52" s="29">
        <f>'305 VS COGNOS Revenue'!X24</f>
        <v>3795.1486014280235</v>
      </c>
      <c r="M52" s="29">
        <f>SUM(L52:L52)</f>
        <v>3795.1486014280235</v>
      </c>
      <c r="N52" s="30">
        <f>J52+M52</f>
        <v>296129.92102508713</v>
      </c>
      <c r="O52" s="10"/>
      <c r="P52" s="29">
        <f>I52+M52</f>
        <v>5086.3810250870665</v>
      </c>
      <c r="Q52" s="639">
        <f>+D52+P52</f>
        <v>296129.92102508713</v>
      </c>
      <c r="R52" s="8"/>
      <c r="S52" s="639">
        <f t="shared" ref="S52:S53" si="27">D52+F52+G52</f>
        <v>290011.56733588071</v>
      </c>
    </row>
    <row r="53" spans="1:19">
      <c r="B53" s="882" t="s">
        <v>56</v>
      </c>
      <c r="D53" s="78">
        <f>SUMIF('305 Inputs'!$B$7:$B$44,"=54",'305 Inputs'!$I$7:$I$44)</f>
        <v>24562.3</v>
      </c>
      <c r="E53" s="31">
        <f>'Normalized Monthly revenue'!AC21</f>
        <v>189.2729477693606</v>
      </c>
      <c r="F53" s="31">
        <f>'305 VS COGNOS Revenue'!E25+'305 VS COGNOS Revenue'!K25+'305 VS COGNOS Revenue'!R25+'305 VS COGNOS Revenue'!G25+'305 VS COGNOS Revenue'!I25</f>
        <v>-934.87919000000056</v>
      </c>
      <c r="G53" s="31">
        <f>-SUMIF('305 Inputs'!$A$7:$A$43,"=b54",'305 Inputs'!$I$7:$I$44)</f>
        <v>0</v>
      </c>
      <c r="H53" s="31">
        <v>0</v>
      </c>
      <c r="I53" s="31">
        <f>SUM(E53:H53)</f>
        <v>-745.60624223063996</v>
      </c>
      <c r="J53" s="78">
        <f>D53+I53</f>
        <v>23816.693757769361</v>
      </c>
      <c r="K53" s="903">
        <v>0</v>
      </c>
      <c r="L53" s="31">
        <f>'305 VS COGNOS Revenue'!X25</f>
        <v>291.57919000000038</v>
      </c>
      <c r="M53" s="31">
        <f>SUM(L53:L53)</f>
        <v>291.57919000000038</v>
      </c>
      <c r="N53" s="78">
        <f>J53+M53</f>
        <v>24108.272947769361</v>
      </c>
      <c r="O53" s="632"/>
      <c r="P53" s="31">
        <f t="shared" ref="P53" si="28">I53+M53</f>
        <v>-454.02705223063958</v>
      </c>
      <c r="Q53" s="638">
        <f>+D53+P53</f>
        <v>24108.272947769361</v>
      </c>
      <c r="R53" s="8"/>
      <c r="S53" s="639">
        <f t="shared" si="27"/>
        <v>23627.42081</v>
      </c>
    </row>
    <row r="54" spans="1:19">
      <c r="B54" s="4" t="s">
        <v>35</v>
      </c>
      <c r="D54" s="30">
        <f t="shared" ref="D54:J54" si="29">SUM(D52:D53)</f>
        <v>315605.84000000003</v>
      </c>
      <c r="E54" s="960">
        <f t="shared" si="29"/>
        <v>2512.4780355477019</v>
      </c>
      <c r="F54" s="29">
        <f t="shared" si="29"/>
        <v>-4281.8918541192979</v>
      </c>
      <c r="G54" s="29">
        <f t="shared" si="29"/>
        <v>2315.04</v>
      </c>
      <c r="H54" s="29">
        <f t="shared" si="29"/>
        <v>0</v>
      </c>
      <c r="I54" s="29">
        <f t="shared" si="29"/>
        <v>545.62618142840347</v>
      </c>
      <c r="J54" s="30">
        <f t="shared" si="29"/>
        <v>316151.46618142846</v>
      </c>
      <c r="K54" s="903"/>
      <c r="L54" s="29">
        <f>SUM(L52:L53)</f>
        <v>4086.7277914280239</v>
      </c>
      <c r="M54" s="29">
        <f>SUM(M52:M53)</f>
        <v>4086.7277914280239</v>
      </c>
      <c r="N54" s="30">
        <f>SUM(N52:N53)</f>
        <v>320238.1939728565</v>
      </c>
      <c r="O54" s="10"/>
      <c r="P54" s="29">
        <f>SUM(P52:P53)</f>
        <v>4632.3539728564265</v>
      </c>
      <c r="Q54" s="29">
        <f>SUM(Q52:Q53)</f>
        <v>320238.1939728565</v>
      </c>
      <c r="R54" s="8"/>
      <c r="S54" s="639">
        <f>SUM(S52:S53)</f>
        <v>313638.98814588069</v>
      </c>
    </row>
    <row r="55" spans="1:19">
      <c r="D55" s="30"/>
      <c r="E55" s="29"/>
      <c r="F55" s="29"/>
      <c r="G55" s="29"/>
      <c r="H55" s="29"/>
      <c r="I55" s="29"/>
      <c r="J55" s="30"/>
      <c r="K55" s="31"/>
      <c r="L55" s="29"/>
      <c r="M55" s="29"/>
      <c r="N55" s="30"/>
      <c r="O55" s="906"/>
      <c r="P55" s="29"/>
      <c r="Q55" s="639"/>
    </row>
    <row r="56" spans="1:19" s="11" customFormat="1">
      <c r="A56" s="4"/>
      <c r="B56" s="4" t="s">
        <v>34</v>
      </c>
      <c r="C56" s="4"/>
      <c r="D56" s="78">
        <f>SUMIF('305 Inputs'!$B$7:$B$44,"=aga",'305 Inputs'!$I$7:$I$44)</f>
        <v>401953.01999999996</v>
      </c>
      <c r="E56" s="31"/>
      <c r="F56" s="31">
        <v>0</v>
      </c>
      <c r="G56" s="31">
        <v>0</v>
      </c>
      <c r="H56" s="31">
        <v>0</v>
      </c>
      <c r="I56" s="31">
        <f>SUM(F56:H56)</f>
        <v>0</v>
      </c>
      <c r="J56" s="78">
        <f>D56+I56</f>
        <v>401953.01999999996</v>
      </c>
      <c r="K56" s="903">
        <v>0</v>
      </c>
      <c r="L56" s="31">
        <f t="shared" ref="L56:L66" si="30">ROUND(J56*K56*((366-30)/(366+30*K56)),0)</f>
        <v>0</v>
      </c>
      <c r="M56" s="31">
        <f>SUM(L56:L56)</f>
        <v>0</v>
      </c>
      <c r="N56" s="78">
        <f>J56+M56</f>
        <v>401953.01999999996</v>
      </c>
      <c r="O56" s="632"/>
      <c r="P56" s="31">
        <f t="shared" ref="P56:P66" si="31">I56+M56</f>
        <v>0</v>
      </c>
      <c r="Q56" s="31">
        <f>+D56+P56</f>
        <v>401953.01999999996</v>
      </c>
      <c r="R56" s="12"/>
    </row>
    <row r="57" spans="1:19" s="11" customFormat="1">
      <c r="A57" s="4"/>
      <c r="B57" s="4"/>
      <c r="C57" s="4"/>
      <c r="D57" s="30"/>
      <c r="E57" s="29"/>
      <c r="F57" s="31"/>
      <c r="G57" s="29"/>
      <c r="H57" s="29"/>
      <c r="I57" s="29"/>
      <c r="J57" s="30"/>
      <c r="K57" s="903"/>
      <c r="L57" s="31"/>
      <c r="M57" s="31"/>
      <c r="N57" s="30"/>
      <c r="O57" s="10"/>
      <c r="P57" s="29"/>
      <c r="Q57" s="29"/>
      <c r="R57" s="12"/>
    </row>
    <row r="58" spans="1:19" s="11" customFormat="1">
      <c r="A58" s="4"/>
      <c r="B58" s="4" t="s">
        <v>654</v>
      </c>
      <c r="C58" s="4"/>
      <c r="D58" s="78">
        <f>SUMIF('305 Inputs'!$B$7:$B$44,"=def",'305 Inputs'!$I$7:$I$44)</f>
        <v>-1020000</v>
      </c>
      <c r="E58" s="31"/>
      <c r="F58" s="31">
        <f>-D58</f>
        <v>1020000</v>
      </c>
      <c r="G58" s="31">
        <v>0</v>
      </c>
      <c r="H58" s="31">
        <v>0</v>
      </c>
      <c r="I58" s="31">
        <f t="shared" ref="I58:I64" si="32">SUM(F58:H58)</f>
        <v>1020000</v>
      </c>
      <c r="J58" s="78">
        <f t="shared" ref="J58:J64" si="33">D58+I58</f>
        <v>0</v>
      </c>
      <c r="K58" s="903">
        <v>0</v>
      </c>
      <c r="L58" s="31">
        <f t="shared" si="30"/>
        <v>0</v>
      </c>
      <c r="M58" s="31">
        <f t="shared" ref="M58:M64" si="34">SUM(L58:L58)</f>
        <v>0</v>
      </c>
      <c r="N58" s="78">
        <f t="shared" ref="N58:N64" si="35">J58+M58</f>
        <v>0</v>
      </c>
      <c r="O58" s="632"/>
      <c r="P58" s="31">
        <f t="shared" si="31"/>
        <v>1020000</v>
      </c>
      <c r="Q58" s="31">
        <f t="shared" ref="Q58:Q64" si="36">+D58+P58</f>
        <v>0</v>
      </c>
      <c r="R58" s="12"/>
    </row>
    <row r="59" spans="1:19" s="11" customFormat="1">
      <c r="A59" s="4"/>
      <c r="B59" s="4" t="s">
        <v>728</v>
      </c>
      <c r="C59" s="4"/>
      <c r="D59" s="78">
        <f>SUMIF('305 Inputs'!$B$7:$B$44,"=rev",'305 Inputs'!$I$7:$I$44)</f>
        <v>-3727273.96</v>
      </c>
      <c r="E59" s="31"/>
      <c r="F59" s="31">
        <f>-D59</f>
        <v>3727273.96</v>
      </c>
      <c r="G59" s="31">
        <v>0</v>
      </c>
      <c r="H59" s="31">
        <v>0</v>
      </c>
      <c r="I59" s="31">
        <f t="shared" si="32"/>
        <v>3727273.96</v>
      </c>
      <c r="J59" s="78">
        <f t="shared" si="33"/>
        <v>0</v>
      </c>
      <c r="K59" s="903">
        <v>0</v>
      </c>
      <c r="L59" s="31">
        <f t="shared" si="30"/>
        <v>0</v>
      </c>
      <c r="M59" s="31">
        <f t="shared" si="34"/>
        <v>0</v>
      </c>
      <c r="N59" s="78">
        <f t="shared" si="35"/>
        <v>0</v>
      </c>
      <c r="O59" s="632"/>
      <c r="P59" s="31">
        <f t="shared" si="31"/>
        <v>3727273.96</v>
      </c>
      <c r="Q59" s="31">
        <f t="shared" si="36"/>
        <v>0</v>
      </c>
      <c r="R59" s="12"/>
    </row>
    <row r="60" spans="1:19" s="11" customFormat="1">
      <c r="A60" s="4"/>
      <c r="B60" s="4" t="s">
        <v>232</v>
      </c>
      <c r="C60" s="4"/>
      <c r="D60" s="78">
        <f>SUMIF('305 Inputs'!$B$7:$B$44,"=acq",'305 Inputs'!$I$7:$I$44)</f>
        <v>0</v>
      </c>
      <c r="E60" s="31"/>
      <c r="F60" s="31">
        <f>-D60</f>
        <v>0</v>
      </c>
      <c r="G60" s="31">
        <v>0</v>
      </c>
      <c r="H60" s="31">
        <v>0</v>
      </c>
      <c r="I60" s="31">
        <f t="shared" si="32"/>
        <v>0</v>
      </c>
      <c r="J60" s="78">
        <f t="shared" si="33"/>
        <v>0</v>
      </c>
      <c r="K60" s="903">
        <v>0</v>
      </c>
      <c r="L60" s="31">
        <f t="shared" si="30"/>
        <v>0</v>
      </c>
      <c r="M60" s="31">
        <f t="shared" si="34"/>
        <v>0</v>
      </c>
      <c r="N60" s="78">
        <f t="shared" si="35"/>
        <v>0</v>
      </c>
      <c r="O60" s="632"/>
      <c r="P60" s="31">
        <f t="shared" si="31"/>
        <v>0</v>
      </c>
      <c r="Q60" s="31">
        <f t="shared" si="36"/>
        <v>0</v>
      </c>
      <c r="R60" s="12"/>
    </row>
    <row r="61" spans="1:19" s="11" customFormat="1">
      <c r="A61" s="4"/>
      <c r="B61" s="4" t="s">
        <v>737</v>
      </c>
      <c r="C61" s="4"/>
      <c r="D61" s="78">
        <f>SUMIF('305 Inputs'!$B$7:$B$44,"=dsm",'305 Inputs'!$I$7:$I$44)</f>
        <v>4353907.04</v>
      </c>
      <c r="E61" s="31"/>
      <c r="F61" s="31">
        <f>-D61</f>
        <v>-4353907.04</v>
      </c>
      <c r="G61" s="31">
        <v>0</v>
      </c>
      <c r="H61" s="31">
        <v>0</v>
      </c>
      <c r="I61" s="31">
        <f t="shared" si="32"/>
        <v>-4353907.04</v>
      </c>
      <c r="J61" s="78">
        <f t="shared" si="33"/>
        <v>0</v>
      </c>
      <c r="K61" s="903">
        <v>0</v>
      </c>
      <c r="L61" s="31">
        <f t="shared" si="30"/>
        <v>0</v>
      </c>
      <c r="M61" s="31">
        <f t="shared" si="34"/>
        <v>0</v>
      </c>
      <c r="N61" s="78">
        <f t="shared" si="35"/>
        <v>0</v>
      </c>
      <c r="O61" s="632"/>
      <c r="P61" s="31">
        <f t="shared" si="31"/>
        <v>-4353907.04</v>
      </c>
      <c r="Q61" s="31">
        <f t="shared" si="36"/>
        <v>0</v>
      </c>
      <c r="R61" s="12"/>
    </row>
    <row r="62" spans="1:19" s="11" customFormat="1">
      <c r="A62" s="4"/>
      <c r="B62" s="4" t="s">
        <v>736</v>
      </c>
      <c r="C62" s="4"/>
      <c r="D62" s="78">
        <f>SUMIF('305 Inputs'!$B$7:$B$44,"=blue",'305 Inputs'!$I$7:$I$44)</f>
        <v>30640.87</v>
      </c>
      <c r="E62" s="31"/>
      <c r="F62" s="31">
        <f>-D62</f>
        <v>-30640.87</v>
      </c>
      <c r="G62" s="31">
        <v>0</v>
      </c>
      <c r="H62" s="31">
        <v>0</v>
      </c>
      <c r="I62" s="31">
        <f t="shared" si="32"/>
        <v>-30640.87</v>
      </c>
      <c r="J62" s="78">
        <f t="shared" si="33"/>
        <v>0</v>
      </c>
      <c r="K62" s="903">
        <v>0</v>
      </c>
      <c r="L62" s="31">
        <f t="shared" si="30"/>
        <v>0</v>
      </c>
      <c r="M62" s="31">
        <f t="shared" si="34"/>
        <v>0</v>
      </c>
      <c r="N62" s="78">
        <f t="shared" si="35"/>
        <v>0</v>
      </c>
      <c r="O62" s="632"/>
      <c r="P62" s="31">
        <f t="shared" si="31"/>
        <v>-30640.87</v>
      </c>
      <c r="Q62" s="31">
        <f t="shared" si="36"/>
        <v>0</v>
      </c>
      <c r="R62" s="12"/>
    </row>
    <row r="63" spans="1:19" s="11" customFormat="1">
      <c r="A63" s="4"/>
      <c r="B63" s="4" t="s">
        <v>95</v>
      </c>
      <c r="C63" s="4"/>
      <c r="D63" s="78">
        <f>SUMIF('305 Inputs'!$B$7:$B$44,"=bpa",'305 Inputs'!$I$7:$I$44)</f>
        <v>2680.38</v>
      </c>
      <c r="E63" s="31"/>
      <c r="F63" s="31">
        <v>0</v>
      </c>
      <c r="G63" s="31">
        <f>-D63</f>
        <v>-2680.38</v>
      </c>
      <c r="H63" s="31">
        <v>0</v>
      </c>
      <c r="I63" s="31">
        <f t="shared" si="32"/>
        <v>-2680.38</v>
      </c>
      <c r="J63" s="78">
        <f t="shared" si="33"/>
        <v>0</v>
      </c>
      <c r="K63" s="903">
        <v>0</v>
      </c>
      <c r="L63" s="31">
        <f t="shared" si="30"/>
        <v>0</v>
      </c>
      <c r="M63" s="31">
        <f t="shared" si="34"/>
        <v>0</v>
      </c>
      <c r="N63" s="78">
        <f t="shared" si="35"/>
        <v>0</v>
      </c>
      <c r="O63" s="632"/>
      <c r="P63" s="31">
        <f t="shared" si="31"/>
        <v>-2680.38</v>
      </c>
      <c r="Q63" s="31">
        <f t="shared" si="36"/>
        <v>0</v>
      </c>
      <c r="R63" s="12"/>
    </row>
    <row r="64" spans="1:19" s="11" customFormat="1">
      <c r="A64" s="4"/>
      <c r="B64" s="4" t="s">
        <v>668</v>
      </c>
      <c r="C64" s="4"/>
      <c r="D64" s="78">
        <f>SUMIF('305 Inputs'!$B$7:$B$44,"=smud",'305 Inputs'!$I$7:$I$44)</f>
        <v>75892.78</v>
      </c>
      <c r="E64" s="31"/>
      <c r="F64" s="31">
        <f>D64*-1</f>
        <v>-75892.78</v>
      </c>
      <c r="G64" s="31">
        <v>0</v>
      </c>
      <c r="H64" s="31">
        <v>0</v>
      </c>
      <c r="I64" s="31">
        <f t="shared" si="32"/>
        <v>-75892.78</v>
      </c>
      <c r="J64" s="78">
        <f t="shared" si="33"/>
        <v>0</v>
      </c>
      <c r="K64" s="903">
        <v>0</v>
      </c>
      <c r="L64" s="31">
        <f t="shared" si="30"/>
        <v>0</v>
      </c>
      <c r="M64" s="31">
        <f t="shared" si="34"/>
        <v>0</v>
      </c>
      <c r="N64" s="78">
        <f t="shared" si="35"/>
        <v>0</v>
      </c>
      <c r="O64" s="632"/>
      <c r="P64" s="31">
        <f t="shared" si="31"/>
        <v>-75892.78</v>
      </c>
      <c r="Q64" s="31">
        <f t="shared" si="36"/>
        <v>0</v>
      </c>
      <c r="R64" s="12"/>
    </row>
    <row r="65" spans="1:19" s="11" customFormat="1">
      <c r="A65" s="4"/>
      <c r="D65" s="907"/>
      <c r="E65" s="945"/>
      <c r="F65" s="31"/>
      <c r="G65" s="29"/>
      <c r="H65" s="29"/>
      <c r="I65" s="29" t="s">
        <v>31</v>
      </c>
      <c r="J65" s="30"/>
      <c r="K65" s="903"/>
      <c r="L65" s="29"/>
      <c r="M65" s="31"/>
      <c r="N65" s="78"/>
      <c r="O65" s="10"/>
      <c r="P65" s="29"/>
      <c r="Q65" s="29"/>
      <c r="R65" s="12"/>
    </row>
    <row r="66" spans="1:19" s="11" customFormat="1">
      <c r="A66" s="4"/>
      <c r="B66" s="4" t="s">
        <v>79</v>
      </c>
      <c r="C66" s="4"/>
      <c r="D66" s="78">
        <f>SUMIF('305 Inputs'!$B$7:$B$44,"=unbilled",'305 Inputs'!$I$7:$I$44)</f>
        <v>969000</v>
      </c>
      <c r="E66" s="31">
        <f>-D66</f>
        <v>-969000</v>
      </c>
      <c r="F66" s="31">
        <v>0</v>
      </c>
      <c r="G66" s="31">
        <v>0</v>
      </c>
      <c r="H66" s="31">
        <v>0</v>
      </c>
      <c r="I66" s="31">
        <f>SUM(E66:H66)</f>
        <v>-969000</v>
      </c>
      <c r="J66" s="78">
        <f>D66+I66</f>
        <v>0</v>
      </c>
      <c r="K66" s="903">
        <v>0</v>
      </c>
      <c r="L66" s="31">
        <f t="shared" si="30"/>
        <v>0</v>
      </c>
      <c r="M66" s="31">
        <f>SUM(L66:L66)</f>
        <v>0</v>
      </c>
      <c r="N66" s="78">
        <f>J66+M66</f>
        <v>0</v>
      </c>
      <c r="O66" s="632"/>
      <c r="P66" s="31">
        <f t="shared" si="31"/>
        <v>-969000</v>
      </c>
      <c r="Q66" s="31">
        <f>+D66+P66</f>
        <v>0</v>
      </c>
      <c r="R66" s="12"/>
    </row>
    <row r="67" spans="1:19" s="11" customFormat="1">
      <c r="A67" s="4"/>
      <c r="C67" s="4"/>
      <c r="D67" s="30"/>
      <c r="E67" s="29"/>
      <c r="F67" s="31"/>
      <c r="G67" s="29"/>
      <c r="H67" s="29"/>
      <c r="I67" s="29"/>
      <c r="J67" s="30"/>
      <c r="K67" s="29"/>
      <c r="L67" s="29"/>
      <c r="M67" s="31"/>
      <c r="N67" s="30"/>
      <c r="O67" s="10"/>
      <c r="P67" s="29"/>
      <c r="Q67" s="29"/>
      <c r="R67" s="12"/>
    </row>
    <row r="68" spans="1:19">
      <c r="B68" s="33" t="s">
        <v>9</v>
      </c>
      <c r="C68" s="34"/>
      <c r="D68" s="79">
        <f t="shared" ref="D68:N68" si="37">+D44+D47+D50+D54+D56+SUM(D58:D66)</f>
        <v>125293830.95999998</v>
      </c>
      <c r="E68" s="80">
        <f t="shared" si="37"/>
        <v>0</v>
      </c>
      <c r="F68" s="37">
        <f t="shared" si="37"/>
        <v>-3341253.187457032</v>
      </c>
      <c r="G68" s="37">
        <f t="shared" si="37"/>
        <v>381096.19999999995</v>
      </c>
      <c r="H68" s="37">
        <f t="shared" si="37"/>
        <v>-2157168.9700000002</v>
      </c>
      <c r="I68" s="37">
        <f t="shared" si="37"/>
        <v>-5117325.9574570321</v>
      </c>
      <c r="J68" s="79">
        <f t="shared" si="37"/>
        <v>120176505.00254294</v>
      </c>
      <c r="K68" s="37">
        <f t="shared" si="37"/>
        <v>0</v>
      </c>
      <c r="L68" s="37">
        <f t="shared" si="37"/>
        <v>2587426.733394349</v>
      </c>
      <c r="M68" s="37">
        <f t="shared" si="37"/>
        <v>2587426.733394349</v>
      </c>
      <c r="N68" s="79">
        <f t="shared" si="37"/>
        <v>122763931.7359373</v>
      </c>
      <c r="O68" s="80"/>
      <c r="P68" s="37">
        <f>+P44+P47+P50+P54+P56+SUM(P58:P66)</f>
        <v>-2529899.2240626831</v>
      </c>
      <c r="Q68" s="37">
        <f>+Q44+Q47+Q50+Q54+Q56+SUM(Q58:Q66)</f>
        <v>122763931.7359373</v>
      </c>
    </row>
    <row r="69" spans="1:19">
      <c r="D69" s="30"/>
      <c r="E69" s="29"/>
      <c r="F69" s="29" t="s">
        <v>31</v>
      </c>
      <c r="G69" s="29"/>
      <c r="H69" s="29"/>
      <c r="I69" s="29"/>
      <c r="J69" s="30" t="s">
        <v>31</v>
      </c>
      <c r="K69" s="902"/>
      <c r="L69" s="902"/>
      <c r="M69" s="29" t="s">
        <v>31</v>
      </c>
      <c r="N69" s="30"/>
      <c r="O69" s="906"/>
      <c r="P69" s="29"/>
      <c r="Q69" s="639"/>
    </row>
    <row r="70" spans="1:19">
      <c r="A70" s="5" t="s">
        <v>30</v>
      </c>
      <c r="B70" s="5"/>
      <c r="D70" s="30"/>
      <c r="E70" s="29"/>
      <c r="F70" s="29"/>
      <c r="G70" s="29"/>
      <c r="H70" s="29"/>
      <c r="I70" s="29"/>
      <c r="J70" s="30" t="s">
        <v>31</v>
      </c>
      <c r="K70" s="29"/>
      <c r="L70" s="29"/>
      <c r="M70" s="29"/>
      <c r="N70" s="30"/>
      <c r="O70" s="10"/>
      <c r="P70" s="29"/>
      <c r="Q70" s="639"/>
    </row>
    <row r="71" spans="1:19">
      <c r="B71" s="882" t="s">
        <v>51</v>
      </c>
      <c r="D71" s="30">
        <f>SUMIF('305 Inputs'!$B$51:$B$73,"=24",'305 Inputs'!$I$51:$I$73)</f>
        <v>1603928.4</v>
      </c>
      <c r="E71" s="29">
        <f ca="1">'Normalized Monthly revenue'!AC24</f>
        <v>4976.1641860674354</v>
      </c>
      <c r="F71" s="29">
        <f>'305 VS COGNOS Revenue'!E32+'305 VS COGNOS Revenue'!K32+'305 VS COGNOS Revenue'!R32+'305 VS COGNOS Revenue'!G32+'305 VS COGNOS Revenue'!I32</f>
        <v>-75354.908929443074</v>
      </c>
      <c r="G71" s="29">
        <f ca="1">-SUMIF('305 Inputs'!$A$51:$A$71,"=b24",'305 Inputs'!$I$51:$I$70)</f>
        <v>4669.46</v>
      </c>
      <c r="H71" s="29">
        <v>0</v>
      </c>
      <c r="I71" s="29">
        <f ca="1">SUM(E71:H71)</f>
        <v>-65709.284743375625</v>
      </c>
      <c r="J71" s="30">
        <f ca="1">D71+I71</f>
        <v>1538219.1152566243</v>
      </c>
      <c r="K71" s="902">
        <f>$K$13</f>
        <v>0</v>
      </c>
      <c r="L71" s="29">
        <f>'305 VS COGNOS Revenue'!X32</f>
        <v>17866.04892944335</v>
      </c>
      <c r="M71" s="29">
        <f>SUM(L71:L71)</f>
        <v>17866.04892944335</v>
      </c>
      <c r="N71" s="30">
        <f ca="1">J71+M71</f>
        <v>1556085.1641860676</v>
      </c>
      <c r="O71" s="10"/>
      <c r="P71" s="29">
        <f ca="1">I71+M71</f>
        <v>-47843.235813932275</v>
      </c>
      <c r="Q71" s="639">
        <f ca="1">+D71+P71</f>
        <v>1556085.1641860676</v>
      </c>
      <c r="R71" s="8"/>
      <c r="S71" s="639">
        <f t="shared" ref="S71:S73" ca="1" si="38">D71+F71+G71</f>
        <v>1533242.9510705569</v>
      </c>
    </row>
    <row r="72" spans="1:19" s="11" customFormat="1">
      <c r="B72" s="882" t="s">
        <v>52</v>
      </c>
      <c r="D72" s="30">
        <f>SUMIF('305 Inputs'!$B$51:$B$73,"=24f",'305 Inputs'!$I$51:$I$73)</f>
        <v>8155.79</v>
      </c>
      <c r="E72" s="29">
        <f ca="1">'Normalized Monthly revenue'!AC25</f>
        <v>26.103189482042787</v>
      </c>
      <c r="F72" s="29">
        <f>'305 VS COGNOS Revenue'!E33+'305 VS COGNOS Revenue'!K33+'305 VS COGNOS Revenue'!R33+'305 VS COGNOS Revenue'!G33+'305 VS COGNOS Revenue'!I33</f>
        <v>-112.94218041665893</v>
      </c>
      <c r="G72" s="29">
        <f ca="1">-SUMIF('305 Inputs'!$A$51:$A$71,"=b24f",'305 Inputs'!$I$51:$I$70)</f>
        <v>0</v>
      </c>
      <c r="H72" s="29">
        <v>0</v>
      </c>
      <c r="I72" s="29">
        <f ca="1">SUM(E72:H72)</f>
        <v>-86.838990934616135</v>
      </c>
      <c r="J72" s="30">
        <f ca="1">D72+I72</f>
        <v>8068.9510090653839</v>
      </c>
      <c r="K72" s="902">
        <f>$K$13</f>
        <v>0</v>
      </c>
      <c r="L72" s="29">
        <f>'305 VS COGNOS Revenue'!X33</f>
        <v>387.15218041665958</v>
      </c>
      <c r="M72" s="29">
        <f>SUM(L72:L72)</f>
        <v>387.15218041665958</v>
      </c>
      <c r="N72" s="30">
        <f ca="1">J72+M72</f>
        <v>8456.1031894820444</v>
      </c>
      <c r="O72" s="632"/>
      <c r="P72" s="29">
        <f ca="1">I72+M72</f>
        <v>300.31318948204341</v>
      </c>
      <c r="Q72" s="639">
        <f ca="1">+D72+P72</f>
        <v>8456.1031894820426</v>
      </c>
      <c r="R72" s="12"/>
      <c r="S72" s="639">
        <f t="shared" ca="1" si="38"/>
        <v>8042.8478195833413</v>
      </c>
    </row>
    <row r="73" spans="1:19">
      <c r="B73" s="882" t="s">
        <v>57</v>
      </c>
      <c r="D73" s="78">
        <f>SUMIF('305 Inputs'!$B$51:$B$73,"=24fp",'305 Inputs'!$I$51:$I$73)</f>
        <v>1986.1699999999998</v>
      </c>
      <c r="E73" s="31">
        <f ca="1">'Normalized Monthly revenue'!AC26</f>
        <v>6.4701450675839931</v>
      </c>
      <c r="F73" s="31">
        <f>'305 VS COGNOS Revenue'!E34+'305 VS COGNOS Revenue'!K34+'305 VS COGNOS Revenue'!R34+'305 VS COGNOS Revenue'!G34+'305 VS COGNOS Revenue'!I34</f>
        <v>-17.015490000000192</v>
      </c>
      <c r="G73" s="31">
        <f ca="1">-SUMIF('305 Inputs'!$A$51:$A$71,"=b24fp",'305 Inputs'!$I$51:$I$70)</f>
        <v>24.41</v>
      </c>
      <c r="H73" s="31">
        <v>0</v>
      </c>
      <c r="I73" s="31">
        <f ca="1">SUM(E73:H73)</f>
        <v>13.864655067583801</v>
      </c>
      <c r="J73" s="78">
        <f ca="1">D73+I73</f>
        <v>2000.0346550675836</v>
      </c>
      <c r="K73" s="903">
        <f>$K$13</f>
        <v>0</v>
      </c>
      <c r="L73" s="31">
        <f>'305 VS COGNOS Revenue'!X34</f>
        <v>81.435490000000073</v>
      </c>
      <c r="M73" s="31">
        <f>SUM(L73:L73)</f>
        <v>81.435490000000073</v>
      </c>
      <c r="N73" s="78">
        <f ca="1">J73+M73</f>
        <v>2081.4701450675839</v>
      </c>
      <c r="O73" s="632"/>
      <c r="P73" s="31">
        <f t="shared" ref="P73" ca="1" si="39">I73+M73</f>
        <v>95.30014506758387</v>
      </c>
      <c r="Q73" s="638">
        <f ca="1">+D73+P73</f>
        <v>2081.4701450675839</v>
      </c>
      <c r="R73" s="8"/>
      <c r="S73" s="639">
        <f t="shared" ca="1" si="38"/>
        <v>1993.5645099999997</v>
      </c>
    </row>
    <row r="74" spans="1:19">
      <c r="B74" s="4" t="s">
        <v>35</v>
      </c>
      <c r="D74" s="30">
        <f t="shared" ref="D74:J74" si="40">SUM(D71:D73)</f>
        <v>1614070.3599999999</v>
      </c>
      <c r="E74" s="960">
        <f t="shared" ca="1" si="40"/>
        <v>5008.7375206170618</v>
      </c>
      <c r="F74" s="29">
        <f t="shared" si="40"/>
        <v>-75484.866599859743</v>
      </c>
      <c r="G74" s="29">
        <f t="shared" ca="1" si="40"/>
        <v>4693.87</v>
      </c>
      <c r="H74" s="29">
        <f t="shared" si="40"/>
        <v>0</v>
      </c>
      <c r="I74" s="29">
        <f t="shared" ca="1" si="40"/>
        <v>-65782.259079242664</v>
      </c>
      <c r="J74" s="30">
        <f t="shared" ca="1" si="40"/>
        <v>1548288.1009207573</v>
      </c>
      <c r="K74" s="902"/>
      <c r="L74" s="29">
        <f>SUM(L71:L73)</f>
        <v>18334.636599860009</v>
      </c>
      <c r="M74" s="29">
        <f>SUM(M71:M73)</f>
        <v>18334.636599860009</v>
      </c>
      <c r="N74" s="30">
        <f ca="1">SUM(N71:N73)</f>
        <v>1566622.7375206174</v>
      </c>
      <c r="O74" s="10"/>
      <c r="P74" s="29">
        <f ca="1">SUM(P71:P73)</f>
        <v>-47447.622479382648</v>
      </c>
      <c r="Q74" s="639">
        <f ca="1">SUM(Q71:Q73)</f>
        <v>1566622.7375206174</v>
      </c>
      <c r="R74" s="8"/>
      <c r="S74" s="639">
        <f ca="1">SUM(S71:S73)</f>
        <v>1543279.3634001401</v>
      </c>
    </row>
    <row r="75" spans="1:19">
      <c r="D75" s="30"/>
      <c r="E75" s="29"/>
      <c r="F75" s="29"/>
      <c r="G75" s="29"/>
      <c r="H75" s="29"/>
      <c r="I75" s="29"/>
      <c r="J75" s="30"/>
      <c r="K75" s="29"/>
      <c r="L75" s="29"/>
      <c r="M75" s="29"/>
      <c r="N75" s="30"/>
      <c r="O75" s="906"/>
      <c r="P75" s="29"/>
      <c r="Q75" s="639"/>
    </row>
    <row r="76" spans="1:19">
      <c r="B76" s="882" t="s">
        <v>53</v>
      </c>
      <c r="D76" s="78">
        <f>SUMIF('305 Inputs'!$B$51:$B$73,"=36",'305 Inputs'!$I$51:$I$73)</f>
        <v>8310982.5799999991</v>
      </c>
      <c r="E76" s="31">
        <f ca="1">'Normalized Monthly revenue'!AC27</f>
        <v>26533.50156434354</v>
      </c>
      <c r="F76" s="31">
        <f>'305 VS COGNOS Revenue'!E35+'305 VS COGNOS Revenue'!K35+'305 VS COGNOS Revenue'!R35+'305 VS COGNOS Revenue'!G35+'305 VS COGNOS Revenue'!I35</f>
        <v>-143572.50485666838</v>
      </c>
      <c r="G76" s="31">
        <f ca="1">-SUMIF('305 Inputs'!$A$51:$A$71,"=b36",'305 Inputs'!$I$51:$I$70)</f>
        <v>8024.4</v>
      </c>
      <c r="H76" s="31">
        <v>0</v>
      </c>
      <c r="I76" s="31">
        <f ca="1">SUM(E76:H76)</f>
        <v>-109014.60329232484</v>
      </c>
      <c r="J76" s="78">
        <f ca="1">D76+I76</f>
        <v>8201967.9767076746</v>
      </c>
      <c r="K76" s="903">
        <f>$K$13</f>
        <v>0</v>
      </c>
      <c r="L76" s="31">
        <f>'305 VS COGNOS Revenue'!X35</f>
        <v>247441.52485666983</v>
      </c>
      <c r="M76" s="31">
        <f>SUM(L76:L76)</f>
        <v>247441.52485666983</v>
      </c>
      <c r="N76" s="78">
        <f ca="1">J76+M76</f>
        <v>8449409.5015643444</v>
      </c>
      <c r="O76" s="632"/>
      <c r="P76" s="31">
        <f t="shared" ref="P76" ca="1" si="41">I76+M76</f>
        <v>138426.92156434499</v>
      </c>
      <c r="Q76" s="638">
        <f ca="1">+D76+P76</f>
        <v>8449409.5015643444</v>
      </c>
      <c r="R76" s="8"/>
      <c r="S76" s="639">
        <f ca="1">D76+F76+G76</f>
        <v>8175434.4751433311</v>
      </c>
    </row>
    <row r="77" spans="1:19">
      <c r="B77" s="4" t="s">
        <v>35</v>
      </c>
      <c r="D77" s="30">
        <f t="shared" ref="D77:J77" si="42">SUM(D76:D76)</f>
        <v>8310982.5799999991</v>
      </c>
      <c r="E77" s="960">
        <f t="shared" ca="1" si="42"/>
        <v>26533.50156434354</v>
      </c>
      <c r="F77" s="29">
        <f t="shared" si="42"/>
        <v>-143572.50485666838</v>
      </c>
      <c r="G77" s="29">
        <f t="shared" ca="1" si="42"/>
        <v>8024.4</v>
      </c>
      <c r="H77" s="29">
        <f t="shared" si="42"/>
        <v>0</v>
      </c>
      <c r="I77" s="29">
        <f t="shared" ca="1" si="42"/>
        <v>-109014.60329232484</v>
      </c>
      <c r="J77" s="30">
        <f t="shared" ca="1" si="42"/>
        <v>8201967.9767076746</v>
      </c>
      <c r="K77" s="902"/>
      <c r="L77" s="29">
        <f>SUM(L76:L76)</f>
        <v>247441.52485666983</v>
      </c>
      <c r="M77" s="29">
        <f>SUM(M76:M76)</f>
        <v>247441.52485666983</v>
      </c>
      <c r="N77" s="30">
        <f ca="1">SUM(N76:N76)</f>
        <v>8449409.5015643444</v>
      </c>
      <c r="O77" s="10"/>
      <c r="P77" s="29">
        <f ca="1">SUM(P76:P76)</f>
        <v>138426.92156434499</v>
      </c>
      <c r="Q77" s="639">
        <f ca="1">SUM(Q76:Q76)</f>
        <v>8449409.5015643444</v>
      </c>
      <c r="R77" s="8"/>
    </row>
    <row r="78" spans="1:19">
      <c r="D78" s="30"/>
      <c r="E78" s="29"/>
      <c r="F78" s="29"/>
      <c r="G78" s="29"/>
      <c r="H78" s="29"/>
      <c r="I78" s="29"/>
      <c r="J78" s="30"/>
      <c r="K78" s="908"/>
      <c r="L78" s="29"/>
      <c r="M78" s="29" t="s">
        <v>31</v>
      </c>
      <c r="N78" s="30"/>
      <c r="O78" s="906"/>
      <c r="P78" s="29"/>
      <c r="Q78" s="639"/>
    </row>
    <row r="79" spans="1:19" s="11" customFormat="1">
      <c r="B79" s="882" t="s">
        <v>159</v>
      </c>
      <c r="D79" s="30">
        <f>SUMIF('305 Inputs'!$B$51:$B$73,"=47",'305 Inputs'!$I$51:$I$73)</f>
        <v>308414.28999999998</v>
      </c>
      <c r="E79" s="29">
        <f ca="1">'Normalized Monthly revenue'!AC28</f>
        <v>1009.9054190115011</v>
      </c>
      <c r="F79" s="29">
        <f>'305 VS COGNOS Revenue'!E36+'305 VS COGNOS Revenue'!K36+'305 VS COGNOS Revenue'!R36+'305 VS COGNOS Revenue'!G36+'305 VS COGNOS Revenue'!I36</f>
        <v>2755.1785000000414</v>
      </c>
      <c r="G79" s="29">
        <f ca="1">-SUMIF('305 Inputs'!$A$51:$A$71,"=b47",'305 Inputs'!$I$51:$I$70)</f>
        <v>0</v>
      </c>
      <c r="H79" s="29">
        <v>0</v>
      </c>
      <c r="I79" s="29">
        <f ca="1">SUM(E79:H79)</f>
        <v>3765.0839190115425</v>
      </c>
      <c r="J79" s="30">
        <f ca="1">D79+I79</f>
        <v>312179.3739190115</v>
      </c>
      <c r="K79" s="902">
        <v>0</v>
      </c>
      <c r="L79" s="29">
        <f>'305 VS COGNOS Revenue'!X36</f>
        <v>8064.5314999999828</v>
      </c>
      <c r="M79" s="29">
        <f>SUM(L79:L79)</f>
        <v>8064.5314999999828</v>
      </c>
      <c r="N79" s="30">
        <f ca="1">J79+M79</f>
        <v>320243.90541901148</v>
      </c>
      <c r="O79" s="632"/>
      <c r="P79" s="29">
        <f ca="1">I79+M79</f>
        <v>11829.615419011525</v>
      </c>
      <c r="Q79" s="639">
        <f ca="1">+D79+P79</f>
        <v>320243.90541901148</v>
      </c>
      <c r="R79" s="12"/>
      <c r="S79" s="639">
        <f t="shared" ref="S79:S81" ca="1" si="43">D79+F79+G79</f>
        <v>311169.46850000002</v>
      </c>
    </row>
    <row r="80" spans="1:19" s="11" customFormat="1">
      <c r="B80" s="882" t="s">
        <v>54</v>
      </c>
      <c r="D80" s="30">
        <f>'305 VS COGNOS Revenue'!C37</f>
        <v>15030428.960000001</v>
      </c>
      <c r="E80" s="29">
        <f ca="1">'Normalized Monthly revenue'!AC30</f>
        <v>47755.918082085824</v>
      </c>
      <c r="F80" s="29">
        <f>'305 VS COGNOS Revenue'!E37+'305 VS COGNOS Revenue'!K37+'305 VS COGNOS Revenue'!R37+'305 VS COGNOS Revenue'!G37+'305 VS COGNOS Revenue'!I37</f>
        <v>-315997.91765800107</v>
      </c>
      <c r="G80" s="29">
        <f ca="1">-SUMIF('305 Inputs'!$A$51:$A$71,"=b48m",'305 Inputs'!$I$51:$I$70)</f>
        <v>0</v>
      </c>
      <c r="H80" s="29">
        <v>0</v>
      </c>
      <c r="I80" s="29">
        <f ca="1">SUM(E80:H80)</f>
        <v>-268241.99957591522</v>
      </c>
      <c r="J80" s="30">
        <f ca="1">D80+I80</f>
        <v>14762186.960424086</v>
      </c>
      <c r="K80" s="902">
        <f>$K$13</f>
        <v>0</v>
      </c>
      <c r="L80" s="29">
        <f>'305 VS COGNOS Revenue'!X37</f>
        <v>382932.95765800029</v>
      </c>
      <c r="M80" s="29">
        <f>SUM(L80:L80)</f>
        <v>382932.95765800029</v>
      </c>
      <c r="N80" s="30">
        <f ca="1">J80+M80</f>
        <v>15145119.918082086</v>
      </c>
      <c r="O80" s="632"/>
      <c r="P80" s="29">
        <f ca="1">I80+M80</f>
        <v>114690.95808208507</v>
      </c>
      <c r="Q80" s="639">
        <f ca="1">+D80+P80</f>
        <v>15145119.918082086</v>
      </c>
      <c r="R80" s="12"/>
      <c r="S80" s="639">
        <f t="shared" ca="1" si="43"/>
        <v>14714431.042342</v>
      </c>
    </row>
    <row r="81" spans="1:19" s="11" customFormat="1" ht="18">
      <c r="B81" s="882" t="s">
        <v>571</v>
      </c>
      <c r="D81" s="78">
        <f>'305 VS COGNOS Revenue'!C38</f>
        <v>26655601.359999999</v>
      </c>
      <c r="E81" s="31">
        <f ca="1">'Normalized Monthly revenue'!AC29</f>
        <v>83632.864840947397</v>
      </c>
      <c r="F81" s="31">
        <f>'305 VS COGNOS Revenue'!E38+'305 VS COGNOS Revenue'!K38+'305 VS COGNOS Revenue'!R38+'305 VS COGNOS Revenue'!G38+'305 VS COGNOS Revenue'!I38</f>
        <v>-886857.46399999922</v>
      </c>
      <c r="G81" s="31">
        <f ca="1">-SUMIF('305 Inputs'!$A$51:$A$71,"=b48y",'305 Inputs'!$I$51:$I$70)</f>
        <v>0</v>
      </c>
      <c r="H81" s="90">
        <v>0</v>
      </c>
      <c r="I81" s="31">
        <f ca="1">SUM(E81:H81)</f>
        <v>-803224.59915905178</v>
      </c>
      <c r="J81" s="78">
        <f ca="1">D81+I81</f>
        <v>25852376.760840949</v>
      </c>
      <c r="K81" s="903">
        <f>$K$13</f>
        <v>0</v>
      </c>
      <c r="L81" s="31">
        <f>'305 VS COGNOS Revenue'!X38</f>
        <v>702014.10399999842</v>
      </c>
      <c r="M81" s="31">
        <f>SUM(L81:L81)</f>
        <v>702014.10399999842</v>
      </c>
      <c r="N81" s="78">
        <f ca="1">J81+M81</f>
        <v>26554390.864840947</v>
      </c>
      <c r="O81" s="632"/>
      <c r="P81" s="31">
        <f t="shared" ref="P81" ca="1" si="44">I81+M81</f>
        <v>-101210.49515905336</v>
      </c>
      <c r="Q81" s="638">
        <f ca="1">+D81+P81</f>
        <v>26554390.864840947</v>
      </c>
      <c r="R81" s="12"/>
      <c r="S81" s="639">
        <f t="shared" ca="1" si="43"/>
        <v>25768743.896000002</v>
      </c>
    </row>
    <row r="82" spans="1:19">
      <c r="B82" s="4" t="s">
        <v>35</v>
      </c>
      <c r="D82" s="30">
        <f t="shared" ref="D82:J82" si="45">SUM(D79:D81)</f>
        <v>41994444.609999999</v>
      </c>
      <c r="E82" s="960">
        <f t="shared" ca="1" si="45"/>
        <v>132398.68834204471</v>
      </c>
      <c r="F82" s="29">
        <f t="shared" si="45"/>
        <v>-1200100.2031580003</v>
      </c>
      <c r="G82" s="29">
        <f t="shared" ca="1" si="45"/>
        <v>0</v>
      </c>
      <c r="H82" s="29">
        <f t="shared" si="45"/>
        <v>0</v>
      </c>
      <c r="I82" s="29">
        <f t="shared" ca="1" si="45"/>
        <v>-1067701.5148159554</v>
      </c>
      <c r="J82" s="30">
        <f t="shared" ca="1" si="45"/>
        <v>40926743.095184043</v>
      </c>
      <c r="K82" s="902"/>
      <c r="L82" s="29">
        <f>SUM(L79:L81)</f>
        <v>1093011.5931579988</v>
      </c>
      <c r="M82" s="29">
        <f>SUM(M79:M81)</f>
        <v>1093011.5931579988</v>
      </c>
      <c r="N82" s="30">
        <f ca="1">SUM(N79:N81)</f>
        <v>42019754.688342042</v>
      </c>
      <c r="O82" s="10"/>
      <c r="P82" s="29">
        <f ca="1">SUM(P79:P81)</f>
        <v>25310.078342043227</v>
      </c>
      <c r="Q82" s="639">
        <f ca="1">SUM(Q79:Q81)</f>
        <v>42019754.688342042</v>
      </c>
      <c r="R82" s="8"/>
      <c r="S82" s="639">
        <f ca="1">SUM(S79:S81)</f>
        <v>40794344.406842001</v>
      </c>
    </row>
    <row r="83" spans="1:19">
      <c r="D83" s="30"/>
      <c r="E83" s="29"/>
      <c r="F83" s="29"/>
      <c r="G83" s="29"/>
      <c r="H83" s="29"/>
      <c r="I83" s="29"/>
      <c r="J83" s="30"/>
      <c r="K83" s="29"/>
      <c r="L83" s="29"/>
      <c r="M83" s="29" t="s">
        <v>31</v>
      </c>
      <c r="N83" s="30"/>
      <c r="O83" s="906"/>
      <c r="P83" s="29"/>
      <c r="Q83" s="639"/>
    </row>
    <row r="84" spans="1:19">
      <c r="B84" s="882" t="s">
        <v>55</v>
      </c>
      <c r="D84" s="78">
        <f>SUMIF('305 Inputs'!$B$51:$B$73,"=15n",'305 Inputs'!$I$51:$I$73)</f>
        <v>18281.759999999998</v>
      </c>
      <c r="E84" s="31">
        <f ca="1">'Normalized Monthly revenue'!AC31</f>
        <v>59.072572994694113</v>
      </c>
      <c r="F84" s="31">
        <f>'305 VS COGNOS Revenue'!E40+'305 VS COGNOS Revenue'!K40+'305 VS COGNOS Revenue'!R40+'305 VS COGNOS Revenue'!G40+'305 VS COGNOS Revenue'!I40</f>
        <v>-193.37025974057681</v>
      </c>
      <c r="G84" s="31">
        <f ca="1">-SUMIF('305 Inputs'!$A$51:$A$71,"=b15n",'305 Inputs'!$I$51:$I$70)</f>
        <v>112.9</v>
      </c>
      <c r="H84" s="31">
        <v>0</v>
      </c>
      <c r="I84" s="31">
        <f ca="1">SUM(E84:H84)</f>
        <v>-21.39768674588268</v>
      </c>
      <c r="J84" s="78">
        <f ca="1">D84+I84</f>
        <v>18260.362313254114</v>
      </c>
      <c r="K84" s="903">
        <v>0</v>
      </c>
      <c r="L84" s="31">
        <f>'305 VS COGNOS Revenue'!X40</f>
        <v>213.18880843696752</v>
      </c>
      <c r="M84" s="31">
        <f>SUM(L84:L84)</f>
        <v>213.18880843696752</v>
      </c>
      <c r="N84" s="78">
        <f ca="1">J84+M84</f>
        <v>18473.551121691082</v>
      </c>
      <c r="O84" s="632"/>
      <c r="P84" s="31">
        <f t="shared" ref="P84" ca="1" si="46">I84+M84</f>
        <v>191.79112169108484</v>
      </c>
      <c r="Q84" s="638">
        <f ca="1">+D84+P84</f>
        <v>18473.551121691082</v>
      </c>
      <c r="R84" s="8"/>
      <c r="S84" s="639">
        <f ca="1">D84+F84+G84</f>
        <v>18201.289740259424</v>
      </c>
    </row>
    <row r="85" spans="1:19">
      <c r="B85" s="4" t="s">
        <v>35</v>
      </c>
      <c r="D85" s="30">
        <f t="shared" ref="D85:J85" si="47">SUM(D84:D84)</f>
        <v>18281.759999999998</v>
      </c>
      <c r="E85" s="960">
        <f t="shared" ca="1" si="47"/>
        <v>59.072572994694113</v>
      </c>
      <c r="F85" s="29">
        <f t="shared" si="47"/>
        <v>-193.37025974057681</v>
      </c>
      <c r="G85" s="29">
        <f t="shared" ca="1" si="47"/>
        <v>112.9</v>
      </c>
      <c r="H85" s="29">
        <f t="shared" si="47"/>
        <v>0</v>
      </c>
      <c r="I85" s="29">
        <f t="shared" ca="1" si="47"/>
        <v>-21.39768674588268</v>
      </c>
      <c r="J85" s="30">
        <f t="shared" ca="1" si="47"/>
        <v>18260.362313254114</v>
      </c>
      <c r="K85" s="903"/>
      <c r="L85" s="29">
        <f>SUM(L84:L84)</f>
        <v>213.18880843696752</v>
      </c>
      <c r="M85" s="29">
        <f>SUM(M84:M84)</f>
        <v>213.18880843696752</v>
      </c>
      <c r="N85" s="30">
        <f ca="1">SUM(N84:N84)</f>
        <v>18473.551121691082</v>
      </c>
      <c r="O85" s="10"/>
      <c r="P85" s="29">
        <f ca="1">SUM(P84:P84)</f>
        <v>191.79112169108484</v>
      </c>
      <c r="Q85" s="639">
        <f ca="1">SUM(Q84:Q84)</f>
        <v>18473.551121691082</v>
      </c>
      <c r="R85" s="8"/>
    </row>
    <row r="86" spans="1:19">
      <c r="D86" s="30"/>
      <c r="E86" s="29"/>
      <c r="F86" s="29"/>
      <c r="G86" s="29"/>
      <c r="H86" s="29"/>
      <c r="I86" s="29"/>
      <c r="J86" s="30"/>
      <c r="K86" s="31"/>
      <c r="L86" s="29"/>
      <c r="M86" s="29"/>
      <c r="N86" s="30"/>
      <c r="O86" s="906"/>
      <c r="P86" s="29"/>
      <c r="Q86" s="639"/>
    </row>
    <row r="87" spans="1:19" s="11" customFormat="1">
      <c r="B87" s="4" t="s">
        <v>34</v>
      </c>
      <c r="D87" s="30">
        <f>SUMIF('305 Inputs'!$B$51:$B$73,"=aga",'305 Inputs'!$I$51:$I$73)</f>
        <v>0</v>
      </c>
      <c r="E87" s="29"/>
      <c r="F87" s="31">
        <v>0</v>
      </c>
      <c r="G87" s="31">
        <v>0</v>
      </c>
      <c r="H87" s="31">
        <v>0</v>
      </c>
      <c r="I87" s="31">
        <f>SUM(F87:H87)</f>
        <v>0</v>
      </c>
      <c r="J87" s="78">
        <f>D87+I87</f>
        <v>0</v>
      </c>
      <c r="K87" s="903">
        <v>0</v>
      </c>
      <c r="L87" s="31">
        <f t="shared" ref="L87" si="48">ROUND(J87*K87*((366-30)/(366+30*K87)),0)</f>
        <v>0</v>
      </c>
      <c r="M87" s="31">
        <f>SUM(L87:L87)</f>
        <v>0</v>
      </c>
      <c r="N87" s="78">
        <f>J87+M87</f>
        <v>0</v>
      </c>
      <c r="O87" s="632"/>
      <c r="P87" s="31">
        <f t="shared" ref="P87:P95" si="49">I87+M87</f>
        <v>0</v>
      </c>
      <c r="Q87" s="638">
        <f>+D87+P87</f>
        <v>0</v>
      </c>
      <c r="R87" s="12"/>
    </row>
    <row r="88" spans="1:19" s="11" customFormat="1">
      <c r="B88" s="4"/>
      <c r="D88" s="30"/>
      <c r="E88" s="29"/>
      <c r="F88" s="31"/>
      <c r="G88" s="31"/>
      <c r="H88" s="31"/>
      <c r="I88" s="31"/>
      <c r="J88" s="78"/>
      <c r="K88" s="903"/>
      <c r="L88" s="31"/>
      <c r="M88" s="31"/>
      <c r="N88" s="78"/>
      <c r="O88" s="632"/>
      <c r="P88" s="31"/>
      <c r="Q88" s="638"/>
      <c r="R88" s="12"/>
    </row>
    <row r="89" spans="1:19" s="11" customFormat="1">
      <c r="B89" s="4" t="s">
        <v>654</v>
      </c>
      <c r="D89" s="78">
        <f>SUMIF('305 Inputs'!$B$51:$B$73,"=def",'305 Inputs'!$I$51:$I$73)</f>
        <v>-510000</v>
      </c>
      <c r="E89" s="31"/>
      <c r="F89" s="31">
        <f>-D89</f>
        <v>510000</v>
      </c>
      <c r="G89" s="31">
        <v>0</v>
      </c>
      <c r="H89" s="31">
        <v>0</v>
      </c>
      <c r="I89" s="31">
        <f>SUM(F89:H89)</f>
        <v>510000</v>
      </c>
      <c r="J89" s="78">
        <f>D89+I89</f>
        <v>0</v>
      </c>
      <c r="K89" s="903">
        <v>0</v>
      </c>
      <c r="L89" s="31">
        <f t="shared" ref="L89:L93" si="50">ROUND(J89*K89*((366-30)/(366+30*K89)),0)</f>
        <v>0</v>
      </c>
      <c r="M89" s="31">
        <f t="shared" ref="M89:M93" si="51">SUM(L89:L89)</f>
        <v>0</v>
      </c>
      <c r="N89" s="78">
        <f t="shared" ref="N89:N93" si="52">J89+M89</f>
        <v>0</v>
      </c>
      <c r="O89" s="632"/>
      <c r="P89" s="31">
        <f t="shared" si="49"/>
        <v>510000</v>
      </c>
      <c r="Q89" s="638">
        <f>+D89+P89</f>
        <v>0</v>
      </c>
      <c r="R89" s="12"/>
    </row>
    <row r="90" spans="1:19" s="11" customFormat="1">
      <c r="A90" s="4"/>
      <c r="B90" s="4" t="s">
        <v>728</v>
      </c>
      <c r="C90" s="4"/>
      <c r="D90" s="78">
        <f>SUMIF('305 Inputs'!$B$51:$B$73,"=rev",'305 Inputs'!$I$51:$I$73)</f>
        <v>-1549981.7899999998</v>
      </c>
      <c r="E90" s="31"/>
      <c r="F90" s="31">
        <f>-D90</f>
        <v>1549981.7899999998</v>
      </c>
      <c r="G90" s="31">
        <v>0</v>
      </c>
      <c r="H90" s="31">
        <v>0</v>
      </c>
      <c r="I90" s="31">
        <f>SUM(F90:H90)</f>
        <v>1549981.7899999998</v>
      </c>
      <c r="J90" s="78">
        <f>D90+I90</f>
        <v>0</v>
      </c>
      <c r="K90" s="903">
        <v>0</v>
      </c>
      <c r="L90" s="31">
        <f t="shared" si="50"/>
        <v>0</v>
      </c>
      <c r="M90" s="31">
        <f t="shared" si="51"/>
        <v>0</v>
      </c>
      <c r="N90" s="78">
        <f t="shared" si="52"/>
        <v>0</v>
      </c>
      <c r="O90" s="632"/>
      <c r="P90" s="31">
        <f t="shared" si="49"/>
        <v>1549981.7899999998</v>
      </c>
      <c r="Q90" s="638">
        <f>+D90+P90</f>
        <v>0</v>
      </c>
      <c r="R90" s="12"/>
    </row>
    <row r="91" spans="1:19" s="11" customFormat="1">
      <c r="B91" s="4" t="s">
        <v>735</v>
      </c>
      <c r="D91" s="78">
        <f>SUMIF('305 Inputs'!$B$51:$B$73,"=dsm",'305 Inputs'!$I$51:$I$73)</f>
        <v>1862570.43</v>
      </c>
      <c r="E91" s="31"/>
      <c r="F91" s="31">
        <f>-D91</f>
        <v>-1862570.43</v>
      </c>
      <c r="G91" s="31">
        <v>0</v>
      </c>
      <c r="H91" s="31">
        <v>0</v>
      </c>
      <c r="I91" s="31">
        <f>SUM(F91:H91)</f>
        <v>-1862570.43</v>
      </c>
      <c r="J91" s="78">
        <f>D91+I91</f>
        <v>0</v>
      </c>
      <c r="K91" s="903">
        <v>0</v>
      </c>
      <c r="L91" s="31">
        <f t="shared" si="50"/>
        <v>0</v>
      </c>
      <c r="M91" s="31">
        <f t="shared" si="51"/>
        <v>0</v>
      </c>
      <c r="N91" s="78">
        <f t="shared" si="52"/>
        <v>0</v>
      </c>
      <c r="O91" s="632"/>
      <c r="P91" s="31">
        <f t="shared" si="49"/>
        <v>-1862570.43</v>
      </c>
      <c r="Q91" s="638">
        <f>+D91+P91</f>
        <v>0</v>
      </c>
      <c r="R91" s="12"/>
    </row>
    <row r="92" spans="1:19" s="11" customFormat="1">
      <c r="B92" s="4" t="s">
        <v>96</v>
      </c>
      <c r="D92" s="78">
        <f>SUMIF('305 Inputs'!$B$51:$B$73,"=bpa",'305 Inputs'!$I$51:$I$73)</f>
        <v>-123.33</v>
      </c>
      <c r="E92" s="31"/>
      <c r="F92" s="31">
        <v>0</v>
      </c>
      <c r="G92" s="31">
        <f>-D92</f>
        <v>123.33</v>
      </c>
      <c r="H92" s="31">
        <v>0</v>
      </c>
      <c r="I92" s="31">
        <f>SUM(F92:H92)</f>
        <v>123.33</v>
      </c>
      <c r="J92" s="78">
        <f>D92+I92</f>
        <v>0</v>
      </c>
      <c r="K92" s="903">
        <v>0</v>
      </c>
      <c r="L92" s="31">
        <f t="shared" si="50"/>
        <v>0</v>
      </c>
      <c r="M92" s="31">
        <f t="shared" si="51"/>
        <v>0</v>
      </c>
      <c r="N92" s="78">
        <f t="shared" si="52"/>
        <v>0</v>
      </c>
      <c r="O92" s="632"/>
      <c r="P92" s="31">
        <f t="shared" si="49"/>
        <v>123.33</v>
      </c>
      <c r="Q92" s="638">
        <f>+D92+P92</f>
        <v>0</v>
      </c>
      <c r="R92" s="12"/>
    </row>
    <row r="93" spans="1:19" s="11" customFormat="1">
      <c r="B93" s="4" t="s">
        <v>668</v>
      </c>
      <c r="D93" s="78">
        <f>SUMIF('305 Inputs'!$B$51:$B$73,"=smud",'305 Inputs'!$I$51:$I$73)</f>
        <v>39997.230000000003</v>
      </c>
      <c r="E93" s="31"/>
      <c r="F93" s="31">
        <f>D93*-1</f>
        <v>-39997.230000000003</v>
      </c>
      <c r="G93" s="31">
        <v>0</v>
      </c>
      <c r="H93" s="31">
        <v>0</v>
      </c>
      <c r="I93" s="31">
        <f>SUM(F93:H93)</f>
        <v>-39997.230000000003</v>
      </c>
      <c r="J93" s="78">
        <f>D93+I93</f>
        <v>0</v>
      </c>
      <c r="K93" s="903">
        <v>0</v>
      </c>
      <c r="L93" s="31">
        <f t="shared" si="50"/>
        <v>0</v>
      </c>
      <c r="M93" s="31">
        <f t="shared" si="51"/>
        <v>0</v>
      </c>
      <c r="N93" s="78">
        <f t="shared" si="52"/>
        <v>0</v>
      </c>
      <c r="O93" s="632"/>
      <c r="P93" s="31">
        <f t="shared" si="49"/>
        <v>-39997.230000000003</v>
      </c>
      <c r="Q93" s="638">
        <f>+D93+P93</f>
        <v>0</v>
      </c>
      <c r="R93" s="12"/>
    </row>
    <row r="94" spans="1:19" s="11" customFormat="1">
      <c r="A94" s="4"/>
      <c r="C94" s="4"/>
      <c r="D94" s="30"/>
      <c r="E94" s="29"/>
      <c r="F94" s="29"/>
      <c r="G94" s="29"/>
      <c r="H94" s="29"/>
      <c r="I94" s="29"/>
      <c r="J94" s="30"/>
      <c r="K94" s="903"/>
      <c r="L94" s="29"/>
      <c r="M94" s="29"/>
      <c r="N94" s="78"/>
      <c r="O94" s="632"/>
      <c r="P94" s="31"/>
      <c r="Q94" s="639"/>
      <c r="R94" s="12"/>
    </row>
    <row r="95" spans="1:19" s="11" customFormat="1">
      <c r="B95" s="4" t="s">
        <v>79</v>
      </c>
      <c r="D95" s="78">
        <f ca="1">SUMIF('305 Inputs'!$B$51:$B$73,"=unbilled",'305 Inputs'!$I$51:$I$72)</f>
        <v>164000</v>
      </c>
      <c r="E95" s="31">
        <f ca="1">-D95</f>
        <v>-164000</v>
      </c>
      <c r="F95" s="31">
        <v>0</v>
      </c>
      <c r="G95" s="31">
        <v>0</v>
      </c>
      <c r="H95" s="31">
        <v>0</v>
      </c>
      <c r="I95" s="31">
        <f ca="1">SUM(E95:H95)</f>
        <v>-164000</v>
      </c>
      <c r="J95" s="78">
        <f ca="1">D95+I95</f>
        <v>0</v>
      </c>
      <c r="K95" s="903">
        <v>0</v>
      </c>
      <c r="L95" s="31">
        <f t="shared" ref="L95" ca="1" si="53">ROUND(J95*K95*((366-30)/(366+30*K95)),0)</f>
        <v>0</v>
      </c>
      <c r="M95" s="31">
        <f ca="1">SUM(L95:L95)</f>
        <v>0</v>
      </c>
      <c r="N95" s="78">
        <f ca="1">J95+M95</f>
        <v>0</v>
      </c>
      <c r="O95" s="632"/>
      <c r="P95" s="31">
        <f t="shared" ca="1" si="49"/>
        <v>-164000</v>
      </c>
      <c r="Q95" s="638">
        <f ca="1">+D95+P95</f>
        <v>0</v>
      </c>
      <c r="R95" s="12"/>
    </row>
    <row r="96" spans="1:19" s="11" customFormat="1">
      <c r="A96" s="4"/>
      <c r="C96" s="4"/>
      <c r="D96" s="78"/>
      <c r="E96" s="31"/>
      <c r="F96" s="31"/>
      <c r="G96" s="31"/>
      <c r="H96" s="31"/>
      <c r="I96" s="31"/>
      <c r="J96" s="78"/>
      <c r="K96" s="31"/>
      <c r="L96" s="31"/>
      <c r="M96" s="31"/>
      <c r="N96" s="78"/>
      <c r="O96" s="632"/>
      <c r="P96" s="31"/>
      <c r="Q96" s="31"/>
      <c r="R96" s="12"/>
    </row>
    <row r="97" spans="1:19">
      <c r="B97" s="33" t="s">
        <v>9</v>
      </c>
      <c r="C97" s="34"/>
      <c r="D97" s="79">
        <f t="shared" ref="D97:N97" ca="1" si="54">+D74+D77+D82+D85+D87+SUM(D89:D95)</f>
        <v>51944241.849999994</v>
      </c>
      <c r="E97" s="80">
        <f t="shared" ca="1" si="54"/>
        <v>0</v>
      </c>
      <c r="F97" s="37">
        <f t="shared" si="54"/>
        <v>-1261936.8148742691</v>
      </c>
      <c r="G97" s="37">
        <f t="shared" ca="1" si="54"/>
        <v>12954.5</v>
      </c>
      <c r="H97" s="37">
        <f t="shared" si="54"/>
        <v>0</v>
      </c>
      <c r="I97" s="37">
        <f t="shared" ca="1" si="54"/>
        <v>-1248982.3148742691</v>
      </c>
      <c r="J97" s="79">
        <f t="shared" ca="1" si="54"/>
        <v>50695259.535125732</v>
      </c>
      <c r="K97" s="37">
        <f t="shared" si="54"/>
        <v>0</v>
      </c>
      <c r="L97" s="37">
        <f t="shared" ca="1" si="54"/>
        <v>1359000.9434229657</v>
      </c>
      <c r="M97" s="37">
        <f t="shared" ca="1" si="54"/>
        <v>1359000.9434229657</v>
      </c>
      <c r="N97" s="79">
        <f t="shared" ca="1" si="54"/>
        <v>52054260.478548698</v>
      </c>
      <c r="O97" s="80"/>
      <c r="P97" s="37">
        <f ca="1">+P74+P77+P82+P85+P87+SUM(P89:P95)</f>
        <v>110018.62854869651</v>
      </c>
      <c r="Q97" s="37">
        <f ca="1">+Q74+Q77+Q82+Q85+Q87+SUM(Q89:Q95)</f>
        <v>52054260.478548698</v>
      </c>
      <c r="R97" s="8"/>
    </row>
    <row r="98" spans="1:19">
      <c r="D98" s="30"/>
      <c r="E98" s="29"/>
      <c r="F98" s="29"/>
      <c r="G98" s="29"/>
      <c r="H98" s="29"/>
      <c r="I98" s="29"/>
      <c r="J98" s="30" t="s">
        <v>31</v>
      </c>
      <c r="K98" s="29"/>
      <c r="L98" s="29"/>
      <c r="M98" s="29"/>
      <c r="N98" s="30" t="s">
        <v>31</v>
      </c>
      <c r="O98" s="906"/>
      <c r="P98" s="29"/>
      <c r="Q98" s="639"/>
      <c r="R98" s="909"/>
    </row>
    <row r="99" spans="1:19">
      <c r="B99" s="5"/>
      <c r="D99" s="30"/>
      <c r="E99" s="29"/>
      <c r="F99" s="29"/>
      <c r="G99" s="29"/>
      <c r="H99" s="29"/>
      <c r="I99" s="29"/>
      <c r="J99" s="30" t="s">
        <v>31</v>
      </c>
      <c r="K99" s="29"/>
      <c r="L99" s="29"/>
      <c r="M99" s="29"/>
      <c r="N99" s="30"/>
      <c r="O99" s="10"/>
      <c r="P99" s="29"/>
      <c r="Q99" s="639"/>
    </row>
    <row r="100" spans="1:19">
      <c r="A100" s="5" t="s">
        <v>198</v>
      </c>
      <c r="B100" s="5"/>
      <c r="D100" s="30"/>
      <c r="E100" s="29"/>
      <c r="F100" s="29"/>
      <c r="G100" s="29"/>
      <c r="H100" s="29"/>
      <c r="I100" s="29"/>
      <c r="J100" s="30"/>
      <c r="K100" s="29"/>
      <c r="L100" s="29"/>
      <c r="M100" s="29"/>
      <c r="N100" s="30"/>
      <c r="O100" s="10"/>
      <c r="P100" s="29"/>
      <c r="Q100" s="639"/>
    </row>
    <row r="101" spans="1:19">
      <c r="B101" s="882" t="s">
        <v>58</v>
      </c>
      <c r="D101" s="30">
        <f>SUMIF('305 Inputs'!B77:B97,"=40",'305 Inputs'!I77:I97)</f>
        <v>10772805.279999999</v>
      </c>
      <c r="E101" s="29">
        <f ca="1">'Normalized Monthly revenue'!AC34</f>
        <v>142267.21150160185</v>
      </c>
      <c r="F101" s="29">
        <f>'305 VS COGNOS Revenue'!E45+'305 VS COGNOS Revenue'!K45+'305 VS COGNOS Revenue'!R45+'305 VS COGNOS Revenue'!G45+'305 VS COGNOS Revenue'!I45</f>
        <v>-94775.41969059562</v>
      </c>
      <c r="G101" s="29">
        <f>-SUMIF('305 Inputs'!$A$77:$A$97,"=b40",'305 Inputs'!I$77:I$97)</f>
        <v>560746.17000000004</v>
      </c>
      <c r="H101" s="29">
        <f>Temperature!D92*1000</f>
        <v>-1819272.47</v>
      </c>
      <c r="I101" s="29">
        <f ca="1">SUM(E101:H101)</f>
        <v>-1211034.5081889937</v>
      </c>
      <c r="J101" s="30">
        <f ca="1">D101+I101</f>
        <v>9561770.7718110047</v>
      </c>
      <c r="K101" s="902">
        <f>$K$13</f>
        <v>0</v>
      </c>
      <c r="L101" s="29">
        <f>'305 VS COGNOS Revenue'!X45</f>
        <v>115620.43969059736</v>
      </c>
      <c r="M101" s="29">
        <f>SUM(L101:L101)</f>
        <v>115620.43969059736</v>
      </c>
      <c r="N101" s="30">
        <f ca="1">J101+M101</f>
        <v>9677391.2115016021</v>
      </c>
      <c r="O101" s="10"/>
      <c r="P101" s="29">
        <f ca="1">I101+M101</f>
        <v>-1095414.0684983963</v>
      </c>
      <c r="Q101" s="639">
        <f ca="1">+D101+P101</f>
        <v>9677391.2115016021</v>
      </c>
      <c r="R101" s="8"/>
      <c r="S101" s="639">
        <f t="shared" ref="S101:S102" si="55">D101+F101+G101</f>
        <v>11238776.030309403</v>
      </c>
    </row>
    <row r="102" spans="1:19" ht="18">
      <c r="B102" s="882" t="s">
        <v>59</v>
      </c>
      <c r="D102" s="78">
        <f>SUMIF('305 Inputs'!$A$77:$A$97,"=40x",'305 Inputs'!$I$77:$I$97)</f>
        <v>4076711.77</v>
      </c>
      <c r="E102" s="31">
        <f ca="1">'Normalized Monthly revenue'!AC35</f>
        <v>50732.788498398135</v>
      </c>
      <c r="F102" s="90">
        <f>'305 VS COGNOS Revenue'!E46+'305 VS COGNOS Revenue'!K46+'305 VS COGNOS Revenue'!R46+'305 VS COGNOS Revenue'!G46+'305 VS COGNOS Revenue'!I46</f>
        <v>-68940.469020106248</v>
      </c>
      <c r="G102" s="90">
        <f>-SUMIF('305 Inputs'!$A$77:$A$97,"=b40x",'305 Inputs'!I$77:I$97)</f>
        <v>0</v>
      </c>
      <c r="H102" s="90">
        <v>0</v>
      </c>
      <c r="I102" s="31">
        <f ca="1">SUM(E102:H102)</f>
        <v>-18207.680521708113</v>
      </c>
      <c r="J102" s="78">
        <f ca="1">D102+I102</f>
        <v>4058504.089478292</v>
      </c>
      <c r="K102" s="910">
        <f>$K$13</f>
        <v>0</v>
      </c>
      <c r="L102" s="31">
        <f>'305 VS COGNOS Revenue'!X46</f>
        <v>43865.69902010588</v>
      </c>
      <c r="M102" s="31">
        <f>SUM(L102:L102)</f>
        <v>43865.69902010588</v>
      </c>
      <c r="N102" s="78">
        <f ca="1">J102+M102</f>
        <v>4102369.7884983979</v>
      </c>
      <c r="O102" s="632"/>
      <c r="P102" s="31">
        <f t="shared" ref="P102" ca="1" si="56">I102+M102</f>
        <v>25658.018498397767</v>
      </c>
      <c r="Q102" s="638">
        <f ca="1">+D102+P102</f>
        <v>4102369.7884983979</v>
      </c>
      <c r="R102" s="8"/>
      <c r="S102" s="639">
        <f t="shared" si="55"/>
        <v>4007771.3009798937</v>
      </c>
    </row>
    <row r="103" spans="1:19">
      <c r="B103" s="4" t="s">
        <v>35</v>
      </c>
      <c r="D103" s="30">
        <f t="shared" ref="D103:J103" si="57">SUM(D101:D102)</f>
        <v>14849517.049999999</v>
      </c>
      <c r="E103" s="960">
        <f t="shared" ca="1" si="57"/>
        <v>193000</v>
      </c>
      <c r="F103" s="29">
        <f t="shared" si="57"/>
        <v>-163715.88871070187</v>
      </c>
      <c r="G103" s="29">
        <f t="shared" si="57"/>
        <v>560746.17000000004</v>
      </c>
      <c r="H103" s="29">
        <f t="shared" si="57"/>
        <v>-1819272.47</v>
      </c>
      <c r="I103" s="29">
        <f t="shared" ca="1" si="57"/>
        <v>-1229242.1887107019</v>
      </c>
      <c r="J103" s="30">
        <f t="shared" ca="1" si="57"/>
        <v>13620274.861289296</v>
      </c>
      <c r="K103" s="902"/>
      <c r="L103" s="29">
        <f>SUM(L101:L102)</f>
        <v>159486.13871070324</v>
      </c>
      <c r="M103" s="29">
        <f>SUM(M101:M102)</f>
        <v>159486.13871070324</v>
      </c>
      <c r="N103" s="30">
        <f ca="1">SUM(N101:N102)</f>
        <v>13779761</v>
      </c>
      <c r="O103" s="10"/>
      <c r="P103" s="29">
        <f ca="1">SUM(P101:P102)</f>
        <v>-1069756.0499999986</v>
      </c>
      <c r="Q103" s="639">
        <f ca="1">SUM(Q101:Q102)</f>
        <v>13779761</v>
      </c>
      <c r="R103" s="8"/>
      <c r="S103" s="639">
        <f>SUM(S101:S102)</f>
        <v>15246547.331289297</v>
      </c>
    </row>
    <row r="104" spans="1:19" s="11" customFormat="1">
      <c r="A104" s="4"/>
      <c r="B104" s="4"/>
      <c r="C104" s="4"/>
      <c r="D104" s="30"/>
      <c r="E104" s="29"/>
      <c r="F104" s="29"/>
      <c r="G104" s="29"/>
      <c r="H104" s="29"/>
      <c r="I104" s="29"/>
      <c r="J104" s="30"/>
      <c r="K104" s="902"/>
      <c r="L104" s="29"/>
      <c r="M104" s="29"/>
      <c r="N104" s="30"/>
      <c r="O104" s="632"/>
      <c r="P104" s="29"/>
      <c r="Q104" s="639"/>
      <c r="R104" s="12"/>
    </row>
    <row r="105" spans="1:19" s="11" customFormat="1">
      <c r="B105" s="4" t="s">
        <v>34</v>
      </c>
      <c r="D105" s="78">
        <f ca="1">SUMIF('305 Inputs'!$A$77:$A$97,"=aga",'305 Inputs'!$I$77:$I$93)</f>
        <v>191533.78000000003</v>
      </c>
      <c r="E105" s="31"/>
      <c r="F105" s="31">
        <v>0</v>
      </c>
      <c r="G105" s="31">
        <v>0</v>
      </c>
      <c r="H105" s="31">
        <v>0</v>
      </c>
      <c r="I105" s="31">
        <f>SUM(F105:H105)</f>
        <v>0</v>
      </c>
      <c r="J105" s="78">
        <f ca="1">D105+I105</f>
        <v>191533.78000000003</v>
      </c>
      <c r="K105" s="903">
        <v>0</v>
      </c>
      <c r="L105" s="31">
        <f t="shared" ref="L105:L115" ca="1" si="58">ROUND(J105*K105*((366-30)/(366+30*K105)),0)</f>
        <v>0</v>
      </c>
      <c r="M105" s="31">
        <f ca="1">SUM(L105:L105)</f>
        <v>0</v>
      </c>
      <c r="N105" s="78">
        <f ca="1">J105+M105</f>
        <v>191533.78000000003</v>
      </c>
      <c r="O105" s="632"/>
      <c r="P105" s="31">
        <f t="shared" ref="P105:P115" ca="1" si="59">I105+M105</f>
        <v>0</v>
      </c>
      <c r="Q105" s="638">
        <f ca="1">+D105+P105</f>
        <v>191533.78000000003</v>
      </c>
      <c r="R105" s="12"/>
    </row>
    <row r="106" spans="1:19" s="11" customFormat="1">
      <c r="B106" s="4"/>
      <c r="D106" s="30"/>
      <c r="E106" s="29"/>
      <c r="F106" s="31"/>
      <c r="G106" s="31"/>
      <c r="H106" s="31"/>
      <c r="I106" s="31"/>
      <c r="J106" s="78"/>
      <c r="K106" s="903"/>
      <c r="L106" s="31"/>
      <c r="M106" s="31"/>
      <c r="N106" s="78"/>
      <c r="O106" s="632"/>
      <c r="P106" s="31"/>
      <c r="Q106" s="638"/>
      <c r="R106" s="12"/>
    </row>
    <row r="107" spans="1:19" s="11" customFormat="1">
      <c r="B107" s="4" t="s">
        <v>729</v>
      </c>
      <c r="D107" s="78">
        <f ca="1">SUMIF('305 Inputs'!$B$77:$B$97,"=irr",'305 Inputs'!$I$77:$I$93)</f>
        <v>64000</v>
      </c>
      <c r="E107" s="31"/>
      <c r="F107" s="31">
        <f ca="1">-D107</f>
        <v>-64000</v>
      </c>
      <c r="G107" s="31">
        <v>0</v>
      </c>
      <c r="H107" s="31">
        <v>0</v>
      </c>
      <c r="I107" s="31">
        <f t="shared" ref="I107:I113" ca="1" si="60">SUM(F107:H107)</f>
        <v>-64000</v>
      </c>
      <c r="J107" s="78">
        <f t="shared" ref="J107:J113" ca="1" si="61">D107+I107</f>
        <v>0</v>
      </c>
      <c r="K107" s="903">
        <v>0</v>
      </c>
      <c r="L107" s="31">
        <f t="shared" ca="1" si="58"/>
        <v>0</v>
      </c>
      <c r="M107" s="31">
        <f t="shared" ref="M107:M113" ca="1" si="62">SUM(L107:L107)</f>
        <v>0</v>
      </c>
      <c r="N107" s="78">
        <f t="shared" ref="N107:N113" ca="1" si="63">J107+M107</f>
        <v>0</v>
      </c>
      <c r="O107" s="632"/>
      <c r="P107" s="31">
        <f t="shared" ca="1" si="59"/>
        <v>-64000</v>
      </c>
      <c r="Q107" s="638">
        <f t="shared" ref="Q107:Q113" ca="1" si="64">+D107+P107</f>
        <v>0</v>
      </c>
      <c r="R107" s="12"/>
    </row>
    <row r="108" spans="1:19" s="11" customFormat="1">
      <c r="B108" s="4" t="s">
        <v>654</v>
      </c>
      <c r="D108" s="78">
        <f ca="1">SUMIF('305 Inputs'!$B$77:$B$97,"=def",'305 Inputs'!$I$77:$I$93)</f>
        <v>-120000</v>
      </c>
      <c r="E108" s="31"/>
      <c r="F108" s="31">
        <f ca="1">-D108</f>
        <v>120000</v>
      </c>
      <c r="G108" s="31">
        <v>0</v>
      </c>
      <c r="H108" s="31">
        <v>0</v>
      </c>
      <c r="I108" s="31">
        <f t="shared" ca="1" si="60"/>
        <v>120000</v>
      </c>
      <c r="J108" s="78">
        <f t="shared" ca="1" si="61"/>
        <v>0</v>
      </c>
      <c r="K108" s="903">
        <v>0</v>
      </c>
      <c r="L108" s="31">
        <f t="shared" ca="1" si="58"/>
        <v>0</v>
      </c>
      <c r="M108" s="31">
        <f t="shared" ca="1" si="62"/>
        <v>0</v>
      </c>
      <c r="N108" s="78">
        <f t="shared" ca="1" si="63"/>
        <v>0</v>
      </c>
      <c r="O108" s="632"/>
      <c r="P108" s="31">
        <f t="shared" ca="1" si="59"/>
        <v>120000</v>
      </c>
      <c r="Q108" s="638">
        <f t="shared" ca="1" si="64"/>
        <v>0</v>
      </c>
      <c r="R108" s="12"/>
    </row>
    <row r="109" spans="1:19">
      <c r="B109" s="4" t="s">
        <v>728</v>
      </c>
      <c r="D109" s="78">
        <f ca="1">SUMIF('305 Inputs'!$B$77:$B$97,"=rev",'305 Inputs'!$I$77:$I$93)</f>
        <v>-474497.04000000004</v>
      </c>
      <c r="E109" s="31"/>
      <c r="F109" s="31">
        <f ca="1">-D109</f>
        <v>474497.04000000004</v>
      </c>
      <c r="G109" s="29">
        <v>0</v>
      </c>
      <c r="H109" s="31">
        <v>0</v>
      </c>
      <c r="I109" s="31">
        <f t="shared" ca="1" si="60"/>
        <v>474497.04000000004</v>
      </c>
      <c r="J109" s="78">
        <f t="shared" ca="1" si="61"/>
        <v>0</v>
      </c>
      <c r="K109" s="903">
        <v>0</v>
      </c>
      <c r="L109" s="31">
        <f t="shared" ca="1" si="58"/>
        <v>0</v>
      </c>
      <c r="M109" s="31">
        <f t="shared" ca="1" si="62"/>
        <v>0</v>
      </c>
      <c r="N109" s="78">
        <f t="shared" ca="1" si="63"/>
        <v>0</v>
      </c>
      <c r="O109" s="911"/>
      <c r="P109" s="31">
        <f t="shared" ca="1" si="59"/>
        <v>474497.04000000004</v>
      </c>
      <c r="Q109" s="638">
        <f t="shared" ca="1" si="64"/>
        <v>0</v>
      </c>
    </row>
    <row r="110" spans="1:19" s="11" customFormat="1">
      <c r="B110" s="4" t="s">
        <v>735</v>
      </c>
      <c r="D110" s="78">
        <f ca="1">SUMIF('305 Inputs'!$B$77:$B$97,"=dsm",'305 Inputs'!$I$77:$I$93)</f>
        <v>540165.32999999996</v>
      </c>
      <c r="E110" s="31"/>
      <c r="F110" s="31">
        <f ca="1">-D110</f>
        <v>-540165.32999999996</v>
      </c>
      <c r="G110" s="31">
        <v>0</v>
      </c>
      <c r="H110" s="31">
        <v>0</v>
      </c>
      <c r="I110" s="31">
        <f t="shared" ca="1" si="60"/>
        <v>-540165.32999999996</v>
      </c>
      <c r="J110" s="78">
        <f t="shared" ca="1" si="61"/>
        <v>0</v>
      </c>
      <c r="K110" s="903">
        <v>0</v>
      </c>
      <c r="L110" s="31">
        <f t="shared" ca="1" si="58"/>
        <v>0</v>
      </c>
      <c r="M110" s="31">
        <f t="shared" ca="1" si="62"/>
        <v>0</v>
      </c>
      <c r="N110" s="78">
        <f t="shared" ca="1" si="63"/>
        <v>0</v>
      </c>
      <c r="O110" s="632"/>
      <c r="P110" s="31">
        <f t="shared" ca="1" si="59"/>
        <v>-540165.32999999996</v>
      </c>
      <c r="Q110" s="638">
        <f t="shared" ca="1" si="64"/>
        <v>0</v>
      </c>
      <c r="R110" s="12"/>
    </row>
    <row r="111" spans="1:19" s="11" customFormat="1">
      <c r="B111" s="4" t="s">
        <v>736</v>
      </c>
      <c r="D111" s="78">
        <f ca="1">SUMIF('305 Inputs'!$B$77:$B$97,"=blue",'305 Inputs'!$I$77:$I$93)</f>
        <v>130.54</v>
      </c>
      <c r="E111" s="31"/>
      <c r="F111" s="31">
        <f ca="1">-D111</f>
        <v>-130.54</v>
      </c>
      <c r="G111" s="31">
        <v>0</v>
      </c>
      <c r="H111" s="31">
        <v>0</v>
      </c>
      <c r="I111" s="31">
        <f t="shared" ca="1" si="60"/>
        <v>-130.54</v>
      </c>
      <c r="J111" s="78">
        <f t="shared" ca="1" si="61"/>
        <v>0</v>
      </c>
      <c r="K111" s="903">
        <v>0</v>
      </c>
      <c r="L111" s="31">
        <f t="shared" ca="1" si="58"/>
        <v>0</v>
      </c>
      <c r="M111" s="31">
        <f t="shared" ca="1" si="62"/>
        <v>0</v>
      </c>
      <c r="N111" s="78">
        <f t="shared" ca="1" si="63"/>
        <v>0</v>
      </c>
      <c r="O111" s="632"/>
      <c r="P111" s="31">
        <f t="shared" ca="1" si="59"/>
        <v>-130.54</v>
      </c>
      <c r="Q111" s="638">
        <f t="shared" ca="1" si="64"/>
        <v>0</v>
      </c>
      <c r="R111" s="12"/>
    </row>
    <row r="112" spans="1:19" s="11" customFormat="1">
      <c r="B112" s="4" t="s">
        <v>96</v>
      </c>
      <c r="D112" s="78">
        <f ca="1">SUMIF('305 Inputs'!$B$77:$B$97,"=bpa",'305 Inputs'!$I$77:$I$93)</f>
        <v>19561.62</v>
      </c>
      <c r="E112" s="31"/>
      <c r="F112" s="31">
        <v>0</v>
      </c>
      <c r="G112" s="31">
        <f ca="1">-D112</f>
        <v>-19561.62</v>
      </c>
      <c r="H112" s="31">
        <v>0</v>
      </c>
      <c r="I112" s="31">
        <f t="shared" ca="1" si="60"/>
        <v>-19561.62</v>
      </c>
      <c r="J112" s="78">
        <f t="shared" ca="1" si="61"/>
        <v>0</v>
      </c>
      <c r="K112" s="903">
        <v>0</v>
      </c>
      <c r="L112" s="31">
        <f t="shared" ca="1" si="58"/>
        <v>0</v>
      </c>
      <c r="M112" s="31">
        <f t="shared" ca="1" si="62"/>
        <v>0</v>
      </c>
      <c r="N112" s="78">
        <f t="shared" ca="1" si="63"/>
        <v>0</v>
      </c>
      <c r="O112" s="632"/>
      <c r="P112" s="31">
        <f t="shared" ca="1" si="59"/>
        <v>-19561.62</v>
      </c>
      <c r="Q112" s="638">
        <f t="shared" ca="1" si="64"/>
        <v>0</v>
      </c>
      <c r="R112" s="12"/>
    </row>
    <row r="113" spans="1:19" s="11" customFormat="1">
      <c r="B113" s="4" t="s">
        <v>158</v>
      </c>
      <c r="D113" s="78">
        <f ca="1">SUMIF('305 Inputs'!$B$77:$B$97,"=bpaadj",'305 Inputs'!$I$77:$I$93)</f>
        <v>75671.41</v>
      </c>
      <c r="E113" s="31"/>
      <c r="F113" s="31">
        <v>0</v>
      </c>
      <c r="G113" s="31">
        <f ca="1">-D113</f>
        <v>-75671.41</v>
      </c>
      <c r="H113" s="31">
        <v>0</v>
      </c>
      <c r="I113" s="31">
        <f t="shared" ca="1" si="60"/>
        <v>-75671.41</v>
      </c>
      <c r="J113" s="78">
        <f t="shared" ca="1" si="61"/>
        <v>0</v>
      </c>
      <c r="K113" s="903">
        <v>0</v>
      </c>
      <c r="L113" s="31">
        <f t="shared" ca="1" si="58"/>
        <v>0</v>
      </c>
      <c r="M113" s="31">
        <f t="shared" ca="1" si="62"/>
        <v>0</v>
      </c>
      <c r="N113" s="78">
        <f t="shared" ca="1" si="63"/>
        <v>0</v>
      </c>
      <c r="O113" s="632"/>
      <c r="P113" s="31">
        <f t="shared" ca="1" si="59"/>
        <v>-75671.41</v>
      </c>
      <c r="Q113" s="638">
        <f t="shared" ca="1" si="64"/>
        <v>0</v>
      </c>
      <c r="R113" s="12"/>
    </row>
    <row r="114" spans="1:19" s="11" customFormat="1">
      <c r="B114" s="4"/>
      <c r="D114" s="78"/>
      <c r="E114" s="31"/>
      <c r="F114" s="31"/>
      <c r="G114" s="31"/>
      <c r="H114" s="31"/>
      <c r="I114" s="31"/>
      <c r="J114" s="78"/>
      <c r="K114" s="903"/>
      <c r="L114" s="29"/>
      <c r="M114" s="31"/>
      <c r="N114" s="78"/>
      <c r="O114" s="632"/>
      <c r="P114" s="31"/>
      <c r="Q114" s="638"/>
      <c r="R114" s="12"/>
    </row>
    <row r="115" spans="1:19" s="11" customFormat="1">
      <c r="B115" s="4" t="s">
        <v>79</v>
      </c>
      <c r="D115" s="78">
        <f ca="1">SUMIF('305 Inputs'!$A$77:$A$97,"=unbilled",'305 Inputs'!$I$77:$I$93)</f>
        <v>193000</v>
      </c>
      <c r="E115" s="31">
        <f ca="1">-D115</f>
        <v>-193000</v>
      </c>
      <c r="F115" s="31">
        <v>0</v>
      </c>
      <c r="G115" s="31">
        <v>0</v>
      </c>
      <c r="H115" s="31">
        <v>0</v>
      </c>
      <c r="I115" s="31">
        <f ca="1">SUM(E115:H115)</f>
        <v>-193000</v>
      </c>
      <c r="J115" s="78">
        <f ca="1">D115+I115</f>
        <v>0</v>
      </c>
      <c r="K115" s="903">
        <v>0</v>
      </c>
      <c r="L115" s="31">
        <f t="shared" ca="1" si="58"/>
        <v>0</v>
      </c>
      <c r="M115" s="31">
        <f ca="1">SUM(L115:L115)</f>
        <v>0</v>
      </c>
      <c r="N115" s="78">
        <f ca="1">J115+M115</f>
        <v>0</v>
      </c>
      <c r="O115" s="632"/>
      <c r="P115" s="31">
        <f t="shared" ca="1" si="59"/>
        <v>-193000</v>
      </c>
      <c r="Q115" s="638">
        <f ca="1">+D115+P115</f>
        <v>0</v>
      </c>
      <c r="R115" s="12"/>
    </row>
    <row r="116" spans="1:19" s="11" customFormat="1">
      <c r="A116" s="4"/>
      <c r="C116" s="4"/>
      <c r="D116" s="78"/>
      <c r="E116" s="31"/>
      <c r="F116" s="31"/>
      <c r="G116" s="31"/>
      <c r="H116" s="31"/>
      <c r="I116" s="31"/>
      <c r="J116" s="78"/>
      <c r="K116" s="31"/>
      <c r="L116" s="31"/>
      <c r="M116" s="31"/>
      <c r="N116" s="78"/>
      <c r="O116" s="632"/>
      <c r="P116" s="31"/>
      <c r="Q116" s="31"/>
      <c r="R116" s="12"/>
    </row>
    <row r="117" spans="1:19">
      <c r="B117" s="33" t="s">
        <v>9</v>
      </c>
      <c r="C117" s="34"/>
      <c r="D117" s="79">
        <f t="shared" ref="D117:P117" ca="1" si="65">D103+D105+SUM(D107:D115)</f>
        <v>15339082.689999998</v>
      </c>
      <c r="E117" s="80">
        <f t="shared" ca="1" si="65"/>
        <v>0</v>
      </c>
      <c r="F117" s="37">
        <f t="shared" ca="1" si="65"/>
        <v>-173514.7187107018</v>
      </c>
      <c r="G117" s="37">
        <f t="shared" ca="1" si="65"/>
        <v>465513.14</v>
      </c>
      <c r="H117" s="37">
        <f t="shared" si="65"/>
        <v>-1819272.47</v>
      </c>
      <c r="I117" s="37">
        <f t="shared" ca="1" si="65"/>
        <v>-1527274.0487107018</v>
      </c>
      <c r="J117" s="79">
        <f t="shared" ca="1" si="65"/>
        <v>13811808.641289296</v>
      </c>
      <c r="K117" s="37">
        <f t="shared" si="65"/>
        <v>0</v>
      </c>
      <c r="L117" s="37">
        <f t="shared" ca="1" si="65"/>
        <v>159486.13871070324</v>
      </c>
      <c r="M117" s="37">
        <f t="shared" ca="1" si="65"/>
        <v>159486.13871070324</v>
      </c>
      <c r="N117" s="79">
        <f t="shared" ca="1" si="65"/>
        <v>13971294.779999999</v>
      </c>
      <c r="O117" s="80"/>
      <c r="P117" s="37">
        <f t="shared" ca="1" si="65"/>
        <v>-1367787.9099999985</v>
      </c>
      <c r="Q117" s="37">
        <f ca="1">Q103+Q105+SUM(Q107:Q115)</f>
        <v>13971294.779999999</v>
      </c>
      <c r="R117" s="8"/>
    </row>
    <row r="118" spans="1:19">
      <c r="D118" s="30"/>
      <c r="E118" s="29"/>
      <c r="F118" s="29" t="s">
        <v>31</v>
      </c>
      <c r="G118" s="29"/>
      <c r="H118" s="29"/>
      <c r="I118" s="29"/>
      <c r="J118" s="30"/>
      <c r="K118" s="29"/>
      <c r="L118" s="29"/>
      <c r="M118" s="29"/>
      <c r="N118" s="30"/>
      <c r="O118" s="906"/>
      <c r="P118" s="29"/>
      <c r="Q118" s="639"/>
    </row>
    <row r="119" spans="1:19">
      <c r="B119" s="5"/>
      <c r="D119" s="30"/>
      <c r="E119" s="29"/>
      <c r="F119" s="29"/>
      <c r="G119" s="29"/>
      <c r="H119" s="29"/>
      <c r="I119" s="29"/>
      <c r="J119" s="30"/>
      <c r="K119" s="29"/>
      <c r="L119" s="29"/>
      <c r="M119" s="29"/>
      <c r="N119" s="30"/>
      <c r="O119" s="906"/>
      <c r="P119" s="29"/>
      <c r="Q119" s="639"/>
    </row>
    <row r="120" spans="1:19">
      <c r="A120" s="5" t="s">
        <v>36</v>
      </c>
      <c r="D120" s="6"/>
      <c r="E120" s="7"/>
      <c r="F120" s="7"/>
      <c r="G120" s="7"/>
      <c r="H120" s="7"/>
      <c r="J120" s="6"/>
      <c r="K120" s="7"/>
      <c r="L120" s="7"/>
      <c r="M120" s="7"/>
      <c r="N120" s="30"/>
      <c r="O120" s="906"/>
      <c r="R120" s="912"/>
    </row>
    <row r="121" spans="1:19">
      <c r="B121" s="882" t="s">
        <v>61</v>
      </c>
      <c r="D121" s="30">
        <f>SUMIF('305 Inputs'!$B$103:$B$113,"=52",'305 Inputs'!$I$103:$I$113)</f>
        <v>34679.26</v>
      </c>
      <c r="E121" s="29">
        <f>'Normalized Monthly revenue'!AC38</f>
        <v>567.41534451217819</v>
      </c>
      <c r="F121" s="29">
        <f>'305 VS COGNOS Revenue'!E51+'305 VS COGNOS Revenue'!K51+'305 VS COGNOS Revenue'!R51+'305 VS COGNOS Revenue'!G51+'305 VS COGNOS Revenue'!I51</f>
        <v>878.22326335259788</v>
      </c>
      <c r="G121" s="29">
        <f ca="1">-SUMIF('305 Inputs'!$A$103:$A$113,"=b52",'305 Inputs'!$I$103:$I$112)</f>
        <v>0</v>
      </c>
      <c r="H121" s="29">
        <v>0</v>
      </c>
      <c r="I121" s="29">
        <f t="shared" ref="I121:I126" ca="1" si="66">SUM(E121:H121)</f>
        <v>1445.6386078647761</v>
      </c>
      <c r="J121" s="30">
        <f t="shared" ref="J121:J126" ca="1" si="67">D121+I121</f>
        <v>36124.898607864779</v>
      </c>
      <c r="K121" s="902">
        <v>0</v>
      </c>
      <c r="L121" s="29">
        <f>'305 VS COGNOS Revenue'!X51</f>
        <v>377.2433458266969</v>
      </c>
      <c r="M121" s="29">
        <f t="shared" ref="M121:M126" si="68">SUM(L121:L121)</f>
        <v>377.2433458266969</v>
      </c>
      <c r="N121" s="30">
        <f t="shared" ref="N121:N126" ca="1" si="69">J121+M121</f>
        <v>36502.141953691476</v>
      </c>
      <c r="O121" s="10"/>
      <c r="P121" s="29">
        <f ca="1">I121+M121</f>
        <v>1822.881953691473</v>
      </c>
      <c r="Q121" s="639">
        <f t="shared" ref="Q121:Q126" ca="1" si="70">+D121+P121</f>
        <v>36502.141953691476</v>
      </c>
      <c r="R121" s="8"/>
      <c r="S121" s="639">
        <f t="shared" ref="S121:S126" ca="1" si="71">D121+F121+G121</f>
        <v>35557.483263352602</v>
      </c>
    </row>
    <row r="122" spans="1:19">
      <c r="B122" s="882" t="s">
        <v>62</v>
      </c>
      <c r="D122" s="30">
        <f>SUMIF('305 Inputs'!$B$103:$B$113,"=53f",'305 Inputs'!$I$103:$I$113)</f>
        <v>247377.26</v>
      </c>
      <c r="E122" s="29">
        <f>'Normalized Monthly revenue'!AC39</f>
        <v>3805.7819926921766</v>
      </c>
      <c r="F122" s="29">
        <f>'305 VS COGNOS Revenue'!E52+'305 VS COGNOS Revenue'!K52+'305 VS COGNOS Revenue'!R52+'305 VS COGNOS Revenue'!G52+'305 VS COGNOS Revenue'!I52</f>
        <v>-8885.2438465374089</v>
      </c>
      <c r="G122" s="29">
        <f ca="1">-SUMIF('305 Inputs'!$A$103:$A$113,"=b53f",'305 Inputs'!$I$103:$I$112)</f>
        <v>0</v>
      </c>
      <c r="H122" s="29">
        <v>0</v>
      </c>
      <c r="I122" s="29">
        <f t="shared" ca="1" si="66"/>
        <v>-5079.4618538452323</v>
      </c>
      <c r="J122" s="30">
        <f t="shared" ca="1" si="67"/>
        <v>242297.79814615479</v>
      </c>
      <c r="K122" s="902">
        <v>0</v>
      </c>
      <c r="L122" s="29">
        <f>'305 VS COGNOS Revenue'!X52</f>
        <v>2502.2534505984513</v>
      </c>
      <c r="M122" s="29">
        <f t="shared" si="68"/>
        <v>2502.2534505984513</v>
      </c>
      <c r="N122" s="30">
        <f t="shared" ca="1" si="69"/>
        <v>244800.05159675324</v>
      </c>
      <c r="O122" s="10"/>
      <c r="P122" s="29">
        <f t="shared" ref="P122:P126" ca="1" si="72">I122+M122</f>
        <v>-2577.208403246781</v>
      </c>
      <c r="Q122" s="639">
        <f t="shared" ca="1" si="70"/>
        <v>244800.05159675324</v>
      </c>
      <c r="R122" s="8"/>
      <c r="S122" s="639">
        <f t="shared" ca="1" si="71"/>
        <v>238492.01615346261</v>
      </c>
    </row>
    <row r="123" spans="1:19">
      <c r="B123" s="882" t="s">
        <v>63</v>
      </c>
      <c r="D123" s="30">
        <f>SUMIF('305 Inputs'!$B$103:$B$113,"=53m",'305 Inputs'!$I$103:$I$113)</f>
        <v>81786.179999999993</v>
      </c>
      <c r="E123" s="29">
        <f>'Normalized Monthly revenue'!AC40</f>
        <v>1258.1353616093459</v>
      </c>
      <c r="F123" s="29">
        <f>'305 VS COGNOS Revenue'!E53+'305 VS COGNOS Revenue'!K53+'305 VS COGNOS Revenue'!R53+'305 VS COGNOS Revenue'!G53+'305 VS COGNOS Revenue'!I53</f>
        <v>-2944.2390899998964</v>
      </c>
      <c r="G123" s="29">
        <f ca="1">-SUMIF('305 Inputs'!$A$103:$A$113,"=b53m",'305 Inputs'!$I$103:$I$112)</f>
        <v>0</v>
      </c>
      <c r="H123" s="29">
        <v>0</v>
      </c>
      <c r="I123" s="29">
        <f t="shared" ca="1" si="66"/>
        <v>-1686.1037283905505</v>
      </c>
      <c r="J123" s="30">
        <f t="shared" ca="1" si="67"/>
        <v>80100.076271609447</v>
      </c>
      <c r="K123" s="902">
        <v>0</v>
      </c>
      <c r="L123" s="29">
        <f>'305 VS COGNOS Revenue'!X53</f>
        <v>891.05908999989333</v>
      </c>
      <c r="M123" s="29">
        <f t="shared" si="68"/>
        <v>891.05908999989333</v>
      </c>
      <c r="N123" s="30">
        <f t="shared" ca="1" si="69"/>
        <v>80991.13536160934</v>
      </c>
      <c r="O123" s="10"/>
      <c r="P123" s="29">
        <f t="shared" ca="1" si="72"/>
        <v>-795.04463839065716</v>
      </c>
      <c r="Q123" s="639">
        <f t="shared" ca="1" si="70"/>
        <v>80991.13536160934</v>
      </c>
      <c r="R123" s="8"/>
      <c r="S123" s="639">
        <f t="shared" ca="1" si="71"/>
        <v>78841.940910000092</v>
      </c>
    </row>
    <row r="124" spans="1:19">
      <c r="B124" s="882" t="s">
        <v>64</v>
      </c>
      <c r="D124" s="30">
        <f>SUMIF('305 Inputs'!$B$103:$B$113,"=51",'305 Inputs'!$I$103:$I$113)</f>
        <v>760182.18</v>
      </c>
      <c r="E124" s="29">
        <f>'Normalized Monthly revenue'!AC41</f>
        <v>11953.205380162623</v>
      </c>
      <c r="F124" s="29">
        <f>'305 VS COGNOS Revenue'!E54+'305 VS COGNOS Revenue'!K54+'305 VS COGNOS Revenue'!R54+'305 VS COGNOS Revenue'!G54+'305 VS COGNOS Revenue'!I54</f>
        <v>-11126.123692685658</v>
      </c>
      <c r="G124" s="29">
        <f ca="1">-SUMIF('305 Inputs'!$A$103:$A$113,"=b51",'305 Inputs'!$I$103:$I$112)</f>
        <v>0</v>
      </c>
      <c r="H124" s="29">
        <v>0</v>
      </c>
      <c r="I124" s="29">
        <f t="shared" ca="1" si="66"/>
        <v>827.08168747696436</v>
      </c>
      <c r="J124" s="30">
        <f t="shared" ca="1" si="67"/>
        <v>761009.261687477</v>
      </c>
      <c r="K124" s="902">
        <v>0</v>
      </c>
      <c r="L124" s="29">
        <f>'305 VS COGNOS Revenue'!X54</f>
        <v>7963.943692685687</v>
      </c>
      <c r="M124" s="29">
        <f t="shared" si="68"/>
        <v>7963.943692685687</v>
      </c>
      <c r="N124" s="30">
        <f t="shared" ca="1" si="69"/>
        <v>768973.20538016269</v>
      </c>
      <c r="O124" s="10"/>
      <c r="P124" s="29">
        <f t="shared" ca="1" si="72"/>
        <v>8791.0253801626513</v>
      </c>
      <c r="Q124" s="639">
        <f t="shared" ca="1" si="70"/>
        <v>768973.20538016269</v>
      </c>
      <c r="R124" s="8"/>
      <c r="S124" s="639">
        <f t="shared" ca="1" si="71"/>
        <v>749056.05630731443</v>
      </c>
    </row>
    <row r="125" spans="1:19" s="11" customFormat="1">
      <c r="B125" s="882" t="s">
        <v>65</v>
      </c>
      <c r="D125" s="30">
        <f>SUMIF('305 Inputs'!$B$103:$B$113,"=57",'305 Inputs'!$I$103:$I$113)</f>
        <v>218370.52</v>
      </c>
      <c r="E125" s="29">
        <f>'Normalized Monthly revenue'!AC42</f>
        <v>3415.4619210236751</v>
      </c>
      <c r="F125" s="29">
        <f>'305 VS COGNOS Revenue'!E55+'305 VS COGNOS Revenue'!K55+'305 VS COGNOS Revenue'!R55+'305 VS COGNOS Revenue'!G55+'305 VS COGNOS Revenue'!I55</f>
        <v>-4338.1867753366423</v>
      </c>
      <c r="G125" s="29">
        <f ca="1">-SUMIF('305 Inputs'!$A$103:$A$113,"=b57",'305 Inputs'!$I$103:$I$112)</f>
        <v>0</v>
      </c>
      <c r="H125" s="29">
        <v>0</v>
      </c>
      <c r="I125" s="29">
        <f t="shared" ca="1" si="66"/>
        <v>-922.72485431296718</v>
      </c>
      <c r="J125" s="30">
        <f t="shared" ca="1" si="67"/>
        <v>217447.79514568704</v>
      </c>
      <c r="K125" s="902">
        <v>0</v>
      </c>
      <c r="L125" s="29">
        <f>'305 VS COGNOS Revenue'!X55</f>
        <v>2253.6667753366637</v>
      </c>
      <c r="M125" s="29">
        <f t="shared" si="68"/>
        <v>2253.6667753366637</v>
      </c>
      <c r="N125" s="30">
        <f t="shared" ca="1" si="69"/>
        <v>219701.4619210237</v>
      </c>
      <c r="O125" s="10"/>
      <c r="P125" s="29">
        <f t="shared" ca="1" si="72"/>
        <v>1330.9419210236965</v>
      </c>
      <c r="Q125" s="639">
        <f t="shared" ca="1" si="70"/>
        <v>219701.4619210237</v>
      </c>
      <c r="R125" s="12"/>
      <c r="S125" s="639">
        <f t="shared" ca="1" si="71"/>
        <v>214032.33322466334</v>
      </c>
    </row>
    <row r="126" spans="1:19" s="11" customFormat="1">
      <c r="B126" s="882" t="s">
        <v>730</v>
      </c>
      <c r="D126" s="78">
        <f>SUMIF('305 Inputs'!$B$103:$B$113,"=12",'305 Inputs'!$I$103:$I$113)</f>
        <v>0</v>
      </c>
      <c r="E126" s="31">
        <v>0</v>
      </c>
      <c r="F126" s="31">
        <v>0</v>
      </c>
      <c r="G126" s="31">
        <f ca="1">-SUMIF('305 Inputs'!$A$103:$A$113,"=b12",'305 Inputs'!$I$103:$I$112)</f>
        <v>0</v>
      </c>
      <c r="H126" s="31">
        <v>0</v>
      </c>
      <c r="I126" s="31">
        <f t="shared" ca="1" si="66"/>
        <v>0</v>
      </c>
      <c r="J126" s="78">
        <f t="shared" ca="1" si="67"/>
        <v>0</v>
      </c>
      <c r="K126" s="903">
        <v>0</v>
      </c>
      <c r="L126" s="31">
        <f t="shared" ref="L126" ca="1" si="73">ROUND(J126*K126*((366-30)/(366+30*K126)),0)</f>
        <v>0</v>
      </c>
      <c r="M126" s="31">
        <f t="shared" ca="1" si="68"/>
        <v>0</v>
      </c>
      <c r="N126" s="78">
        <f t="shared" ca="1" si="69"/>
        <v>0</v>
      </c>
      <c r="O126" s="632"/>
      <c r="P126" s="31">
        <f t="shared" ca="1" si="72"/>
        <v>0</v>
      </c>
      <c r="Q126" s="638">
        <f t="shared" ca="1" si="70"/>
        <v>0</v>
      </c>
      <c r="R126" s="12"/>
      <c r="S126" s="639">
        <f t="shared" ca="1" si="71"/>
        <v>0</v>
      </c>
    </row>
    <row r="127" spans="1:19">
      <c r="B127" s="4" t="s">
        <v>69</v>
      </c>
      <c r="D127" s="30">
        <f t="shared" ref="D127:G127" si="74">SUM(D121:D126)</f>
        <v>1342395.4000000001</v>
      </c>
      <c r="E127" s="960">
        <f t="shared" si="74"/>
        <v>20999.999999999996</v>
      </c>
      <c r="F127" s="29">
        <f t="shared" si="74"/>
        <v>-26415.570141207008</v>
      </c>
      <c r="G127" s="29">
        <f t="shared" ca="1" si="74"/>
        <v>0</v>
      </c>
      <c r="H127" s="29">
        <f>SUM(H121:H125)</f>
        <v>0</v>
      </c>
      <c r="I127" s="29">
        <f ca="1">SUM(I121:I125)</f>
        <v>-5415.5701412070093</v>
      </c>
      <c r="J127" s="30">
        <f ca="1">SUM(J121:J126)</f>
        <v>1336979.8298587929</v>
      </c>
      <c r="K127" s="902"/>
      <c r="L127" s="29">
        <f ca="1">SUM(L121:L126)</f>
        <v>13988.166354447392</v>
      </c>
      <c r="M127" s="29">
        <f ca="1">SUM(M121:M126)</f>
        <v>13988.166354447392</v>
      </c>
      <c r="N127" s="30">
        <f ca="1">SUM(N121:N126)</f>
        <v>1350967.9962132405</v>
      </c>
      <c r="O127" s="10"/>
      <c r="P127" s="29">
        <f ca="1">SUM(P121:P126)</f>
        <v>8572.5962132403838</v>
      </c>
      <c r="Q127" s="29">
        <f ca="1">SUM(Q121:Q126)</f>
        <v>1350967.9962132405</v>
      </c>
      <c r="R127" s="8"/>
      <c r="S127" s="639">
        <f ca="1">SUM(S121:S126)</f>
        <v>1315979.8298587932</v>
      </c>
    </row>
    <row r="128" spans="1:19">
      <c r="D128" s="30"/>
      <c r="E128" s="29"/>
      <c r="F128" s="29"/>
      <c r="G128" s="29"/>
      <c r="H128" s="29"/>
      <c r="I128" s="29"/>
      <c r="J128" s="30"/>
      <c r="K128" s="902"/>
      <c r="L128" s="29"/>
      <c r="M128" s="29"/>
      <c r="N128" s="30"/>
      <c r="O128" s="10"/>
      <c r="P128" s="29"/>
      <c r="Q128" s="29"/>
      <c r="R128" s="8"/>
    </row>
    <row r="129" spans="1:19">
      <c r="B129" s="882" t="s">
        <v>34</v>
      </c>
      <c r="D129" s="78">
        <f>SUMIF('305 Inputs'!$B$103:$B$113,"=aga",'305 Inputs'!$I$103:$I$113)</f>
        <v>90.84</v>
      </c>
      <c r="E129" s="31"/>
      <c r="F129" s="31">
        <v>0</v>
      </c>
      <c r="G129" s="31">
        <v>0</v>
      </c>
      <c r="H129" s="31">
        <v>0</v>
      </c>
      <c r="I129" s="31">
        <f>SUM(F129:H129)</f>
        <v>0</v>
      </c>
      <c r="J129" s="78">
        <f>D129+I129</f>
        <v>90.84</v>
      </c>
      <c r="K129" s="903">
        <v>0</v>
      </c>
      <c r="L129" s="29">
        <f t="shared" ref="L129" si="75">ROUND(J129*K129*((366-30)/(366+30*K129)),0)</f>
        <v>0</v>
      </c>
      <c r="M129" s="31">
        <f>SUM(L129:L129)</f>
        <v>0</v>
      </c>
      <c r="N129" s="78">
        <f>J129+M129</f>
        <v>90.84</v>
      </c>
      <c r="O129" s="632"/>
      <c r="P129" s="31">
        <f t="shared" ref="P129" si="76">I129+M129</f>
        <v>0</v>
      </c>
      <c r="Q129" s="638">
        <f>+D129+P129</f>
        <v>90.84</v>
      </c>
      <c r="R129" s="912"/>
    </row>
    <row r="130" spans="1:19">
      <c r="B130" s="882"/>
      <c r="D130" s="30"/>
      <c r="E130" s="29"/>
      <c r="F130" s="31"/>
      <c r="G130" s="31"/>
      <c r="H130" s="31"/>
      <c r="I130" s="31"/>
      <c r="J130" s="78"/>
      <c r="K130" s="903"/>
      <c r="L130" s="31"/>
      <c r="M130" s="31"/>
      <c r="N130" s="78"/>
      <c r="O130" s="632"/>
      <c r="P130" s="31"/>
      <c r="Q130" s="638"/>
      <c r="R130" s="912"/>
    </row>
    <row r="131" spans="1:19">
      <c r="B131" s="4" t="s">
        <v>654</v>
      </c>
      <c r="D131" s="78">
        <f>SUMIF('305 Inputs'!$B$103:$B$113,"=def",'305 Inputs'!$I$103:$I$113)</f>
        <v>-30000</v>
      </c>
      <c r="E131" s="31"/>
      <c r="F131" s="31">
        <f>-D131</f>
        <v>30000</v>
      </c>
      <c r="G131" s="31">
        <v>0</v>
      </c>
      <c r="H131" s="31">
        <v>0</v>
      </c>
      <c r="I131" s="31">
        <f>SUM(F131:H131)</f>
        <v>30000</v>
      </c>
      <c r="J131" s="78">
        <f>D131+I131</f>
        <v>0</v>
      </c>
      <c r="K131" s="903">
        <v>0</v>
      </c>
      <c r="L131" s="31">
        <f t="shared" ref="L131:L133" si="77">ROUND(J131*K131*((366-30)/(366+30*K131)),0)</f>
        <v>0</v>
      </c>
      <c r="M131" s="31">
        <f>SUM(L131:L131)</f>
        <v>0</v>
      </c>
      <c r="N131" s="78">
        <f>J131+M131</f>
        <v>0</v>
      </c>
      <c r="O131" s="632"/>
      <c r="P131" s="31">
        <f t="shared" ref="P131:P135" si="78">I131+M131</f>
        <v>30000</v>
      </c>
      <c r="Q131" s="638">
        <f>+D131+P131</f>
        <v>0</v>
      </c>
      <c r="R131" s="912"/>
    </row>
    <row r="132" spans="1:19">
      <c r="B132" s="4" t="s">
        <v>728</v>
      </c>
      <c r="D132" s="78">
        <f>SUMIF('305 Inputs'!$B$103:$B$113,"=rev",'305 Inputs'!$I$103:$I$113)</f>
        <v>-23841.899999999998</v>
      </c>
      <c r="E132" s="31"/>
      <c r="F132" s="31">
        <f>-D132</f>
        <v>23841.899999999998</v>
      </c>
      <c r="G132" s="31">
        <v>0</v>
      </c>
      <c r="H132" s="31">
        <v>0</v>
      </c>
      <c r="I132" s="31">
        <f>SUM(F132:H132)</f>
        <v>23841.899999999998</v>
      </c>
      <c r="J132" s="78">
        <f>D132+I132</f>
        <v>0</v>
      </c>
      <c r="K132" s="903">
        <v>0</v>
      </c>
      <c r="L132" s="31">
        <f t="shared" si="77"/>
        <v>0</v>
      </c>
      <c r="M132" s="31">
        <f>SUM(L132:L132)</f>
        <v>0</v>
      </c>
      <c r="N132" s="78">
        <f>J132+M132</f>
        <v>0</v>
      </c>
      <c r="O132" s="632"/>
      <c r="P132" s="31">
        <f t="shared" si="78"/>
        <v>23841.899999999998</v>
      </c>
      <c r="Q132" s="638">
        <f>+D132+P132</f>
        <v>0</v>
      </c>
      <c r="R132" s="912"/>
    </row>
    <row r="133" spans="1:19" s="11" customFormat="1">
      <c r="B133" s="4" t="s">
        <v>735</v>
      </c>
      <c r="D133" s="78">
        <f>SUMIF('305 Inputs'!$B$103:$B$113,"=dsm",'305 Inputs'!$I$103:$I$113)</f>
        <v>30606.84</v>
      </c>
      <c r="E133" s="31"/>
      <c r="F133" s="31">
        <f>-D133</f>
        <v>-30606.84</v>
      </c>
      <c r="G133" s="31">
        <v>0</v>
      </c>
      <c r="H133" s="31">
        <v>0</v>
      </c>
      <c r="I133" s="31">
        <f>SUM(F133:H133)</f>
        <v>-30606.84</v>
      </c>
      <c r="J133" s="78">
        <f>D133+I133</f>
        <v>0</v>
      </c>
      <c r="K133" s="903">
        <v>0</v>
      </c>
      <c r="L133" s="31">
        <f t="shared" si="77"/>
        <v>0</v>
      </c>
      <c r="M133" s="31">
        <f>SUM(L133:L133)</f>
        <v>0</v>
      </c>
      <c r="N133" s="78">
        <f>J133+M133</f>
        <v>0</v>
      </c>
      <c r="O133" s="632"/>
      <c r="P133" s="31">
        <f t="shared" si="78"/>
        <v>-30606.84</v>
      </c>
      <c r="Q133" s="638">
        <f>+D133+P133</f>
        <v>0</v>
      </c>
      <c r="R133" s="12"/>
    </row>
    <row r="134" spans="1:19" s="11" customFormat="1">
      <c r="B134" s="4"/>
      <c r="D134" s="78"/>
      <c r="E134" s="31"/>
      <c r="F134" s="31"/>
      <c r="G134" s="31"/>
      <c r="H134" s="31"/>
      <c r="I134" s="31"/>
      <c r="J134" s="78"/>
      <c r="K134" s="903"/>
      <c r="L134" s="31"/>
      <c r="M134" s="31"/>
      <c r="N134" s="78"/>
      <c r="O134" s="632"/>
      <c r="P134" s="31"/>
      <c r="Q134" s="638"/>
      <c r="R134" s="12"/>
    </row>
    <row r="135" spans="1:19" s="11" customFormat="1">
      <c r="B135" s="4" t="s">
        <v>79</v>
      </c>
      <c r="D135" s="78">
        <f>SUMIF('305 Inputs'!$B$103:$B$113,"=unbilled",'305 Inputs'!$I$103:$I$113)</f>
        <v>21000</v>
      </c>
      <c r="E135" s="31">
        <f>-D135</f>
        <v>-21000</v>
      </c>
      <c r="F135" s="31">
        <v>0</v>
      </c>
      <c r="G135" s="31">
        <v>0</v>
      </c>
      <c r="H135" s="31">
        <v>0</v>
      </c>
      <c r="I135" s="31">
        <f>SUM(E135:H135)</f>
        <v>-21000</v>
      </c>
      <c r="J135" s="78">
        <f>D135+I135</f>
        <v>0</v>
      </c>
      <c r="K135" s="903">
        <v>0</v>
      </c>
      <c r="L135" s="31">
        <f t="shared" ref="L135" si="79">ROUND(J135*K135*((366-30)/(366+30*K135)),0)</f>
        <v>0</v>
      </c>
      <c r="M135" s="31">
        <f>SUM(L135:L135)</f>
        <v>0</v>
      </c>
      <c r="N135" s="78">
        <f>J135+M135</f>
        <v>0</v>
      </c>
      <c r="O135" s="632"/>
      <c r="P135" s="31">
        <f t="shared" si="78"/>
        <v>-21000</v>
      </c>
      <c r="Q135" s="638">
        <f>+D135+P135</f>
        <v>0</v>
      </c>
      <c r="R135" s="12"/>
    </row>
    <row r="136" spans="1:19" s="11" customFormat="1">
      <c r="A136" s="4"/>
      <c r="C136" s="4"/>
      <c r="D136" s="78"/>
      <c r="E136" s="31"/>
      <c r="F136" s="31"/>
      <c r="G136" s="31"/>
      <c r="H136" s="31"/>
      <c r="I136" s="31"/>
      <c r="J136" s="78"/>
      <c r="K136" s="31"/>
      <c r="L136" s="31"/>
      <c r="M136" s="31"/>
      <c r="N136" s="78"/>
      <c r="O136" s="632"/>
      <c r="P136" s="31"/>
      <c r="Q136" s="31"/>
      <c r="R136" s="12"/>
    </row>
    <row r="137" spans="1:19">
      <c r="B137" s="33" t="s">
        <v>9</v>
      </c>
      <c r="C137" s="34"/>
      <c r="D137" s="79">
        <f>D127+D129+SUM(D131:D135)</f>
        <v>1340251.1800000002</v>
      </c>
      <c r="E137" s="80">
        <f t="shared" ref="E137:N137" si="80">E127+E129+SUM(E131:E135)</f>
        <v>0</v>
      </c>
      <c r="F137" s="37">
        <f t="shared" si="80"/>
        <v>-3180.5101412070144</v>
      </c>
      <c r="G137" s="37">
        <f t="shared" ca="1" si="80"/>
        <v>0</v>
      </c>
      <c r="H137" s="37">
        <f t="shared" si="80"/>
        <v>0</v>
      </c>
      <c r="I137" s="37">
        <f t="shared" ca="1" si="80"/>
        <v>-3180.5101412070153</v>
      </c>
      <c r="J137" s="79">
        <f t="shared" ca="1" si="80"/>
        <v>1337070.669858793</v>
      </c>
      <c r="K137" s="37">
        <f t="shared" si="80"/>
        <v>0</v>
      </c>
      <c r="L137" s="37">
        <f t="shared" ca="1" si="80"/>
        <v>13988.166354447392</v>
      </c>
      <c r="M137" s="37">
        <f t="shared" ca="1" si="80"/>
        <v>13988.166354447392</v>
      </c>
      <c r="N137" s="79">
        <f t="shared" ca="1" si="80"/>
        <v>1351058.8362132406</v>
      </c>
      <c r="O137" s="80"/>
      <c r="P137" s="37">
        <f ca="1">P127+P129+SUM(P131:P135)</f>
        <v>10807.656213240378</v>
      </c>
      <c r="Q137" s="37">
        <f ca="1">Q127+Q129+SUM(Q131:Q135)</f>
        <v>1351058.8362132406</v>
      </c>
      <c r="R137" s="8"/>
    </row>
    <row r="138" spans="1:19">
      <c r="D138" s="30"/>
      <c r="E138" s="29"/>
      <c r="F138" s="29"/>
      <c r="G138" s="29"/>
      <c r="H138" s="29"/>
      <c r="I138" s="29"/>
      <c r="J138" s="6"/>
      <c r="K138" s="7"/>
      <c r="L138" s="7"/>
      <c r="M138" s="7" t="s">
        <v>31</v>
      </c>
      <c r="N138" s="30"/>
      <c r="O138" s="906"/>
      <c r="P138" s="29"/>
      <c r="Q138" s="639"/>
    </row>
    <row r="139" spans="1:19" ht="16.5" thickBot="1">
      <c r="D139" s="30"/>
      <c r="E139" s="29"/>
      <c r="F139" s="29"/>
      <c r="G139" s="29"/>
      <c r="H139" s="913"/>
      <c r="I139" s="29"/>
      <c r="J139" s="6"/>
      <c r="K139" s="7"/>
      <c r="L139" s="7"/>
      <c r="M139" s="7"/>
      <c r="N139" s="30"/>
      <c r="O139" s="906"/>
      <c r="P139" s="29"/>
      <c r="Q139" s="639"/>
    </row>
    <row r="140" spans="1:19" s="13" customFormat="1" ht="17.25" thickTop="1" thickBot="1">
      <c r="A140" s="4"/>
      <c r="B140" s="38" t="s">
        <v>160</v>
      </c>
      <c r="C140" s="36"/>
      <c r="D140" s="91">
        <f t="shared" ref="D140:J140" ca="1" si="81">D38+D68+D97+D117+D137</f>
        <v>329745407.28999996</v>
      </c>
      <c r="E140" s="961">
        <f t="shared" ca="1" si="81"/>
        <v>0</v>
      </c>
      <c r="F140" s="39">
        <f t="shared" ca="1" si="81"/>
        <v>-8571757.9064566512</v>
      </c>
      <c r="G140" s="39">
        <f t="shared" ca="1" si="81"/>
        <v>7265780.1400000006</v>
      </c>
      <c r="H140" s="39">
        <f t="shared" si="81"/>
        <v>-879265.21000000066</v>
      </c>
      <c r="I140" s="39">
        <f t="shared" ca="1" si="81"/>
        <v>-2185242.9764566524</v>
      </c>
      <c r="J140" s="91">
        <f t="shared" ca="1" si="81"/>
        <v>327560164.31354338</v>
      </c>
      <c r="K140" s="39"/>
      <c r="L140" s="39">
        <f ca="1">L38+L68+L97+L117+L137</f>
        <v>8112496.4755207952</v>
      </c>
      <c r="M140" s="39">
        <f ca="1">M38+M68+M97+M117+M137</f>
        <v>8112496.4755207952</v>
      </c>
      <c r="N140" s="91">
        <f ca="1">N38+N68+N97+N117+N137</f>
        <v>335672660.78906405</v>
      </c>
      <c r="O140" s="914"/>
      <c r="P140" s="39">
        <f ca="1">P38+P68+P97+P117+P137</f>
        <v>5927253.4990641437</v>
      </c>
      <c r="Q140" s="39">
        <f ca="1">Q38+Q68+Q97+Q117+Q137</f>
        <v>335672660.78906405</v>
      </c>
      <c r="R140" s="17"/>
      <c r="S140" s="1117">
        <f ca="1">S19+S21+S44+S46+S49+S54+S74+S76+S82+S84+S103+S127</f>
        <v>324472490.29354334</v>
      </c>
    </row>
    <row r="141" spans="1:19" ht="16.5" thickTop="1">
      <c r="D141" s="7"/>
      <c r="E141" s="7"/>
      <c r="F141" s="915" t="s">
        <v>31</v>
      </c>
      <c r="G141" s="29"/>
      <c r="H141" s="7" t="s">
        <v>31</v>
      </c>
      <c r="I141" s="7"/>
      <c r="J141" s="29" t="s">
        <v>31</v>
      </c>
      <c r="M141" s="29"/>
      <c r="N141" s="32" t="s">
        <v>31</v>
      </c>
      <c r="O141" s="7"/>
      <c r="P141" s="7"/>
      <c r="Q141" s="8"/>
    </row>
    <row r="142" spans="1:19" ht="19.5" customHeight="1">
      <c r="D142" s="641" t="s">
        <v>980</v>
      </c>
      <c r="E142" s="641"/>
      <c r="F142" s="916"/>
      <c r="G142" s="916"/>
      <c r="H142" s="916"/>
      <c r="I142" s="916"/>
      <c r="J142" s="916"/>
      <c r="K142" s="916"/>
      <c r="L142" s="916"/>
      <c r="M142" s="916"/>
      <c r="N142" s="916"/>
      <c r="P142" s="639"/>
    </row>
    <row r="143" spans="1:19" ht="19.5" customHeight="1">
      <c r="D143" s="641" t="s">
        <v>982</v>
      </c>
      <c r="E143" s="641"/>
      <c r="F143" s="916"/>
      <c r="G143" s="916"/>
      <c r="H143" s="916"/>
      <c r="I143" s="916"/>
      <c r="J143" s="916"/>
      <c r="K143" s="916"/>
      <c r="L143" s="916"/>
      <c r="M143" s="916"/>
      <c r="N143" s="916"/>
      <c r="P143" s="639"/>
    </row>
    <row r="144" spans="1:19" ht="18.75">
      <c r="D144" s="44" t="s">
        <v>1001</v>
      </c>
      <c r="E144" s="44"/>
      <c r="F144" s="117"/>
      <c r="G144" s="117"/>
      <c r="H144" s="117"/>
      <c r="I144" s="47"/>
      <c r="J144" s="47"/>
      <c r="K144" s="44"/>
      <c r="L144" s="44"/>
    </row>
    <row r="145" spans="4:12" ht="18.75">
      <c r="D145" s="44"/>
      <c r="E145" s="44"/>
      <c r="F145" s="917"/>
      <c r="G145" s="47"/>
      <c r="H145" s="47"/>
      <c r="K145" s="47"/>
      <c r="L145" s="47"/>
    </row>
    <row r="146" spans="4:12">
      <c r="D146" s="4" t="s">
        <v>194</v>
      </c>
      <c r="F146" s="856">
        <f>'305 VS COGNOS Revenue'!E58</f>
        <v>-10285806.797019999</v>
      </c>
    </row>
    <row r="147" spans="4:12">
      <c r="D147" s="4" t="s">
        <v>971</v>
      </c>
      <c r="F147" s="856">
        <f>'305 VS COGNOS Revenue'!G58</f>
        <v>159574.46700718207</v>
      </c>
    </row>
    <row r="148" spans="4:12">
      <c r="D148" s="4" t="s">
        <v>972</v>
      </c>
      <c r="F148" s="856">
        <f>-'WA Merwin'!AM28</f>
        <v>-96097.160827014071</v>
      </c>
    </row>
    <row r="149" spans="4:12">
      <c r="D149" s="4" t="s">
        <v>668</v>
      </c>
      <c r="F149" s="856">
        <f>F34+F64+F93</f>
        <v>-197968.78</v>
      </c>
    </row>
    <row r="150" spans="4:12">
      <c r="D150" s="918" t="s">
        <v>654</v>
      </c>
      <c r="F150" s="856">
        <f ca="1">F26+F58+F89+F108+F131</f>
        <v>3000000</v>
      </c>
    </row>
    <row r="151" spans="4:12">
      <c r="D151" s="918" t="s">
        <v>738</v>
      </c>
      <c r="F151" s="856">
        <f ca="1">F27+F59+F90+F109+F132</f>
        <v>9838650.4000000004</v>
      </c>
    </row>
    <row r="152" spans="4:12">
      <c r="D152" s="918" t="s">
        <v>739</v>
      </c>
      <c r="F152" s="856">
        <f ca="1">F107</f>
        <v>-64000</v>
      </c>
    </row>
    <row r="153" spans="4:12">
      <c r="D153" s="918" t="s">
        <v>735</v>
      </c>
      <c r="F153" s="856">
        <f ca="1">F31+F61+F91+F110+F133</f>
        <v>-11532983.470000001</v>
      </c>
    </row>
    <row r="154" spans="4:12">
      <c r="D154" s="918" t="s">
        <v>736</v>
      </c>
      <c r="F154" s="856">
        <f ca="1">F32+F62+F111</f>
        <v>-144079.18000000002</v>
      </c>
    </row>
    <row r="155" spans="4:12">
      <c r="D155" s="918" t="s">
        <v>253</v>
      </c>
      <c r="F155" s="856">
        <f>'305 VS COGNOS Revenue'!K58</f>
        <v>758801.64545549778</v>
      </c>
    </row>
    <row r="156" spans="4:12">
      <c r="D156" s="918" t="s">
        <v>767</v>
      </c>
      <c r="F156" s="856">
        <f>'305 VS COGNOS Revenue'!R58</f>
        <v>-7849.0310723433504</v>
      </c>
    </row>
    <row r="157" spans="4:12">
      <c r="F157" s="856">
        <f ca="1">SUM(F146:F156)</f>
        <v>-8571757.9064566754</v>
      </c>
    </row>
    <row r="158" spans="4:12">
      <c r="F158" s="856"/>
    </row>
    <row r="159" spans="4:12">
      <c r="F159" s="856"/>
    </row>
    <row r="160" spans="4:12">
      <c r="F160" s="856"/>
    </row>
    <row r="161" spans="6:6">
      <c r="F161" s="856"/>
    </row>
    <row r="162" spans="6:6">
      <c r="F162" s="856"/>
    </row>
    <row r="163" spans="6:6">
      <c r="F163" s="856"/>
    </row>
    <row r="164" spans="6:6">
      <c r="F164" s="856"/>
    </row>
    <row r="165" spans="6:6">
      <c r="F165" s="856"/>
    </row>
    <row r="166" spans="6:6">
      <c r="F166" s="856"/>
    </row>
    <row r="167" spans="6:6">
      <c r="F167" s="856"/>
    </row>
    <row r="168" spans="6:6">
      <c r="F168" s="856"/>
    </row>
    <row r="169" spans="6:6">
      <c r="F169" s="856"/>
    </row>
  </sheetData>
  <mergeCells count="1">
    <mergeCell ref="E9:J9"/>
  </mergeCells>
  <printOptions horizontalCentered="1"/>
  <pageMargins left="0.25" right="0.25" top="1" bottom="1" header="0.5" footer="0.5"/>
  <pageSetup scale="36" fitToHeight="0" orientation="landscape" r:id="rId1"/>
  <headerFooter alignWithMargins="0">
    <oddFooter>&amp;CPrepared by Pricing &amp;D&amp;R&amp;F&amp;A</oddFooter>
  </headerFooter>
  <rowBreaks count="1" manualBreakCount="1">
    <brk id="69" max="1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I56"/>
  <sheetViews>
    <sheetView zoomScale="70" zoomScaleNormal="70" workbookViewId="0"/>
  </sheetViews>
  <sheetFormatPr defaultColWidth="11" defaultRowHeight="15"/>
  <cols>
    <col min="1" max="1" width="5.375" style="1192" customWidth="1"/>
    <col min="2" max="3" width="20" style="1192" customWidth="1"/>
    <col min="4" max="4" width="18.125" style="1192" customWidth="1"/>
    <col min="5" max="5" width="12.125" style="1192" customWidth="1"/>
    <col min="6" max="7" width="17.75" style="1192" customWidth="1"/>
    <col min="8" max="9" width="14.375" style="1192" customWidth="1"/>
    <col min="10" max="16384" width="11" style="1192"/>
  </cols>
  <sheetData>
    <row r="2" spans="1:9" ht="18">
      <c r="A2" s="1188"/>
      <c r="B2" s="1189" t="s">
        <v>842</v>
      </c>
      <c r="C2" s="1190"/>
      <c r="D2" s="1190"/>
      <c r="E2" s="1191"/>
      <c r="F2" s="1190"/>
      <c r="G2" s="1190"/>
      <c r="H2" s="1190"/>
      <c r="I2" s="1191"/>
    </row>
    <row r="3" spans="1:9" ht="18">
      <c r="A3" s="1188"/>
      <c r="B3" s="1193" t="s">
        <v>843</v>
      </c>
      <c r="C3" s="1194"/>
      <c r="D3" s="1194"/>
      <c r="E3" s="1191"/>
      <c r="F3" s="1194"/>
      <c r="G3" s="1194"/>
      <c r="H3" s="1194"/>
      <c r="I3" s="1191"/>
    </row>
    <row r="4" spans="1:9" ht="18">
      <c r="A4" s="1188"/>
      <c r="B4" s="1193" t="s">
        <v>844</v>
      </c>
      <c r="C4" s="1194"/>
      <c r="D4" s="1194"/>
      <c r="E4" s="1191"/>
      <c r="F4" s="1194"/>
      <c r="G4" s="1194"/>
      <c r="H4" s="1194"/>
      <c r="I4" s="1191"/>
    </row>
    <row r="5" spans="1:9" ht="18">
      <c r="A5" s="1188"/>
      <c r="B5" s="1189"/>
      <c r="C5" s="1190"/>
      <c r="D5" s="1190"/>
      <c r="E5" s="1191"/>
      <c r="F5" s="1190"/>
      <c r="G5" s="1190"/>
      <c r="H5" s="1190"/>
      <c r="I5" s="1191"/>
    </row>
    <row r="6" spans="1:9" ht="18">
      <c r="A6" s="1188"/>
      <c r="B6" s="1189"/>
      <c r="C6" s="1190"/>
      <c r="D6" s="1190"/>
      <c r="E6" s="1191"/>
      <c r="F6" s="1190"/>
      <c r="G6" s="1190"/>
      <c r="H6" s="1190"/>
      <c r="I6" s="1191"/>
    </row>
    <row r="7" spans="1:9" ht="18">
      <c r="A7" s="1188"/>
      <c r="B7" s="1189"/>
      <c r="C7" s="1190"/>
      <c r="D7" s="1190"/>
      <c r="E7" s="1191"/>
      <c r="F7" s="1190"/>
      <c r="G7" s="1190"/>
      <c r="H7" s="1190"/>
      <c r="I7" s="1191"/>
    </row>
    <row r="8" spans="1:9" ht="18">
      <c r="B8" s="1195"/>
      <c r="C8" s="1196"/>
      <c r="D8" s="1195"/>
      <c r="E8" s="1197"/>
      <c r="F8" s="1197"/>
      <c r="G8" s="1197"/>
      <c r="H8" s="1199" t="s">
        <v>976</v>
      </c>
    </row>
    <row r="9" spans="1:9" ht="18">
      <c r="B9" s="1196"/>
      <c r="C9" s="1198"/>
      <c r="D9" s="1197"/>
      <c r="E9" s="1197"/>
      <c r="F9" s="1199"/>
      <c r="G9" s="1197"/>
      <c r="H9" s="1199">
        <v>42185</v>
      </c>
      <c r="I9" s="1198"/>
    </row>
    <row r="10" spans="1:9" ht="18">
      <c r="B10" s="1198"/>
      <c r="C10" s="1196"/>
      <c r="D10" s="1197"/>
      <c r="E10" s="1199"/>
      <c r="F10" s="1199"/>
      <c r="G10" s="1199"/>
      <c r="H10" s="1197" t="s">
        <v>73</v>
      </c>
      <c r="I10" s="1196"/>
    </row>
    <row r="11" spans="1:9" ht="18">
      <c r="B11" s="1201"/>
      <c r="C11" s="1201"/>
      <c r="D11" s="1202"/>
      <c r="E11" s="1202"/>
      <c r="F11" s="1202"/>
      <c r="G11" s="1202"/>
      <c r="H11" s="1202" t="s">
        <v>297</v>
      </c>
      <c r="I11" s="1201"/>
    </row>
    <row r="12" spans="1:9" ht="18">
      <c r="B12" s="1204"/>
      <c r="C12" s="1205"/>
      <c r="D12" s="1206"/>
      <c r="E12" s="1206"/>
      <c r="F12" s="1206"/>
      <c r="G12" s="1206"/>
      <c r="H12" s="1195"/>
      <c r="I12" s="1208"/>
    </row>
    <row r="13" spans="1:9" ht="18">
      <c r="B13" s="1209"/>
      <c r="C13" s="1210"/>
      <c r="D13" s="1195"/>
      <c r="E13" s="1195"/>
      <c r="F13" s="1195"/>
      <c r="G13" s="1195"/>
      <c r="H13" s="1195"/>
    </row>
    <row r="14" spans="1:9" ht="18">
      <c r="A14" s="1211"/>
      <c r="B14" s="1211"/>
      <c r="C14" s="1212"/>
      <c r="D14" s="1212"/>
    </row>
    <row r="15" spans="1:9" ht="18">
      <c r="A15" s="1211"/>
      <c r="B15" s="1211"/>
      <c r="C15" s="1212"/>
      <c r="D15" s="1212"/>
      <c r="E15" s="1197"/>
      <c r="F15" s="1211"/>
      <c r="G15" s="1211"/>
      <c r="H15" s="1212">
        <v>2629.4681600000004</v>
      </c>
    </row>
    <row r="16" spans="1:9" ht="18">
      <c r="A16" s="1211"/>
      <c r="B16" s="1211"/>
      <c r="C16" s="1212"/>
      <c r="D16" s="1212"/>
      <c r="E16" s="1197"/>
      <c r="F16" s="1211"/>
      <c r="G16" s="1211"/>
      <c r="H16" s="1212">
        <v>4025713.3493300006</v>
      </c>
    </row>
    <row r="17" spans="1:8" ht="18">
      <c r="E17" s="1197"/>
      <c r="F17" s="1211"/>
      <c r="G17" s="1211"/>
      <c r="H17" s="1212">
        <v>242501.63875000001</v>
      </c>
    </row>
    <row r="18" spans="1:8" ht="18">
      <c r="B18" s="1211"/>
      <c r="C18" s="1212"/>
      <c r="D18" s="1212"/>
      <c r="E18" s="1197"/>
      <c r="F18" s="1215"/>
      <c r="G18" s="1215"/>
      <c r="H18" s="1217">
        <v>7318.5299900000018</v>
      </c>
    </row>
    <row r="19" spans="1:8" ht="18">
      <c r="B19" s="1211"/>
      <c r="C19" s="1212"/>
      <c r="D19" s="1212"/>
      <c r="E19" s="1197"/>
      <c r="F19" s="1211"/>
      <c r="G19" s="1211"/>
      <c r="H19" s="1214">
        <v>4278162.9862300009</v>
      </c>
    </row>
    <row r="20" spans="1:8" ht="18">
      <c r="A20" s="1211"/>
      <c r="B20" s="1211"/>
      <c r="C20" s="1212"/>
      <c r="D20" s="1212"/>
      <c r="E20" s="1197"/>
    </row>
    <row r="21" spans="1:8" ht="18">
      <c r="A21" s="1211"/>
      <c r="B21" s="1211"/>
      <c r="C21" s="1212"/>
      <c r="D21" s="1212"/>
      <c r="E21" s="1197"/>
    </row>
    <row r="22" spans="1:8" ht="18">
      <c r="A22" s="1211"/>
      <c r="B22" s="1211"/>
      <c r="C22" s="1212"/>
      <c r="D22" s="1212"/>
      <c r="E22" s="1197"/>
      <c r="F22" s="1211"/>
      <c r="G22" s="1211"/>
      <c r="H22" s="1212">
        <v>5275.1411200000002</v>
      </c>
    </row>
    <row r="23" spans="1:8" ht="18">
      <c r="A23" s="1211"/>
      <c r="B23" s="1211"/>
      <c r="C23" s="1212"/>
      <c r="D23" s="1212"/>
      <c r="E23" s="1197"/>
      <c r="F23" s="1211"/>
      <c r="G23" s="1211"/>
      <c r="H23" s="1212">
        <v>1490390.0340400001</v>
      </c>
    </row>
    <row r="24" spans="1:8" ht="18">
      <c r="A24" s="1211"/>
      <c r="B24" s="1211"/>
      <c r="C24" s="1212"/>
      <c r="D24" s="1212"/>
      <c r="E24" s="1197"/>
      <c r="F24" s="1211"/>
      <c r="G24" s="1211"/>
      <c r="H24" s="1212">
        <v>2005030.152</v>
      </c>
    </row>
    <row r="25" spans="1:8" ht="18">
      <c r="A25" s="1211"/>
      <c r="B25" s="1211"/>
      <c r="C25" s="1212"/>
      <c r="D25" s="1212"/>
      <c r="E25" s="1197"/>
      <c r="F25" s="1211"/>
      <c r="G25" s="1211"/>
      <c r="H25" s="1212">
        <v>385131.05040000007</v>
      </c>
    </row>
    <row r="26" spans="1:8" ht="18">
      <c r="A26" s="1211"/>
      <c r="B26" s="1211"/>
      <c r="C26" s="1212"/>
      <c r="D26" s="1212"/>
      <c r="E26" s="1197"/>
      <c r="F26" s="1215"/>
      <c r="G26" s="1215"/>
      <c r="H26" s="1217">
        <v>792.86508000000003</v>
      </c>
    </row>
    <row r="27" spans="1:8" ht="18">
      <c r="A27" s="1211"/>
      <c r="B27" s="1211"/>
      <c r="C27" s="1212"/>
      <c r="D27" s="1212"/>
      <c r="E27" s="1197"/>
      <c r="F27" s="1211"/>
      <c r="G27" s="1211"/>
      <c r="H27" s="1214">
        <v>3886619.2426399998</v>
      </c>
    </row>
    <row r="28" spans="1:8" ht="18">
      <c r="A28" s="1211"/>
      <c r="B28" s="1211"/>
      <c r="C28" s="1212"/>
      <c r="D28" s="1212"/>
    </row>
    <row r="29" spans="1:8" ht="18">
      <c r="A29" s="1211"/>
      <c r="B29" s="1211"/>
      <c r="C29" s="1212"/>
      <c r="D29" s="1212"/>
      <c r="E29" s="1197"/>
      <c r="F29" s="1211"/>
      <c r="G29" s="1211"/>
      <c r="H29" s="1212"/>
    </row>
    <row r="30" spans="1:8" ht="18">
      <c r="A30" s="1211"/>
      <c r="B30" s="1211"/>
      <c r="C30" s="1212"/>
      <c r="D30" s="1212"/>
      <c r="E30" s="1197"/>
      <c r="F30" s="1211"/>
      <c r="G30" s="1211"/>
      <c r="H30" s="1212">
        <v>353.60768000000002</v>
      </c>
    </row>
    <row r="31" spans="1:8" ht="18">
      <c r="A31" s="1211"/>
      <c r="B31" s="1211"/>
      <c r="C31" s="1212"/>
      <c r="D31" s="1212"/>
      <c r="E31" s="1197"/>
      <c r="F31" s="1211"/>
      <c r="G31" s="1211"/>
      <c r="H31" s="1212">
        <v>49922.74235</v>
      </c>
    </row>
    <row r="32" spans="1:8" ht="18">
      <c r="A32" s="1211"/>
      <c r="B32" s="1211"/>
      <c r="C32" s="1212"/>
      <c r="D32" s="1212"/>
      <c r="E32" s="1197"/>
      <c r="F32" s="1211"/>
      <c r="G32" s="1211"/>
      <c r="H32" s="1212">
        <v>248651.21279999998</v>
      </c>
    </row>
    <row r="33" spans="1:9" ht="18">
      <c r="A33" s="1211"/>
      <c r="B33" s="1211"/>
      <c r="C33" s="1212"/>
      <c r="D33" s="1212"/>
      <c r="E33" s="1197"/>
      <c r="F33" s="1211"/>
      <c r="G33" s="1211"/>
      <c r="H33" s="1212">
        <v>4167.12</v>
      </c>
    </row>
    <row r="34" spans="1:9" ht="18">
      <c r="A34" s="1211"/>
      <c r="B34" s="1211"/>
      <c r="C34" s="1212"/>
      <c r="D34" s="1212"/>
      <c r="E34" s="1197"/>
      <c r="F34" s="1211"/>
      <c r="G34" s="1211"/>
      <c r="H34" s="1212">
        <v>416993.59099999996</v>
      </c>
    </row>
    <row r="35" spans="1:9" ht="18">
      <c r="A35" s="1211"/>
      <c r="B35" s="1211"/>
      <c r="C35" s="1212"/>
      <c r="D35" s="1212"/>
      <c r="E35" s="1218"/>
      <c r="F35" s="1219"/>
      <c r="G35" s="1219"/>
      <c r="H35" s="1217">
        <v>889447.32000000018</v>
      </c>
    </row>
    <row r="36" spans="1:9" ht="18">
      <c r="A36" s="1211"/>
      <c r="B36" s="1211"/>
      <c r="C36" s="1212"/>
      <c r="D36" s="1212"/>
      <c r="F36" s="1211"/>
      <c r="G36" s="1211"/>
      <c r="H36" s="1214">
        <v>1609535.5938300001</v>
      </c>
    </row>
    <row r="37" spans="1:9" ht="18">
      <c r="A37" s="1211"/>
      <c r="B37" s="1211"/>
      <c r="C37" s="1212"/>
      <c r="D37" s="1212"/>
      <c r="F37" s="1211"/>
      <c r="G37" s="1211"/>
    </row>
    <row r="38" spans="1:9" ht="18">
      <c r="A38" s="1211"/>
      <c r="B38" s="1211"/>
      <c r="C38" s="1212"/>
      <c r="D38" s="1212"/>
    </row>
    <row r="39" spans="1:9" ht="18">
      <c r="A39" s="1211"/>
      <c r="B39" s="1211"/>
      <c r="C39" s="1212"/>
      <c r="D39" s="1212"/>
      <c r="E39" s="1197"/>
      <c r="F39" s="1215"/>
      <c r="G39" s="1215"/>
      <c r="H39" s="1217">
        <v>484795.65207999997</v>
      </c>
    </row>
    <row r="40" spans="1:9" ht="18">
      <c r="A40" s="1211"/>
      <c r="B40" s="1211"/>
      <c r="C40" s="1212"/>
      <c r="D40" s="1212"/>
      <c r="E40" s="1197"/>
      <c r="F40" s="1211"/>
      <c r="G40" s="1211"/>
      <c r="H40" s="1214">
        <v>484795.65207999997</v>
      </c>
    </row>
    <row r="41" spans="1:9" ht="18">
      <c r="A41" s="1211"/>
      <c r="B41" s="1211"/>
      <c r="C41" s="1212"/>
      <c r="D41" s="1212"/>
      <c r="I41" s="1220"/>
    </row>
    <row r="42" spans="1:9" ht="18">
      <c r="A42" s="1211"/>
      <c r="B42" s="1211"/>
      <c r="C42" s="1212"/>
      <c r="D42" s="1212"/>
    </row>
    <row r="43" spans="1:9" ht="18">
      <c r="A43" s="1211"/>
      <c r="B43" s="1211"/>
      <c r="E43" s="1197"/>
      <c r="F43" s="1211"/>
      <c r="G43" s="1211"/>
      <c r="H43" s="1212">
        <v>9964.7129600000007</v>
      </c>
    </row>
    <row r="44" spans="1:9" ht="18">
      <c r="A44" s="1211"/>
      <c r="B44" s="1211"/>
      <c r="E44" s="1197"/>
      <c r="F44" s="1211"/>
      <c r="G44" s="1211"/>
      <c r="H44" s="1212">
        <v>518.14656000000014</v>
      </c>
    </row>
    <row r="45" spans="1:9" ht="18">
      <c r="A45" s="1215"/>
      <c r="B45" s="1215"/>
      <c r="C45" s="1217"/>
      <c r="D45" s="1217"/>
      <c r="E45" s="1197"/>
      <c r="F45" s="1211"/>
      <c r="G45" s="1211"/>
      <c r="H45" s="1212">
        <v>11773.015040000002</v>
      </c>
    </row>
    <row r="46" spans="1:9" ht="18">
      <c r="A46" s="1221"/>
      <c r="B46" s="1211"/>
      <c r="E46" s="1197"/>
      <c r="F46" s="1215"/>
      <c r="G46" s="1215"/>
      <c r="H46" s="1212">
        <v>4437.4476800000002</v>
      </c>
    </row>
    <row r="47" spans="1:9" ht="18">
      <c r="A47" s="1221"/>
      <c r="B47" s="1211"/>
      <c r="D47" s="1212"/>
      <c r="E47" s="1197"/>
      <c r="F47" s="1211"/>
      <c r="G47" s="1211"/>
      <c r="H47" s="1216">
        <v>26693.322240000005</v>
      </c>
    </row>
    <row r="48" spans="1:9" ht="18">
      <c r="A48" s="1221"/>
      <c r="B48" s="1211"/>
      <c r="C48" s="1208"/>
      <c r="D48" s="1208"/>
    </row>
    <row r="49" spans="2:9" ht="18">
      <c r="E49" s="1196"/>
      <c r="F49" s="1215"/>
      <c r="G49" s="1215"/>
      <c r="H49" s="1222">
        <v>10285806.797020001</v>
      </c>
    </row>
    <row r="50" spans="2:9" ht="18">
      <c r="B50" s="1212"/>
      <c r="C50" s="1220"/>
      <c r="D50" s="1220"/>
    </row>
    <row r="51" spans="2:9" ht="18">
      <c r="E51" s="1223"/>
      <c r="F51" s="1224"/>
      <c r="G51" s="1224"/>
      <c r="H51" s="1220"/>
      <c r="I51" s="1220"/>
    </row>
    <row r="52" spans="2:9">
      <c r="H52" s="1220"/>
    </row>
    <row r="53" spans="2:9" ht="18">
      <c r="E53" s="1197"/>
      <c r="F53" s="1211"/>
      <c r="G53" s="1211"/>
    </row>
    <row r="54" spans="2:9" ht="18">
      <c r="E54" s="1197"/>
      <c r="F54" s="1211"/>
      <c r="G54" s="1211"/>
    </row>
    <row r="55" spans="2:9" ht="18">
      <c r="E55" s="1197"/>
      <c r="F55" s="1215"/>
      <c r="G55" s="1215"/>
      <c r="H55" s="1217"/>
    </row>
    <row r="56" spans="2:9" ht="18">
      <c r="E56" s="1195"/>
      <c r="F56" s="1211"/>
      <c r="G56" s="1211"/>
    </row>
  </sheetData>
  <printOptions horizontalCentered="1" gridLines="1" gridLinesSet="0"/>
  <pageMargins left="0.5" right="0.5" top="0.5" bottom="0.62" header="0.5" footer="0.46"/>
  <pageSetup scale="62" orientation="landscape" r:id="rId1"/>
  <headerFooter alignWithMargins="0">
    <oddFooter>&amp;L&amp;8&amp;D&amp;C&amp;8Prepared by Pricing&amp;R&amp;8&amp;F: 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AN38"/>
  <sheetViews>
    <sheetView zoomScale="70" zoomScaleNormal="70" workbookViewId="0">
      <pane xSplit="3" ySplit="8" topLeftCell="D9" activePane="bottomRight" state="frozen"/>
      <selection activeCell="AN15" sqref="AN15"/>
      <selection pane="topRight" activeCell="AN15" sqref="AN15"/>
      <selection pane="bottomLeft" activeCell="AN15" sqref="AN15"/>
      <selection pane="bottomRight" activeCell="D9" sqref="D9"/>
    </sheetView>
  </sheetViews>
  <sheetFormatPr defaultColWidth="11" defaultRowHeight="15"/>
  <cols>
    <col min="1" max="1" width="5.375" style="1192" customWidth="1"/>
    <col min="2" max="2" width="18.125" style="1192" customWidth="1"/>
    <col min="3" max="3" width="12.125" style="1192" customWidth="1"/>
    <col min="4" max="20" width="17.75" style="1192" customWidth="1"/>
    <col min="21" max="21" width="17" style="1192" customWidth="1"/>
    <col min="22" max="22" width="13.25" style="1192" customWidth="1"/>
    <col min="23" max="32" width="14.375" style="1192" customWidth="1"/>
    <col min="33" max="35" width="16.75" style="1192" customWidth="1"/>
    <col min="36" max="40" width="14.375" style="1192" customWidth="1"/>
    <col min="41" max="16384" width="11" style="1192"/>
  </cols>
  <sheetData>
    <row r="2" spans="1:40" ht="18">
      <c r="A2" s="1188"/>
      <c r="B2" s="1334" t="s">
        <v>842</v>
      </c>
      <c r="C2" s="1191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1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0"/>
      <c r="AJ2" s="1190"/>
      <c r="AK2" s="1190"/>
      <c r="AL2" s="1190"/>
      <c r="AM2" s="1190"/>
      <c r="AN2" s="1191"/>
    </row>
    <row r="3" spans="1:40" ht="18">
      <c r="A3" s="1188"/>
      <c r="B3" s="1334" t="s">
        <v>962</v>
      </c>
      <c r="C3" s="1191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1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1"/>
    </row>
    <row r="4" spans="1:40" ht="18">
      <c r="A4" s="1188"/>
      <c r="B4" s="1190"/>
      <c r="C4" s="1191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1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1"/>
    </row>
    <row r="5" spans="1:40" ht="18">
      <c r="B5" s="1195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 t="s">
        <v>963</v>
      </c>
      <c r="W5" s="1197"/>
      <c r="X5" s="1197"/>
      <c r="Y5" s="1199" t="s">
        <v>964</v>
      </c>
      <c r="Z5" s="1199" t="s">
        <v>965</v>
      </c>
      <c r="AA5" s="1199" t="s">
        <v>964</v>
      </c>
      <c r="AB5" s="1199" t="s">
        <v>965</v>
      </c>
      <c r="AC5" s="1199" t="s">
        <v>964</v>
      </c>
      <c r="AD5" s="1199" t="s">
        <v>965</v>
      </c>
      <c r="AE5" s="1197" t="s">
        <v>964</v>
      </c>
      <c r="AF5" s="1197" t="s">
        <v>965</v>
      </c>
      <c r="AJ5" s="1197"/>
      <c r="AK5" s="1197"/>
      <c r="AL5" s="1197"/>
    </row>
    <row r="6" spans="1:40" ht="18">
      <c r="B6" s="1197"/>
      <c r="C6" s="1197"/>
      <c r="D6" s="1199"/>
      <c r="E6" s="1197"/>
      <c r="F6" s="1199" t="s">
        <v>964</v>
      </c>
      <c r="G6" s="1199" t="s">
        <v>965</v>
      </c>
      <c r="H6" s="1199" t="s">
        <v>964</v>
      </c>
      <c r="I6" s="1199" t="s">
        <v>965</v>
      </c>
      <c r="J6" s="1199" t="s">
        <v>964</v>
      </c>
      <c r="K6" s="1199" t="s">
        <v>965</v>
      </c>
      <c r="L6" s="1199" t="s">
        <v>964</v>
      </c>
      <c r="M6" s="1199" t="s">
        <v>965</v>
      </c>
      <c r="Q6" s="1197"/>
      <c r="R6" s="1197"/>
      <c r="S6" s="1197"/>
      <c r="T6" s="1197">
        <f>YEAR($D$7)</f>
        <v>2015</v>
      </c>
      <c r="U6" s="1197"/>
      <c r="V6" s="1197" t="s">
        <v>242</v>
      </c>
      <c r="W6" s="1198">
        <f>D7</f>
        <v>42005</v>
      </c>
      <c r="X6" s="1198">
        <f>E7</f>
        <v>42036</v>
      </c>
      <c r="Y6" s="1198">
        <f>G7</f>
        <v>42064</v>
      </c>
      <c r="Z6" s="1198">
        <f>Y6</f>
        <v>42064</v>
      </c>
      <c r="AA6" s="1198">
        <f t="shared" ref="AA6:AG6" si="0">H7</f>
        <v>42095</v>
      </c>
      <c r="AB6" s="1198">
        <f t="shared" si="0"/>
        <v>42095</v>
      </c>
      <c r="AC6" s="1198">
        <f t="shared" si="0"/>
        <v>42125</v>
      </c>
      <c r="AD6" s="1198">
        <f t="shared" si="0"/>
        <v>42125</v>
      </c>
      <c r="AE6" s="1198">
        <f t="shared" si="0"/>
        <v>42156</v>
      </c>
      <c r="AF6" s="1198">
        <f t="shared" si="0"/>
        <v>42156</v>
      </c>
      <c r="AG6" s="1198">
        <f t="shared" si="0"/>
        <v>42186</v>
      </c>
      <c r="AH6" s="1198">
        <f t="shared" ref="AH6:AL6" si="1">O7</f>
        <v>42217</v>
      </c>
      <c r="AI6" s="1198">
        <f t="shared" si="1"/>
        <v>42248</v>
      </c>
      <c r="AJ6" s="1198">
        <f t="shared" si="1"/>
        <v>42278</v>
      </c>
      <c r="AK6" s="1198">
        <f t="shared" si="1"/>
        <v>42309</v>
      </c>
      <c r="AL6" s="1198">
        <f t="shared" si="1"/>
        <v>42339</v>
      </c>
      <c r="AM6" s="1197">
        <f>YEAR($D$7)</f>
        <v>2015</v>
      </c>
      <c r="AN6" s="1198" t="s">
        <v>9</v>
      </c>
    </row>
    <row r="7" spans="1:40" ht="18">
      <c r="B7" s="1197"/>
      <c r="C7" s="1199"/>
      <c r="D7" s="1199">
        <v>42005</v>
      </c>
      <c r="E7" s="1199">
        <f>DATE(IF(MONTH(D7)=12,YEAR(D7)+1,YEAR(D7)),IF(MONTH(D7)=12,1,MONTH(D7)+1),1)</f>
        <v>42036</v>
      </c>
      <c r="F7" s="1199">
        <f>DATE(IF(MONTH(E7)=12,YEAR(E7)+1,YEAR(E7)),IF(MONTH(E7)=12,1,MONTH(E7)+1),1)</f>
        <v>42064</v>
      </c>
      <c r="G7" s="1199">
        <f>DATE(IF(MONTH(E7)=12,YEAR(E7)+1,YEAR(E7)),IF(MONTH(E7)=12,1,MONTH(E7)+1),1)</f>
        <v>42064</v>
      </c>
      <c r="H7" s="1199">
        <f>DATE(IF(MONTH(G7)=12,YEAR(G7)+1,YEAR(G7)),IF(MONTH(G7)=12,1,MONTH(G7)+1),1)</f>
        <v>42095</v>
      </c>
      <c r="I7" s="1199">
        <f>H7</f>
        <v>42095</v>
      </c>
      <c r="J7" s="1199">
        <f>DATE(IF(MONTH(I7)=12,YEAR(I7)+1,YEAR(I7)),IF(MONTH(I7)=12,1,MONTH(I7)+1),1)</f>
        <v>42125</v>
      </c>
      <c r="K7" s="1199">
        <f>J7</f>
        <v>42125</v>
      </c>
      <c r="L7" s="1199">
        <f>DATE(IF(MONTH(K7)=12,YEAR(K7)+1,YEAR(K7)),IF(MONTH(K7)=12,1,MONTH(K7)+1),1)</f>
        <v>42156</v>
      </c>
      <c r="M7" s="1199">
        <f>L7</f>
        <v>42156</v>
      </c>
      <c r="N7" s="1199">
        <f>DATE(IF(MONTH(L7)=12,YEAR(L7)+1,YEAR(L7)),IF(MONTH(L7)=12,1,MONTH(L7)+1),1)</f>
        <v>42186</v>
      </c>
      <c r="O7" s="1199">
        <f>DATE(IF(MONTH(N7)=12,YEAR(N7)+1,YEAR(N7)),IF(MONTH(N7)=12,1,MONTH(N7)+1),1)</f>
        <v>42217</v>
      </c>
      <c r="P7" s="1199">
        <f>DATE(IF(MONTH(O7)=12,YEAR(O7)+1,YEAR(O7)),IF(MONTH(O7)=12,1,MONTH(O7)+1),1)</f>
        <v>42248</v>
      </c>
      <c r="Q7" s="1199">
        <f>DATE(IF(MONTH(P7)=12,YEAR(P7)+1,YEAR(P7)),IF(MONTH(P7)=12,1,MONTH(P7)+1),1)</f>
        <v>42278</v>
      </c>
      <c r="R7" s="1199">
        <f t="shared" ref="R7:S7" si="2">DATE(IF(MONTH(Q7)=12,YEAR(Q7)+1,YEAR(Q7)),IF(MONTH(Q7)=12,1,MONTH(Q7)+1),1)</f>
        <v>42309</v>
      </c>
      <c r="S7" s="1199">
        <f t="shared" si="2"/>
        <v>42339</v>
      </c>
      <c r="T7" s="1199" t="s">
        <v>9</v>
      </c>
      <c r="U7" s="1199" t="s">
        <v>9</v>
      </c>
      <c r="V7" s="1200">
        <v>42094</v>
      </c>
      <c r="W7" s="1197" t="s">
        <v>963</v>
      </c>
      <c r="X7" s="1197" t="s">
        <v>963</v>
      </c>
      <c r="Y7" s="1197" t="s">
        <v>963</v>
      </c>
      <c r="Z7" s="1197" t="s">
        <v>963</v>
      </c>
      <c r="AA7" s="1197" t="s">
        <v>963</v>
      </c>
      <c r="AB7" s="1197" t="s">
        <v>963</v>
      </c>
      <c r="AC7" s="1197" t="s">
        <v>963</v>
      </c>
      <c r="AD7" s="1197" t="s">
        <v>963</v>
      </c>
      <c r="AE7" s="1197" t="s">
        <v>963</v>
      </c>
      <c r="AF7" s="1197" t="s">
        <v>963</v>
      </c>
      <c r="AG7" s="1197" t="s">
        <v>963</v>
      </c>
      <c r="AH7" s="1197" t="s">
        <v>963</v>
      </c>
      <c r="AI7" s="1197" t="s">
        <v>963</v>
      </c>
      <c r="AJ7" s="1197" t="s">
        <v>963</v>
      </c>
      <c r="AK7" s="1197" t="s">
        <v>963</v>
      </c>
      <c r="AL7" s="1197" t="s">
        <v>963</v>
      </c>
      <c r="AM7" s="1197" t="s">
        <v>963</v>
      </c>
      <c r="AN7" s="1197" t="s">
        <v>963</v>
      </c>
    </row>
    <row r="8" spans="1:40" ht="18">
      <c r="B8" s="1202"/>
      <c r="C8" s="1202" t="s">
        <v>252</v>
      </c>
      <c r="D8" s="1202" t="s">
        <v>845</v>
      </c>
      <c r="E8" s="1202" t="s">
        <v>845</v>
      </c>
      <c r="F8" s="1202" t="s">
        <v>845</v>
      </c>
      <c r="G8" s="1202" t="s">
        <v>845</v>
      </c>
      <c r="H8" s="1202" t="s">
        <v>845</v>
      </c>
      <c r="I8" s="1202" t="s">
        <v>845</v>
      </c>
      <c r="J8" s="1202" t="s">
        <v>845</v>
      </c>
      <c r="K8" s="1202" t="s">
        <v>845</v>
      </c>
      <c r="L8" s="1202" t="s">
        <v>845</v>
      </c>
      <c r="M8" s="1202" t="s">
        <v>845</v>
      </c>
      <c r="N8" s="1202" t="s">
        <v>845</v>
      </c>
      <c r="O8" s="1202" t="s">
        <v>845</v>
      </c>
      <c r="P8" s="1202" t="s">
        <v>845</v>
      </c>
      <c r="Q8" s="1202" t="s">
        <v>845</v>
      </c>
      <c r="R8" s="1202" t="s">
        <v>845</v>
      </c>
      <c r="S8" s="1202" t="s">
        <v>845</v>
      </c>
      <c r="T8" s="1203" t="s">
        <v>845</v>
      </c>
      <c r="U8" s="1203" t="s">
        <v>845</v>
      </c>
      <c r="V8" s="1202" t="s">
        <v>846</v>
      </c>
      <c r="W8" s="1201" t="s">
        <v>297</v>
      </c>
      <c r="X8" s="1201" t="s">
        <v>297</v>
      </c>
      <c r="Y8" s="1201" t="s">
        <v>297</v>
      </c>
      <c r="Z8" s="1201" t="s">
        <v>297</v>
      </c>
      <c r="AA8" s="1201" t="s">
        <v>297</v>
      </c>
      <c r="AB8" s="1201" t="s">
        <v>297</v>
      </c>
      <c r="AC8" s="1201" t="s">
        <v>297</v>
      </c>
      <c r="AD8" s="1201" t="s">
        <v>297</v>
      </c>
      <c r="AE8" s="1201" t="s">
        <v>297</v>
      </c>
      <c r="AF8" s="1201" t="s">
        <v>297</v>
      </c>
      <c r="AG8" s="1201" t="s">
        <v>297</v>
      </c>
      <c r="AH8" s="1201" t="s">
        <v>297</v>
      </c>
      <c r="AI8" s="1201" t="s">
        <v>297</v>
      </c>
      <c r="AJ8" s="1201" t="s">
        <v>297</v>
      </c>
      <c r="AK8" s="1201" t="s">
        <v>297</v>
      </c>
      <c r="AL8" s="1201" t="s">
        <v>297</v>
      </c>
      <c r="AM8" s="1202" t="s">
        <v>297</v>
      </c>
      <c r="AN8" s="1201" t="s">
        <v>297</v>
      </c>
    </row>
    <row r="9" spans="1:40" ht="18"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7" t="s">
        <v>31</v>
      </c>
      <c r="V9" s="1195"/>
      <c r="W9" s="1195"/>
      <c r="X9" s="1195"/>
      <c r="Y9" s="1195"/>
      <c r="Z9" s="1195"/>
      <c r="AA9" s="1195"/>
      <c r="AB9" s="1195"/>
      <c r="AC9" s="1195"/>
      <c r="AD9" s="1195"/>
      <c r="AE9" s="1195"/>
      <c r="AF9" s="1195"/>
      <c r="AG9" s="1195"/>
      <c r="AH9" s="1195"/>
      <c r="AI9" s="1195"/>
      <c r="AJ9" s="1195"/>
      <c r="AK9" s="1195"/>
      <c r="AL9" s="1195"/>
      <c r="AM9" s="1195"/>
      <c r="AN9" s="1208">
        <f>SUM(W28:AL28)</f>
        <v>-246161.18783718208</v>
      </c>
    </row>
    <row r="10" spans="1:40" ht="18"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  <c r="N10" s="1195"/>
      <c r="O10" s="1195"/>
      <c r="P10" s="1195"/>
      <c r="Q10" s="1195"/>
      <c r="R10" s="1195"/>
      <c r="S10" s="1195"/>
      <c r="T10" s="1195"/>
      <c r="U10" s="1195"/>
      <c r="V10" s="1195"/>
      <c r="W10" s="1195"/>
      <c r="X10" s="1195"/>
      <c r="Y10" s="1195"/>
      <c r="Z10" s="1195"/>
      <c r="AA10" s="1195"/>
      <c r="AB10" s="1195"/>
      <c r="AC10" s="1195"/>
      <c r="AD10" s="1195"/>
      <c r="AE10" s="1195"/>
      <c r="AF10" s="1195"/>
      <c r="AG10" s="1195"/>
      <c r="AH10" s="1195"/>
      <c r="AI10" s="1195"/>
      <c r="AJ10" s="1195"/>
      <c r="AK10" s="1195"/>
      <c r="AL10" s="1195"/>
      <c r="AM10" s="1195"/>
    </row>
    <row r="11" spans="1:40" ht="18">
      <c r="A11" s="1211"/>
      <c r="B11" s="1212"/>
    </row>
    <row r="12" spans="1:40" ht="18">
      <c r="A12" s="1211"/>
      <c r="B12" s="1212"/>
      <c r="C12" s="1197">
        <v>15</v>
      </c>
      <c r="D12" s="1211">
        <v>0</v>
      </c>
      <c r="E12" s="1211">
        <v>0</v>
      </c>
      <c r="F12" s="1211">
        <v>267584.00432543538</v>
      </c>
      <c r="G12" s="1211">
        <v>1346.6949300504816</v>
      </c>
      <c r="H12" s="1211">
        <v>124720.26157425292</v>
      </c>
      <c r="I12" s="1211">
        <v>145825.12422912955</v>
      </c>
      <c r="J12" s="1211">
        <v>-31196.57297259249</v>
      </c>
      <c r="K12" s="1211">
        <v>268510.81359935063</v>
      </c>
      <c r="L12" s="1211">
        <v>-1165.6377079482399</v>
      </c>
      <c r="M12" s="1211">
        <v>268301.50046119251</v>
      </c>
      <c r="N12" s="1211">
        <v>268994</v>
      </c>
      <c r="O12" s="1211">
        <v>0</v>
      </c>
      <c r="P12" s="1211">
        <v>0</v>
      </c>
      <c r="Q12" s="1211">
        <v>0</v>
      </c>
      <c r="R12" s="1211">
        <v>0</v>
      </c>
      <c r="S12" s="1211">
        <v>0</v>
      </c>
      <c r="T12" s="1211">
        <f t="shared" ref="T12:T26" si="3">SUM(D12:S12)</f>
        <v>1312920.1884388707</v>
      </c>
      <c r="U12" s="1211"/>
      <c r="V12" s="1213">
        <v>-3.6999999999999999E-4</v>
      </c>
      <c r="W12" s="1214">
        <f t="shared" ref="W12:W26" si="4">D12*V12</f>
        <v>0</v>
      </c>
      <c r="X12" s="1214">
        <f t="shared" ref="X12:X26" si="5">E12*$V12</f>
        <v>0</v>
      </c>
      <c r="Y12" s="1214">
        <v>0</v>
      </c>
      <c r="Z12" s="1214">
        <f t="shared" ref="Z12:Z26" si="6">G12*$V12</f>
        <v>-0.49827712411867819</v>
      </c>
      <c r="AA12" s="1214">
        <v>0</v>
      </c>
      <c r="AB12" s="1214">
        <f t="shared" ref="AB12:AB26" si="7">I12*$V12</f>
        <v>-53.955295964777932</v>
      </c>
      <c r="AC12" s="1214">
        <v>0</v>
      </c>
      <c r="AD12" s="1214">
        <f t="shared" ref="AD12:AD26" si="8">K12*$V12</f>
        <v>-99.349001031759727</v>
      </c>
      <c r="AE12" s="1214">
        <v>0</v>
      </c>
      <c r="AF12" s="1214">
        <f t="shared" ref="AF12:AF26" si="9">M12*$V12</f>
        <v>-99.271555170641221</v>
      </c>
      <c r="AG12" s="1214">
        <f t="shared" ref="AG12:AG26" si="10">N12*$V12</f>
        <v>-99.527779999999993</v>
      </c>
      <c r="AH12" s="1214">
        <f t="shared" ref="AH12:AH26" si="11">O12*$V12</f>
        <v>0</v>
      </c>
      <c r="AI12" s="1214">
        <f t="shared" ref="AI12:AI26" si="12">P12*$V12</f>
        <v>0</v>
      </c>
      <c r="AJ12" s="1214">
        <f t="shared" ref="AJ12:AJ26" si="13">Q12*$V12</f>
        <v>0</v>
      </c>
      <c r="AK12" s="1214">
        <f t="shared" ref="AK12:AK26" si="14">R12*$V12</f>
        <v>0</v>
      </c>
      <c r="AL12" s="1214">
        <f t="shared" ref="AL12:AL26" si="15">S12*$V12</f>
        <v>0</v>
      </c>
      <c r="AM12" s="1212">
        <f>SUM(W12:AF12)</f>
        <v>-253.07412929129757</v>
      </c>
    </row>
    <row r="13" spans="1:40" ht="18">
      <c r="A13" s="1211"/>
      <c r="B13" s="1212"/>
      <c r="C13" s="1197">
        <v>16</v>
      </c>
      <c r="D13" s="1211">
        <v>0</v>
      </c>
      <c r="E13" s="1211">
        <v>0</v>
      </c>
      <c r="F13" s="1211">
        <v>114277651.27113202</v>
      </c>
      <c r="G13" s="1211">
        <v>127597.66831784844</v>
      </c>
      <c r="H13" s="1211">
        <v>45889562.582904294</v>
      </c>
      <c r="I13" s="1211">
        <v>47978452.856677562</v>
      </c>
      <c r="J13" s="1211">
        <v>62943.110181737095</v>
      </c>
      <c r="K13" s="1211">
        <v>84268709.067439228</v>
      </c>
      <c r="L13" s="1211">
        <v>32032.631911950499</v>
      </c>
      <c r="M13" s="1211">
        <v>97054638.755691484</v>
      </c>
      <c r="N13" s="1211">
        <v>130671518</v>
      </c>
      <c r="O13" s="1211">
        <v>0</v>
      </c>
      <c r="P13" s="1211">
        <v>0</v>
      </c>
      <c r="Q13" s="1211">
        <v>0</v>
      </c>
      <c r="R13" s="1211">
        <v>0</v>
      </c>
      <c r="S13" s="1211">
        <v>0</v>
      </c>
      <c r="T13" s="1211">
        <f t="shared" si="3"/>
        <v>520363105.94425613</v>
      </c>
      <c r="U13" s="1211"/>
      <c r="V13" s="1213">
        <v>-2.5000000000000001E-4</v>
      </c>
      <c r="W13" s="1214">
        <f t="shared" si="4"/>
        <v>0</v>
      </c>
      <c r="X13" s="1214">
        <f t="shared" si="5"/>
        <v>0</v>
      </c>
      <c r="Y13" s="1214">
        <v>0</v>
      </c>
      <c r="Z13" s="1214">
        <f t="shared" si="6"/>
        <v>-31.899417079462111</v>
      </c>
      <c r="AA13" s="1214">
        <v>0</v>
      </c>
      <c r="AB13" s="1214">
        <f t="shared" si="7"/>
        <v>-11994.613214169391</v>
      </c>
      <c r="AC13" s="1214">
        <v>0</v>
      </c>
      <c r="AD13" s="1214">
        <f t="shared" si="8"/>
        <v>-21067.177266859806</v>
      </c>
      <c r="AE13" s="1214">
        <v>0</v>
      </c>
      <c r="AF13" s="1214">
        <f t="shared" si="9"/>
        <v>-24263.659688922871</v>
      </c>
      <c r="AG13" s="1214">
        <f t="shared" si="10"/>
        <v>-32667.879499999999</v>
      </c>
      <c r="AH13" s="1214">
        <f t="shared" si="11"/>
        <v>0</v>
      </c>
      <c r="AI13" s="1214">
        <f t="shared" si="12"/>
        <v>0</v>
      </c>
      <c r="AJ13" s="1214">
        <f t="shared" si="13"/>
        <v>0</v>
      </c>
      <c r="AK13" s="1214">
        <f t="shared" si="14"/>
        <v>0</v>
      </c>
      <c r="AL13" s="1214">
        <f t="shared" si="15"/>
        <v>0</v>
      </c>
      <c r="AM13" s="1212">
        <f t="shared" ref="AM13:AM26" si="16">SUM(W13:AF13)</f>
        <v>-57357.349587031524</v>
      </c>
    </row>
    <row r="14" spans="1:40" ht="18">
      <c r="C14" s="1197">
        <v>17</v>
      </c>
      <c r="D14" s="1211">
        <v>0</v>
      </c>
      <c r="E14" s="1211">
        <v>0</v>
      </c>
      <c r="F14" s="1211">
        <v>7919576.8497377504</v>
      </c>
      <c r="G14" s="1211">
        <v>15148.121474438471</v>
      </c>
      <c r="H14" s="1211">
        <v>3287638.2247869996</v>
      </c>
      <c r="I14" s="1211">
        <v>3104643.5054983003</v>
      </c>
      <c r="J14" s="1211">
        <v>483.05898130695522</v>
      </c>
      <c r="K14" s="1211">
        <v>5593797.7653081296</v>
      </c>
      <c r="L14" s="1211">
        <v>-595.9000858432031</v>
      </c>
      <c r="M14" s="1211">
        <v>5784138.1810596194</v>
      </c>
      <c r="N14" s="1211">
        <v>7240592</v>
      </c>
      <c r="O14" s="1211">
        <v>0</v>
      </c>
      <c r="P14" s="1211">
        <v>0</v>
      </c>
      <c r="Q14" s="1211">
        <v>0</v>
      </c>
      <c r="R14" s="1211">
        <v>0</v>
      </c>
      <c r="S14" s="1211">
        <v>0</v>
      </c>
      <c r="T14" s="1211">
        <f t="shared" si="3"/>
        <v>32945421.806760699</v>
      </c>
      <c r="U14" s="1211"/>
      <c r="V14" s="1213">
        <v>-2.5000000000000001E-4</v>
      </c>
      <c r="W14" s="1214">
        <f t="shared" si="4"/>
        <v>0</v>
      </c>
      <c r="X14" s="1214">
        <f t="shared" si="5"/>
        <v>0</v>
      </c>
      <c r="Y14" s="1214">
        <v>0</v>
      </c>
      <c r="Z14" s="1214">
        <f t="shared" si="6"/>
        <v>-3.7870303686096176</v>
      </c>
      <c r="AA14" s="1214">
        <v>0</v>
      </c>
      <c r="AB14" s="1214">
        <f t="shared" si="7"/>
        <v>-776.16087637457508</v>
      </c>
      <c r="AC14" s="1214">
        <v>0</v>
      </c>
      <c r="AD14" s="1214">
        <f t="shared" si="8"/>
        <v>-1398.4494413270324</v>
      </c>
      <c r="AE14" s="1214">
        <v>0</v>
      </c>
      <c r="AF14" s="1214">
        <f t="shared" si="9"/>
        <v>-1446.0345452649049</v>
      </c>
      <c r="AG14" s="1214">
        <f t="shared" si="10"/>
        <v>-1810.1480000000001</v>
      </c>
      <c r="AH14" s="1214">
        <f t="shared" si="11"/>
        <v>0</v>
      </c>
      <c r="AI14" s="1214">
        <f t="shared" si="12"/>
        <v>0</v>
      </c>
      <c r="AJ14" s="1214">
        <f t="shared" si="13"/>
        <v>0</v>
      </c>
      <c r="AK14" s="1214">
        <f t="shared" si="14"/>
        <v>0</v>
      </c>
      <c r="AL14" s="1214">
        <f t="shared" si="15"/>
        <v>0</v>
      </c>
      <c r="AM14" s="1212">
        <f t="shared" si="16"/>
        <v>-3624.4318933351219</v>
      </c>
    </row>
    <row r="15" spans="1:40" ht="18">
      <c r="B15" s="1212"/>
      <c r="C15" s="1197">
        <v>18</v>
      </c>
      <c r="D15" s="1211">
        <v>0</v>
      </c>
      <c r="E15" s="1211">
        <v>0</v>
      </c>
      <c r="F15" s="1211">
        <v>205855.46747886779</v>
      </c>
      <c r="G15" s="1211">
        <v>55.130187858419994</v>
      </c>
      <c r="H15" s="1211">
        <v>76840.337232427322</v>
      </c>
      <c r="I15" s="1211">
        <v>87571.946405014547</v>
      </c>
      <c r="J15" s="1211">
        <v>270.08431574413203</v>
      </c>
      <c r="K15" s="1211">
        <v>176717.95663647479</v>
      </c>
      <c r="L15" s="1211">
        <v>0</v>
      </c>
      <c r="M15" s="1211">
        <v>197812.37212784559</v>
      </c>
      <c r="N15" s="1211">
        <v>262370</v>
      </c>
      <c r="O15" s="1211">
        <v>0</v>
      </c>
      <c r="P15" s="1211">
        <v>0</v>
      </c>
      <c r="Q15" s="1211">
        <v>0</v>
      </c>
      <c r="R15" s="1211">
        <v>0</v>
      </c>
      <c r="S15" s="1211">
        <v>0</v>
      </c>
      <c r="T15" s="1211">
        <f t="shared" si="3"/>
        <v>1007493.2943842325</v>
      </c>
      <c r="U15" s="1211"/>
      <c r="V15" s="1213">
        <v>-2.5000000000000001E-4</v>
      </c>
      <c r="W15" s="1214">
        <f t="shared" si="4"/>
        <v>0</v>
      </c>
      <c r="X15" s="1214">
        <f t="shared" si="5"/>
        <v>0</v>
      </c>
      <c r="Y15" s="1214">
        <v>0</v>
      </c>
      <c r="Z15" s="1214">
        <f t="shared" si="6"/>
        <v>-1.3782546964604998E-2</v>
      </c>
      <c r="AA15" s="1214">
        <v>0</v>
      </c>
      <c r="AB15" s="1214">
        <f t="shared" si="7"/>
        <v>-21.892986601253636</v>
      </c>
      <c r="AC15" s="1214">
        <v>0</v>
      </c>
      <c r="AD15" s="1214">
        <f t="shared" si="8"/>
        <v>-44.179489159118695</v>
      </c>
      <c r="AE15" s="1214">
        <v>0</v>
      </c>
      <c r="AF15" s="1214">
        <f t="shared" si="9"/>
        <v>-49.453093031961401</v>
      </c>
      <c r="AG15" s="1214">
        <f t="shared" si="10"/>
        <v>-65.592500000000001</v>
      </c>
      <c r="AH15" s="1214">
        <f t="shared" si="11"/>
        <v>0</v>
      </c>
      <c r="AI15" s="1214">
        <f t="shared" si="12"/>
        <v>0</v>
      </c>
      <c r="AJ15" s="1214">
        <f t="shared" si="13"/>
        <v>0</v>
      </c>
      <c r="AK15" s="1214">
        <f t="shared" si="14"/>
        <v>0</v>
      </c>
      <c r="AL15" s="1214">
        <f t="shared" si="15"/>
        <v>0</v>
      </c>
      <c r="AM15" s="1212">
        <f t="shared" si="16"/>
        <v>-115.53935133929834</v>
      </c>
    </row>
    <row r="16" spans="1:40" ht="18">
      <c r="A16" s="1211"/>
      <c r="B16" s="1212"/>
      <c r="C16" s="1197">
        <v>24</v>
      </c>
      <c r="D16" s="1211">
        <v>0</v>
      </c>
      <c r="E16" s="1211">
        <v>0</v>
      </c>
      <c r="F16" s="1211">
        <v>40899912.943122141</v>
      </c>
      <c r="G16" s="1211">
        <v>43232.048883238043</v>
      </c>
      <c r="H16" s="1211">
        <v>21452619.868362073</v>
      </c>
      <c r="I16" s="1211">
        <v>16971222.115871679</v>
      </c>
      <c r="J16" s="1211">
        <v>160304.12538454187</v>
      </c>
      <c r="K16" s="1211">
        <v>39225555.5260107</v>
      </c>
      <c r="L16" s="1211">
        <v>-28032.175361683388</v>
      </c>
      <c r="M16" s="1211">
        <v>44909711.877236776</v>
      </c>
      <c r="N16" s="1211">
        <v>52963906</v>
      </c>
      <c r="O16" s="1211">
        <v>0</v>
      </c>
      <c r="P16" s="1211">
        <v>0</v>
      </c>
      <c r="Q16" s="1211">
        <v>0</v>
      </c>
      <c r="R16" s="1211">
        <v>0</v>
      </c>
      <c r="S16" s="1211">
        <v>0</v>
      </c>
      <c r="T16" s="1211">
        <f t="shared" si="3"/>
        <v>216598432.32950947</v>
      </c>
      <c r="U16" s="1211"/>
      <c r="V16" s="1213">
        <v>-2.5000000000000001E-4</v>
      </c>
      <c r="W16" s="1214">
        <f t="shared" si="4"/>
        <v>0</v>
      </c>
      <c r="X16" s="1214">
        <f t="shared" si="5"/>
        <v>0</v>
      </c>
      <c r="Y16" s="1214">
        <v>0</v>
      </c>
      <c r="Z16" s="1214">
        <f t="shared" si="6"/>
        <v>-10.808012220809511</v>
      </c>
      <c r="AA16" s="1214">
        <v>0</v>
      </c>
      <c r="AB16" s="1214">
        <f t="shared" si="7"/>
        <v>-4242.8055289679196</v>
      </c>
      <c r="AC16" s="1214">
        <v>0</v>
      </c>
      <c r="AD16" s="1214">
        <f t="shared" si="8"/>
        <v>-9806.3888815026748</v>
      </c>
      <c r="AE16" s="1214">
        <v>0</v>
      </c>
      <c r="AF16" s="1214">
        <f t="shared" si="9"/>
        <v>-11227.427969309194</v>
      </c>
      <c r="AG16" s="1214">
        <f t="shared" si="10"/>
        <v>-13240.976500000001</v>
      </c>
      <c r="AH16" s="1214">
        <f t="shared" si="11"/>
        <v>0</v>
      </c>
      <c r="AI16" s="1214">
        <f t="shared" si="12"/>
        <v>0</v>
      </c>
      <c r="AJ16" s="1214">
        <f t="shared" si="13"/>
        <v>0</v>
      </c>
      <c r="AK16" s="1214">
        <f t="shared" si="14"/>
        <v>0</v>
      </c>
      <c r="AL16" s="1214">
        <f t="shared" si="15"/>
        <v>0</v>
      </c>
      <c r="AM16" s="1212">
        <f t="shared" si="16"/>
        <v>-25287.430392000599</v>
      </c>
    </row>
    <row r="17" spans="1:40" ht="18">
      <c r="A17" s="1211"/>
      <c r="B17" s="1212"/>
      <c r="C17" s="1197">
        <v>36</v>
      </c>
      <c r="D17" s="1211">
        <v>0</v>
      </c>
      <c r="E17" s="1211">
        <v>0</v>
      </c>
      <c r="F17" s="1211">
        <v>68376090.940067425</v>
      </c>
      <c r="G17" s="1211">
        <v>105945.65332625389</v>
      </c>
      <c r="H17" s="1211">
        <v>34467817.157212913</v>
      </c>
      <c r="I17" s="1211">
        <v>32627453.06175755</v>
      </c>
      <c r="J17" s="1211">
        <v>1258769.9909199669</v>
      </c>
      <c r="K17" s="1211">
        <v>68256097.201518208</v>
      </c>
      <c r="L17" s="1211">
        <v>6925.0298176861497</v>
      </c>
      <c r="M17" s="1211">
        <v>75327712.619896457</v>
      </c>
      <c r="N17" s="1211">
        <v>88353295</v>
      </c>
      <c r="O17" s="1211">
        <v>0</v>
      </c>
      <c r="P17" s="1211">
        <v>0</v>
      </c>
      <c r="Q17" s="1211">
        <v>0</v>
      </c>
      <c r="R17" s="1211">
        <v>0</v>
      </c>
      <c r="S17" s="1211">
        <v>0</v>
      </c>
      <c r="T17" s="1211">
        <f t="shared" si="3"/>
        <v>368780106.65451652</v>
      </c>
      <c r="U17" s="1211"/>
      <c r="V17" s="1213">
        <v>-2.0000000000000001E-4</v>
      </c>
      <c r="W17" s="1214">
        <f t="shared" si="4"/>
        <v>0</v>
      </c>
      <c r="X17" s="1214">
        <f t="shared" si="5"/>
        <v>0</v>
      </c>
      <c r="Y17" s="1214">
        <v>0</v>
      </c>
      <c r="Z17" s="1214">
        <f t="shared" si="6"/>
        <v>-21.189130665250779</v>
      </c>
      <c r="AA17" s="1214">
        <v>0</v>
      </c>
      <c r="AB17" s="1214">
        <f t="shared" si="7"/>
        <v>-6525.4906123515102</v>
      </c>
      <c r="AC17" s="1214">
        <v>0</v>
      </c>
      <c r="AD17" s="1214">
        <f t="shared" si="8"/>
        <v>-13651.219440303643</v>
      </c>
      <c r="AE17" s="1214">
        <v>0</v>
      </c>
      <c r="AF17" s="1214">
        <f t="shared" si="9"/>
        <v>-15065.542523979291</v>
      </c>
      <c r="AG17" s="1214">
        <f t="shared" si="10"/>
        <v>-17670.659</v>
      </c>
      <c r="AH17" s="1214">
        <f t="shared" si="11"/>
        <v>0</v>
      </c>
      <c r="AI17" s="1214">
        <f t="shared" si="12"/>
        <v>0</v>
      </c>
      <c r="AJ17" s="1214">
        <f t="shared" si="13"/>
        <v>0</v>
      </c>
      <c r="AK17" s="1214">
        <f t="shared" si="14"/>
        <v>0</v>
      </c>
      <c r="AL17" s="1214">
        <f t="shared" si="15"/>
        <v>0</v>
      </c>
      <c r="AM17" s="1212">
        <f t="shared" si="16"/>
        <v>-35263.441707299695</v>
      </c>
    </row>
    <row r="18" spans="1:40" ht="18">
      <c r="A18" s="1211"/>
      <c r="B18" s="1212"/>
      <c r="C18" s="1197">
        <v>40</v>
      </c>
      <c r="D18" s="1211">
        <v>0</v>
      </c>
      <c r="E18" s="1211">
        <v>0</v>
      </c>
      <c r="F18" s="1211">
        <v>3027296.400846865</v>
      </c>
      <c r="G18" s="1211">
        <v>3509.0554471997762</v>
      </c>
      <c r="H18" s="1211">
        <v>2850463.5144671868</v>
      </c>
      <c r="I18" s="1211">
        <v>5119234.74505434</v>
      </c>
      <c r="J18" s="1211">
        <v>234120.67748765039</v>
      </c>
      <c r="K18" s="1211">
        <v>22608087.768180516</v>
      </c>
      <c r="L18" s="1211">
        <v>3872.9451637403909</v>
      </c>
      <c r="M18" s="1211">
        <v>25479378.378378429</v>
      </c>
      <c r="N18" s="1211">
        <v>41986485</v>
      </c>
      <c r="O18" s="1211">
        <v>0</v>
      </c>
      <c r="P18" s="1211">
        <v>0</v>
      </c>
      <c r="Q18" s="1211">
        <v>0</v>
      </c>
      <c r="R18" s="1211">
        <v>0</v>
      </c>
      <c r="S18" s="1211">
        <v>0</v>
      </c>
      <c r="T18" s="1211">
        <f t="shared" si="3"/>
        <v>101312448.48502593</v>
      </c>
      <c r="U18" s="1211"/>
      <c r="V18" s="1213">
        <v>-2.1000000000000001E-4</v>
      </c>
      <c r="W18" s="1214">
        <f t="shared" si="4"/>
        <v>0</v>
      </c>
      <c r="X18" s="1214">
        <f t="shared" si="5"/>
        <v>0</v>
      </c>
      <c r="Y18" s="1214">
        <v>0</v>
      </c>
      <c r="Z18" s="1214">
        <f t="shared" si="6"/>
        <v>-0.73690164391195301</v>
      </c>
      <c r="AA18" s="1214">
        <v>0</v>
      </c>
      <c r="AB18" s="1214">
        <f t="shared" si="7"/>
        <v>-1075.0392964614114</v>
      </c>
      <c r="AC18" s="1214">
        <v>0</v>
      </c>
      <c r="AD18" s="1214">
        <f t="shared" si="8"/>
        <v>-4747.6984313179082</v>
      </c>
      <c r="AE18" s="1214">
        <v>0</v>
      </c>
      <c r="AF18" s="1214">
        <f t="shared" si="9"/>
        <v>-5350.6694594594701</v>
      </c>
      <c r="AG18" s="1214">
        <f t="shared" si="10"/>
        <v>-8817.1618500000004</v>
      </c>
      <c r="AH18" s="1214">
        <f t="shared" si="11"/>
        <v>0</v>
      </c>
      <c r="AI18" s="1214">
        <f t="shared" si="12"/>
        <v>0</v>
      </c>
      <c r="AJ18" s="1214">
        <f t="shared" si="13"/>
        <v>0</v>
      </c>
      <c r="AK18" s="1214">
        <f t="shared" si="14"/>
        <v>0</v>
      </c>
      <c r="AL18" s="1214">
        <f t="shared" si="15"/>
        <v>0</v>
      </c>
      <c r="AM18" s="1212">
        <f t="shared" si="16"/>
        <v>-11174.144088882702</v>
      </c>
    </row>
    <row r="19" spans="1:40" ht="18">
      <c r="A19" s="1211"/>
      <c r="B19" s="1212"/>
      <c r="C19" s="1197">
        <v>47</v>
      </c>
      <c r="D19" s="1211">
        <v>0</v>
      </c>
      <c r="E19" s="1211">
        <v>0</v>
      </c>
      <c r="F19" s="1211">
        <v>165000</v>
      </c>
      <c r="G19" s="1211">
        <v>0</v>
      </c>
      <c r="H19" s="1211">
        <v>143225.998300765</v>
      </c>
      <c r="I19" s="1211">
        <v>4774.0672026386301</v>
      </c>
      <c r="J19" s="1211">
        <v>0</v>
      </c>
      <c r="K19" s="1211">
        <v>134000</v>
      </c>
      <c r="L19" s="1211">
        <v>0</v>
      </c>
      <c r="M19" s="1211">
        <v>136000</v>
      </c>
      <c r="N19" s="1211">
        <v>174000</v>
      </c>
      <c r="O19" s="1211">
        <v>0</v>
      </c>
      <c r="P19" s="1211">
        <v>0</v>
      </c>
      <c r="Q19" s="1211">
        <v>0</v>
      </c>
      <c r="R19" s="1211">
        <v>0</v>
      </c>
      <c r="S19" s="1211">
        <v>0</v>
      </c>
      <c r="T19" s="1211">
        <f t="shared" si="3"/>
        <v>757000.06550340354</v>
      </c>
      <c r="U19" s="1211"/>
      <c r="V19" s="1213">
        <v>-1.6000000000000001E-4</v>
      </c>
      <c r="W19" s="1214">
        <f t="shared" si="4"/>
        <v>0</v>
      </c>
      <c r="X19" s="1214">
        <f t="shared" si="5"/>
        <v>0</v>
      </c>
      <c r="Y19" s="1214">
        <v>0</v>
      </c>
      <c r="Z19" s="1214">
        <f t="shared" si="6"/>
        <v>0</v>
      </c>
      <c r="AA19" s="1214">
        <v>0</v>
      </c>
      <c r="AB19" s="1214">
        <f t="shared" si="7"/>
        <v>-0.76385075242218092</v>
      </c>
      <c r="AC19" s="1214">
        <v>0</v>
      </c>
      <c r="AD19" s="1214">
        <f t="shared" si="8"/>
        <v>-21.44</v>
      </c>
      <c r="AE19" s="1214">
        <v>0</v>
      </c>
      <c r="AF19" s="1214">
        <f t="shared" si="9"/>
        <v>-21.76</v>
      </c>
      <c r="AG19" s="1214">
        <f t="shared" si="10"/>
        <v>-27.840000000000003</v>
      </c>
      <c r="AH19" s="1214">
        <f t="shared" si="11"/>
        <v>0</v>
      </c>
      <c r="AI19" s="1214">
        <f t="shared" si="12"/>
        <v>0</v>
      </c>
      <c r="AJ19" s="1214">
        <f t="shared" si="13"/>
        <v>0</v>
      </c>
      <c r="AK19" s="1214">
        <f t="shared" si="14"/>
        <v>0</v>
      </c>
      <c r="AL19" s="1214">
        <f t="shared" si="15"/>
        <v>0</v>
      </c>
      <c r="AM19" s="1212">
        <f t="shared" si="16"/>
        <v>-43.963850752422182</v>
      </c>
    </row>
    <row r="20" spans="1:40" ht="18">
      <c r="A20" s="1211"/>
      <c r="B20" s="1212"/>
      <c r="C20" s="1197" t="s">
        <v>71</v>
      </c>
      <c r="D20" s="1211">
        <v>0</v>
      </c>
      <c r="E20" s="1211">
        <v>0</v>
      </c>
      <c r="F20" s="1335">
        <v>29722674.917799979</v>
      </c>
      <c r="G20" s="1335">
        <v>81765.119227424992</v>
      </c>
      <c r="H20" s="1335">
        <v>12036400.680903293</v>
      </c>
      <c r="I20" s="1335">
        <v>19615129.654650934</v>
      </c>
      <c r="J20" s="1335">
        <v>353264.86830926058</v>
      </c>
      <c r="K20" s="1335">
        <v>32265184.970348984</v>
      </c>
      <c r="L20" s="1335">
        <v>0</v>
      </c>
      <c r="M20" s="1335">
        <v>32818739.579012752</v>
      </c>
      <c r="N20" s="1335">
        <v>39861530</v>
      </c>
      <c r="O20" s="1211">
        <v>0</v>
      </c>
      <c r="P20" s="1211">
        <v>0</v>
      </c>
      <c r="Q20" s="1211">
        <v>0</v>
      </c>
      <c r="R20" s="1211">
        <v>0</v>
      </c>
      <c r="S20" s="1211">
        <v>0</v>
      </c>
      <c r="T20" s="1211">
        <f t="shared" si="3"/>
        <v>166754689.79025263</v>
      </c>
      <c r="U20" s="1211"/>
      <c r="V20" s="1213">
        <v>-1.6000000000000001E-4</v>
      </c>
      <c r="W20" s="1214">
        <f t="shared" si="4"/>
        <v>0</v>
      </c>
      <c r="X20" s="1214">
        <f t="shared" si="5"/>
        <v>0</v>
      </c>
      <c r="Y20" s="1214">
        <v>0</v>
      </c>
      <c r="Z20" s="1214">
        <f t="shared" si="6"/>
        <v>-13.082419076388</v>
      </c>
      <c r="AA20" s="1214">
        <v>0</v>
      </c>
      <c r="AB20" s="1214">
        <f t="shared" si="7"/>
        <v>-3138.4207447441495</v>
      </c>
      <c r="AC20" s="1214">
        <v>0</v>
      </c>
      <c r="AD20" s="1214">
        <f t="shared" si="8"/>
        <v>-5162.4295952558377</v>
      </c>
      <c r="AE20" s="1214">
        <v>0</v>
      </c>
      <c r="AF20" s="1214">
        <f t="shared" si="9"/>
        <v>-5250.9983326420406</v>
      </c>
      <c r="AG20" s="1214">
        <f t="shared" si="10"/>
        <v>-6377.8448000000008</v>
      </c>
      <c r="AH20" s="1214">
        <f t="shared" si="11"/>
        <v>0</v>
      </c>
      <c r="AI20" s="1214">
        <f t="shared" si="12"/>
        <v>0</v>
      </c>
      <c r="AJ20" s="1214">
        <f t="shared" si="13"/>
        <v>0</v>
      </c>
      <c r="AK20" s="1214">
        <f t="shared" si="14"/>
        <v>0</v>
      </c>
      <c r="AL20" s="1214">
        <f t="shared" si="15"/>
        <v>0</v>
      </c>
      <c r="AM20" s="1212">
        <f t="shared" si="16"/>
        <v>-13564.931091718416</v>
      </c>
    </row>
    <row r="21" spans="1:40" ht="18">
      <c r="A21" s="1211"/>
      <c r="B21" s="1212"/>
      <c r="C21" s="1197">
        <v>51</v>
      </c>
      <c r="D21" s="1211">
        <v>0</v>
      </c>
      <c r="E21" s="1211">
        <v>0</v>
      </c>
      <c r="F21" s="1211">
        <v>307632.70211296785</v>
      </c>
      <c r="G21" s="1211">
        <v>1466.4133560200712</v>
      </c>
      <c r="H21" s="1211">
        <v>181516.78398048918</v>
      </c>
      <c r="I21" s="1211">
        <v>141318.41810968317</v>
      </c>
      <c r="J21" s="1211">
        <v>1641.2394626307389</v>
      </c>
      <c r="K21" s="1211">
        <v>322306.76848355506</v>
      </c>
      <c r="L21" s="1211">
        <v>0</v>
      </c>
      <c r="M21" s="1211">
        <v>323593.83414946974</v>
      </c>
      <c r="N21" s="1211">
        <v>338336</v>
      </c>
      <c r="O21" s="1211">
        <v>0</v>
      </c>
      <c r="P21" s="1211">
        <v>0</v>
      </c>
      <c r="Q21" s="1211">
        <v>0</v>
      </c>
      <c r="R21" s="1211">
        <v>0</v>
      </c>
      <c r="S21" s="1211">
        <v>0</v>
      </c>
      <c r="T21" s="1211">
        <f t="shared" si="3"/>
        <v>1617812.1596548157</v>
      </c>
      <c r="U21" s="1211"/>
      <c r="V21" s="1213">
        <v>-5.1999999999999995E-4</v>
      </c>
      <c r="W21" s="1214">
        <f t="shared" si="4"/>
        <v>0</v>
      </c>
      <c r="X21" s="1214">
        <f t="shared" si="5"/>
        <v>0</v>
      </c>
      <c r="Y21" s="1214">
        <v>0</v>
      </c>
      <c r="Z21" s="1214">
        <f t="shared" si="6"/>
        <v>-0.76253494513043696</v>
      </c>
      <c r="AA21" s="1214">
        <v>0</v>
      </c>
      <c r="AB21" s="1214">
        <f t="shared" si="7"/>
        <v>-73.485577417035245</v>
      </c>
      <c r="AC21" s="1214">
        <v>0</v>
      </c>
      <c r="AD21" s="1214">
        <f t="shared" si="8"/>
        <v>-167.59951961144861</v>
      </c>
      <c r="AE21" s="1214">
        <v>0</v>
      </c>
      <c r="AF21" s="1214">
        <f t="shared" si="9"/>
        <v>-168.26879375772424</v>
      </c>
      <c r="AG21" s="1214">
        <f t="shared" si="10"/>
        <v>-175.93472</v>
      </c>
      <c r="AH21" s="1214">
        <f t="shared" si="11"/>
        <v>0</v>
      </c>
      <c r="AI21" s="1214">
        <f t="shared" si="12"/>
        <v>0</v>
      </c>
      <c r="AJ21" s="1214">
        <f t="shared" si="13"/>
        <v>0</v>
      </c>
      <c r="AK21" s="1214">
        <f t="shared" si="14"/>
        <v>0</v>
      </c>
      <c r="AL21" s="1214">
        <f t="shared" si="15"/>
        <v>0</v>
      </c>
      <c r="AM21" s="1212">
        <f t="shared" si="16"/>
        <v>-410.1164257313385</v>
      </c>
    </row>
    <row r="22" spans="1:40" ht="18">
      <c r="A22" s="1211"/>
      <c r="B22" s="1212"/>
      <c r="C22" s="1197">
        <v>52</v>
      </c>
      <c r="D22" s="1211">
        <v>0</v>
      </c>
      <c r="E22" s="1211">
        <v>0</v>
      </c>
      <c r="F22" s="1211">
        <v>17481.556093861545</v>
      </c>
      <c r="G22" s="1211">
        <v>1.5266698819259601</v>
      </c>
      <c r="H22" s="1211">
        <v>10703.79956951191</v>
      </c>
      <c r="I22" s="1211">
        <v>6823.2243012918352</v>
      </c>
      <c r="J22" s="1211">
        <v>4.2707389672576701</v>
      </c>
      <c r="K22" s="1211">
        <v>17522.676431817155</v>
      </c>
      <c r="L22" s="1211">
        <v>0</v>
      </c>
      <c r="M22" s="1211">
        <v>16956.529200311365</v>
      </c>
      <c r="N22" s="1211">
        <v>14148</v>
      </c>
      <c r="O22" s="1211">
        <v>0</v>
      </c>
      <c r="P22" s="1211">
        <v>0</v>
      </c>
      <c r="Q22" s="1211">
        <v>0</v>
      </c>
      <c r="R22" s="1211">
        <v>0</v>
      </c>
      <c r="S22" s="1211">
        <v>0</v>
      </c>
      <c r="T22" s="1211">
        <f t="shared" si="3"/>
        <v>83641.583005642984</v>
      </c>
      <c r="U22" s="1211"/>
      <c r="V22" s="1213">
        <v>-4.4999999999999999E-4</v>
      </c>
      <c r="W22" s="1214">
        <f t="shared" si="4"/>
        <v>0</v>
      </c>
      <c r="X22" s="1214">
        <f t="shared" si="5"/>
        <v>0</v>
      </c>
      <c r="Y22" s="1214">
        <v>0</v>
      </c>
      <c r="Z22" s="1214">
        <f t="shared" si="6"/>
        <v>-6.8700144686668202E-4</v>
      </c>
      <c r="AA22" s="1214">
        <v>0</v>
      </c>
      <c r="AB22" s="1214">
        <f t="shared" si="7"/>
        <v>-3.0704509355813259</v>
      </c>
      <c r="AC22" s="1214">
        <v>0</v>
      </c>
      <c r="AD22" s="1214">
        <f t="shared" si="8"/>
        <v>-7.8852043943177197</v>
      </c>
      <c r="AE22" s="1214">
        <v>0</v>
      </c>
      <c r="AF22" s="1214">
        <f t="shared" si="9"/>
        <v>-7.6304381401401136</v>
      </c>
      <c r="AG22" s="1214">
        <f t="shared" si="10"/>
        <v>-6.3666</v>
      </c>
      <c r="AH22" s="1214">
        <f t="shared" si="11"/>
        <v>0</v>
      </c>
      <c r="AI22" s="1214">
        <f t="shared" si="12"/>
        <v>0</v>
      </c>
      <c r="AJ22" s="1214">
        <f t="shared" si="13"/>
        <v>0</v>
      </c>
      <c r="AK22" s="1214">
        <f t="shared" si="14"/>
        <v>0</v>
      </c>
      <c r="AL22" s="1214">
        <f t="shared" si="15"/>
        <v>0</v>
      </c>
      <c r="AM22" s="1212">
        <f t="shared" si="16"/>
        <v>-18.586780471486026</v>
      </c>
    </row>
    <row r="23" spans="1:40" ht="18">
      <c r="A23" s="1211"/>
      <c r="B23" s="1212"/>
      <c r="C23" s="1197">
        <v>53</v>
      </c>
      <c r="D23" s="1211">
        <v>0</v>
      </c>
      <c r="E23" s="1211">
        <v>0</v>
      </c>
      <c r="F23" s="1211">
        <v>387573.71629311913</v>
      </c>
      <c r="G23" s="1211">
        <v>583.89074693422526</v>
      </c>
      <c r="H23" s="1211">
        <v>76860.557020406559</v>
      </c>
      <c r="I23" s="1211">
        <v>300829.96168437874</v>
      </c>
      <c r="J23" s="1211">
        <v>227.39455494427969</v>
      </c>
      <c r="K23" s="1211">
        <v>364921.93768619827</v>
      </c>
      <c r="L23" s="1211">
        <v>0</v>
      </c>
      <c r="M23" s="1211">
        <v>357992.1717999106</v>
      </c>
      <c r="N23" s="1211">
        <v>356773</v>
      </c>
      <c r="O23" s="1211">
        <v>0</v>
      </c>
      <c r="P23" s="1211">
        <v>0</v>
      </c>
      <c r="Q23" s="1211">
        <v>0</v>
      </c>
      <c r="R23" s="1211">
        <v>0</v>
      </c>
      <c r="S23" s="1211">
        <v>0</v>
      </c>
      <c r="T23" s="1211">
        <f t="shared" si="3"/>
        <v>1845762.6297858921</v>
      </c>
      <c r="U23" s="1211"/>
      <c r="V23" s="1213">
        <v>-1.8000000000000001E-4</v>
      </c>
      <c r="W23" s="1214">
        <f t="shared" si="4"/>
        <v>0</v>
      </c>
      <c r="X23" s="1214">
        <f t="shared" si="5"/>
        <v>0</v>
      </c>
      <c r="Y23" s="1214">
        <v>0</v>
      </c>
      <c r="Z23" s="1214">
        <f t="shared" si="6"/>
        <v>-0.10510033444816055</v>
      </c>
      <c r="AA23" s="1214">
        <v>0</v>
      </c>
      <c r="AB23" s="1214">
        <f t="shared" si="7"/>
        <v>-54.149393103188174</v>
      </c>
      <c r="AC23" s="1214">
        <v>0</v>
      </c>
      <c r="AD23" s="1214">
        <f t="shared" si="8"/>
        <v>-65.685948783515698</v>
      </c>
      <c r="AE23" s="1214">
        <v>0</v>
      </c>
      <c r="AF23" s="1214">
        <f t="shared" si="9"/>
        <v>-64.438590923983909</v>
      </c>
      <c r="AG23" s="1214">
        <f t="shared" si="10"/>
        <v>-64.21914000000001</v>
      </c>
      <c r="AH23" s="1214">
        <f t="shared" si="11"/>
        <v>0</v>
      </c>
      <c r="AI23" s="1214">
        <f t="shared" si="12"/>
        <v>0</v>
      </c>
      <c r="AJ23" s="1214">
        <f t="shared" si="13"/>
        <v>0</v>
      </c>
      <c r="AK23" s="1214">
        <f t="shared" si="14"/>
        <v>0</v>
      </c>
      <c r="AL23" s="1214">
        <f t="shared" si="15"/>
        <v>0</v>
      </c>
      <c r="AM23" s="1212">
        <f t="shared" si="16"/>
        <v>-184.37903314513596</v>
      </c>
    </row>
    <row r="24" spans="1:40" ht="18">
      <c r="A24" s="1211"/>
      <c r="B24" s="1212"/>
      <c r="C24" s="1197">
        <v>54</v>
      </c>
      <c r="D24" s="1211">
        <v>0</v>
      </c>
      <c r="E24" s="1211">
        <v>0</v>
      </c>
      <c r="F24" s="1211">
        <v>23203.807257584798</v>
      </c>
      <c r="G24" s="1211">
        <v>17.9430045737071</v>
      </c>
      <c r="H24" s="1211">
        <v>11623.9143367043</v>
      </c>
      <c r="I24" s="1211">
        <v>7878.85540049255</v>
      </c>
      <c r="J24" s="1211">
        <v>0</v>
      </c>
      <c r="K24" s="1211">
        <v>11538.172862671499</v>
      </c>
      <c r="L24" s="1211">
        <v>0</v>
      </c>
      <c r="M24" s="1211">
        <v>23049.1380321332</v>
      </c>
      <c r="N24" s="1211">
        <v>31934</v>
      </c>
      <c r="O24" s="1211">
        <v>0</v>
      </c>
      <c r="P24" s="1211">
        <v>0</v>
      </c>
      <c r="Q24" s="1211">
        <v>0</v>
      </c>
      <c r="R24" s="1211">
        <v>0</v>
      </c>
      <c r="S24" s="1211">
        <v>0</v>
      </c>
      <c r="T24" s="1211">
        <f t="shared" si="3"/>
        <v>109245.83089416006</v>
      </c>
      <c r="U24" s="1211"/>
      <c r="V24" s="1213">
        <v>-2.2000000000000001E-4</v>
      </c>
      <c r="W24" s="1214">
        <f t="shared" si="4"/>
        <v>0</v>
      </c>
      <c r="X24" s="1214">
        <f t="shared" si="5"/>
        <v>0</v>
      </c>
      <c r="Y24" s="1214">
        <v>0</v>
      </c>
      <c r="Z24" s="1214">
        <f t="shared" si="6"/>
        <v>-3.9474610062155621E-3</v>
      </c>
      <c r="AA24" s="1214">
        <v>0</v>
      </c>
      <c r="AB24" s="1214">
        <f t="shared" si="7"/>
        <v>-1.733348188108361</v>
      </c>
      <c r="AC24" s="1214">
        <v>0</v>
      </c>
      <c r="AD24" s="1214">
        <f t="shared" si="8"/>
        <v>-2.53839802978773</v>
      </c>
      <c r="AE24" s="1214">
        <v>0</v>
      </c>
      <c r="AF24" s="1214">
        <f t="shared" si="9"/>
        <v>-5.0708103670693045</v>
      </c>
      <c r="AG24" s="1214">
        <f t="shared" si="10"/>
        <v>-7.0254799999999999</v>
      </c>
      <c r="AH24" s="1214">
        <f t="shared" si="11"/>
        <v>0</v>
      </c>
      <c r="AI24" s="1214">
        <f t="shared" si="12"/>
        <v>0</v>
      </c>
      <c r="AJ24" s="1214">
        <f t="shared" si="13"/>
        <v>0</v>
      </c>
      <c r="AK24" s="1214">
        <f t="shared" si="14"/>
        <v>0</v>
      </c>
      <c r="AL24" s="1214">
        <f t="shared" si="15"/>
        <v>0</v>
      </c>
      <c r="AM24" s="1212">
        <f t="shared" si="16"/>
        <v>-9.34650404597161</v>
      </c>
    </row>
    <row r="25" spans="1:40" ht="18">
      <c r="A25" s="1211"/>
      <c r="B25" s="1212"/>
      <c r="C25" s="1197">
        <v>57</v>
      </c>
      <c r="D25" s="1211">
        <v>0</v>
      </c>
      <c r="E25" s="1211">
        <v>0</v>
      </c>
      <c r="F25" s="1211">
        <v>143883.58079145971</v>
      </c>
      <c r="G25" s="1211">
        <v>568.42637273044306</v>
      </c>
      <c r="H25" s="1211">
        <v>77032.944135506317</v>
      </c>
      <c r="I25" s="1211">
        <v>67416.413442388701</v>
      </c>
      <c r="J25" s="1211">
        <v>0</v>
      </c>
      <c r="K25" s="1211">
        <v>144204</v>
      </c>
      <c r="L25" s="1211">
        <v>0</v>
      </c>
      <c r="M25" s="1211">
        <v>144183.6981132075</v>
      </c>
      <c r="N25" s="1211">
        <v>144078</v>
      </c>
      <c r="O25" s="1211">
        <v>0</v>
      </c>
      <c r="P25" s="1211">
        <v>0</v>
      </c>
      <c r="Q25" s="1211">
        <v>0</v>
      </c>
      <c r="R25" s="1211">
        <v>0</v>
      </c>
      <c r="S25" s="1211">
        <v>0</v>
      </c>
      <c r="T25" s="1211">
        <f t="shared" si="3"/>
        <v>721367.06285529269</v>
      </c>
      <c r="U25" s="1211"/>
      <c r="V25" s="1213">
        <v>-3.2000000000000003E-4</v>
      </c>
      <c r="W25" s="1214">
        <f t="shared" si="4"/>
        <v>0</v>
      </c>
      <c r="X25" s="1214">
        <f t="shared" si="5"/>
        <v>0</v>
      </c>
      <c r="Y25" s="1214">
        <v>0</v>
      </c>
      <c r="Z25" s="1214">
        <f t="shared" si="6"/>
        <v>-0.1818964392737418</v>
      </c>
      <c r="AA25" s="1214">
        <v>0</v>
      </c>
      <c r="AB25" s="1214">
        <f t="shared" si="7"/>
        <v>-21.573252301564388</v>
      </c>
      <c r="AC25" s="1214">
        <v>0</v>
      </c>
      <c r="AD25" s="1214">
        <f t="shared" si="8"/>
        <v>-46.145280000000007</v>
      </c>
      <c r="AE25" s="1214">
        <v>0</v>
      </c>
      <c r="AF25" s="1214">
        <f t="shared" si="9"/>
        <v>-46.138783396226401</v>
      </c>
      <c r="AG25" s="1214">
        <f t="shared" si="10"/>
        <v>-46.104960000000005</v>
      </c>
      <c r="AH25" s="1214">
        <f t="shared" si="11"/>
        <v>0</v>
      </c>
      <c r="AI25" s="1214">
        <f t="shared" si="12"/>
        <v>0</v>
      </c>
      <c r="AJ25" s="1214">
        <f t="shared" si="13"/>
        <v>0</v>
      </c>
      <c r="AK25" s="1214">
        <f t="shared" si="14"/>
        <v>0</v>
      </c>
      <c r="AL25" s="1214">
        <f t="shared" si="15"/>
        <v>0</v>
      </c>
      <c r="AM25" s="1212">
        <f t="shared" si="16"/>
        <v>-114.03921213706454</v>
      </c>
    </row>
    <row r="26" spans="1:40" ht="18">
      <c r="A26" s="1211"/>
      <c r="B26" s="1212"/>
      <c r="C26" s="1218" t="s">
        <v>847</v>
      </c>
      <c r="D26" s="1204">
        <v>0</v>
      </c>
      <c r="E26" s="1204">
        <v>0</v>
      </c>
      <c r="F26" s="1204">
        <v>35928000</v>
      </c>
      <c r="G26" s="1204">
        <v>0</v>
      </c>
      <c r="H26" s="1204">
        <v>38357419</v>
      </c>
      <c r="I26" s="1204">
        <v>1278581</v>
      </c>
      <c r="J26" s="1219">
        <v>0</v>
      </c>
      <c r="K26" s="1219">
        <v>38214000</v>
      </c>
      <c r="L26" s="1219">
        <v>0</v>
      </c>
      <c r="M26" s="1219">
        <v>36468000</v>
      </c>
      <c r="N26" s="1219">
        <v>34434000</v>
      </c>
      <c r="O26" s="1219">
        <v>0</v>
      </c>
      <c r="P26" s="1219">
        <v>0</v>
      </c>
      <c r="Q26" s="1219">
        <v>0</v>
      </c>
      <c r="R26" s="1219">
        <v>0</v>
      </c>
      <c r="S26" s="1219">
        <v>0</v>
      </c>
      <c r="T26" s="1215">
        <f t="shared" si="3"/>
        <v>184680000</v>
      </c>
      <c r="U26" s="1211"/>
      <c r="V26" s="1213">
        <v>-1.6000000000000001E-4</v>
      </c>
      <c r="W26" s="1214">
        <f t="shared" si="4"/>
        <v>0</v>
      </c>
      <c r="X26" s="1214">
        <f t="shared" si="5"/>
        <v>0</v>
      </c>
      <c r="Y26" s="1214">
        <v>0</v>
      </c>
      <c r="Z26" s="1214">
        <f t="shared" si="6"/>
        <v>0</v>
      </c>
      <c r="AA26" s="1214">
        <v>0</v>
      </c>
      <c r="AB26" s="1214">
        <f t="shared" si="7"/>
        <v>-204.57296000000002</v>
      </c>
      <c r="AC26" s="1214">
        <v>0</v>
      </c>
      <c r="AD26" s="1214">
        <f t="shared" si="8"/>
        <v>-6114.2400000000007</v>
      </c>
      <c r="AE26" s="1214">
        <v>0</v>
      </c>
      <c r="AF26" s="1214">
        <f t="shared" si="9"/>
        <v>-5834.88</v>
      </c>
      <c r="AG26" s="1214">
        <f t="shared" si="10"/>
        <v>-5509.4400000000005</v>
      </c>
      <c r="AH26" s="1214">
        <f t="shared" si="11"/>
        <v>0</v>
      </c>
      <c r="AI26" s="1214">
        <f t="shared" si="12"/>
        <v>0</v>
      </c>
      <c r="AJ26" s="1214">
        <f t="shared" si="13"/>
        <v>0</v>
      </c>
      <c r="AK26" s="1214">
        <f t="shared" si="14"/>
        <v>0</v>
      </c>
      <c r="AL26" s="1214">
        <f t="shared" si="15"/>
        <v>0</v>
      </c>
      <c r="AM26" s="1212">
        <f t="shared" si="16"/>
        <v>-12153.69296</v>
      </c>
    </row>
    <row r="27" spans="1:40" ht="18">
      <c r="A27" s="1221"/>
      <c r="B27" s="1208"/>
      <c r="J27" s="1336"/>
      <c r="K27" s="1336"/>
      <c r="L27" s="1336"/>
      <c r="M27" s="1336"/>
      <c r="N27" s="1336"/>
      <c r="O27" s="1336"/>
      <c r="P27" s="1336"/>
      <c r="Q27" s="1336"/>
      <c r="R27" s="1336"/>
      <c r="S27" s="1336"/>
      <c r="T27" s="1336"/>
      <c r="W27" s="1214"/>
      <c r="X27" s="1214"/>
      <c r="Y27" s="1214"/>
      <c r="Z27" s="1214"/>
      <c r="AA27" s="1214"/>
      <c r="AB27" s="1214"/>
      <c r="AC27" s="1214"/>
      <c r="AD27" s="1214"/>
      <c r="AE27" s="1214"/>
      <c r="AF27" s="1214"/>
      <c r="AG27" s="1214"/>
      <c r="AH27" s="1214"/>
      <c r="AI27" s="1214"/>
      <c r="AJ27" s="1214"/>
      <c r="AK27" s="1214"/>
      <c r="AM27" s="1212"/>
    </row>
    <row r="28" spans="1:40" ht="18">
      <c r="C28" s="1196" t="s">
        <v>848</v>
      </c>
      <c r="D28" s="1211">
        <v>0</v>
      </c>
      <c r="E28" s="1211">
        <v>0</v>
      </c>
      <c r="F28" s="1211">
        <f t="shared" ref="F28:K28" si="17">SUM(F12:F26)</f>
        <v>301669418.15705955</v>
      </c>
      <c r="G28" s="1211">
        <f t="shared" si="17"/>
        <v>381237.69194445288</v>
      </c>
      <c r="H28" s="1211">
        <f t="shared" si="17"/>
        <v>159044445.62478682</v>
      </c>
      <c r="I28" s="1211">
        <f t="shared" si="17"/>
        <v>127457154.95028539</v>
      </c>
      <c r="J28" s="1215">
        <f t="shared" si="17"/>
        <v>2040832.2473641578</v>
      </c>
      <c r="K28" s="1215">
        <f t="shared" si="17"/>
        <v>291871154.62450582</v>
      </c>
      <c r="L28" s="1215">
        <f t="shared" ref="L28:S28" si="18">SUM(L12:L26)</f>
        <v>13036.893737902206</v>
      </c>
      <c r="M28" s="1215">
        <f t="shared" si="18"/>
        <v>319310208.63515955</v>
      </c>
      <c r="N28" s="1215">
        <f t="shared" si="18"/>
        <v>397101959</v>
      </c>
      <c r="O28" s="1215">
        <f t="shared" si="18"/>
        <v>0</v>
      </c>
      <c r="P28" s="1215">
        <f t="shared" si="18"/>
        <v>0</v>
      </c>
      <c r="Q28" s="1215">
        <f t="shared" si="18"/>
        <v>0</v>
      </c>
      <c r="R28" s="1215">
        <f t="shared" si="18"/>
        <v>0</v>
      </c>
      <c r="S28" s="1215">
        <f t="shared" si="18"/>
        <v>0</v>
      </c>
      <c r="T28" s="1215">
        <f>SUM(T12:T26)</f>
        <v>1598889447.8248436</v>
      </c>
      <c r="U28" s="1211"/>
      <c r="W28" s="1214">
        <f>SUM(W12:W26)</f>
        <v>0</v>
      </c>
      <c r="X28" s="1214">
        <f t="shared" ref="X28:AL28" si="19">SUM(X12:X26)</f>
        <v>0</v>
      </c>
      <c r="Y28" s="1214">
        <f t="shared" si="19"/>
        <v>0</v>
      </c>
      <c r="Z28" s="1214">
        <f t="shared" si="19"/>
        <v>-83.069136906820674</v>
      </c>
      <c r="AA28" s="1214">
        <f t="shared" si="19"/>
        <v>0</v>
      </c>
      <c r="AB28" s="1214">
        <f>SUM(AB12:AB26)</f>
        <v>-28187.727388332885</v>
      </c>
      <c r="AC28" s="1214">
        <f t="shared" ref="AC28" si="20">SUM(AC12:AC26)</f>
        <v>0</v>
      </c>
      <c r="AD28" s="1214">
        <f>SUM(AD12:AD26)</f>
        <v>-62402.425897576839</v>
      </c>
      <c r="AE28" s="1214">
        <f t="shared" si="19"/>
        <v>0</v>
      </c>
      <c r="AF28" s="1214">
        <f t="shared" si="19"/>
        <v>-68901.24458436553</v>
      </c>
      <c r="AG28" s="1214">
        <f t="shared" si="19"/>
        <v>-86586.720830000006</v>
      </c>
      <c r="AH28" s="1214">
        <f t="shared" si="19"/>
        <v>0</v>
      </c>
      <c r="AI28" s="1214">
        <f t="shared" si="19"/>
        <v>0</v>
      </c>
      <c r="AJ28" s="1214">
        <f t="shared" si="19"/>
        <v>0</v>
      </c>
      <c r="AK28" s="1214">
        <f t="shared" si="19"/>
        <v>0</v>
      </c>
      <c r="AL28" s="1214">
        <f t="shared" si="19"/>
        <v>0</v>
      </c>
      <c r="AM28" s="1214">
        <f>SUM(AM12:AM26)</f>
        <v>-159574.46700718207</v>
      </c>
    </row>
    <row r="29" spans="1:40">
      <c r="B29" s="1220"/>
    </row>
    <row r="30" spans="1:40" ht="18">
      <c r="C30" s="1223" t="s">
        <v>849</v>
      </c>
      <c r="D30" s="1224"/>
      <c r="E30" s="1224">
        <v>0</v>
      </c>
      <c r="F30" s="1224">
        <v>0</v>
      </c>
      <c r="G30" s="1224">
        <v>0</v>
      </c>
      <c r="H30" s="1224">
        <v>0</v>
      </c>
      <c r="I30" s="1224">
        <v>0</v>
      </c>
      <c r="J30" s="1224">
        <v>0</v>
      </c>
      <c r="K30" s="1224">
        <v>0</v>
      </c>
      <c r="L30" s="1224">
        <v>0</v>
      </c>
      <c r="M30" s="1224">
        <v>0</v>
      </c>
      <c r="N30" s="1224">
        <v>0</v>
      </c>
      <c r="O30" s="1224">
        <v>0</v>
      </c>
      <c r="P30" s="1224">
        <v>0</v>
      </c>
      <c r="Q30" s="1224">
        <v>0</v>
      </c>
      <c r="R30" s="1224">
        <v>0</v>
      </c>
      <c r="S30" s="1224">
        <v>0</v>
      </c>
      <c r="AM30" s="1220"/>
      <c r="AN30" s="1220"/>
    </row>
    <row r="31" spans="1:40">
      <c r="AM31" s="1220"/>
    </row>
    <row r="32" spans="1:40" ht="18">
      <c r="C32" s="1197"/>
      <c r="D32" s="1211"/>
      <c r="E32" s="1211"/>
      <c r="F32" s="1211"/>
      <c r="G32" s="1211"/>
      <c r="H32" s="1211"/>
      <c r="I32" s="1211"/>
      <c r="J32" s="1211"/>
      <c r="K32" s="1211"/>
      <c r="L32" s="1211"/>
      <c r="M32" s="1211"/>
      <c r="N32" s="1211"/>
      <c r="O32" s="1225"/>
      <c r="P32" s="1211"/>
      <c r="Q32" s="1211"/>
      <c r="R32" s="1211"/>
      <c r="S32" s="1211"/>
      <c r="T32" s="1211"/>
      <c r="U32" s="1211"/>
    </row>
    <row r="33" spans="3:39" ht="18">
      <c r="C33" s="1197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</row>
    <row r="34" spans="3:39" ht="18">
      <c r="C34" s="1197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N34" s="1215"/>
      <c r="O34" s="1215"/>
      <c r="P34" s="1215"/>
      <c r="Q34" s="1215"/>
      <c r="R34" s="1215"/>
      <c r="S34" s="1215"/>
      <c r="T34" s="1211"/>
      <c r="U34" s="1211"/>
      <c r="V34" s="1226"/>
      <c r="W34" s="1226"/>
      <c r="X34" s="1226"/>
      <c r="AL34" s="1226"/>
      <c r="AM34" s="1217"/>
    </row>
    <row r="35" spans="3:39" ht="18">
      <c r="C35" s="1195"/>
      <c r="D35" s="1211"/>
      <c r="E35" s="1211"/>
      <c r="F35" s="1211"/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  <c r="S35" s="1211"/>
      <c r="T35" s="1211"/>
      <c r="U35" s="1211"/>
      <c r="W35" s="1214"/>
    </row>
    <row r="38" spans="3:39">
      <c r="W38" s="1220"/>
    </row>
  </sheetData>
  <printOptions horizontalCentered="1" gridLines="1" gridLinesSet="0"/>
  <pageMargins left="0.5" right="0.5" top="0.5" bottom="0.62" header="0.5" footer="0.46"/>
  <pageSetup scale="51" orientation="landscape" r:id="rId1"/>
  <headerFooter alignWithMargins="0">
    <oddFooter>&amp;L&amp;8&amp;D&amp;C&amp;8Prepared by Pricing&amp;R&amp;8&amp;F: 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2:AN38"/>
  <sheetViews>
    <sheetView zoomScale="70" zoomScaleNormal="70" workbookViewId="0">
      <pane xSplit="3" ySplit="8" topLeftCell="D9" activePane="bottomRight" state="frozen"/>
      <selection activeCell="AN15" sqref="AN15"/>
      <selection pane="topRight" activeCell="AN15" sqref="AN15"/>
      <selection pane="bottomLeft" activeCell="AN15" sqref="AN15"/>
      <selection pane="bottomRight" activeCell="D9" sqref="D9"/>
    </sheetView>
  </sheetViews>
  <sheetFormatPr defaultColWidth="11" defaultRowHeight="15"/>
  <cols>
    <col min="1" max="1" width="5.375" style="1192" customWidth="1"/>
    <col min="2" max="2" width="18.125" style="1192" customWidth="1"/>
    <col min="3" max="3" width="12.125" style="1192" customWidth="1"/>
    <col min="4" max="20" width="17.75" style="1192" customWidth="1"/>
    <col min="21" max="21" width="14.875" style="1192" customWidth="1"/>
    <col min="22" max="22" width="13.25" style="1192" customWidth="1"/>
    <col min="23" max="32" width="14.375" style="1192" customWidth="1"/>
    <col min="33" max="35" width="16.75" style="1192" customWidth="1"/>
    <col min="36" max="40" width="14.375" style="1192" customWidth="1"/>
    <col min="41" max="16384" width="11" style="1192"/>
  </cols>
  <sheetData>
    <row r="2" spans="1:40" ht="18">
      <c r="A2" s="1188"/>
      <c r="B2" s="1334" t="s">
        <v>842</v>
      </c>
      <c r="C2" s="1191"/>
      <c r="D2" s="1190"/>
      <c r="E2" s="1190"/>
      <c r="F2" s="1190"/>
      <c r="G2" s="1190"/>
      <c r="H2" s="1190"/>
      <c r="I2" s="1190"/>
      <c r="J2" s="1190"/>
      <c r="K2" s="1190"/>
      <c r="L2" s="1190"/>
      <c r="M2" s="1190"/>
      <c r="N2" s="1191"/>
      <c r="O2" s="1190"/>
      <c r="P2" s="1190"/>
      <c r="Q2" s="1190"/>
      <c r="R2" s="1190"/>
      <c r="S2" s="1190"/>
      <c r="T2" s="1190"/>
      <c r="U2" s="1190"/>
      <c r="V2" s="1190"/>
      <c r="W2" s="1190"/>
      <c r="X2" s="1190"/>
      <c r="Y2" s="1190"/>
      <c r="Z2" s="1190"/>
      <c r="AA2" s="1190"/>
      <c r="AB2" s="1190"/>
      <c r="AC2" s="1190"/>
      <c r="AD2" s="1190"/>
      <c r="AE2" s="1190"/>
      <c r="AF2" s="1190"/>
      <c r="AG2" s="1190"/>
      <c r="AH2" s="1190"/>
      <c r="AI2" s="1190"/>
      <c r="AJ2" s="1190"/>
      <c r="AK2" s="1190"/>
      <c r="AL2" s="1190"/>
      <c r="AM2" s="1190"/>
      <c r="AN2" s="1191"/>
    </row>
    <row r="3" spans="1:40" ht="18">
      <c r="A3" s="1188"/>
      <c r="B3" s="1334" t="s">
        <v>966</v>
      </c>
      <c r="C3" s="1191"/>
      <c r="D3" s="1194"/>
      <c r="E3" s="1194"/>
      <c r="F3" s="1194"/>
      <c r="G3" s="1194"/>
      <c r="H3" s="1194"/>
      <c r="I3" s="1194"/>
      <c r="J3" s="1194"/>
      <c r="K3" s="1194"/>
      <c r="L3" s="1194"/>
      <c r="M3" s="1194"/>
      <c r="N3" s="1191"/>
      <c r="O3" s="1194"/>
      <c r="P3" s="1194"/>
      <c r="Q3" s="1194"/>
      <c r="R3" s="1194"/>
      <c r="S3" s="1194"/>
      <c r="T3" s="1194"/>
      <c r="U3" s="1194"/>
      <c r="V3" s="1194"/>
      <c r="W3" s="1194"/>
      <c r="X3" s="1194"/>
      <c r="Y3" s="1194"/>
      <c r="Z3" s="1194"/>
      <c r="AA3" s="1194"/>
      <c r="AB3" s="1194"/>
      <c r="AC3" s="1194"/>
      <c r="AD3" s="1194"/>
      <c r="AE3" s="1194"/>
      <c r="AF3" s="1194"/>
      <c r="AG3" s="1194"/>
      <c r="AH3" s="1194"/>
      <c r="AI3" s="1194"/>
      <c r="AJ3" s="1194"/>
      <c r="AK3" s="1194"/>
      <c r="AL3" s="1194"/>
      <c r="AM3" s="1194"/>
      <c r="AN3" s="1191"/>
    </row>
    <row r="4" spans="1:40" ht="18">
      <c r="A4" s="1188"/>
      <c r="B4" s="1190"/>
      <c r="C4" s="1191"/>
      <c r="D4" s="1190"/>
      <c r="E4" s="1190"/>
      <c r="F4" s="1190"/>
      <c r="G4" s="1190"/>
      <c r="H4" s="1190"/>
      <c r="I4" s="1190"/>
      <c r="J4" s="1190"/>
      <c r="K4" s="1190"/>
      <c r="L4" s="1190"/>
      <c r="M4" s="1190"/>
      <c r="N4" s="1191"/>
      <c r="O4" s="1190"/>
      <c r="P4" s="1190"/>
      <c r="Q4" s="1190"/>
      <c r="R4" s="1190"/>
      <c r="S4" s="1190"/>
      <c r="T4" s="1190"/>
      <c r="U4" s="1190"/>
      <c r="V4" s="1190"/>
      <c r="W4" s="1190"/>
      <c r="X4" s="1190"/>
      <c r="Y4" s="1190"/>
      <c r="Z4" s="1190"/>
      <c r="AA4" s="1190"/>
      <c r="AB4" s="1190"/>
      <c r="AC4" s="1190"/>
      <c r="AD4" s="1190"/>
      <c r="AE4" s="1190"/>
      <c r="AF4" s="1190"/>
      <c r="AG4" s="1190"/>
      <c r="AH4" s="1190"/>
      <c r="AI4" s="1190"/>
      <c r="AJ4" s="1190"/>
      <c r="AK4" s="1190"/>
      <c r="AL4" s="1190"/>
      <c r="AM4" s="1190"/>
      <c r="AN4" s="1191"/>
    </row>
    <row r="5" spans="1:40" ht="18">
      <c r="B5" s="1195"/>
      <c r="C5" s="1197"/>
      <c r="D5" s="1197"/>
      <c r="E5" s="1197"/>
      <c r="F5" s="1197"/>
      <c r="G5" s="1197"/>
      <c r="H5" s="1197"/>
      <c r="I5" s="1197"/>
      <c r="J5" s="1197"/>
      <c r="K5" s="1197"/>
      <c r="L5" s="1197"/>
      <c r="M5" s="1197"/>
      <c r="N5" s="1197"/>
      <c r="O5" s="1197"/>
      <c r="P5" s="1197"/>
      <c r="Q5" s="1197"/>
      <c r="R5" s="1197"/>
      <c r="S5" s="1197"/>
      <c r="T5" s="1197"/>
      <c r="U5" s="1197"/>
      <c r="V5" s="1197" t="s">
        <v>967</v>
      </c>
      <c r="W5" s="1197"/>
      <c r="X5" s="1197"/>
      <c r="Y5" s="1199" t="s">
        <v>964</v>
      </c>
      <c r="Z5" s="1199" t="s">
        <v>965</v>
      </c>
      <c r="AA5" s="1199" t="s">
        <v>964</v>
      </c>
      <c r="AB5" s="1199" t="s">
        <v>965</v>
      </c>
      <c r="AC5" s="1199" t="s">
        <v>964</v>
      </c>
      <c r="AD5" s="1199" t="s">
        <v>965</v>
      </c>
      <c r="AE5" s="1199" t="s">
        <v>964</v>
      </c>
      <c r="AF5" s="1199" t="s">
        <v>965</v>
      </c>
      <c r="AJ5" s="1197"/>
      <c r="AK5" s="1197"/>
      <c r="AL5" s="1197"/>
    </row>
    <row r="6" spans="1:40" ht="18">
      <c r="B6" s="1197"/>
      <c r="C6" s="1197"/>
      <c r="D6" s="1199"/>
      <c r="E6" s="1197"/>
      <c r="F6" s="1199" t="s">
        <v>964</v>
      </c>
      <c r="G6" s="1199" t="s">
        <v>965</v>
      </c>
      <c r="H6" s="1199" t="s">
        <v>964</v>
      </c>
      <c r="I6" s="1199" t="s">
        <v>965</v>
      </c>
      <c r="J6" s="1199" t="s">
        <v>964</v>
      </c>
      <c r="K6" s="1199" t="s">
        <v>965</v>
      </c>
      <c r="L6" s="1199" t="s">
        <v>964</v>
      </c>
      <c r="M6" s="1199" t="s">
        <v>965</v>
      </c>
      <c r="Q6" s="1197"/>
      <c r="R6" s="1197"/>
      <c r="S6" s="1197"/>
      <c r="T6" s="1197">
        <f>YEAR($D$7)</f>
        <v>2015</v>
      </c>
      <c r="U6" s="1197"/>
      <c r="V6" s="1197" t="s">
        <v>242</v>
      </c>
      <c r="W6" s="1198">
        <f>D7</f>
        <v>42005</v>
      </c>
      <c r="X6" s="1198">
        <f>E7</f>
        <v>42036</v>
      </c>
      <c r="Y6" s="1198">
        <f>G7</f>
        <v>42064</v>
      </c>
      <c r="Z6" s="1198">
        <f>Y6</f>
        <v>42064</v>
      </c>
      <c r="AA6" s="1198">
        <f t="shared" ref="AA6:AL6" si="0">H7</f>
        <v>42095</v>
      </c>
      <c r="AB6" s="1198">
        <f t="shared" si="0"/>
        <v>42095</v>
      </c>
      <c r="AC6" s="1198">
        <f t="shared" si="0"/>
        <v>42125</v>
      </c>
      <c r="AD6" s="1198">
        <f t="shared" si="0"/>
        <v>42125</v>
      </c>
      <c r="AE6" s="1198">
        <f t="shared" si="0"/>
        <v>42156</v>
      </c>
      <c r="AF6" s="1198">
        <f t="shared" si="0"/>
        <v>42156</v>
      </c>
      <c r="AG6" s="1198">
        <f t="shared" si="0"/>
        <v>42186</v>
      </c>
      <c r="AH6" s="1198">
        <f t="shared" si="0"/>
        <v>42217</v>
      </c>
      <c r="AI6" s="1198">
        <f t="shared" si="0"/>
        <v>42248</v>
      </c>
      <c r="AJ6" s="1198">
        <f t="shared" si="0"/>
        <v>42278</v>
      </c>
      <c r="AK6" s="1198">
        <f t="shared" si="0"/>
        <v>42309</v>
      </c>
      <c r="AL6" s="1198">
        <f t="shared" si="0"/>
        <v>42339</v>
      </c>
      <c r="AM6" s="1197">
        <f>YEAR($D$7)</f>
        <v>2015</v>
      </c>
      <c r="AN6" s="1198" t="s">
        <v>9</v>
      </c>
    </row>
    <row r="7" spans="1:40" ht="18">
      <c r="B7" s="1197"/>
      <c r="C7" s="1199"/>
      <c r="D7" s="1199">
        <v>42005</v>
      </c>
      <c r="E7" s="1199">
        <f>DATE(IF(MONTH(D7)=12,YEAR(D7)+1,YEAR(D7)),IF(MONTH(D7)=12,1,MONTH(D7)+1),1)</f>
        <v>42036</v>
      </c>
      <c r="F7" s="1199">
        <f>DATE(IF(MONTH(E7)=12,YEAR(E7)+1,YEAR(E7)),IF(MONTH(E7)=12,1,MONTH(E7)+1),1)</f>
        <v>42064</v>
      </c>
      <c r="G7" s="1199">
        <f>DATE(IF(MONTH(E7)=12,YEAR(E7)+1,YEAR(E7)),IF(MONTH(E7)=12,1,MONTH(E7)+1),1)</f>
        <v>42064</v>
      </c>
      <c r="H7" s="1199">
        <f>DATE(IF(MONTH(G7)=12,YEAR(G7)+1,YEAR(G7)),IF(MONTH(G7)=12,1,MONTH(G7)+1),1)</f>
        <v>42095</v>
      </c>
      <c r="I7" s="1199">
        <f>H7</f>
        <v>42095</v>
      </c>
      <c r="J7" s="1199">
        <f>DATE(IF(MONTH(I7)=12,YEAR(I7)+1,YEAR(I7)),IF(MONTH(I7)=12,1,MONTH(I7)+1),1)</f>
        <v>42125</v>
      </c>
      <c r="K7" s="1199">
        <f>J7</f>
        <v>42125</v>
      </c>
      <c r="L7" s="1199">
        <f>DATE(IF(MONTH(K7)=12,YEAR(K7)+1,YEAR(K7)),IF(MONTH(K7)=12,1,MONTH(K7)+1),1)</f>
        <v>42156</v>
      </c>
      <c r="M7" s="1199">
        <f>L7</f>
        <v>42156</v>
      </c>
      <c r="N7" s="1199">
        <f>DATE(IF(MONTH(L7)=12,YEAR(L7)+1,YEAR(L7)),IF(MONTH(L7)=12,1,MONTH(L7)+1),1)</f>
        <v>42186</v>
      </c>
      <c r="O7" s="1199">
        <f>DATE(IF(MONTH(N7)=12,YEAR(N7)+1,YEAR(N7)),IF(MONTH(N7)=12,1,MONTH(N7)+1),1)</f>
        <v>42217</v>
      </c>
      <c r="P7" s="1199">
        <f>DATE(IF(MONTH(O7)=12,YEAR(O7)+1,YEAR(O7)),IF(MONTH(O7)=12,1,MONTH(O7)+1),1)</f>
        <v>42248</v>
      </c>
      <c r="Q7" s="1199">
        <f>DATE(IF(MONTH(P7)=12,YEAR(P7)+1,YEAR(P7)),IF(MONTH(P7)=12,1,MONTH(P7)+1),1)</f>
        <v>42278</v>
      </c>
      <c r="R7" s="1199">
        <f t="shared" ref="R7:S7" si="1">DATE(IF(MONTH(Q7)=12,YEAR(Q7)+1,YEAR(Q7)),IF(MONTH(Q7)=12,1,MONTH(Q7)+1),1)</f>
        <v>42309</v>
      </c>
      <c r="S7" s="1199">
        <f t="shared" si="1"/>
        <v>42339</v>
      </c>
      <c r="T7" s="1199" t="s">
        <v>9</v>
      </c>
      <c r="U7" s="1199" t="s">
        <v>9</v>
      </c>
      <c r="V7" s="1200">
        <v>42094</v>
      </c>
      <c r="W7" s="1197" t="s">
        <v>967</v>
      </c>
      <c r="X7" s="1197" t="s">
        <v>967</v>
      </c>
      <c r="Y7" s="1197" t="s">
        <v>967</v>
      </c>
      <c r="Z7" s="1197" t="s">
        <v>967</v>
      </c>
      <c r="AA7" s="1197" t="s">
        <v>967</v>
      </c>
      <c r="AB7" s="1197" t="s">
        <v>967</v>
      </c>
      <c r="AC7" s="1197" t="s">
        <v>967</v>
      </c>
      <c r="AD7" s="1197" t="s">
        <v>967</v>
      </c>
      <c r="AE7" s="1197" t="s">
        <v>967</v>
      </c>
      <c r="AF7" s="1197" t="s">
        <v>967</v>
      </c>
      <c r="AG7" s="1197" t="s">
        <v>967</v>
      </c>
      <c r="AH7" s="1197" t="s">
        <v>967</v>
      </c>
      <c r="AI7" s="1197" t="s">
        <v>967</v>
      </c>
      <c r="AJ7" s="1197" t="s">
        <v>967</v>
      </c>
      <c r="AK7" s="1197" t="s">
        <v>967</v>
      </c>
      <c r="AL7" s="1197" t="s">
        <v>967</v>
      </c>
      <c r="AM7" s="1197" t="s">
        <v>967</v>
      </c>
      <c r="AN7" s="1197" t="s">
        <v>967</v>
      </c>
    </row>
    <row r="8" spans="1:40" ht="18">
      <c r="B8" s="1202"/>
      <c r="C8" s="1202" t="s">
        <v>252</v>
      </c>
      <c r="D8" s="1202" t="s">
        <v>845</v>
      </c>
      <c r="E8" s="1202" t="s">
        <v>845</v>
      </c>
      <c r="F8" s="1202" t="s">
        <v>845</v>
      </c>
      <c r="G8" s="1202" t="s">
        <v>845</v>
      </c>
      <c r="H8" s="1202" t="s">
        <v>845</v>
      </c>
      <c r="I8" s="1202" t="s">
        <v>845</v>
      </c>
      <c r="J8" s="1202" t="s">
        <v>845</v>
      </c>
      <c r="K8" s="1202" t="s">
        <v>845</v>
      </c>
      <c r="L8" s="1202" t="s">
        <v>845</v>
      </c>
      <c r="M8" s="1202" t="s">
        <v>845</v>
      </c>
      <c r="N8" s="1202" t="s">
        <v>845</v>
      </c>
      <c r="O8" s="1202" t="s">
        <v>845</v>
      </c>
      <c r="P8" s="1202" t="s">
        <v>845</v>
      </c>
      <c r="Q8" s="1202" t="s">
        <v>845</v>
      </c>
      <c r="R8" s="1202" t="s">
        <v>845</v>
      </c>
      <c r="S8" s="1202" t="s">
        <v>845</v>
      </c>
      <c r="T8" s="1203" t="s">
        <v>845</v>
      </c>
      <c r="U8" s="1203" t="s">
        <v>845</v>
      </c>
      <c r="V8" s="1202" t="s">
        <v>846</v>
      </c>
      <c r="W8" s="1201" t="s">
        <v>297</v>
      </c>
      <c r="X8" s="1201" t="s">
        <v>297</v>
      </c>
      <c r="Y8" s="1201" t="s">
        <v>297</v>
      </c>
      <c r="Z8" s="1201" t="s">
        <v>297</v>
      </c>
      <c r="AA8" s="1201" t="s">
        <v>297</v>
      </c>
      <c r="AB8" s="1201" t="s">
        <v>297</v>
      </c>
      <c r="AC8" s="1201" t="s">
        <v>297</v>
      </c>
      <c r="AD8" s="1201" t="s">
        <v>297</v>
      </c>
      <c r="AE8" s="1201" t="s">
        <v>297</v>
      </c>
      <c r="AF8" s="1201" t="s">
        <v>297</v>
      </c>
      <c r="AG8" s="1201" t="s">
        <v>297</v>
      </c>
      <c r="AH8" s="1201" t="s">
        <v>297</v>
      </c>
      <c r="AI8" s="1201" t="s">
        <v>297</v>
      </c>
      <c r="AJ8" s="1201" t="s">
        <v>297</v>
      </c>
      <c r="AK8" s="1201" t="s">
        <v>297</v>
      </c>
      <c r="AL8" s="1201" t="s">
        <v>297</v>
      </c>
      <c r="AM8" s="1202" t="s">
        <v>297</v>
      </c>
      <c r="AN8" s="1201" t="s">
        <v>297</v>
      </c>
    </row>
    <row r="9" spans="1:40" ht="18">
      <c r="B9" s="1206"/>
      <c r="C9" s="1206"/>
      <c r="D9" s="1206"/>
      <c r="E9" s="1206"/>
      <c r="F9" s="1206"/>
      <c r="G9" s="1206"/>
      <c r="H9" s="1206"/>
      <c r="I9" s="1206"/>
      <c r="J9" s="1206"/>
      <c r="K9" s="1206"/>
      <c r="L9" s="1206"/>
      <c r="M9" s="1206"/>
      <c r="N9" s="1206"/>
      <c r="O9" s="1206"/>
      <c r="P9" s="1206"/>
      <c r="Q9" s="1206"/>
      <c r="R9" s="1206"/>
      <c r="S9" s="1206"/>
      <c r="T9" s="1206"/>
      <c r="U9" s="1207" t="s">
        <v>31</v>
      </c>
      <c r="V9" s="1195"/>
      <c r="W9" s="1195"/>
      <c r="X9" s="1195"/>
      <c r="Y9" s="1195"/>
      <c r="Z9" s="1195"/>
      <c r="AA9" s="1195"/>
      <c r="AB9" s="1195"/>
      <c r="AC9" s="1195"/>
      <c r="AD9" s="1195"/>
      <c r="AE9" s="1195"/>
      <c r="AF9" s="1195"/>
      <c r="AG9" s="1195"/>
      <c r="AH9" s="1195"/>
      <c r="AI9" s="1195"/>
      <c r="AJ9" s="1195"/>
      <c r="AK9" s="1195"/>
      <c r="AL9" s="1195"/>
      <c r="AM9" s="1195"/>
      <c r="AN9" s="1208">
        <f>SUM(W28:AL28)</f>
        <v>148105.84202701406</v>
      </c>
    </row>
    <row r="10" spans="1:40" ht="18"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  <c r="L10" s="1195"/>
      <c r="M10" s="1195"/>
      <c r="N10" s="1195"/>
      <c r="O10" s="1195"/>
      <c r="P10" s="1195"/>
      <c r="Q10" s="1195"/>
      <c r="R10" s="1195"/>
      <c r="S10" s="1195"/>
      <c r="T10" s="1195"/>
      <c r="U10" s="1195"/>
      <c r="V10" s="1195"/>
      <c r="W10" s="1195"/>
      <c r="X10" s="1195"/>
      <c r="Y10" s="1195"/>
      <c r="Z10" s="1195"/>
      <c r="AA10" s="1195"/>
      <c r="AB10" s="1195"/>
      <c r="AC10" s="1195"/>
      <c r="AD10" s="1195"/>
      <c r="AE10" s="1195"/>
      <c r="AF10" s="1195"/>
      <c r="AG10" s="1195"/>
      <c r="AH10" s="1195"/>
      <c r="AI10" s="1195"/>
      <c r="AJ10" s="1195"/>
      <c r="AK10" s="1195"/>
      <c r="AL10" s="1195"/>
      <c r="AM10" s="1195"/>
    </row>
    <row r="11" spans="1:40" ht="18">
      <c r="A11" s="1211"/>
      <c r="B11" s="1212"/>
    </row>
    <row r="12" spans="1:40" ht="18">
      <c r="A12" s="1211"/>
      <c r="B12" s="1212"/>
      <c r="C12" s="1197">
        <v>15</v>
      </c>
      <c r="D12" s="1211">
        <v>0</v>
      </c>
      <c r="E12" s="1211">
        <v>0</v>
      </c>
      <c r="F12" s="1211">
        <v>267584.00432543538</v>
      </c>
      <c r="G12" s="1211">
        <v>1346.6949300504816</v>
      </c>
      <c r="H12" s="1211">
        <f>'WA Depreciation'!H12</f>
        <v>124720.26157425292</v>
      </c>
      <c r="I12" s="1211">
        <f>'WA Depreciation'!I12</f>
        <v>145825.12422912955</v>
      </c>
      <c r="J12" s="1211">
        <f>'WA Depreciation'!J12</f>
        <v>-31196.57297259249</v>
      </c>
      <c r="K12" s="1211">
        <f>'WA Depreciation'!K12</f>
        <v>268510.81359935063</v>
      </c>
      <c r="L12" s="1211">
        <f>'WA Depreciation'!L12</f>
        <v>-1165.6377079482399</v>
      </c>
      <c r="M12" s="1211">
        <f>'WA Depreciation'!M12</f>
        <v>268301.50046119251</v>
      </c>
      <c r="N12" s="1211">
        <v>268994</v>
      </c>
      <c r="O12" s="1211">
        <v>0</v>
      </c>
      <c r="P12" s="1211">
        <v>0</v>
      </c>
      <c r="Q12" s="1211">
        <v>0</v>
      </c>
      <c r="R12" s="1211">
        <v>0</v>
      </c>
      <c r="S12" s="1211">
        <v>0</v>
      </c>
      <c r="T12" s="1211">
        <f t="shared" ref="T12:T26" si="2">SUM(D12:S12)</f>
        <v>1312920.1884388707</v>
      </c>
      <c r="U12" s="1211"/>
      <c r="V12" s="1213">
        <v>2.3000000000000001E-4</v>
      </c>
      <c r="W12" s="1214">
        <f t="shared" ref="W12:W26" si="3">D12*V12</f>
        <v>0</v>
      </c>
      <c r="X12" s="1214">
        <f t="shared" ref="X12:X26" si="4">E12*$V12</f>
        <v>0</v>
      </c>
      <c r="Y12" s="1214">
        <v>0</v>
      </c>
      <c r="Z12" s="1214">
        <f t="shared" ref="Z12:Z26" si="5">G12*$V12</f>
        <v>0.30973983391161081</v>
      </c>
      <c r="AA12" s="1214">
        <v>0</v>
      </c>
      <c r="AB12" s="1214">
        <f t="shared" ref="AB12:AB26" si="6">I12*$V12</f>
        <v>33.539778572699795</v>
      </c>
      <c r="AC12" s="1214">
        <v>0</v>
      </c>
      <c r="AD12" s="1214">
        <f t="shared" ref="AD12:AD26" si="7">K12*$V12</f>
        <v>61.757487127850645</v>
      </c>
      <c r="AE12" s="1214">
        <v>0</v>
      </c>
      <c r="AF12" s="1214">
        <f>M12*$V12</f>
        <v>61.709345106074281</v>
      </c>
      <c r="AG12" s="1214">
        <f t="shared" ref="AG12:AL26" si="8">N12*$V12</f>
        <v>61.86862</v>
      </c>
      <c r="AH12" s="1214">
        <f t="shared" si="8"/>
        <v>0</v>
      </c>
      <c r="AI12" s="1214">
        <f t="shared" si="8"/>
        <v>0</v>
      </c>
      <c r="AJ12" s="1214">
        <f t="shared" si="8"/>
        <v>0</v>
      </c>
      <c r="AK12" s="1214">
        <f t="shared" si="8"/>
        <v>0</v>
      </c>
      <c r="AL12" s="1214">
        <f t="shared" si="8"/>
        <v>0</v>
      </c>
      <c r="AM12" s="1212">
        <f>SUM(W12:AF12)</f>
        <v>157.31635064053631</v>
      </c>
    </row>
    <row r="13" spans="1:40" ht="18">
      <c r="A13" s="1211"/>
      <c r="B13" s="1212"/>
      <c r="C13" s="1197">
        <v>16</v>
      </c>
      <c r="D13" s="1211">
        <v>0</v>
      </c>
      <c r="E13" s="1211">
        <v>0</v>
      </c>
      <c r="F13" s="1211">
        <v>114277651.27113202</v>
      </c>
      <c r="G13" s="1211">
        <v>127597.66831784844</v>
      </c>
      <c r="H13" s="1211">
        <f>'WA Depreciation'!H13</f>
        <v>45889562.582904294</v>
      </c>
      <c r="I13" s="1211">
        <f>'WA Depreciation'!I13</f>
        <v>47978452.856677562</v>
      </c>
      <c r="J13" s="1211">
        <f>'WA Depreciation'!J13</f>
        <v>62943.110181737095</v>
      </c>
      <c r="K13" s="1211">
        <f>'WA Depreciation'!K13</f>
        <v>84268709.067439228</v>
      </c>
      <c r="L13" s="1211">
        <f>'WA Depreciation'!L13</f>
        <v>32032.631911950499</v>
      </c>
      <c r="M13" s="1211">
        <f>'WA Depreciation'!M13</f>
        <v>97054638.755691484</v>
      </c>
      <c r="N13" s="1211">
        <v>130671518</v>
      </c>
      <c r="O13" s="1211">
        <v>0</v>
      </c>
      <c r="P13" s="1211">
        <v>0</v>
      </c>
      <c r="Q13" s="1211">
        <v>0</v>
      </c>
      <c r="R13" s="1211">
        <v>0</v>
      </c>
      <c r="S13" s="1211">
        <v>0</v>
      </c>
      <c r="T13" s="1211">
        <f t="shared" si="2"/>
        <v>520363105.94425613</v>
      </c>
      <c r="U13" s="1211"/>
      <c r="V13" s="1213">
        <v>1.4999999999999999E-4</v>
      </c>
      <c r="W13" s="1214">
        <f t="shared" si="3"/>
        <v>0</v>
      </c>
      <c r="X13" s="1214">
        <f t="shared" si="4"/>
        <v>0</v>
      </c>
      <c r="Y13" s="1214">
        <v>0</v>
      </c>
      <c r="Z13" s="1214">
        <f t="shared" si="5"/>
        <v>19.139650247677263</v>
      </c>
      <c r="AA13" s="1214">
        <v>0</v>
      </c>
      <c r="AB13" s="1214">
        <f t="shared" si="6"/>
        <v>7196.7679285016338</v>
      </c>
      <c r="AC13" s="1214">
        <v>0</v>
      </c>
      <c r="AD13" s="1214">
        <f t="shared" si="7"/>
        <v>12640.306360115883</v>
      </c>
      <c r="AE13" s="1214">
        <v>0</v>
      </c>
      <c r="AF13" s="1214">
        <f t="shared" ref="AF13:AF26" si="9">M13*$V13</f>
        <v>14558.195813353721</v>
      </c>
      <c r="AG13" s="1214">
        <f t="shared" si="8"/>
        <v>19600.727699999999</v>
      </c>
      <c r="AH13" s="1214">
        <f t="shared" si="8"/>
        <v>0</v>
      </c>
      <c r="AI13" s="1214">
        <f t="shared" si="8"/>
        <v>0</v>
      </c>
      <c r="AJ13" s="1214">
        <f t="shared" si="8"/>
        <v>0</v>
      </c>
      <c r="AK13" s="1214">
        <f t="shared" si="8"/>
        <v>0</v>
      </c>
      <c r="AL13" s="1214">
        <f t="shared" si="8"/>
        <v>0</v>
      </c>
      <c r="AM13" s="1212">
        <f t="shared" ref="AM13:AM26" si="10">SUM(W13:AF13)</f>
        <v>34414.409752218911</v>
      </c>
    </row>
    <row r="14" spans="1:40" ht="18">
      <c r="C14" s="1197">
        <v>17</v>
      </c>
      <c r="D14" s="1211">
        <v>0</v>
      </c>
      <c r="E14" s="1211">
        <v>0</v>
      </c>
      <c r="F14" s="1211">
        <v>7919576.8497377504</v>
      </c>
      <c r="G14" s="1211">
        <v>15148.121474438471</v>
      </c>
      <c r="H14" s="1211">
        <f>'WA Depreciation'!H14</f>
        <v>3287638.2247869996</v>
      </c>
      <c r="I14" s="1211">
        <f>'WA Depreciation'!I14</f>
        <v>3104643.5054983003</v>
      </c>
      <c r="J14" s="1211">
        <f>'WA Depreciation'!J14</f>
        <v>483.05898130695522</v>
      </c>
      <c r="K14" s="1211">
        <f>'WA Depreciation'!K14</f>
        <v>5593797.7653081296</v>
      </c>
      <c r="L14" s="1211">
        <f>'WA Depreciation'!L14</f>
        <v>-595.9000858432031</v>
      </c>
      <c r="M14" s="1211">
        <f>'WA Depreciation'!M14</f>
        <v>5784138.1810596194</v>
      </c>
      <c r="N14" s="1211">
        <v>7240592</v>
      </c>
      <c r="O14" s="1211">
        <v>0</v>
      </c>
      <c r="P14" s="1211">
        <v>0</v>
      </c>
      <c r="Q14" s="1211">
        <v>0</v>
      </c>
      <c r="R14" s="1211">
        <v>0</v>
      </c>
      <c r="S14" s="1211">
        <v>0</v>
      </c>
      <c r="T14" s="1211">
        <f t="shared" si="2"/>
        <v>32945421.806760699</v>
      </c>
      <c r="U14" s="1211"/>
      <c r="V14" s="1213">
        <v>1.4999999999999999E-4</v>
      </c>
      <c r="W14" s="1214">
        <f t="shared" si="3"/>
        <v>0</v>
      </c>
      <c r="X14" s="1214">
        <f t="shared" si="4"/>
        <v>0</v>
      </c>
      <c r="Y14" s="1214">
        <v>0</v>
      </c>
      <c r="Z14" s="1214">
        <f t="shared" si="5"/>
        <v>2.2722182211657702</v>
      </c>
      <c r="AA14" s="1214">
        <v>0</v>
      </c>
      <c r="AB14" s="1214">
        <f t="shared" si="6"/>
        <v>465.69652582474498</v>
      </c>
      <c r="AC14" s="1214">
        <v>0</v>
      </c>
      <c r="AD14" s="1214">
        <f t="shared" si="7"/>
        <v>839.0696647962194</v>
      </c>
      <c r="AE14" s="1214">
        <v>0</v>
      </c>
      <c r="AF14" s="1214">
        <f t="shared" si="9"/>
        <v>867.62072715894283</v>
      </c>
      <c r="AG14" s="1214">
        <f t="shared" si="8"/>
        <v>1086.0888</v>
      </c>
      <c r="AH14" s="1214">
        <f t="shared" si="8"/>
        <v>0</v>
      </c>
      <c r="AI14" s="1214">
        <f t="shared" si="8"/>
        <v>0</v>
      </c>
      <c r="AJ14" s="1214">
        <f t="shared" si="8"/>
        <v>0</v>
      </c>
      <c r="AK14" s="1214">
        <f t="shared" si="8"/>
        <v>0</v>
      </c>
      <c r="AL14" s="1214">
        <f t="shared" si="8"/>
        <v>0</v>
      </c>
      <c r="AM14" s="1212">
        <f t="shared" si="10"/>
        <v>2174.659136001073</v>
      </c>
    </row>
    <row r="15" spans="1:40" ht="18">
      <c r="B15" s="1212"/>
      <c r="C15" s="1197">
        <v>18</v>
      </c>
      <c r="D15" s="1215">
        <v>0</v>
      </c>
      <c r="E15" s="1215">
        <v>0</v>
      </c>
      <c r="F15" s="1211">
        <v>205855.46747886779</v>
      </c>
      <c r="G15" s="1211">
        <v>55.130187858419994</v>
      </c>
      <c r="H15" s="1211">
        <f>'WA Depreciation'!H15</f>
        <v>76840.337232427322</v>
      </c>
      <c r="I15" s="1211">
        <f>'WA Depreciation'!I15</f>
        <v>87571.946405014547</v>
      </c>
      <c r="J15" s="1211">
        <f>'WA Depreciation'!J15</f>
        <v>270.08431574413203</v>
      </c>
      <c r="K15" s="1211">
        <f>'WA Depreciation'!K15</f>
        <v>176717.95663647479</v>
      </c>
      <c r="L15" s="1211">
        <f>'WA Depreciation'!L15</f>
        <v>0</v>
      </c>
      <c r="M15" s="1211">
        <f>'WA Depreciation'!M15</f>
        <v>197812.37212784559</v>
      </c>
      <c r="N15" s="1211">
        <v>262370</v>
      </c>
      <c r="O15" s="1211">
        <v>0</v>
      </c>
      <c r="P15" s="1211">
        <v>0</v>
      </c>
      <c r="Q15" s="1211">
        <v>0</v>
      </c>
      <c r="R15" s="1211">
        <v>0</v>
      </c>
      <c r="S15" s="1211">
        <v>0</v>
      </c>
      <c r="T15" s="1211">
        <f t="shared" si="2"/>
        <v>1007493.2943842325</v>
      </c>
      <c r="U15" s="1211"/>
      <c r="V15" s="1213">
        <v>1.4999999999999999E-4</v>
      </c>
      <c r="W15" s="1214">
        <f t="shared" si="3"/>
        <v>0</v>
      </c>
      <c r="X15" s="1214">
        <f t="shared" si="4"/>
        <v>0</v>
      </c>
      <c r="Y15" s="1214">
        <v>0</v>
      </c>
      <c r="Z15" s="1214">
        <f t="shared" si="5"/>
        <v>8.2695281787629991E-3</v>
      </c>
      <c r="AA15" s="1214">
        <v>0</v>
      </c>
      <c r="AB15" s="1214">
        <f t="shared" si="6"/>
        <v>13.135791960752181</v>
      </c>
      <c r="AC15" s="1214">
        <v>0</v>
      </c>
      <c r="AD15" s="1214">
        <f t="shared" si="7"/>
        <v>26.507693495471216</v>
      </c>
      <c r="AE15" s="1214">
        <v>0</v>
      </c>
      <c r="AF15" s="1214">
        <f t="shared" si="9"/>
        <v>29.671855819176837</v>
      </c>
      <c r="AG15" s="1214">
        <f t="shared" si="8"/>
        <v>39.355499999999999</v>
      </c>
      <c r="AH15" s="1214">
        <f t="shared" si="8"/>
        <v>0</v>
      </c>
      <c r="AI15" s="1214">
        <f t="shared" si="8"/>
        <v>0</v>
      </c>
      <c r="AJ15" s="1214">
        <f t="shared" si="8"/>
        <v>0</v>
      </c>
      <c r="AK15" s="1214">
        <f t="shared" si="8"/>
        <v>0</v>
      </c>
      <c r="AL15" s="1214">
        <f t="shared" si="8"/>
        <v>0</v>
      </c>
      <c r="AM15" s="1212">
        <f t="shared" si="10"/>
        <v>69.323610803579001</v>
      </c>
    </row>
    <row r="16" spans="1:40" ht="18">
      <c r="A16" s="1211"/>
      <c r="B16" s="1212"/>
      <c r="C16" s="1197">
        <v>24</v>
      </c>
      <c r="D16" s="1211">
        <v>0</v>
      </c>
      <c r="E16" s="1211">
        <v>0</v>
      </c>
      <c r="F16" s="1211">
        <v>40899912.943122141</v>
      </c>
      <c r="G16" s="1211">
        <v>43232.048883238043</v>
      </c>
      <c r="H16" s="1211">
        <f>'WA Depreciation'!H16</f>
        <v>21452619.868362073</v>
      </c>
      <c r="I16" s="1211">
        <f>'WA Depreciation'!I16</f>
        <v>16971222.115871679</v>
      </c>
      <c r="J16" s="1211">
        <f>'WA Depreciation'!J16</f>
        <v>160304.12538454187</v>
      </c>
      <c r="K16" s="1211">
        <f>'WA Depreciation'!K16</f>
        <v>39225555.5260107</v>
      </c>
      <c r="L16" s="1211">
        <f>'WA Depreciation'!L16</f>
        <v>-28032.175361683388</v>
      </c>
      <c r="M16" s="1211">
        <f>'WA Depreciation'!M16</f>
        <v>44909711.877236776</v>
      </c>
      <c r="N16" s="1211">
        <v>52963906</v>
      </c>
      <c r="O16" s="1211">
        <v>0</v>
      </c>
      <c r="P16" s="1211">
        <v>0</v>
      </c>
      <c r="Q16" s="1211">
        <v>0</v>
      </c>
      <c r="R16" s="1211">
        <v>0</v>
      </c>
      <c r="S16" s="1211">
        <v>0</v>
      </c>
      <c r="T16" s="1211">
        <f t="shared" si="2"/>
        <v>216598432.32950947</v>
      </c>
      <c r="U16" s="1211"/>
      <c r="V16" s="1213">
        <v>1.4999999999999999E-4</v>
      </c>
      <c r="W16" s="1214">
        <f t="shared" si="3"/>
        <v>0</v>
      </c>
      <c r="X16" s="1214">
        <f t="shared" si="4"/>
        <v>0</v>
      </c>
      <c r="Y16" s="1214">
        <v>0</v>
      </c>
      <c r="Z16" s="1214">
        <f t="shared" si="5"/>
        <v>6.4848073324857056</v>
      </c>
      <c r="AA16" s="1214">
        <v>0</v>
      </c>
      <c r="AB16" s="1214">
        <f t="shared" si="6"/>
        <v>2545.6833173807518</v>
      </c>
      <c r="AC16" s="1214">
        <v>0</v>
      </c>
      <c r="AD16" s="1214">
        <f t="shared" si="7"/>
        <v>5883.8333289016045</v>
      </c>
      <c r="AE16" s="1214">
        <v>0</v>
      </c>
      <c r="AF16" s="1214">
        <f t="shared" si="9"/>
        <v>6736.4567815855162</v>
      </c>
      <c r="AG16" s="1214">
        <f t="shared" si="8"/>
        <v>7944.5858999999991</v>
      </c>
      <c r="AH16" s="1214">
        <f t="shared" si="8"/>
        <v>0</v>
      </c>
      <c r="AI16" s="1214">
        <f t="shared" si="8"/>
        <v>0</v>
      </c>
      <c r="AJ16" s="1214">
        <f t="shared" si="8"/>
        <v>0</v>
      </c>
      <c r="AK16" s="1214">
        <f t="shared" si="8"/>
        <v>0</v>
      </c>
      <c r="AL16" s="1214">
        <f t="shared" si="8"/>
        <v>0</v>
      </c>
      <c r="AM16" s="1212">
        <f t="shared" si="10"/>
        <v>15172.458235200356</v>
      </c>
    </row>
    <row r="17" spans="1:40" ht="18">
      <c r="A17" s="1211"/>
      <c r="B17" s="1212"/>
      <c r="C17" s="1197">
        <v>36</v>
      </c>
      <c r="D17" s="1211">
        <v>0</v>
      </c>
      <c r="E17" s="1211">
        <v>0</v>
      </c>
      <c r="F17" s="1211">
        <v>68376090.940067425</v>
      </c>
      <c r="G17" s="1211">
        <v>105945.65332625389</v>
      </c>
      <c r="H17" s="1211">
        <f>'WA Depreciation'!H17</f>
        <v>34467817.157212913</v>
      </c>
      <c r="I17" s="1211">
        <f>'WA Depreciation'!I17</f>
        <v>32627453.06175755</v>
      </c>
      <c r="J17" s="1211">
        <f>'WA Depreciation'!J17</f>
        <v>1258769.9909199669</v>
      </c>
      <c r="K17" s="1211">
        <f>'WA Depreciation'!K17</f>
        <v>68256097.201518208</v>
      </c>
      <c r="L17" s="1211">
        <f>'WA Depreciation'!L17</f>
        <v>6925.0298176861497</v>
      </c>
      <c r="M17" s="1211">
        <f>'WA Depreciation'!M17</f>
        <v>75327712.619896457</v>
      </c>
      <c r="N17" s="1211">
        <v>88353295</v>
      </c>
      <c r="O17" s="1211">
        <v>0</v>
      </c>
      <c r="P17" s="1211">
        <v>0</v>
      </c>
      <c r="Q17" s="1211">
        <v>0</v>
      </c>
      <c r="R17" s="1211">
        <v>0</v>
      </c>
      <c r="S17" s="1211">
        <v>0</v>
      </c>
      <c r="T17" s="1211">
        <f t="shared" si="2"/>
        <v>368780106.65451652</v>
      </c>
      <c r="U17" s="1211"/>
      <c r="V17" s="1213">
        <v>1.2E-4</v>
      </c>
      <c r="W17" s="1214">
        <f t="shared" si="3"/>
        <v>0</v>
      </c>
      <c r="X17" s="1214">
        <f t="shared" si="4"/>
        <v>0</v>
      </c>
      <c r="Y17" s="1214">
        <v>0</v>
      </c>
      <c r="Z17" s="1214">
        <f t="shared" si="5"/>
        <v>12.713478399150468</v>
      </c>
      <c r="AA17" s="1214">
        <v>0</v>
      </c>
      <c r="AB17" s="1214">
        <f t="shared" si="6"/>
        <v>3915.294367410906</v>
      </c>
      <c r="AC17" s="1214">
        <v>0</v>
      </c>
      <c r="AD17" s="1214">
        <f t="shared" si="7"/>
        <v>8190.7316641821853</v>
      </c>
      <c r="AE17" s="1214">
        <v>0</v>
      </c>
      <c r="AF17" s="1214">
        <f t="shared" si="9"/>
        <v>9039.3255143875758</v>
      </c>
      <c r="AG17" s="1214">
        <f t="shared" si="8"/>
        <v>10602.395399999999</v>
      </c>
      <c r="AH17" s="1214">
        <f t="shared" si="8"/>
        <v>0</v>
      </c>
      <c r="AI17" s="1214">
        <f t="shared" si="8"/>
        <v>0</v>
      </c>
      <c r="AJ17" s="1214">
        <f t="shared" si="8"/>
        <v>0</v>
      </c>
      <c r="AK17" s="1214">
        <f t="shared" si="8"/>
        <v>0</v>
      </c>
      <c r="AL17" s="1214">
        <f t="shared" si="8"/>
        <v>0</v>
      </c>
      <c r="AM17" s="1212">
        <f t="shared" si="10"/>
        <v>21158.065024379815</v>
      </c>
    </row>
    <row r="18" spans="1:40" ht="18">
      <c r="A18" s="1211"/>
      <c r="B18" s="1212"/>
      <c r="C18" s="1197">
        <v>40</v>
      </c>
      <c r="D18" s="1211">
        <v>0</v>
      </c>
      <c r="E18" s="1211">
        <v>0</v>
      </c>
      <c r="F18" s="1211">
        <v>3027296.400846865</v>
      </c>
      <c r="G18" s="1211">
        <v>3509.0554471997762</v>
      </c>
      <c r="H18" s="1211">
        <f>'WA Depreciation'!H18</f>
        <v>2850463.5144671868</v>
      </c>
      <c r="I18" s="1211">
        <f>'WA Depreciation'!I18</f>
        <v>5119234.74505434</v>
      </c>
      <c r="J18" s="1211">
        <f>'WA Depreciation'!J18</f>
        <v>234120.67748765039</v>
      </c>
      <c r="K18" s="1211">
        <f>'WA Depreciation'!K18</f>
        <v>22608087.768180516</v>
      </c>
      <c r="L18" s="1211">
        <f>'WA Depreciation'!L18</f>
        <v>3872.9451637403909</v>
      </c>
      <c r="M18" s="1211">
        <f>'WA Depreciation'!M18</f>
        <v>25479378.378378429</v>
      </c>
      <c r="N18" s="1211">
        <v>41986485</v>
      </c>
      <c r="O18" s="1211">
        <v>0</v>
      </c>
      <c r="P18" s="1211">
        <v>0</v>
      </c>
      <c r="Q18" s="1211">
        <v>0</v>
      </c>
      <c r="R18" s="1211">
        <v>0</v>
      </c>
      <c r="S18" s="1211">
        <v>0</v>
      </c>
      <c r="T18" s="1211">
        <f t="shared" si="2"/>
        <v>101312448.48502593</v>
      </c>
      <c r="U18" s="1211"/>
      <c r="V18" s="1213">
        <v>1.2E-4</v>
      </c>
      <c r="W18" s="1214">
        <f t="shared" si="3"/>
        <v>0</v>
      </c>
      <c r="X18" s="1214">
        <f t="shared" si="4"/>
        <v>0</v>
      </c>
      <c r="Y18" s="1214">
        <v>0</v>
      </c>
      <c r="Z18" s="1214">
        <f t="shared" si="5"/>
        <v>0.42108665366397313</v>
      </c>
      <c r="AA18" s="1214">
        <v>0</v>
      </c>
      <c r="AB18" s="1214">
        <f t="shared" si="6"/>
        <v>614.30816940652085</v>
      </c>
      <c r="AC18" s="1214">
        <v>0</v>
      </c>
      <c r="AD18" s="1214">
        <f t="shared" si="7"/>
        <v>2712.9705321816618</v>
      </c>
      <c r="AE18" s="1214">
        <v>0</v>
      </c>
      <c r="AF18" s="1214">
        <f t="shared" si="9"/>
        <v>3057.5254054054117</v>
      </c>
      <c r="AG18" s="1214">
        <f t="shared" si="8"/>
        <v>5038.3782000000001</v>
      </c>
      <c r="AH18" s="1214">
        <f t="shared" si="8"/>
        <v>0</v>
      </c>
      <c r="AI18" s="1214">
        <f t="shared" si="8"/>
        <v>0</v>
      </c>
      <c r="AJ18" s="1214">
        <f t="shared" si="8"/>
        <v>0</v>
      </c>
      <c r="AK18" s="1214">
        <f t="shared" si="8"/>
        <v>0</v>
      </c>
      <c r="AL18" s="1214">
        <f t="shared" si="8"/>
        <v>0</v>
      </c>
      <c r="AM18" s="1212">
        <f t="shared" si="10"/>
        <v>6385.2251936472585</v>
      </c>
    </row>
    <row r="19" spans="1:40" ht="18">
      <c r="A19" s="1211"/>
      <c r="B19" s="1212"/>
      <c r="C19" s="1197">
        <v>47</v>
      </c>
      <c r="D19" s="1211">
        <v>0</v>
      </c>
      <c r="E19" s="1211">
        <v>0</v>
      </c>
      <c r="F19" s="1211">
        <v>165000</v>
      </c>
      <c r="G19" s="1211">
        <v>0</v>
      </c>
      <c r="H19" s="1211">
        <f>'WA Depreciation'!H19</f>
        <v>143225.998300765</v>
      </c>
      <c r="I19" s="1211">
        <f>'WA Depreciation'!I19</f>
        <v>4774.0672026386301</v>
      </c>
      <c r="J19" s="1211">
        <f>'WA Depreciation'!J19</f>
        <v>0</v>
      </c>
      <c r="K19" s="1211">
        <f>'WA Depreciation'!K19</f>
        <v>134000</v>
      </c>
      <c r="L19" s="1211">
        <f>'WA Depreciation'!L19</f>
        <v>0</v>
      </c>
      <c r="M19" s="1211">
        <f>'WA Depreciation'!M19</f>
        <v>136000</v>
      </c>
      <c r="N19" s="1211">
        <v>174000</v>
      </c>
      <c r="O19" s="1211">
        <v>0</v>
      </c>
      <c r="P19" s="1211">
        <v>0</v>
      </c>
      <c r="Q19" s="1211">
        <v>0</v>
      </c>
      <c r="R19" s="1211">
        <v>0</v>
      </c>
      <c r="S19" s="1211">
        <v>0</v>
      </c>
      <c r="T19" s="1211">
        <f t="shared" si="2"/>
        <v>757000.06550340354</v>
      </c>
      <c r="U19" s="1211"/>
      <c r="V19" s="1213">
        <v>1E-4</v>
      </c>
      <c r="W19" s="1214">
        <f t="shared" si="3"/>
        <v>0</v>
      </c>
      <c r="X19" s="1214">
        <f t="shared" si="4"/>
        <v>0</v>
      </c>
      <c r="Y19" s="1214">
        <v>0</v>
      </c>
      <c r="Z19" s="1214">
        <f t="shared" si="5"/>
        <v>0</v>
      </c>
      <c r="AA19" s="1214">
        <v>0</v>
      </c>
      <c r="AB19" s="1214">
        <f t="shared" si="6"/>
        <v>0.47740672026386305</v>
      </c>
      <c r="AC19" s="1214">
        <v>0</v>
      </c>
      <c r="AD19" s="1214">
        <f t="shared" si="7"/>
        <v>13.4</v>
      </c>
      <c r="AE19" s="1214">
        <v>0</v>
      </c>
      <c r="AF19" s="1214">
        <f t="shared" si="9"/>
        <v>13.600000000000001</v>
      </c>
      <c r="AG19" s="1214">
        <f t="shared" si="8"/>
        <v>17.400000000000002</v>
      </c>
      <c r="AH19" s="1214">
        <f t="shared" si="8"/>
        <v>0</v>
      </c>
      <c r="AI19" s="1214">
        <f t="shared" si="8"/>
        <v>0</v>
      </c>
      <c r="AJ19" s="1214">
        <f t="shared" si="8"/>
        <v>0</v>
      </c>
      <c r="AK19" s="1214">
        <f t="shared" si="8"/>
        <v>0</v>
      </c>
      <c r="AL19" s="1214">
        <f t="shared" si="8"/>
        <v>0</v>
      </c>
      <c r="AM19" s="1212">
        <f t="shared" si="10"/>
        <v>27.477406720263865</v>
      </c>
    </row>
    <row r="20" spans="1:40" ht="18">
      <c r="A20" s="1211"/>
      <c r="B20" s="1212"/>
      <c r="C20" s="1197" t="s">
        <v>71</v>
      </c>
      <c r="D20" s="1215">
        <v>0</v>
      </c>
      <c r="E20" s="1215">
        <v>0</v>
      </c>
      <c r="F20" s="1211">
        <v>29722674.917799979</v>
      </c>
      <c r="G20" s="1211">
        <v>81765.119227424992</v>
      </c>
      <c r="H20" s="1211">
        <f>'WA Depreciation'!H20</f>
        <v>12036400.680903293</v>
      </c>
      <c r="I20" s="1211">
        <f>'WA Depreciation'!I20</f>
        <v>19615129.654650934</v>
      </c>
      <c r="J20" s="1335">
        <f>'WA Depreciation'!J20</f>
        <v>353264.86830926058</v>
      </c>
      <c r="K20" s="1335">
        <f>'WA Depreciation'!K20</f>
        <v>32265184.970348984</v>
      </c>
      <c r="L20" s="1335">
        <f>'WA Depreciation'!L20</f>
        <v>0</v>
      </c>
      <c r="M20" s="1335">
        <f>'WA Depreciation'!M20</f>
        <v>32818739.579012752</v>
      </c>
      <c r="N20" s="1335">
        <v>39861530</v>
      </c>
      <c r="O20" s="1211">
        <v>0</v>
      </c>
      <c r="P20" s="1211">
        <v>0</v>
      </c>
      <c r="Q20" s="1211">
        <v>0</v>
      </c>
      <c r="R20" s="1211">
        <v>0</v>
      </c>
      <c r="S20" s="1211">
        <v>0</v>
      </c>
      <c r="T20" s="1211">
        <f t="shared" si="2"/>
        <v>166754689.79025263</v>
      </c>
      <c r="U20" s="1211"/>
      <c r="V20" s="1213">
        <v>1E-4</v>
      </c>
      <c r="W20" s="1214">
        <f t="shared" si="3"/>
        <v>0</v>
      </c>
      <c r="X20" s="1214">
        <f t="shared" si="4"/>
        <v>0</v>
      </c>
      <c r="Y20" s="1214">
        <v>0</v>
      </c>
      <c r="Z20" s="1214">
        <f t="shared" si="5"/>
        <v>8.1765119227424989</v>
      </c>
      <c r="AA20" s="1214">
        <v>0</v>
      </c>
      <c r="AB20" s="1214">
        <f t="shared" si="6"/>
        <v>1961.5129654650934</v>
      </c>
      <c r="AC20" s="1214">
        <v>0</v>
      </c>
      <c r="AD20" s="1214">
        <f t="shared" si="7"/>
        <v>3226.5184970348987</v>
      </c>
      <c r="AE20" s="1214">
        <v>0</v>
      </c>
      <c r="AF20" s="1214">
        <f t="shared" si="9"/>
        <v>3281.8739579012754</v>
      </c>
      <c r="AG20" s="1214">
        <f t="shared" si="8"/>
        <v>3986.1530000000002</v>
      </c>
      <c r="AH20" s="1214">
        <f t="shared" si="8"/>
        <v>0</v>
      </c>
      <c r="AI20" s="1214">
        <f t="shared" si="8"/>
        <v>0</v>
      </c>
      <c r="AJ20" s="1214">
        <f t="shared" si="8"/>
        <v>0</v>
      </c>
      <c r="AK20" s="1214">
        <f t="shared" si="8"/>
        <v>0</v>
      </c>
      <c r="AL20" s="1214">
        <f t="shared" si="8"/>
        <v>0</v>
      </c>
      <c r="AM20" s="1212">
        <f t="shared" si="10"/>
        <v>8478.0819323240103</v>
      </c>
    </row>
    <row r="21" spans="1:40" ht="18">
      <c r="A21" s="1211"/>
      <c r="B21" s="1212"/>
      <c r="C21" s="1197">
        <v>51</v>
      </c>
      <c r="D21" s="1211">
        <v>0</v>
      </c>
      <c r="E21" s="1211">
        <v>0</v>
      </c>
      <c r="F21" s="1211">
        <v>307632.70211296785</v>
      </c>
      <c r="G21" s="1211">
        <v>1466.4133560200712</v>
      </c>
      <c r="H21" s="1211">
        <f>'WA Depreciation'!H21</f>
        <v>181516.78398048918</v>
      </c>
      <c r="I21" s="1211">
        <f>'WA Depreciation'!I21</f>
        <v>141318.41810968317</v>
      </c>
      <c r="J21" s="1211">
        <f>'WA Depreciation'!J21</f>
        <v>1641.2394626307389</v>
      </c>
      <c r="K21" s="1211">
        <f>'WA Depreciation'!K21</f>
        <v>322306.76848355506</v>
      </c>
      <c r="L21" s="1211">
        <f>'WA Depreciation'!L21</f>
        <v>0</v>
      </c>
      <c r="M21" s="1211">
        <f>'WA Depreciation'!M21</f>
        <v>323593.83414946974</v>
      </c>
      <c r="N21" s="1211">
        <v>338336</v>
      </c>
      <c r="O21" s="1211">
        <v>0</v>
      </c>
      <c r="P21" s="1211">
        <v>0</v>
      </c>
      <c r="Q21" s="1211">
        <v>0</v>
      </c>
      <c r="R21" s="1211">
        <v>0</v>
      </c>
      <c r="S21" s="1211">
        <v>0</v>
      </c>
      <c r="T21" s="1211">
        <f t="shared" si="2"/>
        <v>1617812.1596548157</v>
      </c>
      <c r="U21" s="1211"/>
      <c r="V21" s="1213">
        <v>3.2000000000000003E-4</v>
      </c>
      <c r="W21" s="1214">
        <f t="shared" si="3"/>
        <v>0</v>
      </c>
      <c r="X21" s="1214">
        <f t="shared" si="4"/>
        <v>0</v>
      </c>
      <c r="Y21" s="1214">
        <v>0</v>
      </c>
      <c r="Z21" s="1214">
        <f t="shared" si="5"/>
        <v>0.46925227392642282</v>
      </c>
      <c r="AA21" s="1214">
        <v>0</v>
      </c>
      <c r="AB21" s="1214">
        <f t="shared" si="6"/>
        <v>45.221893795098623</v>
      </c>
      <c r="AC21" s="1214">
        <v>0</v>
      </c>
      <c r="AD21" s="1214">
        <f t="shared" si="7"/>
        <v>103.13816591473763</v>
      </c>
      <c r="AE21" s="1214">
        <v>0</v>
      </c>
      <c r="AF21" s="1214">
        <f t="shared" si="9"/>
        <v>103.55002692783033</v>
      </c>
      <c r="AG21" s="1214">
        <f t="shared" si="8"/>
        <v>108.26752</v>
      </c>
      <c r="AH21" s="1214">
        <f t="shared" si="8"/>
        <v>0</v>
      </c>
      <c r="AI21" s="1214">
        <f t="shared" si="8"/>
        <v>0</v>
      </c>
      <c r="AJ21" s="1214">
        <f t="shared" si="8"/>
        <v>0</v>
      </c>
      <c r="AK21" s="1214">
        <f t="shared" si="8"/>
        <v>0</v>
      </c>
      <c r="AL21" s="1214">
        <f t="shared" si="8"/>
        <v>0</v>
      </c>
      <c r="AM21" s="1212">
        <f t="shared" si="10"/>
        <v>252.37933891159298</v>
      </c>
    </row>
    <row r="22" spans="1:40" ht="18">
      <c r="A22" s="1211"/>
      <c r="B22" s="1212"/>
      <c r="C22" s="1197">
        <v>52</v>
      </c>
      <c r="D22" s="1211">
        <v>0</v>
      </c>
      <c r="E22" s="1211">
        <v>0</v>
      </c>
      <c r="F22" s="1211">
        <v>17481.556093861545</v>
      </c>
      <c r="G22" s="1211">
        <v>1.5266698819259601</v>
      </c>
      <c r="H22" s="1211">
        <f>'WA Depreciation'!H22</f>
        <v>10703.79956951191</v>
      </c>
      <c r="I22" s="1211">
        <f>'WA Depreciation'!I22</f>
        <v>6823.2243012918352</v>
      </c>
      <c r="J22" s="1211">
        <f>'WA Depreciation'!J22</f>
        <v>4.2707389672576701</v>
      </c>
      <c r="K22" s="1211">
        <f>'WA Depreciation'!K22</f>
        <v>17522.676431817155</v>
      </c>
      <c r="L22" s="1211">
        <f>'WA Depreciation'!L22</f>
        <v>0</v>
      </c>
      <c r="M22" s="1211">
        <f>'WA Depreciation'!M22</f>
        <v>16956.529200311365</v>
      </c>
      <c r="N22" s="1211">
        <v>14148</v>
      </c>
      <c r="O22" s="1211">
        <v>0</v>
      </c>
      <c r="P22" s="1211">
        <v>0</v>
      </c>
      <c r="Q22" s="1211">
        <v>0</v>
      </c>
      <c r="R22" s="1211">
        <v>0</v>
      </c>
      <c r="S22" s="1211">
        <v>0</v>
      </c>
      <c r="T22" s="1211">
        <f t="shared" si="2"/>
        <v>83641.583005642984</v>
      </c>
      <c r="U22" s="1211"/>
      <c r="V22" s="1213">
        <v>2.7999999999999998E-4</v>
      </c>
      <c r="W22" s="1214">
        <f t="shared" si="3"/>
        <v>0</v>
      </c>
      <c r="X22" s="1214">
        <f t="shared" si="4"/>
        <v>0</v>
      </c>
      <c r="Y22" s="1214">
        <v>0</v>
      </c>
      <c r="Z22" s="1214">
        <f t="shared" si="5"/>
        <v>4.2746756693926881E-4</v>
      </c>
      <c r="AA22" s="1214">
        <v>0</v>
      </c>
      <c r="AB22" s="1214">
        <f t="shared" si="6"/>
        <v>1.9105028043617136</v>
      </c>
      <c r="AC22" s="1214">
        <v>0</v>
      </c>
      <c r="AD22" s="1214">
        <f t="shared" si="7"/>
        <v>4.9063494009088027</v>
      </c>
      <c r="AE22" s="1214">
        <v>0</v>
      </c>
      <c r="AF22" s="1214">
        <f t="shared" si="9"/>
        <v>4.7478281760871814</v>
      </c>
      <c r="AG22" s="1214">
        <f t="shared" si="8"/>
        <v>3.9614399999999996</v>
      </c>
      <c r="AH22" s="1214">
        <f t="shared" si="8"/>
        <v>0</v>
      </c>
      <c r="AI22" s="1214">
        <f t="shared" si="8"/>
        <v>0</v>
      </c>
      <c r="AJ22" s="1214">
        <f t="shared" si="8"/>
        <v>0</v>
      </c>
      <c r="AK22" s="1214">
        <f t="shared" si="8"/>
        <v>0</v>
      </c>
      <c r="AL22" s="1214">
        <f t="shared" si="8"/>
        <v>0</v>
      </c>
      <c r="AM22" s="1212">
        <f t="shared" si="10"/>
        <v>11.565107848924637</v>
      </c>
    </row>
    <row r="23" spans="1:40" ht="18">
      <c r="A23" s="1211"/>
      <c r="B23" s="1212"/>
      <c r="C23" s="1197">
        <v>53</v>
      </c>
      <c r="D23" s="1211">
        <v>0</v>
      </c>
      <c r="E23" s="1211">
        <v>0</v>
      </c>
      <c r="F23" s="1211">
        <v>387573.71629311913</v>
      </c>
      <c r="G23" s="1211">
        <v>583.89074693422526</v>
      </c>
      <c r="H23" s="1211">
        <f>'WA Depreciation'!H23</f>
        <v>76860.557020406559</v>
      </c>
      <c r="I23" s="1211">
        <f>'WA Depreciation'!I23</f>
        <v>300829.96168437874</v>
      </c>
      <c r="J23" s="1211">
        <f>'WA Depreciation'!J23</f>
        <v>227.39455494427969</v>
      </c>
      <c r="K23" s="1211">
        <f>'WA Depreciation'!K23</f>
        <v>364921.93768619827</v>
      </c>
      <c r="L23" s="1211">
        <f>'WA Depreciation'!L23</f>
        <v>0</v>
      </c>
      <c r="M23" s="1211">
        <f>'WA Depreciation'!M23</f>
        <v>357992.1717999106</v>
      </c>
      <c r="N23" s="1211">
        <v>356773</v>
      </c>
      <c r="O23" s="1211">
        <v>0</v>
      </c>
      <c r="P23" s="1211">
        <v>0</v>
      </c>
      <c r="Q23" s="1211">
        <v>0</v>
      </c>
      <c r="R23" s="1211">
        <v>0</v>
      </c>
      <c r="S23" s="1211">
        <v>0</v>
      </c>
      <c r="T23" s="1211">
        <f t="shared" si="2"/>
        <v>1845762.6297858921</v>
      </c>
      <c r="U23" s="1211"/>
      <c r="V23" s="1213">
        <v>1.2E-4</v>
      </c>
      <c r="W23" s="1214">
        <f t="shared" si="3"/>
        <v>0</v>
      </c>
      <c r="X23" s="1214">
        <f t="shared" si="4"/>
        <v>0</v>
      </c>
      <c r="Y23" s="1214">
        <v>0</v>
      </c>
      <c r="Z23" s="1214">
        <f t="shared" si="5"/>
        <v>7.0066889632107027E-2</v>
      </c>
      <c r="AA23" s="1214">
        <v>0</v>
      </c>
      <c r="AB23" s="1214">
        <f t="shared" si="6"/>
        <v>36.099595402125452</v>
      </c>
      <c r="AC23" s="1214">
        <v>0</v>
      </c>
      <c r="AD23" s="1214">
        <f t="shared" si="7"/>
        <v>43.790632522343792</v>
      </c>
      <c r="AE23" s="1214">
        <v>0</v>
      </c>
      <c r="AF23" s="1214">
        <f t="shared" si="9"/>
        <v>42.959060615989273</v>
      </c>
      <c r="AG23" s="1214">
        <f t="shared" si="8"/>
        <v>42.812760000000004</v>
      </c>
      <c r="AH23" s="1214">
        <f t="shared" si="8"/>
        <v>0</v>
      </c>
      <c r="AI23" s="1214">
        <f t="shared" si="8"/>
        <v>0</v>
      </c>
      <c r="AJ23" s="1214">
        <f t="shared" si="8"/>
        <v>0</v>
      </c>
      <c r="AK23" s="1214">
        <f t="shared" si="8"/>
        <v>0</v>
      </c>
      <c r="AL23" s="1214">
        <f t="shared" si="8"/>
        <v>0</v>
      </c>
      <c r="AM23" s="1212">
        <f t="shared" si="10"/>
        <v>122.91935543009063</v>
      </c>
    </row>
    <row r="24" spans="1:40" ht="18">
      <c r="A24" s="1211"/>
      <c r="B24" s="1212"/>
      <c r="C24" s="1197">
        <v>54</v>
      </c>
      <c r="D24" s="1211">
        <v>0</v>
      </c>
      <c r="E24" s="1211">
        <v>0</v>
      </c>
      <c r="F24" s="1211">
        <v>23203.807257584798</v>
      </c>
      <c r="G24" s="1211">
        <v>17.9430045737071</v>
      </c>
      <c r="H24" s="1211">
        <f>'WA Depreciation'!H24</f>
        <v>11623.9143367043</v>
      </c>
      <c r="I24" s="1211">
        <f>'WA Depreciation'!I24</f>
        <v>7878.85540049255</v>
      </c>
      <c r="J24" s="1211">
        <f>'WA Depreciation'!J24</f>
        <v>0</v>
      </c>
      <c r="K24" s="1211">
        <f>'WA Depreciation'!K24</f>
        <v>11538.172862671499</v>
      </c>
      <c r="L24" s="1211">
        <f>'WA Depreciation'!L24</f>
        <v>0</v>
      </c>
      <c r="M24" s="1211">
        <f>'WA Depreciation'!M24</f>
        <v>23049.1380321332</v>
      </c>
      <c r="N24" s="1211">
        <v>31934</v>
      </c>
      <c r="O24" s="1211">
        <v>0</v>
      </c>
      <c r="P24" s="1211">
        <v>0</v>
      </c>
      <c r="Q24" s="1211">
        <v>0</v>
      </c>
      <c r="R24" s="1211">
        <v>0</v>
      </c>
      <c r="S24" s="1211">
        <v>0</v>
      </c>
      <c r="T24" s="1211">
        <f t="shared" si="2"/>
        <v>109245.83089416006</v>
      </c>
      <c r="U24" s="1211"/>
      <c r="V24" s="1213">
        <v>1.3999999999999999E-4</v>
      </c>
      <c r="W24" s="1214">
        <f t="shared" si="3"/>
        <v>0</v>
      </c>
      <c r="X24" s="1214">
        <f t="shared" si="4"/>
        <v>0</v>
      </c>
      <c r="Y24" s="1214">
        <v>0</v>
      </c>
      <c r="Z24" s="1214">
        <f t="shared" si="5"/>
        <v>2.5120206403189938E-3</v>
      </c>
      <c r="AA24" s="1214">
        <v>0</v>
      </c>
      <c r="AB24" s="1214">
        <f t="shared" si="6"/>
        <v>1.1030397560689569</v>
      </c>
      <c r="AC24" s="1214">
        <v>0</v>
      </c>
      <c r="AD24" s="1214">
        <f t="shared" si="7"/>
        <v>1.6153442007740098</v>
      </c>
      <c r="AE24" s="1214">
        <v>0</v>
      </c>
      <c r="AF24" s="1214">
        <f t="shared" si="9"/>
        <v>3.2268793244986478</v>
      </c>
      <c r="AG24" s="1214">
        <f t="shared" si="8"/>
        <v>4.4707599999999994</v>
      </c>
      <c r="AH24" s="1214">
        <f t="shared" si="8"/>
        <v>0</v>
      </c>
      <c r="AI24" s="1214">
        <f t="shared" si="8"/>
        <v>0</v>
      </c>
      <c r="AJ24" s="1214">
        <f t="shared" si="8"/>
        <v>0</v>
      </c>
      <c r="AK24" s="1214">
        <f t="shared" si="8"/>
        <v>0</v>
      </c>
      <c r="AL24" s="1214">
        <f t="shared" si="8"/>
        <v>0</v>
      </c>
      <c r="AM24" s="1212">
        <f t="shared" si="10"/>
        <v>5.9477753019819337</v>
      </c>
    </row>
    <row r="25" spans="1:40" ht="18">
      <c r="A25" s="1211"/>
      <c r="B25" s="1212"/>
      <c r="C25" s="1197">
        <v>57</v>
      </c>
      <c r="D25" s="1211">
        <v>0</v>
      </c>
      <c r="E25" s="1211">
        <v>0</v>
      </c>
      <c r="F25" s="1211">
        <v>143883.58079145971</v>
      </c>
      <c r="G25" s="1211">
        <v>568.42637273044306</v>
      </c>
      <c r="H25" s="1211">
        <f>'WA Depreciation'!H25</f>
        <v>77032.944135506317</v>
      </c>
      <c r="I25" s="1211">
        <f>'WA Depreciation'!I25</f>
        <v>67416.413442388701</v>
      </c>
      <c r="J25" s="1211">
        <f>'WA Depreciation'!J25</f>
        <v>0</v>
      </c>
      <c r="K25" s="1211">
        <f>'WA Depreciation'!K25</f>
        <v>144204</v>
      </c>
      <c r="L25" s="1211">
        <f>'WA Depreciation'!L25</f>
        <v>0</v>
      </c>
      <c r="M25" s="1211">
        <f>'WA Depreciation'!M25</f>
        <v>144183.6981132075</v>
      </c>
      <c r="N25" s="1211">
        <v>144078</v>
      </c>
      <c r="O25" s="1211">
        <v>0</v>
      </c>
      <c r="P25" s="1211">
        <v>0</v>
      </c>
      <c r="Q25" s="1211">
        <v>0</v>
      </c>
      <c r="R25" s="1211">
        <v>0</v>
      </c>
      <c r="S25" s="1211">
        <v>0</v>
      </c>
      <c r="T25" s="1211">
        <f t="shared" si="2"/>
        <v>721367.06285529269</v>
      </c>
      <c r="U25" s="1211"/>
      <c r="V25" s="1213">
        <v>2.0000000000000001E-4</v>
      </c>
      <c r="W25" s="1214">
        <f t="shared" si="3"/>
        <v>0</v>
      </c>
      <c r="X25" s="1214">
        <f t="shared" si="4"/>
        <v>0</v>
      </c>
      <c r="Y25" s="1214">
        <v>0</v>
      </c>
      <c r="Z25" s="1214">
        <f t="shared" si="5"/>
        <v>0.11368527454608862</v>
      </c>
      <c r="AA25" s="1214">
        <v>0</v>
      </c>
      <c r="AB25" s="1214">
        <f t="shared" si="6"/>
        <v>13.483282688477741</v>
      </c>
      <c r="AC25" s="1214">
        <v>0</v>
      </c>
      <c r="AD25" s="1214">
        <f t="shared" si="7"/>
        <v>28.840800000000002</v>
      </c>
      <c r="AE25" s="1214">
        <v>0</v>
      </c>
      <c r="AF25" s="1214">
        <f t="shared" si="9"/>
        <v>28.836739622641502</v>
      </c>
      <c r="AG25" s="1214">
        <f t="shared" si="8"/>
        <v>28.8156</v>
      </c>
      <c r="AH25" s="1214">
        <f t="shared" si="8"/>
        <v>0</v>
      </c>
      <c r="AI25" s="1214">
        <f t="shared" si="8"/>
        <v>0</v>
      </c>
      <c r="AJ25" s="1214">
        <f t="shared" si="8"/>
        <v>0</v>
      </c>
      <c r="AK25" s="1214">
        <f t="shared" si="8"/>
        <v>0</v>
      </c>
      <c r="AL25" s="1214">
        <f t="shared" si="8"/>
        <v>0</v>
      </c>
      <c r="AM25" s="1212">
        <f t="shared" si="10"/>
        <v>71.274507585665333</v>
      </c>
    </row>
    <row r="26" spans="1:40" ht="18">
      <c r="A26" s="1211"/>
      <c r="B26" s="1212"/>
      <c r="C26" s="1218" t="s">
        <v>847</v>
      </c>
      <c r="D26" s="1219">
        <v>0</v>
      </c>
      <c r="E26" s="1219">
        <v>0</v>
      </c>
      <c r="F26" s="1219">
        <v>35928000</v>
      </c>
      <c r="G26" s="1219">
        <v>0</v>
      </c>
      <c r="H26" s="1219">
        <f>'WA Depreciation'!H26</f>
        <v>38357419</v>
      </c>
      <c r="I26" s="1219">
        <f>'WA Depreciation'!I26</f>
        <v>1278581</v>
      </c>
      <c r="J26" s="1219">
        <f>'WA Depreciation'!J26</f>
        <v>0</v>
      </c>
      <c r="K26" s="1219">
        <f>'WA Depreciation'!K26</f>
        <v>38214000</v>
      </c>
      <c r="L26" s="1219">
        <f>'WA Depreciation'!L26</f>
        <v>0</v>
      </c>
      <c r="M26" s="1219">
        <f>'WA Depreciation'!M26</f>
        <v>36468000</v>
      </c>
      <c r="N26" s="1219">
        <v>34434000</v>
      </c>
      <c r="O26" s="1219">
        <v>0</v>
      </c>
      <c r="P26" s="1219">
        <v>0</v>
      </c>
      <c r="Q26" s="1219">
        <v>0</v>
      </c>
      <c r="R26" s="1219">
        <v>0</v>
      </c>
      <c r="S26" s="1219">
        <v>0</v>
      </c>
      <c r="T26" s="1215">
        <f t="shared" si="2"/>
        <v>184680000</v>
      </c>
      <c r="U26" s="1211"/>
      <c r="V26" s="1213">
        <v>1E-4</v>
      </c>
      <c r="W26" s="1214">
        <f t="shared" si="3"/>
        <v>0</v>
      </c>
      <c r="X26" s="1214">
        <f t="shared" si="4"/>
        <v>0</v>
      </c>
      <c r="Y26" s="1214">
        <v>0</v>
      </c>
      <c r="Z26" s="1214">
        <f t="shared" si="5"/>
        <v>0</v>
      </c>
      <c r="AA26" s="1214">
        <v>0</v>
      </c>
      <c r="AB26" s="1214">
        <f t="shared" si="6"/>
        <v>127.85810000000001</v>
      </c>
      <c r="AC26" s="1214">
        <v>0</v>
      </c>
      <c r="AD26" s="1214">
        <f t="shared" si="7"/>
        <v>3821.4</v>
      </c>
      <c r="AE26" s="1214">
        <v>0</v>
      </c>
      <c r="AF26" s="1214">
        <f t="shared" si="9"/>
        <v>3646.8</v>
      </c>
      <c r="AG26" s="1214">
        <f t="shared" si="8"/>
        <v>3443.4</v>
      </c>
      <c r="AH26" s="1214">
        <f t="shared" si="8"/>
        <v>0</v>
      </c>
      <c r="AI26" s="1214">
        <f t="shared" si="8"/>
        <v>0</v>
      </c>
      <c r="AJ26" s="1214">
        <f t="shared" si="8"/>
        <v>0</v>
      </c>
      <c r="AK26" s="1214">
        <f t="shared" si="8"/>
        <v>0</v>
      </c>
      <c r="AL26" s="1214">
        <f t="shared" si="8"/>
        <v>0</v>
      </c>
      <c r="AM26" s="1212">
        <f t="shared" si="10"/>
        <v>7596.0581000000002</v>
      </c>
    </row>
    <row r="27" spans="1:40" ht="18">
      <c r="A27" s="1221"/>
      <c r="B27" s="1208"/>
      <c r="W27" s="1214"/>
      <c r="X27" s="1214"/>
      <c r="Y27" s="1214"/>
      <c r="Z27" s="1214"/>
      <c r="AA27" s="1214"/>
      <c r="AB27" s="1214"/>
      <c r="AC27" s="1214"/>
      <c r="AD27" s="1214"/>
      <c r="AE27" s="1214"/>
      <c r="AF27" s="1214"/>
      <c r="AG27" s="1214"/>
      <c r="AH27" s="1214"/>
      <c r="AI27" s="1214"/>
      <c r="AJ27" s="1214"/>
      <c r="AK27" s="1214"/>
    </row>
    <row r="28" spans="1:40" ht="18">
      <c r="C28" s="1196" t="s">
        <v>848</v>
      </c>
      <c r="D28" s="1215">
        <v>0</v>
      </c>
      <c r="E28" s="1215">
        <v>0</v>
      </c>
      <c r="F28" s="1215">
        <f>SUM(F12:F26)</f>
        <v>301669418.15705955</v>
      </c>
      <c r="G28" s="1215">
        <f t="shared" ref="G28:T28" si="11">SUM(G12:G26)</f>
        <v>381237.69194445288</v>
      </c>
      <c r="H28" s="1215">
        <f>SUM(H12:H26)</f>
        <v>159044445.62478682</v>
      </c>
      <c r="I28" s="1215">
        <f>SUM(I12:I26)</f>
        <v>127457154.95028539</v>
      </c>
      <c r="J28" s="1215">
        <f>SUM(J12:J26)</f>
        <v>2040832.2473641578</v>
      </c>
      <c r="K28" s="1215">
        <f>SUM(K12:K26)</f>
        <v>291871154.62450582</v>
      </c>
      <c r="L28" s="1215">
        <f t="shared" si="11"/>
        <v>13036.893737902206</v>
      </c>
      <c r="M28" s="1215">
        <f t="shared" si="11"/>
        <v>319310208.63515955</v>
      </c>
      <c r="N28" s="1215">
        <f t="shared" si="11"/>
        <v>397101959</v>
      </c>
      <c r="O28" s="1215">
        <f t="shared" si="11"/>
        <v>0</v>
      </c>
      <c r="P28" s="1215">
        <f t="shared" si="11"/>
        <v>0</v>
      </c>
      <c r="Q28" s="1215">
        <f t="shared" si="11"/>
        <v>0</v>
      </c>
      <c r="R28" s="1215">
        <f t="shared" si="11"/>
        <v>0</v>
      </c>
      <c r="S28" s="1215">
        <f t="shared" si="11"/>
        <v>0</v>
      </c>
      <c r="T28" s="1215">
        <f t="shared" si="11"/>
        <v>1598889447.8248436</v>
      </c>
      <c r="U28" s="1211"/>
      <c r="W28" s="1214">
        <f>SUM(W12:W26)</f>
        <v>0</v>
      </c>
      <c r="X28" s="1214">
        <f t="shared" ref="X28:AL28" si="12">SUM(X12:X26)</f>
        <v>0</v>
      </c>
      <c r="Y28" s="1214">
        <f t="shared" si="12"/>
        <v>0</v>
      </c>
      <c r="Z28" s="1214">
        <f t="shared" si="12"/>
        <v>50.181706065287919</v>
      </c>
      <c r="AA28" s="1214">
        <f t="shared" si="12"/>
        <v>0</v>
      </c>
      <c r="AB28" s="1214">
        <f t="shared" si="12"/>
        <v>16972.092665689499</v>
      </c>
      <c r="AC28" s="1214">
        <f t="shared" si="12"/>
        <v>0</v>
      </c>
      <c r="AD28" s="1214">
        <f t="shared" si="12"/>
        <v>37598.786519874535</v>
      </c>
      <c r="AE28" s="1214">
        <f t="shared" si="12"/>
        <v>0</v>
      </c>
      <c r="AF28" s="1214">
        <f t="shared" si="12"/>
        <v>41476.099935384736</v>
      </c>
      <c r="AG28" s="1214">
        <f t="shared" si="12"/>
        <v>52008.681199999999</v>
      </c>
      <c r="AH28" s="1214">
        <f t="shared" si="12"/>
        <v>0</v>
      </c>
      <c r="AI28" s="1214">
        <f t="shared" si="12"/>
        <v>0</v>
      </c>
      <c r="AJ28" s="1214">
        <f t="shared" si="12"/>
        <v>0</v>
      </c>
      <c r="AK28" s="1214">
        <f t="shared" si="12"/>
        <v>0</v>
      </c>
      <c r="AL28" s="1214">
        <f t="shared" si="12"/>
        <v>0</v>
      </c>
      <c r="AM28" s="1214">
        <f>SUM(AM12:AM26)</f>
        <v>96097.160827014071</v>
      </c>
    </row>
    <row r="29" spans="1:40">
      <c r="B29" s="1220"/>
    </row>
    <row r="30" spans="1:40" ht="18">
      <c r="C30" s="1223" t="s">
        <v>849</v>
      </c>
      <c r="D30" s="1224"/>
      <c r="E30" s="1224">
        <v>0</v>
      </c>
      <c r="F30" s="1224">
        <v>0</v>
      </c>
      <c r="G30" s="1224">
        <v>0</v>
      </c>
      <c r="H30" s="1224">
        <f>H28-'WA Depreciation'!H28</f>
        <v>0</v>
      </c>
      <c r="I30" s="1224">
        <f>I28-'WA Depreciation'!I28</f>
        <v>0</v>
      </c>
      <c r="J30" s="1224">
        <f>J28-'WA Depreciation'!J28</f>
        <v>0</v>
      </c>
      <c r="K30" s="1224">
        <f>K28-'WA Depreciation'!K28</f>
        <v>0</v>
      </c>
      <c r="L30" s="1224">
        <f>L28-'WA Depreciation'!L28</f>
        <v>0</v>
      </c>
      <c r="M30" s="1224">
        <f>M28-'WA Depreciation'!M28</f>
        <v>0</v>
      </c>
      <c r="N30" s="1224">
        <v>0</v>
      </c>
      <c r="O30" s="1224">
        <v>0</v>
      </c>
      <c r="P30" s="1224">
        <v>0</v>
      </c>
      <c r="Q30" s="1224">
        <v>0</v>
      </c>
      <c r="R30" s="1224">
        <v>0</v>
      </c>
      <c r="S30" s="1224">
        <v>0</v>
      </c>
      <c r="AM30" s="1220"/>
      <c r="AN30" s="1220"/>
    </row>
    <row r="31" spans="1:40">
      <c r="AM31" s="1220"/>
    </row>
    <row r="32" spans="1:40" ht="18">
      <c r="C32" s="1197"/>
      <c r="D32" s="1211"/>
      <c r="E32" s="1211"/>
      <c r="F32" s="1211"/>
      <c r="G32" s="1211"/>
      <c r="H32" s="1211"/>
      <c r="I32" s="1211"/>
      <c r="J32" s="1211"/>
      <c r="K32" s="1211"/>
      <c r="L32" s="1211"/>
      <c r="M32" s="1211"/>
      <c r="N32" s="1211"/>
      <c r="O32" s="1225"/>
      <c r="P32" s="1211"/>
      <c r="Q32" s="1211"/>
      <c r="R32" s="1211"/>
      <c r="S32" s="1211"/>
      <c r="T32" s="1211"/>
      <c r="U32" s="1211"/>
    </row>
    <row r="33" spans="3:39" ht="18">
      <c r="C33" s="1197"/>
      <c r="D33" s="1211"/>
      <c r="E33" s="1211"/>
      <c r="F33" s="1211"/>
      <c r="G33" s="1211"/>
      <c r="H33" s="1211"/>
      <c r="I33" s="1211"/>
      <c r="J33" s="1211"/>
      <c r="K33" s="1211"/>
      <c r="L33" s="1211"/>
      <c r="M33" s="1211"/>
      <c r="N33" s="1211"/>
      <c r="O33" s="1211"/>
      <c r="P33" s="1211"/>
      <c r="Q33" s="1211"/>
      <c r="R33" s="1211"/>
      <c r="S33" s="1211"/>
      <c r="T33" s="1211"/>
      <c r="U33" s="1211"/>
    </row>
    <row r="34" spans="3:39" ht="18">
      <c r="C34" s="1197"/>
      <c r="D34" s="1215"/>
      <c r="E34" s="1215"/>
      <c r="F34" s="1215"/>
      <c r="G34" s="1215"/>
      <c r="H34" s="1215"/>
      <c r="I34" s="1215"/>
      <c r="J34" s="1215"/>
      <c r="K34" s="1215"/>
      <c r="L34" s="1215"/>
      <c r="M34" s="1215"/>
      <c r="N34" s="1215"/>
      <c r="O34" s="1215"/>
      <c r="P34" s="1215"/>
      <c r="Q34" s="1215"/>
      <c r="R34" s="1215"/>
      <c r="S34" s="1215"/>
      <c r="T34" s="1211"/>
      <c r="U34" s="1211"/>
      <c r="V34" s="1226"/>
      <c r="W34" s="1226"/>
      <c r="X34" s="1226"/>
      <c r="AL34" s="1226"/>
      <c r="AM34" s="1217"/>
    </row>
    <row r="35" spans="3:39" ht="18">
      <c r="C35" s="1195"/>
      <c r="D35" s="1211"/>
      <c r="E35" s="1211"/>
      <c r="F35" s="1211"/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  <c r="S35" s="1211"/>
      <c r="T35" s="1211"/>
      <c r="U35" s="1211"/>
      <c r="W35" s="1214"/>
    </row>
    <row r="38" spans="3:39">
      <c r="W38" s="1220"/>
    </row>
  </sheetData>
  <printOptions horizontalCentered="1" gridLines="1" gridLinesSet="0"/>
  <pageMargins left="0.5" right="0.5" top="0.5" bottom="0.62" header="0.5" footer="0.46"/>
  <pageSetup scale="51" orientation="landscape" r:id="rId1"/>
  <headerFooter alignWithMargins="0">
    <oddFooter>&amp;L&amp;8&amp;D&amp;C&amp;8Prepared by Pricing&amp;R&amp;8&amp;F: 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AH115"/>
  <sheetViews>
    <sheetView view="pageBreakPreview" zoomScale="85" zoomScaleNormal="100" zoomScaleSheetLayoutView="85" workbookViewId="0">
      <pane ySplit="5" topLeftCell="A6" activePane="bottomLeft" state="frozen"/>
      <selection activeCell="F14" sqref="F14"/>
      <selection pane="bottomLeft" activeCell="A6" sqref="A6"/>
    </sheetView>
  </sheetViews>
  <sheetFormatPr defaultColWidth="8" defaultRowHeight="12.75"/>
  <cols>
    <col min="1" max="1" width="13.125" style="124" customWidth="1"/>
    <col min="2" max="2" width="1.625" style="122" customWidth="1"/>
    <col min="3" max="3" width="13.125" style="144" customWidth="1"/>
    <col min="4" max="4" width="1.625" style="123" customWidth="1"/>
    <col min="5" max="5" width="13.125" style="123" customWidth="1"/>
    <col min="6" max="6" width="1.625" style="123" customWidth="1"/>
    <col min="7" max="7" width="13.125" style="123" customWidth="1"/>
    <col min="8" max="8" width="1.625" style="123" customWidth="1"/>
    <col min="9" max="9" width="13.125" style="123" customWidth="1"/>
    <col min="10" max="10" width="1.625" style="123" customWidth="1"/>
    <col min="11" max="11" width="13.125" style="123" customWidth="1"/>
    <col min="12" max="12" width="1.625" style="123" customWidth="1"/>
    <col min="13" max="13" width="14.125" style="123" customWidth="1"/>
    <col min="14" max="14" width="1.625" style="123" customWidth="1"/>
    <col min="15" max="15" width="14.25" style="123" customWidth="1"/>
    <col min="16" max="16" width="1.625" style="123" customWidth="1"/>
    <col min="17" max="17" width="13.125" style="124" customWidth="1"/>
    <col min="18" max="18" width="13.125" style="122" customWidth="1"/>
    <col min="19" max="19" width="13.125" style="1351" customWidth="1"/>
    <col min="20" max="22" width="13.75" style="122" customWidth="1"/>
    <col min="23" max="23" width="13.125" style="122" customWidth="1"/>
    <col min="24" max="24" width="13.75" style="122" customWidth="1"/>
    <col min="25" max="25" width="4.125" style="122" hidden="1" customWidth="1"/>
    <col min="26" max="26" width="14.75" style="122" hidden="1" customWidth="1"/>
    <col min="27" max="27" width="12.125" style="122" hidden="1" customWidth="1"/>
    <col min="28" max="28" width="12" style="122" hidden="1" customWidth="1"/>
    <col min="29" max="29" width="1.625" style="122" customWidth="1"/>
    <col min="30" max="30" width="13.875" style="122" customWidth="1"/>
    <col min="31" max="31" width="13.125" style="124" customWidth="1"/>
    <col min="32" max="33" width="1.625" style="122" customWidth="1"/>
    <col min="34" max="34" width="14.125" style="122" bestFit="1" customWidth="1"/>
    <col min="35" max="16384" width="8" style="122"/>
  </cols>
  <sheetData>
    <row r="1" spans="1:34" ht="15.75">
      <c r="A1" s="1356" t="s">
        <v>248</v>
      </c>
      <c r="B1" s="119"/>
      <c r="C1" s="732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</row>
    <row r="2" spans="1:34" ht="15.75">
      <c r="A2" s="1347"/>
      <c r="V2" s="132"/>
    </row>
    <row r="3" spans="1:34" s="124" customFormat="1">
      <c r="C3" s="1337" t="s">
        <v>1</v>
      </c>
      <c r="D3" s="1338"/>
      <c r="E3" s="1338"/>
      <c r="F3" s="1338"/>
      <c r="G3" s="1338"/>
      <c r="H3" s="1338"/>
      <c r="I3" s="1338"/>
      <c r="J3" s="1338"/>
      <c r="K3" s="1338"/>
      <c r="L3" s="1338"/>
      <c r="M3" s="1338"/>
      <c r="N3" s="1338"/>
      <c r="O3" s="1338"/>
      <c r="P3" s="1338"/>
      <c r="S3" s="1352" t="s">
        <v>249</v>
      </c>
      <c r="T3" s="147" t="s">
        <v>31</v>
      </c>
      <c r="U3" s="147"/>
      <c r="V3" s="147"/>
      <c r="X3" s="124" t="s">
        <v>696</v>
      </c>
      <c r="Z3" s="147" t="s">
        <v>286</v>
      </c>
    </row>
    <row r="4" spans="1:34" s="124" customFormat="1">
      <c r="C4" s="1339"/>
      <c r="D4" s="1338"/>
      <c r="E4" s="1338"/>
      <c r="F4" s="1338"/>
      <c r="G4" s="1338" t="s">
        <v>969</v>
      </c>
      <c r="H4" s="1338"/>
      <c r="I4" s="1338" t="s">
        <v>969</v>
      </c>
      <c r="J4" s="1338"/>
      <c r="K4" s="1338"/>
      <c r="L4" s="1338"/>
      <c r="M4" s="1338"/>
      <c r="N4" s="1338"/>
      <c r="O4" s="1338" t="s">
        <v>670</v>
      </c>
      <c r="P4" s="1338"/>
      <c r="Q4" s="124" t="s">
        <v>250</v>
      </c>
      <c r="R4" s="147" t="s">
        <v>257</v>
      </c>
      <c r="S4" s="1352" t="s">
        <v>251</v>
      </c>
      <c r="T4" s="147" t="s">
        <v>566</v>
      </c>
      <c r="U4" s="1338" t="s">
        <v>978</v>
      </c>
      <c r="V4" s="1338" t="s">
        <v>162</v>
      </c>
      <c r="W4" s="124" t="s">
        <v>250</v>
      </c>
      <c r="X4" s="147" t="s">
        <v>257</v>
      </c>
      <c r="Z4" s="124" t="s">
        <v>191</v>
      </c>
      <c r="AA4" s="124" t="s">
        <v>250</v>
      </c>
      <c r="AB4" s="147" t="s">
        <v>257</v>
      </c>
      <c r="AD4" s="147" t="s">
        <v>9</v>
      </c>
    </row>
    <row r="5" spans="1:34" s="124" customFormat="1">
      <c r="A5" s="124" t="s">
        <v>252</v>
      </c>
      <c r="C5" s="1340">
        <v>305</v>
      </c>
      <c r="D5" s="1338"/>
      <c r="E5" s="1341" t="s">
        <v>194</v>
      </c>
      <c r="F5" s="1341"/>
      <c r="G5" s="1341" t="s">
        <v>970</v>
      </c>
      <c r="H5" s="1341"/>
      <c r="I5" s="1341" t="s">
        <v>968</v>
      </c>
      <c r="J5" s="1341"/>
      <c r="K5" s="1341" t="s">
        <v>253</v>
      </c>
      <c r="L5" s="1341"/>
      <c r="M5" s="1341" t="s">
        <v>254</v>
      </c>
      <c r="N5" s="1341"/>
      <c r="O5" s="1341" t="s">
        <v>255</v>
      </c>
      <c r="P5" s="1341"/>
      <c r="Q5" s="124" t="s">
        <v>31</v>
      </c>
      <c r="R5" s="147" t="s">
        <v>973</v>
      </c>
      <c r="S5" s="1352" t="s">
        <v>258</v>
      </c>
      <c r="T5" s="124" t="s">
        <v>1</v>
      </c>
      <c r="U5" s="1341" t="s">
        <v>255</v>
      </c>
      <c r="V5" s="1341" t="s">
        <v>978</v>
      </c>
      <c r="W5" s="147" t="s">
        <v>974</v>
      </c>
      <c r="X5" s="147" t="s">
        <v>975</v>
      </c>
      <c r="Z5" s="124" t="s">
        <v>1</v>
      </c>
      <c r="AA5" s="147" t="s">
        <v>287</v>
      </c>
      <c r="AB5" s="147" t="s">
        <v>288</v>
      </c>
      <c r="AD5" s="147" t="s">
        <v>44</v>
      </c>
    </row>
    <row r="6" spans="1:34" s="131" customFormat="1">
      <c r="A6" s="132" t="s">
        <v>259</v>
      </c>
      <c r="C6" s="144"/>
      <c r="D6" s="128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32"/>
      <c r="R6" s="132"/>
      <c r="S6" s="1353"/>
      <c r="T6" s="132"/>
      <c r="U6" s="132"/>
      <c r="V6" s="132"/>
      <c r="W6" s="132"/>
      <c r="X6" s="132"/>
      <c r="Y6" s="132"/>
      <c r="Z6" s="132"/>
      <c r="AA6" s="132"/>
      <c r="AB6" s="132"/>
      <c r="AC6" s="132"/>
      <c r="AD6" s="132"/>
      <c r="AE6" s="132"/>
    </row>
    <row r="7" spans="1:34" s="725" customFormat="1">
      <c r="A7" s="1342" t="s">
        <v>260</v>
      </c>
      <c r="C7" s="733">
        <f>VLOOKUP(A7,'305 Inputs'!$E$118:$I$144,5,FALSE)</f>
        <v>129705719.7</v>
      </c>
      <c r="D7" s="728"/>
      <c r="E7" s="734">
        <f>-('305 VS COGNOS kWh'!$C$7/('305 VS COGNOS kWh'!$C$7+'305 VS COGNOS kWh'!$C$11)*'WA SBC'!$H$16)</f>
        <v>-4017503.366510001</v>
      </c>
      <c r="F7" s="734"/>
      <c r="G7" s="734">
        <f>-('305 VS COGNOS kWh'!$C$7/('305 VS COGNOS kWh'!$C$7+'305 VS COGNOS kWh'!$C$11)*'WA Depreciation'!$AM$13)</f>
        <v>57240.375820186295</v>
      </c>
      <c r="H7" s="734"/>
      <c r="I7" s="734">
        <f>-('305 VS COGNOS kWh'!$C$7/('305 VS COGNOS kWh'!$C$7+'305 VS COGNOS kWh'!$C$11)*'WA Merwin'!$AM$13)</f>
        <v>-34344.225492111771</v>
      </c>
      <c r="J7" s="733"/>
      <c r="K7" s="734">
        <v>-3888.2200000000012</v>
      </c>
      <c r="L7" s="733"/>
      <c r="M7" s="733">
        <f>C7+E7++G7+I7+K7</f>
        <v>125707224.26381809</v>
      </c>
      <c r="N7" s="733"/>
      <c r="O7" s="734">
        <v>125793352.460004</v>
      </c>
      <c r="P7" s="733"/>
      <c r="Q7" s="1349">
        <f>ROUND(O7/M7*100,3)-100</f>
        <v>6.9000000000002615E-2</v>
      </c>
      <c r="R7" s="735">
        <f>O7-M7</f>
        <v>86128.196185916662</v>
      </c>
      <c r="S7" s="1354">
        <f t="shared" ref="S7:S14" si="0">IF(ABS(Q7)&lt;=0.5,0,IF(M7&gt;O7,(M7*0.995)-O7,(M7*1.005)-O7))</f>
        <v>0</v>
      </c>
      <c r="T7" s="734">
        <f>'Rate Design Work eff 10-14-16'!F115-O11-Temperature!G22*1000</f>
        <v>129507484.71208499</v>
      </c>
      <c r="U7" s="734">
        <v>129316271.24292301</v>
      </c>
      <c r="V7" s="734">
        <f>T7-U7+Temperature!G22*1000-Temperature!C22*1000*Temperature!E21-Temperature!D22*1000*Temperature!F21</f>
        <v>7734.2650897009298</v>
      </c>
      <c r="W7" s="744">
        <f>((T7-M7)/M7)*100</f>
        <v>3.0231042571518505</v>
      </c>
      <c r="X7" s="735">
        <f>T7-O7</f>
        <v>3714132.2520809919</v>
      </c>
      <c r="Y7" s="731"/>
      <c r="Z7" s="734" t="e">
        <f>'Rate Design Work eff 10-14-16'!#REF!-#REF!*1000</f>
        <v>#REF!</v>
      </c>
      <c r="AA7" s="731" t="e">
        <f t="shared" ref="AA7:AA14" si="1">((Z7-T7)/T7)*100</f>
        <v>#REF!</v>
      </c>
      <c r="AB7" s="735" t="e">
        <f t="shared" ref="AB7:AB14" si="2">Z7-T7</f>
        <v>#REF!</v>
      </c>
      <c r="AC7" s="731"/>
      <c r="AD7" s="735">
        <f>K7+R7+X7</f>
        <v>3796372.2282669083</v>
      </c>
      <c r="AE7" s="1342" t="str">
        <f>IF(ABS(S7)&lt;1, "OK", "NOPE")</f>
        <v>OK</v>
      </c>
      <c r="AF7" s="735" t="s">
        <v>31</v>
      </c>
      <c r="AG7" s="768"/>
    </row>
    <row r="8" spans="1:34" s="725" customFormat="1">
      <c r="A8" s="1342" t="s">
        <v>261</v>
      </c>
      <c r="C8" s="733">
        <f>VLOOKUP(A8,'305 Inputs'!$E$118:$I$144,5,FALSE)</f>
        <v>7788978.2800000003</v>
      </c>
      <c r="D8" s="728"/>
      <c r="E8" s="734">
        <f>-'WA SBC'!$H$17</f>
        <v>-242501.63875000001</v>
      </c>
      <c r="F8" s="734"/>
      <c r="G8" s="734">
        <f>-'WA Depreciation'!$AM$14</f>
        <v>3624.4318933351219</v>
      </c>
      <c r="H8" s="734"/>
      <c r="I8" s="734">
        <f>-'WA Merwin'!$AM$14</f>
        <v>-2174.659136001073</v>
      </c>
      <c r="J8" s="733"/>
      <c r="K8" s="734">
        <v>552.03</v>
      </c>
      <c r="L8" s="733"/>
      <c r="M8" s="733">
        <f t="shared" ref="M8:M13" si="3">C8+E8++G8+I8+K8</f>
        <v>7548478.4440073343</v>
      </c>
      <c r="N8" s="733"/>
      <c r="O8" s="734">
        <v>7547468.8379945504</v>
      </c>
      <c r="P8" s="733"/>
      <c r="Q8" s="1342">
        <f t="shared" ref="Q8:Q14" si="4">ROUND(O8/M8*100,3)-100</f>
        <v>-1.300000000000523E-2</v>
      </c>
      <c r="R8" s="735">
        <f t="shared" ref="R8:R14" si="5">O8-M8</f>
        <v>-1009.6060127839446</v>
      </c>
      <c r="S8" s="1354">
        <f t="shared" si="0"/>
        <v>0</v>
      </c>
      <c r="T8" s="734">
        <f>'Rate Design Work eff 10-14-16'!F130-Temperature!G40*1000</f>
        <v>7770591.5800000001</v>
      </c>
      <c r="U8" s="734">
        <v>7757147.8444535499</v>
      </c>
      <c r="V8" s="734">
        <f>T8-U8+Temperature!G40*1000-Temperature!C40*1000*Temperature!E39-Temperature!D40*1000*Temperature!F39</f>
        <v>-0.11720403717481531</v>
      </c>
      <c r="W8" s="744">
        <f t="shared" ref="W8:W14" si="6">((T8-M8)/M8)*100</f>
        <v>2.9424888424898303</v>
      </c>
      <c r="X8" s="735">
        <f>T8-O8</f>
        <v>223122.74200544972</v>
      </c>
      <c r="Y8" s="731"/>
      <c r="Z8" s="734" t="e">
        <f>'Rate Design Work eff 10-14-16'!#REF!</f>
        <v>#REF!</v>
      </c>
      <c r="AA8" s="731" t="e">
        <f t="shared" si="1"/>
        <v>#REF!</v>
      </c>
      <c r="AB8" s="735" t="e">
        <f t="shared" si="2"/>
        <v>#REF!</v>
      </c>
      <c r="AC8" s="731"/>
      <c r="AD8" s="735">
        <f t="shared" ref="AD8:AD13" si="7">K8+R8+X8</f>
        <v>222665.16599266577</v>
      </c>
      <c r="AE8" s="1342"/>
      <c r="AG8" s="768"/>
    </row>
    <row r="9" spans="1:34" s="725" customFormat="1">
      <c r="A9" s="1342" t="s">
        <v>262</v>
      </c>
      <c r="B9" s="735"/>
      <c r="C9" s="733">
        <f>VLOOKUP(A9,'305 Inputs'!$E$118:$I$144,5,FALSE)</f>
        <v>219458.32</v>
      </c>
      <c r="D9" s="728"/>
      <c r="E9" s="734">
        <f>-('305 VS COGNOS kWh'!$C$9/('305 VS COGNOS kWh'!$C$9+'305 VS COGNOS kWh'!$C$10)*'WA SBC'!$H$18)</f>
        <v>-6194.8417000000018</v>
      </c>
      <c r="F9" s="734"/>
      <c r="G9" s="734">
        <f>-('305 VS COGNOS kWh'!$C$9/('305 VS COGNOS kWh'!$C$9+'305 VS COGNOS kWh'!$C$10)*'WA Depreciation'!$AM$15)</f>
        <v>97.799420463621843</v>
      </c>
      <c r="H9" s="734"/>
      <c r="I9" s="734">
        <f>-('305 VS COGNOS kWh'!$C$9/('305 VS COGNOS kWh'!$C$9+'305 VS COGNOS kWh'!$C$10)*'WA Merwin'!$AM$15)</f>
        <v>-58.679652278173108</v>
      </c>
      <c r="J9" s="733"/>
      <c r="K9" s="734"/>
      <c r="L9" s="733"/>
      <c r="M9" s="733">
        <f t="shared" si="3"/>
        <v>213302.59806818547</v>
      </c>
      <c r="N9" s="733"/>
      <c r="O9" s="734">
        <v>213314.38642225799</v>
      </c>
      <c r="P9" s="733"/>
      <c r="Q9" s="1342">
        <f t="shared" si="4"/>
        <v>6.0000000000002274E-3</v>
      </c>
      <c r="R9" s="735">
        <f t="shared" si="5"/>
        <v>11.788354072516086</v>
      </c>
      <c r="S9" s="1354">
        <f t="shared" si="0"/>
        <v>0</v>
      </c>
      <c r="T9" s="734">
        <f>'Rate Design Work eff 10-14-16'!F145-Temperature!G58*1000</f>
        <v>219604.71</v>
      </c>
      <c r="U9" s="734">
        <v>219308.80208838699</v>
      </c>
      <c r="V9" s="734">
        <f>T9-U9+Temperature!G58*1000-Temperature!C58*1000*Temperature!E57-Temperature!D58*1000*Temperature!F57</f>
        <v>-0.16238008565733253</v>
      </c>
      <c r="W9" s="744">
        <f t="shared" si="6"/>
        <v>2.9545406333025319</v>
      </c>
      <c r="X9" s="735">
        <f t="shared" ref="X9:X14" si="8">T9-O9</f>
        <v>6290.323577742005</v>
      </c>
      <c r="Y9" s="731"/>
      <c r="Z9" s="734" t="e">
        <f>'Rate Design Work eff 10-14-16'!#REF!</f>
        <v>#REF!</v>
      </c>
      <c r="AA9" s="731" t="e">
        <f t="shared" si="1"/>
        <v>#REF!</v>
      </c>
      <c r="AB9" s="735" t="e">
        <f t="shared" si="2"/>
        <v>#REF!</v>
      </c>
      <c r="AC9" s="731"/>
      <c r="AD9" s="735">
        <f t="shared" si="7"/>
        <v>6302.1119318145211</v>
      </c>
      <c r="AE9" s="1342"/>
      <c r="AG9" s="768"/>
    </row>
    <row r="10" spans="1:34" s="725" customFormat="1">
      <c r="A10" s="1342" t="s">
        <v>263</v>
      </c>
      <c r="B10" s="952"/>
      <c r="C10" s="733">
        <f>VLOOKUP(A10,'305 Inputs'!$E$118:$I$144,5,FALSE)</f>
        <v>38953.69</v>
      </c>
      <c r="D10" s="728"/>
      <c r="E10" s="734">
        <f>-('305 VS COGNOS kWh'!$C$10/('305 VS COGNOS kWh'!$C$9+'305 VS COGNOS kWh'!$C$10)*'WA SBC'!$H$18)</f>
        <v>-1123.6882900000003</v>
      </c>
      <c r="F10" s="734"/>
      <c r="G10" s="734">
        <f>-('305 VS COGNOS kWh'!$C$10/('305 VS COGNOS kWh'!$C$9+'305 VS COGNOS kWh'!$C$10)*'WA Depreciation'!$AM$15)</f>
        <v>17.739930875676489</v>
      </c>
      <c r="H10" s="734"/>
      <c r="I10" s="734">
        <f>-('305 VS COGNOS kWh'!$C$10/('305 VS COGNOS kWh'!$C$9+'305 VS COGNOS kWh'!$C$10)*'WA Merwin'!$AM$15)</f>
        <v>-10.643958525405893</v>
      </c>
      <c r="J10" s="733"/>
      <c r="K10" s="734"/>
      <c r="L10" s="733"/>
      <c r="M10" s="733">
        <f t="shared" si="3"/>
        <v>37837.097682350279</v>
      </c>
      <c r="N10" s="733"/>
      <c r="O10" s="734">
        <v>37831.903449999998</v>
      </c>
      <c r="P10" s="733"/>
      <c r="Q10" s="1342">
        <f t="shared" si="4"/>
        <v>-1.3999999999995794E-2</v>
      </c>
      <c r="R10" s="735">
        <f t="shared" si="5"/>
        <v>-5.1942323502807994</v>
      </c>
      <c r="S10" s="1354">
        <f t="shared" si="0"/>
        <v>0</v>
      </c>
      <c r="T10" s="734">
        <f>'Rate Design Work eff 10-14-16'!F160</f>
        <v>38916</v>
      </c>
      <c r="U10" s="734">
        <v>38916.958319999998</v>
      </c>
      <c r="V10" s="734">
        <f t="shared" ref="V10:V11" si="9">T10-U10</f>
        <v>-0.95831999999791151</v>
      </c>
      <c r="W10" s="744">
        <f t="shared" si="6"/>
        <v>2.8514404743918624</v>
      </c>
      <c r="X10" s="735">
        <f t="shared" si="8"/>
        <v>1084.096550000002</v>
      </c>
      <c r="Y10" s="731"/>
      <c r="Z10" s="734" t="e">
        <f>'Rate Design Work eff 10-14-16'!#REF!</f>
        <v>#REF!</v>
      </c>
      <c r="AA10" s="731" t="e">
        <f t="shared" si="1"/>
        <v>#REF!</v>
      </c>
      <c r="AB10" s="735" t="e">
        <f t="shared" si="2"/>
        <v>#REF!</v>
      </c>
      <c r="AC10" s="731"/>
      <c r="AD10" s="735">
        <f t="shared" si="7"/>
        <v>1078.9023176497212</v>
      </c>
      <c r="AE10" s="1343"/>
      <c r="AG10" s="768"/>
    </row>
    <row r="11" spans="1:34" s="725" customFormat="1">
      <c r="A11" s="1342" t="s">
        <v>244</v>
      </c>
      <c r="C11" s="733">
        <f>VLOOKUP(A11,'305 Inputs'!$E$118:$I$144,5,FALSE)</f>
        <v>276110.82</v>
      </c>
      <c r="D11" s="728"/>
      <c r="E11" s="734">
        <f>-('305 VS COGNOS kWh'!$C$11/('305 VS COGNOS kWh'!$C$7+'305 VS COGNOS kWh'!$C$11)*'WA SBC'!$H$16)</f>
        <v>-8209.9828200000011</v>
      </c>
      <c r="F11" s="734"/>
      <c r="G11" s="734">
        <f>-('305 VS COGNOS kWh'!$C$11/('305 VS COGNOS kWh'!$C$7+'305 VS COGNOS kWh'!$C$11)*'WA Depreciation'!$AM$13)</f>
        <v>116.97376684523138</v>
      </c>
      <c r="H11" s="734"/>
      <c r="I11" s="734">
        <f>-('305 VS COGNOS kWh'!$C$11/('305 VS COGNOS kWh'!$C$7+'305 VS COGNOS kWh'!$C$11)*'WA Merwin'!$AM$13)</f>
        <v>-70.184260107138826</v>
      </c>
      <c r="J11" s="733"/>
      <c r="K11" s="734">
        <v>-212.79</v>
      </c>
      <c r="L11" s="733"/>
      <c r="M11" s="733">
        <f t="shared" si="3"/>
        <v>267734.83668673818</v>
      </c>
      <c r="N11" s="733"/>
      <c r="O11" s="734">
        <v>267817.52791499998</v>
      </c>
      <c r="P11" s="733"/>
      <c r="Q11" s="1342">
        <f>ROUND(O11/M11*100,3)-100</f>
        <v>3.1000000000005912E-2</v>
      </c>
      <c r="R11" s="735">
        <f>O11-M11</f>
        <v>82.691228261799552</v>
      </c>
      <c r="S11" s="1354">
        <f>IF(ABS(Q11)&lt;=0.5,0,IF(M11&gt;O11,(M11*0.995)-O11,(M11*1.005)-O11))</f>
        <v>0</v>
      </c>
      <c r="T11" s="734">
        <f>O11</f>
        <v>267817.52791499998</v>
      </c>
      <c r="U11" s="734">
        <v>275552.63991000003</v>
      </c>
      <c r="V11" s="734">
        <f t="shared" si="9"/>
        <v>-7735.111995000043</v>
      </c>
      <c r="W11" s="744">
        <f>((T11-M11)/M11)*100</f>
        <v>3.0885494500871403E-2</v>
      </c>
      <c r="X11" s="735">
        <f>T11-O11</f>
        <v>0</v>
      </c>
      <c r="Y11" s="731"/>
      <c r="Z11" s="734" t="e">
        <f>'Rate Design Work eff 10-14-16'!#REF!</f>
        <v>#REF!</v>
      </c>
      <c r="AA11" s="731" t="e">
        <f>((Z11-T11)/T11)*100</f>
        <v>#REF!</v>
      </c>
      <c r="AB11" s="735" t="e">
        <f>Z11-T11</f>
        <v>#REF!</v>
      </c>
      <c r="AC11" s="731"/>
      <c r="AD11" s="735">
        <f>K11+R11+X11</f>
        <v>-130.09877173820044</v>
      </c>
      <c r="AE11" s="1342"/>
      <c r="AG11" s="768"/>
    </row>
    <row r="12" spans="1:34" s="725" customFormat="1">
      <c r="A12" s="1342" t="s">
        <v>264</v>
      </c>
      <c r="C12" s="733">
        <f>VLOOKUP(A12,'305 Inputs'!$E$118:$I$144,5,FALSE)</f>
        <v>153289.88</v>
      </c>
      <c r="D12" s="728"/>
      <c r="E12" s="734">
        <f>-'WA SBC'!$H$15</f>
        <v>-2629.4681600000004</v>
      </c>
      <c r="F12" s="734"/>
      <c r="G12" s="734">
        <f>-'305 VS COGNOS kWh'!$C$12/('305 VS COGNOS kWh'!$C$12+'305 VS COGNOS kWh'!$C$24+'305 VS COGNOS kWh'!$C$40)*'WA Depreciation'!$AM$12</f>
        <v>80.580392633713302</v>
      </c>
      <c r="H12" s="734"/>
      <c r="I12" s="734">
        <f>-'305 VS COGNOS kWh'!$C$12/('305 VS COGNOS kWh'!$C$12+'305 VS COGNOS kWh'!$C$24+'305 VS COGNOS kWh'!$C$40)*'WA Merwin'!$AM$12</f>
        <v>-50.090514339875831</v>
      </c>
      <c r="J12" s="733"/>
      <c r="K12" s="734">
        <v>-49.4690123543119</v>
      </c>
      <c r="L12" s="733"/>
      <c r="M12" s="733">
        <f t="shared" si="3"/>
        <v>150641.43270593951</v>
      </c>
      <c r="N12" s="733"/>
      <c r="O12" s="734">
        <v>150683.12109846235</v>
      </c>
      <c r="P12" s="733"/>
      <c r="Q12" s="1342">
        <f t="shared" ref="Q12" si="10">ROUND(O12/M12*100,3)-100</f>
        <v>2.8000000000005798E-2</v>
      </c>
      <c r="R12" s="735">
        <f t="shared" ref="R12:R13" si="11">O12-M12</f>
        <v>41.688392522832146</v>
      </c>
      <c r="S12" s="1354">
        <f t="shared" ref="S12:S13" si="12">IF(ABS(Q12)&lt;=0.5,0,IF(M12&gt;O12,(M12*0.995)-O12,(M12*1.005)-O12))</f>
        <v>0</v>
      </c>
      <c r="T12" s="734">
        <f>'Rate Design Work eff 10-14-16'!F45</f>
        <v>152472.36836490635</v>
      </c>
      <c r="U12" s="734">
        <v>152472.36836488175</v>
      </c>
      <c r="V12" s="734">
        <f>T12-U12</f>
        <v>2.459273673593998E-8</v>
      </c>
      <c r="W12" s="744">
        <f t="shared" ref="W12" si="13">((T12-M12)/M12)*100</f>
        <v>1.215426344584043</v>
      </c>
      <c r="X12" s="735">
        <f t="shared" ref="X12:X13" si="14">T12-O12</f>
        <v>1789.2472664439993</v>
      </c>
      <c r="Y12" s="731"/>
      <c r="Z12" s="734" t="e">
        <f>'Rate Design Work eff 10-14-16'!#REF!</f>
        <v>#REF!</v>
      </c>
      <c r="AA12" s="731" t="e">
        <f t="shared" ref="AA12" si="15">((Z12-T12)/T12)*100</f>
        <v>#REF!</v>
      </c>
      <c r="AB12" s="735" t="e">
        <f t="shared" ref="AB12:AB13" si="16">Z12-T12</f>
        <v>#REF!</v>
      </c>
      <c r="AC12" s="731"/>
      <c r="AD12" s="735">
        <f t="shared" si="7"/>
        <v>1781.4666466125195</v>
      </c>
      <c r="AE12" s="1342"/>
      <c r="AG12" s="768"/>
    </row>
    <row r="13" spans="1:34" s="725" customFormat="1">
      <c r="A13" s="1342" t="s">
        <v>727</v>
      </c>
      <c r="C13" s="733">
        <f>VLOOKUP(A13,'305 Inputs'!$E$118:$I$144,5,FALSE)</f>
        <v>2467279.9700000002</v>
      </c>
      <c r="D13" s="728"/>
      <c r="E13" s="734">
        <f>-('305 VS COGNOS kWh'!$C$13/('305 VS COGNOS kWh'!$C$13+'305 VS COGNOS kWh'!$C$18+'305 VS COGNOS kWh'!$C$19+'305 VS COGNOS kWh'!$C$20+'305 VS COGNOS kWh'!$C$26)*'WA SBC'!$H$23)</f>
        <v>-60729.074710000008</v>
      </c>
      <c r="F13" s="734"/>
      <c r="G13" s="734">
        <f>-'305 VS COGNOS kWh'!$C$13/('305 VS COGNOS kWh'!$C$13+'305 VS COGNOS kWh'!$C$18+'305 VS COGNOS kWh'!$C$19+'305 VS COGNOS kWh'!$C$20+'305 VS COGNOS kWh'!$C$26+'305 VS COGNOS kWh'!$C$32+'305 VS COGNOS kWh'!$C$33+'305 VS COGNOS kWh'!$C$34)*'WA Depreciation'!$AM$16</f>
        <v>996.99377492594488</v>
      </c>
      <c r="H13" s="734"/>
      <c r="I13" s="734">
        <f>-'305 VS COGNOS kWh'!$C$13/('305 VS COGNOS kWh'!$C$13+'305 VS COGNOS kWh'!$C$18+'305 VS COGNOS kWh'!$C$19+'305 VS COGNOS kWh'!$C$20+'305 VS COGNOS kWh'!$C$26+'305 VS COGNOS kWh'!$C$32+'305 VS COGNOS kWh'!$C$33+'305 VS COGNOS kWh'!$C$34)*'WA Merwin'!$AM$16</f>
        <v>-598.19626495556679</v>
      </c>
      <c r="J13" s="733"/>
      <c r="K13" s="734">
        <v>7690.5707363333386</v>
      </c>
      <c r="L13" s="733"/>
      <c r="M13" s="733">
        <f t="shared" si="3"/>
        <v>2414640.2635363038</v>
      </c>
      <c r="N13" s="733"/>
      <c r="O13" s="734">
        <v>2405514.4078422985</v>
      </c>
      <c r="P13" s="733"/>
      <c r="Q13" s="1349">
        <f>ROUND(O13/M13*100,3)-100</f>
        <v>-0.37800000000000011</v>
      </c>
      <c r="R13" s="735">
        <f t="shared" si="11"/>
        <v>-9125.8556940052658</v>
      </c>
      <c r="S13" s="1354">
        <f t="shared" si="12"/>
        <v>0</v>
      </c>
      <c r="T13" s="734">
        <f>'Rate Design Work eff 10-14-16'!F273-O21-Temperature!V75*1000</f>
        <v>2451690.2400000002</v>
      </c>
      <c r="U13" s="734">
        <v>2451872.9998267149</v>
      </c>
      <c r="V13" s="734">
        <f>T13-U13+Temperature!V75*1000-Temperature!P75*1000*Temperature!S74-Temperature!Q75*1000*Temperature!T74-Temperature!R75*1000*Temperature!U74</f>
        <v>-0.70982825187684284</v>
      </c>
      <c r="W13" s="744">
        <f>((T13-M13)/M13)*100</f>
        <v>1.5343890774618243</v>
      </c>
      <c r="X13" s="735">
        <f t="shared" si="14"/>
        <v>46175.83215770172</v>
      </c>
      <c r="Y13" s="731"/>
      <c r="Z13" s="734">
        <v>31869846</v>
      </c>
      <c r="AA13" s="731">
        <f>((Z13-T13)/T13)*100</f>
        <v>1199.9132386316469</v>
      </c>
      <c r="AB13" s="735">
        <f t="shared" si="16"/>
        <v>29418155.759999998</v>
      </c>
      <c r="AC13" s="731"/>
      <c r="AD13" s="735">
        <f t="shared" si="7"/>
        <v>44740.547200029789</v>
      </c>
      <c r="AE13" s="1344" t="s">
        <v>31</v>
      </c>
      <c r="AF13" s="1105" t="s">
        <v>31</v>
      </c>
      <c r="AG13" s="1116" t="s">
        <v>31</v>
      </c>
      <c r="AH13" s="731"/>
    </row>
    <row r="14" spans="1:34" s="131" customFormat="1">
      <c r="A14" s="132" t="s">
        <v>265</v>
      </c>
      <c r="C14" s="140">
        <f>SUM(C7:C13)</f>
        <v>140649790.65999997</v>
      </c>
      <c r="D14" s="128"/>
      <c r="E14" s="140">
        <f>SUM(E7:E13)</f>
        <v>-4338892.0609400002</v>
      </c>
      <c r="F14" s="140"/>
      <c r="G14" s="140">
        <f>SUM(G7:G13)</f>
        <v>62174.894999265605</v>
      </c>
      <c r="H14" s="140"/>
      <c r="I14" s="140">
        <f>SUM(I7:I13)</f>
        <v>-37306.679278319003</v>
      </c>
      <c r="J14" s="140"/>
      <c r="K14" s="140">
        <f>SUM(K7:K13)</f>
        <v>4092.1217239790253</v>
      </c>
      <c r="L14" s="140"/>
      <c r="M14" s="140">
        <f>SUM(M7:M13)</f>
        <v>136339858.93650496</v>
      </c>
      <c r="N14" s="140"/>
      <c r="O14" s="140">
        <f>SUM(O7:O13)</f>
        <v>136415982.64472657</v>
      </c>
      <c r="P14" s="140"/>
      <c r="Q14" s="132">
        <f t="shared" si="4"/>
        <v>5.5999999999997385E-2</v>
      </c>
      <c r="R14" s="148">
        <f t="shared" si="5"/>
        <v>76123.708221614361</v>
      </c>
      <c r="S14" s="1355">
        <f t="shared" si="0"/>
        <v>0</v>
      </c>
      <c r="T14" s="133">
        <f>SUM(T7:T13)</f>
        <v>140408577.13836491</v>
      </c>
      <c r="U14" s="140">
        <f t="shared" ref="U14:V14" si="17">SUM(U7:U13)</f>
        <v>140211542.85588655</v>
      </c>
      <c r="V14" s="133">
        <f t="shared" si="17"/>
        <v>-2.7946376492277523</v>
      </c>
      <c r="W14" s="745">
        <f t="shared" si="6"/>
        <v>2.9842470379515351</v>
      </c>
      <c r="X14" s="148">
        <f t="shared" si="8"/>
        <v>3992594.4936383367</v>
      </c>
      <c r="Y14" s="136"/>
      <c r="Z14" s="133" t="e">
        <f>SUM(Z7:Z12)</f>
        <v>#REF!</v>
      </c>
      <c r="AA14" s="136" t="e">
        <f t="shared" si="1"/>
        <v>#REF!</v>
      </c>
      <c r="AB14" s="148" t="e">
        <f t="shared" si="2"/>
        <v>#REF!</v>
      </c>
      <c r="AC14" s="136"/>
      <c r="AD14" s="148">
        <f>SUM(AD7:AD13)</f>
        <v>4072810.3235839419</v>
      </c>
      <c r="AE14" s="1345"/>
      <c r="AG14" s="136"/>
    </row>
    <row r="15" spans="1:34" s="131" customFormat="1">
      <c r="A15" s="132"/>
      <c r="C15" s="140"/>
      <c r="D15" s="128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32"/>
      <c r="R15" s="136"/>
      <c r="S15" s="1355"/>
      <c r="T15" s="135"/>
      <c r="U15" s="135"/>
      <c r="V15" s="135"/>
      <c r="W15" s="136"/>
      <c r="X15" s="136"/>
      <c r="Y15" s="136"/>
      <c r="Z15" s="135"/>
      <c r="AA15" s="136"/>
      <c r="AB15" s="136"/>
      <c r="AC15" s="136"/>
      <c r="AD15" s="136"/>
      <c r="AE15" s="1345"/>
      <c r="AG15" s="136"/>
    </row>
    <row r="16" spans="1:34" s="131" customFormat="1">
      <c r="A16" s="132"/>
      <c r="C16" s="140"/>
      <c r="D16" s="128"/>
      <c r="E16" s="143" t="s">
        <v>31</v>
      </c>
      <c r="F16" s="143"/>
      <c r="G16" s="143" t="s">
        <v>31</v>
      </c>
      <c r="H16" s="143"/>
      <c r="I16" s="143" t="s">
        <v>31</v>
      </c>
      <c r="J16" s="143"/>
      <c r="K16" s="140"/>
      <c r="L16" s="140"/>
      <c r="M16" s="140"/>
      <c r="N16" s="140"/>
      <c r="O16" s="140"/>
      <c r="P16" s="140"/>
      <c r="Q16" s="132"/>
      <c r="R16" s="136"/>
      <c r="S16" s="1355"/>
      <c r="T16" s="135"/>
      <c r="U16" s="135"/>
      <c r="V16" s="135"/>
      <c r="W16" s="136"/>
      <c r="X16" s="136"/>
      <c r="Y16" s="136"/>
      <c r="Z16" s="135"/>
      <c r="AA16" s="136"/>
      <c r="AB16" s="136"/>
      <c r="AC16" s="136"/>
      <c r="AD16" s="136"/>
      <c r="AE16" s="1345"/>
      <c r="AG16" s="136"/>
    </row>
    <row r="17" spans="1:34" s="131" customFormat="1">
      <c r="A17" s="132" t="s">
        <v>266</v>
      </c>
      <c r="C17" s="140"/>
      <c r="D17" s="128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32"/>
      <c r="R17" s="136"/>
      <c r="S17" s="1355"/>
      <c r="T17" s="135"/>
      <c r="U17" s="135"/>
      <c r="V17" s="135"/>
      <c r="W17" s="136"/>
      <c r="X17" s="136"/>
      <c r="Y17" s="136"/>
      <c r="Z17" s="135"/>
      <c r="AA17" s="136"/>
      <c r="AB17" s="136"/>
      <c r="AC17" s="136"/>
      <c r="AD17" s="136"/>
      <c r="AE17" s="1345"/>
      <c r="AG17" s="136"/>
    </row>
    <row r="18" spans="1:34" s="725" customFormat="1">
      <c r="A18" s="1342" t="s">
        <v>51</v>
      </c>
      <c r="C18" s="733">
        <f>VLOOKUP(A18,'305 Inputs'!$E$7:$I$43,5,FALSE)+'305 Inputs'!I29</f>
        <v>45600355.009999998</v>
      </c>
      <c r="D18" s="728"/>
      <c r="E18" s="734">
        <f>-('305 VS COGNOS kWh'!$C$18/('305 VS COGNOS kWh'!$C$13+'305 VS COGNOS kWh'!$C$18+'305 VS COGNOS kWh'!$C$20+'305 VS COGNOS kWh'!$C$19+'305 VS COGNOS kWh'!$C$26)*'WA SBC'!$H$23)</f>
        <v>-1420766.15613</v>
      </c>
      <c r="F18" s="734"/>
      <c r="G18" s="734">
        <f>-'305 VS COGNOS kWh'!$C$18/('305 VS COGNOS kWh'!$C$13+'305 VS COGNOS kWh'!$C$18+'305 VS COGNOS kWh'!$C$19+'305 VS COGNOS kWh'!$C$20+'305 VS COGNOS kWh'!$C$26+'305 VS COGNOS kWh'!$C$32+'305 VS COGNOS kWh'!$C$33+'305 VS COGNOS kWh'!$C$34)*'WA Depreciation'!$AM$16</f>
        <v>23324.824559756133</v>
      </c>
      <c r="H18" s="734"/>
      <c r="I18" s="734">
        <f>-'305 VS COGNOS kWh'!$C$18/('305 VS COGNOS kWh'!$C$13+'305 VS COGNOS kWh'!$C$18+'305 VS COGNOS kWh'!$C$19+'305 VS COGNOS kWh'!$C$20+'305 VS COGNOS kWh'!$C$26+'305 VS COGNOS kWh'!$C$32+'305 VS COGNOS kWh'!$C$33+'305 VS COGNOS kWh'!$C$34)*'WA Merwin'!$AM$16</f>
        <v>-13994.894735853677</v>
      </c>
      <c r="J18" s="733"/>
      <c r="K18" s="734">
        <v>43563.889940999914</v>
      </c>
      <c r="L18" s="733"/>
      <c r="M18" s="733">
        <f>C18+E18+G18+I18+K18</f>
        <v>44232482.673634902</v>
      </c>
      <c r="N18" s="733"/>
      <c r="O18" s="734">
        <v>44230637.765414342</v>
      </c>
      <c r="P18" s="733"/>
      <c r="Q18" s="1349">
        <f>ROUND(O18/M18*100,3)-100</f>
        <v>-4.0000000000048885E-3</v>
      </c>
      <c r="R18" s="735">
        <f t="shared" ref="R18:R28" si="18">O18-M18</f>
        <v>-1844.9082205593586</v>
      </c>
      <c r="S18" s="1354">
        <f t="shared" ref="S18:S28" si="19">IF(ABS(Q18)&lt;=0.5,0,IF(M18&gt;O18,(M18*0.995)-O18,(M18*1.005)-O18))</f>
        <v>0</v>
      </c>
      <c r="T18" s="734">
        <f>'Rate Design Work eff 10-14-16'!F308-O26-Temperature!I75*1000</f>
        <v>44737088.993933335</v>
      </c>
      <c r="U18" s="734">
        <v>44739497.522607632</v>
      </c>
      <c r="V18" s="734">
        <f>T18-U18+Temperature!I75*1000-Temperature!C75*1000*Temperature!F74-Temperature!D75*1000*Temperature!G74-Temperature!E75*1000*Temperature!H74</f>
        <v>1181.5954624431615</v>
      </c>
      <c r="W18" s="744">
        <f>((T18-M18)/M18)*100</f>
        <v>1.1408048786716818</v>
      </c>
      <c r="X18" s="735">
        <f t="shared" ref="X18:X28" si="20">T18-O18</f>
        <v>506451.22851899266</v>
      </c>
      <c r="Y18" s="731"/>
      <c r="Z18" s="734">
        <v>31869846</v>
      </c>
      <c r="AA18" s="731">
        <f>((Z18-T18)/T18)*100</f>
        <v>-28.761913846647964</v>
      </c>
      <c r="AB18" s="735">
        <f t="shared" ref="AB18:AB28" si="21">Z18-T18</f>
        <v>-12867242.993933335</v>
      </c>
      <c r="AC18" s="731"/>
      <c r="AD18" s="735">
        <f t="shared" ref="AD18:AD23" si="22">K18+R18+X18</f>
        <v>548170.21023943322</v>
      </c>
      <c r="AE18" s="1344" t="s">
        <v>31</v>
      </c>
      <c r="AF18" s="1105" t="s">
        <v>31</v>
      </c>
      <c r="AG18" s="768"/>
      <c r="AH18" s="731"/>
    </row>
    <row r="19" spans="1:34" s="725" customFormat="1">
      <c r="A19" s="1342" t="s">
        <v>52</v>
      </c>
      <c r="C19" s="733">
        <f>VLOOKUP(A19,'305 Inputs'!$E$7:$I$43,5,FALSE)+'305 Inputs'!I37</f>
        <v>169251.25</v>
      </c>
      <c r="D19" s="728"/>
      <c r="E19" s="734">
        <f>-('305 VS COGNOS kWh'!$C$19/('305 VS COGNOS kWh'!$C$13+'305 VS COGNOS kWh'!$C$18+'305 VS COGNOS kWh'!$C$19+'305 VS COGNOS kWh'!$C$20+'305 VS COGNOS kWh'!$C$26)*'WA SBC'!$H$23)</f>
        <v>-3604.3445999999999</v>
      </c>
      <c r="F19" s="734"/>
      <c r="G19" s="734">
        <f>-'305 VS COGNOS kWh'!$C$19/('305 VS COGNOS kWh'!$C$13+'305 VS COGNOS kWh'!$C$18+'305 VS COGNOS kWh'!$C$19+'305 VS COGNOS kWh'!$C$20+'305 VS COGNOS kWh'!$C$26+'305 VS COGNOS kWh'!$C$32+'305 VS COGNOS kWh'!$C$33+'305 VS COGNOS kWh'!$C$34)*'WA Depreciation'!$AM$16</f>
        <v>59.172795667446863</v>
      </c>
      <c r="H19" s="734"/>
      <c r="I19" s="734">
        <f>-'305 VS COGNOS kWh'!$C$19/('305 VS COGNOS kWh'!$C$13+'305 VS COGNOS kWh'!$C$18+'305 VS COGNOS kWh'!$C$19+'305 VS COGNOS kWh'!$C$20+'305 VS COGNOS kWh'!$C$26+'305 VS COGNOS kWh'!$C$32+'305 VS COGNOS kWh'!$C$33+'305 VS COGNOS kWh'!$C$34)*'WA Merwin'!$AM$16</f>
        <v>-35.503677400468113</v>
      </c>
      <c r="J19" s="733"/>
      <c r="K19" s="734">
        <v>-336.25333000000001</v>
      </c>
      <c r="L19" s="733"/>
      <c r="M19" s="733">
        <f t="shared" ref="M19:M27" si="23">C19+E19+G19+I19+K19</f>
        <v>165334.32118826697</v>
      </c>
      <c r="N19" s="733"/>
      <c r="O19" s="734">
        <v>165195.6837863668</v>
      </c>
      <c r="P19" s="733"/>
      <c r="Q19" s="1349">
        <f>ROUND(O19/M19*100,3)-100</f>
        <v>-8.4000000000003183E-2</v>
      </c>
      <c r="R19" s="735">
        <f t="shared" si="18"/>
        <v>-138.63740190016688</v>
      </c>
      <c r="S19" s="1354">
        <f t="shared" si="19"/>
        <v>0</v>
      </c>
      <c r="T19" s="734">
        <f>'Rate Design Work eff 10-14-16'!F412</f>
        <v>168898</v>
      </c>
      <c r="U19" s="734">
        <v>168897.4294341777</v>
      </c>
      <c r="V19" s="734">
        <f t="shared" ref="V19:V27" si="24">T19-U19</f>
        <v>0.57056582230143249</v>
      </c>
      <c r="W19" s="744">
        <f>((T19-M19)/M19)*100</f>
        <v>2.1554380156041839</v>
      </c>
      <c r="X19" s="735">
        <f t="shared" si="20"/>
        <v>3702.3162136331957</v>
      </c>
      <c r="Y19" s="731"/>
      <c r="Z19" s="734">
        <v>139779</v>
      </c>
      <c r="AA19" s="731">
        <f>((Z19-T19)/T19)*100</f>
        <v>-17.240583073807862</v>
      </c>
      <c r="AB19" s="735">
        <f t="shared" si="21"/>
        <v>-29119</v>
      </c>
      <c r="AC19" s="731"/>
      <c r="AD19" s="735">
        <f t="shared" si="22"/>
        <v>3227.4254817330288</v>
      </c>
      <c r="AE19" s="1342"/>
      <c r="AG19" s="768"/>
    </row>
    <row r="20" spans="1:34" s="725" customFormat="1">
      <c r="A20" s="1348" t="s">
        <v>289</v>
      </c>
      <c r="C20" s="733">
        <f>VLOOKUP(A20,'305 Inputs'!$E$7:$I$43,5,FALSE)</f>
        <v>99841.600000000006</v>
      </c>
      <c r="D20" s="728"/>
      <c r="E20" s="734">
        <f>-('305 VS COGNOS kWh'!$C$20/('305 VS COGNOS kWh'!$C$13+'305 VS COGNOS kWh'!$C$18+'305 VS COGNOS kWh'!$C$19+'305 VS COGNOS kWh'!$C$20+'305 VS COGNOS kWh'!$C$26)*'WA SBC'!$H$23)</f>
        <v>-850.35557000000006</v>
      </c>
      <c r="F20" s="734"/>
      <c r="G20" s="734">
        <f>-'305 VS COGNOS kWh'!$C$20/('305 VS COGNOS kWh'!$C$13+'305 VS COGNOS kWh'!$C$18+'305 VS COGNOS kWh'!$C$19+'305 VS COGNOS kWh'!$C$20+'305 VS COGNOS kWh'!$C$26+'305 VS COGNOS kWh'!$C$32+'305 VS COGNOS kWh'!$C$33+'305 VS COGNOS kWh'!$C$34)*'WA Depreciation'!$AM$16</f>
        <v>13.960351179597341</v>
      </c>
      <c r="H20" s="734"/>
      <c r="I20" s="734">
        <f>-'305 VS COGNOS kWh'!$C$20/('305 VS COGNOS kWh'!$C$13+'305 VS COGNOS kWh'!$C$18+'305 VS COGNOS kWh'!$C$19+'305 VS COGNOS kWh'!$C$20+'305 VS COGNOS kWh'!$C$26+'305 VS COGNOS kWh'!$C$32+'305 VS COGNOS kWh'!$C$33+'305 VS COGNOS kWh'!$C$34)*'WA Merwin'!$AM$16</f>
        <v>-8.3762107077584016</v>
      </c>
      <c r="J20" s="733"/>
      <c r="K20" s="734">
        <v>-1117.15376917808</v>
      </c>
      <c r="L20" s="733"/>
      <c r="M20" s="733">
        <f t="shared" si="23"/>
        <v>97879.674801293761</v>
      </c>
      <c r="N20" s="733"/>
      <c r="O20" s="734">
        <v>97835.185444320203</v>
      </c>
      <c r="P20" s="733"/>
      <c r="Q20" s="1349">
        <f>ROUND(O20/M20*100,3)-100</f>
        <v>-4.5000000000001705E-2</v>
      </c>
      <c r="R20" s="735">
        <f t="shared" si="18"/>
        <v>-44.489356973557733</v>
      </c>
      <c r="S20" s="1354">
        <f t="shared" si="19"/>
        <v>0</v>
      </c>
      <c r="T20" s="734">
        <f>'Rate Design Work eff 10-14-16'!F518</f>
        <v>101892</v>
      </c>
      <c r="U20" s="734">
        <v>101892.76918550501</v>
      </c>
      <c r="V20" s="734">
        <f t="shared" si="24"/>
        <v>-0.76918550500704441</v>
      </c>
      <c r="W20" s="744">
        <f>((T20-M20)/M20)*100</f>
        <v>4.0992424697483827</v>
      </c>
      <c r="X20" s="735">
        <f t="shared" si="20"/>
        <v>4056.8145556797972</v>
      </c>
      <c r="Y20" s="731"/>
      <c r="Z20" s="734">
        <v>112893</v>
      </c>
      <c r="AA20" s="731">
        <f>((Z20-T20)/T20)*100</f>
        <v>10.796725945118361</v>
      </c>
      <c r="AB20" s="735">
        <f t="shared" si="21"/>
        <v>11001</v>
      </c>
      <c r="AC20" s="731"/>
      <c r="AD20" s="735">
        <f t="shared" si="22"/>
        <v>2895.1714295281595</v>
      </c>
      <c r="AE20" s="1342"/>
      <c r="AG20" s="768"/>
    </row>
    <row r="21" spans="1:34" s="725" customFormat="1">
      <c r="A21" s="1342" t="s">
        <v>267</v>
      </c>
      <c r="C21" s="733">
        <v>0</v>
      </c>
      <c r="D21" s="728"/>
      <c r="E21" s="734">
        <v>0</v>
      </c>
      <c r="F21" s="734"/>
      <c r="G21" s="734">
        <v>0</v>
      </c>
      <c r="H21" s="734"/>
      <c r="I21" s="734">
        <v>0</v>
      </c>
      <c r="J21" s="733"/>
      <c r="K21" s="734">
        <v>0</v>
      </c>
      <c r="L21" s="733"/>
      <c r="M21" s="733">
        <f t="shared" si="23"/>
        <v>0</v>
      </c>
      <c r="N21" s="733"/>
      <c r="O21" s="734">
        <v>0</v>
      </c>
      <c r="P21" s="733"/>
      <c r="Q21" s="1349">
        <v>0</v>
      </c>
      <c r="R21" s="735">
        <f t="shared" si="18"/>
        <v>0</v>
      </c>
      <c r="S21" s="1354">
        <f>IF(ABS(Q21)&lt;=0.5,0,IF(M21&gt;O21,(M21*0.995)-O21,(M21*1.005)-O21))</f>
        <v>0</v>
      </c>
      <c r="T21" s="734">
        <v>0</v>
      </c>
      <c r="U21" s="734">
        <v>0</v>
      </c>
      <c r="V21" s="734">
        <f t="shared" si="24"/>
        <v>0</v>
      </c>
      <c r="W21" s="744">
        <v>0</v>
      </c>
      <c r="X21" s="735">
        <f t="shared" si="20"/>
        <v>0</v>
      </c>
      <c r="Y21" s="731"/>
      <c r="Z21" s="734">
        <v>0</v>
      </c>
      <c r="AA21" s="731">
        <v>0</v>
      </c>
      <c r="AB21" s="735">
        <f t="shared" si="21"/>
        <v>0</v>
      </c>
      <c r="AC21" s="731"/>
      <c r="AD21" s="735">
        <f>K21+R21</f>
        <v>0</v>
      </c>
      <c r="AE21" s="1342"/>
      <c r="AG21" s="768"/>
    </row>
    <row r="22" spans="1:34" s="725" customFormat="1">
      <c r="A22" s="1342" t="s">
        <v>53</v>
      </c>
      <c r="C22" s="733">
        <f>VLOOKUP(A22,'305 Inputs'!$E$7:$I$43,5,FALSE)+'305 Inputs'!I33</f>
        <v>64052522.269999996</v>
      </c>
      <c r="D22" s="728"/>
      <c r="E22" s="734">
        <f>-('305 VS COGNOS kWh'!$C$22/('305 VS COGNOS kWh'!$C$22+'305 VS COGNOS kWh'!$C$27)*'WA SBC'!$H$24)</f>
        <v>-1994801.976</v>
      </c>
      <c r="F22" s="734"/>
      <c r="G22" s="734">
        <f>-'305 VS COGNOS kWh'!$C$22/('305 VS COGNOS kWh'!$C$22+'305 VS COGNOS kWh'!$C$27+'305 VS COGNOS kWh'!$C$35)*'WA Depreciation'!$AM$17</f>
        <v>31212.74564229482</v>
      </c>
      <c r="H22" s="734"/>
      <c r="I22" s="734">
        <f>-'305 VS COGNOS kWh'!$C$22/('305 VS COGNOS kWh'!$C$22+'305 VS COGNOS kWh'!$C$27+'305 VS COGNOS kWh'!$C$35)*'WA Merwin'!$AM$17</f>
        <v>-18727.647385376891</v>
      </c>
      <c r="J22" s="733"/>
      <c r="K22" s="734">
        <v>116325.87273333341</v>
      </c>
      <c r="L22" s="733"/>
      <c r="M22" s="733">
        <f t="shared" si="23"/>
        <v>62186531.264990248</v>
      </c>
      <c r="N22" s="733"/>
      <c r="O22" s="734">
        <v>62149646.817308597</v>
      </c>
      <c r="P22" s="733"/>
      <c r="Q22" s="1349">
        <f t="shared" ref="Q22:Q28" si="25">ROUND(O22/M22*100,3)-100</f>
        <v>-5.8999999999997499E-2</v>
      </c>
      <c r="R22" s="735">
        <f t="shared" si="18"/>
        <v>-36884.447681650519</v>
      </c>
      <c r="S22" s="1354">
        <f t="shared" si="19"/>
        <v>0</v>
      </c>
      <c r="T22" s="734">
        <f>'Rate Design Work eff 10-14-16'!F674-O27-Temperature!G110*1000</f>
        <v>63865364.702916004</v>
      </c>
      <c r="U22" s="734">
        <v>63860749.588759899</v>
      </c>
      <c r="V22" s="734">
        <f>T22-U22+Temperature!G110*1000-Temperature!C110*1000*Temperature!E109-Temperature!D110*1000*Temperature!F109</f>
        <v>8630.3838010333711</v>
      </c>
      <c r="W22" s="744">
        <f t="shared" ref="W22:W28" si="26">((T22-M22)/M22)*100</f>
        <v>2.699673713543989</v>
      </c>
      <c r="X22" s="951">
        <f>T22-O22</f>
        <v>1715717.8856074065</v>
      </c>
      <c r="Y22" s="731"/>
      <c r="Z22" s="734" t="e">
        <f>'Rate Design Work eff 10-14-16'!#REF!</f>
        <v>#REF!</v>
      </c>
      <c r="AA22" s="731" t="e">
        <f t="shared" ref="AA22:AA28" si="27">((Z22-T22)/T22)*100</f>
        <v>#REF!</v>
      </c>
      <c r="AB22" s="735" t="e">
        <f t="shared" si="21"/>
        <v>#REF!</v>
      </c>
      <c r="AC22" s="731"/>
      <c r="AD22" s="735">
        <f t="shared" si="22"/>
        <v>1795159.3106590894</v>
      </c>
      <c r="AE22" s="1342"/>
      <c r="AF22" s="1105"/>
      <c r="AG22" s="768"/>
    </row>
    <row r="23" spans="1:34" s="725" customFormat="1">
      <c r="A23" s="1342" t="s">
        <v>54</v>
      </c>
      <c r="C23" s="733">
        <f>VLOOKUP(A23,'305 Inputs'!$E$7:$I$43,5,FALSE)+'305 Inputs'!I44</f>
        <v>13874291.709999999</v>
      </c>
      <c r="D23" s="728"/>
      <c r="E23" s="734">
        <f>-'WA SBC'!$H$25</f>
        <v>-385131.05040000007</v>
      </c>
      <c r="F23" s="734"/>
      <c r="G23" s="734">
        <f>-'305 VS COGNOS kWh'!$C$23/('305 VS COGNOS kWh'!$C$23+'305 VS COGNOS kWh'!$C$37+'305 VS COGNOS kWh'!$C$39)*'WA Depreciation'!$AM$20</f>
        <v>6513.0478361054529</v>
      </c>
      <c r="H23" s="734"/>
      <c r="I23" s="734">
        <f>-'305 VS COGNOS kWh'!$C$23/('305 VS COGNOS kWh'!$C$23+'305 VS COGNOS kWh'!$C$37+'305 VS COGNOS kWh'!$C$39)*'WA Merwin'!$AM$20</f>
        <v>-4070.6548975659084</v>
      </c>
      <c r="J23" s="733"/>
      <c r="K23" s="734">
        <v>62728.297999999995</v>
      </c>
      <c r="L23" s="733"/>
      <c r="M23" s="733">
        <f t="shared" si="23"/>
        <v>13554331.350538541</v>
      </c>
      <c r="N23" s="733"/>
      <c r="O23" s="734">
        <v>13553150.249292791</v>
      </c>
      <c r="P23" s="733"/>
      <c r="Q23" s="1349">
        <f t="shared" si="25"/>
        <v>-9.0000000000003411E-3</v>
      </c>
      <c r="R23" s="735">
        <f t="shared" si="18"/>
        <v>-1181.1012457497418</v>
      </c>
      <c r="S23" s="1354">
        <f t="shared" si="19"/>
        <v>0</v>
      </c>
      <c r="T23" s="734">
        <f>'Rate Design Work eff 10-14-16'!F1064-(Temperature!D127+Temperature!H127)*1000</f>
        <v>13906562.01</v>
      </c>
      <c r="U23" s="734">
        <v>13909759.819906579</v>
      </c>
      <c r="V23" s="734">
        <f>T23-U23+Temperature!D127*1000+Temperature!H127*1000-Temperature!B127*1000*Temperature!C126-Temperature!F127*1000*Temperature!G126</f>
        <v>0.21362495069479337</v>
      </c>
      <c r="W23" s="744">
        <f t="shared" si="26"/>
        <v>2.5986575829685936</v>
      </c>
      <c r="X23" s="735">
        <f t="shared" si="20"/>
        <v>353411.76070720889</v>
      </c>
      <c r="Y23" s="731"/>
      <c r="Z23" s="734">
        <v>7698008</v>
      </c>
      <c r="AA23" s="731">
        <f t="shared" si="27"/>
        <v>-44.644779964562929</v>
      </c>
      <c r="AB23" s="735">
        <f t="shared" si="21"/>
        <v>-6208554.0099999998</v>
      </c>
      <c r="AC23" s="731"/>
      <c r="AD23" s="735">
        <f t="shared" si="22"/>
        <v>414958.95746145915</v>
      </c>
      <c r="AE23" s="1342"/>
      <c r="AG23" s="768"/>
    </row>
    <row r="24" spans="1:34" s="725" customFormat="1">
      <c r="A24" s="1342" t="s">
        <v>55</v>
      </c>
      <c r="C24" s="733">
        <f>VLOOKUP(A24,'305 Inputs'!$E$7:$I$43,5,FALSE)+'305 Inputs'!I35</f>
        <v>293358.58</v>
      </c>
      <c r="D24" s="728"/>
      <c r="E24" s="734">
        <f>-'WA SBC'!$H$22</f>
        <v>-5275.1411200000002</v>
      </c>
      <c r="F24" s="734"/>
      <c r="G24" s="734">
        <f>-'305 VS COGNOS kWh'!$C$24/('305 VS COGNOS kWh'!$C$12+'305 VS COGNOS kWh'!$C$24+'305 VS COGNOS kWh'!$C$40)*'WA Depreciation'!$AM$12</f>
        <v>161.65738346413221</v>
      </c>
      <c r="H24" s="734"/>
      <c r="I24" s="734">
        <f>-'305 VS COGNOS kWh'!$C$24/('305 VS COGNOS kWh'!$C$12+'305 VS COGNOS kWh'!$C$24+'305 VS COGNOS kWh'!$C$40)*'WA Merwin'!$AM$12</f>
        <v>-100.48972485608218</v>
      </c>
      <c r="J24" s="733"/>
      <c r="K24" s="734">
        <v>1837.6694138684261</v>
      </c>
      <c r="L24" s="733"/>
      <c r="M24" s="733">
        <f t="shared" si="23"/>
        <v>289982.27595247654</v>
      </c>
      <c r="N24" s="733"/>
      <c r="O24" s="734">
        <v>290011.56733588077</v>
      </c>
      <c r="P24" s="733"/>
      <c r="Q24" s="1349">
        <f t="shared" si="25"/>
        <v>1.0000000000005116E-2</v>
      </c>
      <c r="R24" s="735">
        <f t="shared" si="18"/>
        <v>29.291383404226508</v>
      </c>
      <c r="S24" s="1354">
        <f t="shared" si="19"/>
        <v>0</v>
      </c>
      <c r="T24" s="734">
        <f>'Rate Design Work eff 10-14-16'!F63</f>
        <v>293806.71593730879</v>
      </c>
      <c r="U24" s="734">
        <v>293806.71593729075</v>
      </c>
      <c r="V24" s="734">
        <f>T24-U24</f>
        <v>1.8044374883174896E-8</v>
      </c>
      <c r="W24" s="744">
        <f t="shared" si="26"/>
        <v>1.3188530134369367</v>
      </c>
      <c r="X24" s="735">
        <f t="shared" si="20"/>
        <v>3795.1486014280235</v>
      </c>
      <c r="Y24" s="731"/>
      <c r="Z24" s="734">
        <v>296573</v>
      </c>
      <c r="AA24" s="731">
        <f t="shared" si="27"/>
        <v>0.94153193669046875</v>
      </c>
      <c r="AB24" s="735">
        <f t="shared" si="21"/>
        <v>2766.2840626912075</v>
      </c>
      <c r="AC24" s="731"/>
      <c r="AD24" s="735">
        <f>K24+R24+X24</f>
        <v>5662.1093987006761</v>
      </c>
      <c r="AE24" s="1342"/>
      <c r="AG24" s="768"/>
    </row>
    <row r="25" spans="1:34" s="725" customFormat="1">
      <c r="A25" s="1342" t="s">
        <v>56</v>
      </c>
      <c r="C25" s="733">
        <f>VLOOKUP(A25,'305 Inputs'!$E$7:$I$43,5,FALSE)</f>
        <v>24562.3</v>
      </c>
      <c r="D25" s="728"/>
      <c r="E25" s="734">
        <f>-'WA SBC'!$H$26</f>
        <v>-792.86508000000003</v>
      </c>
      <c r="F25" s="734"/>
      <c r="G25" s="734">
        <f>-'WA Depreciation'!$AM$24</f>
        <v>9.34650404597161</v>
      </c>
      <c r="H25" s="734"/>
      <c r="I25" s="734">
        <f>-'WA Merwin'!$AM$24</f>
        <v>-5.9477753019819337</v>
      </c>
      <c r="J25" s="733"/>
      <c r="K25" s="734">
        <v>-147.31141</v>
      </c>
      <c r="L25" s="733"/>
      <c r="M25" s="733">
        <f t="shared" si="23"/>
        <v>23625.52223874399</v>
      </c>
      <c r="N25" s="733"/>
      <c r="O25" s="734">
        <v>23627.42081</v>
      </c>
      <c r="P25" s="733"/>
      <c r="Q25" s="1349">
        <f t="shared" si="25"/>
        <v>7.9999999999955662E-3</v>
      </c>
      <c r="R25" s="735">
        <f>O25-M25</f>
        <v>1.8985712560097454</v>
      </c>
      <c r="S25" s="1354">
        <f t="shared" si="19"/>
        <v>0</v>
      </c>
      <c r="T25" s="734">
        <f>'Rate Design Work eff 10-14-16'!F1224</f>
        <v>23919</v>
      </c>
      <c r="U25" s="734">
        <v>23918.33221</v>
      </c>
      <c r="V25" s="734">
        <f t="shared" si="24"/>
        <v>0.66778999999951338</v>
      </c>
      <c r="W25" s="744">
        <f t="shared" si="26"/>
        <v>1.2422064506778596</v>
      </c>
      <c r="X25" s="735">
        <f t="shared" si="20"/>
        <v>291.57919000000038</v>
      </c>
      <c r="Y25" s="731"/>
      <c r="Z25" s="734">
        <v>18590</v>
      </c>
      <c r="AA25" s="731">
        <f t="shared" si="27"/>
        <v>-22.279359504996027</v>
      </c>
      <c r="AB25" s="735">
        <f t="shared" si="21"/>
        <v>-5329</v>
      </c>
      <c r="AC25" s="731"/>
      <c r="AD25" s="735">
        <f>K25+R25+X25</f>
        <v>146.16635125601013</v>
      </c>
      <c r="AE25" s="1342"/>
      <c r="AG25" s="768"/>
    </row>
    <row r="26" spans="1:34" s="725" customFormat="1">
      <c r="A26" s="1342" t="s">
        <v>212</v>
      </c>
      <c r="C26" s="733">
        <f>VLOOKUP(A26,'305 Inputs'!$E$7:$I$43,5,FALSE)</f>
        <v>136919.25</v>
      </c>
      <c r="D26" s="728"/>
      <c r="E26" s="734">
        <f>-('305 VS COGNOS kWh'!$C$26/('305 VS COGNOS kWh'!$C$13+'305 VS COGNOS kWh'!$C$18+'305 VS COGNOS kWh'!$C$19+'305 VS COGNOS kWh'!$C$20+'305 VS COGNOS kWh'!$C$26)*'WA SBC'!$H$23)</f>
        <v>-4440.1030300000002</v>
      </c>
      <c r="F26" s="734"/>
      <c r="G26" s="734">
        <f>-'305 VS COGNOS kWh'!$C$26/('305 VS COGNOS kWh'!$C$13+'305 VS COGNOS kWh'!$C$18+'305 VS COGNOS kWh'!$C$19+'305 VS COGNOS kWh'!$C$20+'305 VS COGNOS kWh'!$C$26+'305 VS COGNOS kWh'!$C$32+'305 VS COGNOS kWh'!$C$33+'305 VS COGNOS kWh'!$C$34)*'WA Depreciation'!$AM$16</f>
        <v>72.893504504702932</v>
      </c>
      <c r="H26" s="734"/>
      <c r="I26" s="734">
        <f>-'305 VS COGNOS kWh'!$C$26/('305 VS COGNOS kWh'!$C$13+'305 VS COGNOS kWh'!$C$18+'305 VS COGNOS kWh'!$C$19+'305 VS COGNOS kWh'!$C$20+'305 VS COGNOS kWh'!$C$26+'305 VS COGNOS kWh'!$C$32+'305 VS COGNOS kWh'!$C$33+'305 VS COGNOS kWh'!$C$34)*'WA Merwin'!$AM$16</f>
        <v>-43.736102702821746</v>
      </c>
      <c r="J26" s="733"/>
      <c r="K26" s="734">
        <v>-2038.2101766666669</v>
      </c>
      <c r="L26" s="733"/>
      <c r="M26" s="733">
        <f t="shared" si="23"/>
        <v>130470.09419513521</v>
      </c>
      <c r="N26" s="733"/>
      <c r="O26" s="734">
        <v>129463.1560666663</v>
      </c>
      <c r="P26" s="733"/>
      <c r="Q26" s="1349">
        <f t="shared" ref="Q26" si="28">ROUND(O26/M26*100,3)-100</f>
        <v>-0.77200000000000557</v>
      </c>
      <c r="R26" s="735">
        <f t="shared" ref="R26" si="29">O26-M26</f>
        <v>-1006.9381284689152</v>
      </c>
      <c r="S26" s="1354">
        <f t="shared" ref="S26" si="30">IF(ABS(Q26)&lt;=0.5,0,IF(M26&gt;O26,(M26*0.995)-O26,(M26*1.005)-O26))</f>
        <v>354.58765749323356</v>
      </c>
      <c r="T26" s="734">
        <f>O26</f>
        <v>129463.1560666663</v>
      </c>
      <c r="U26" s="734">
        <v>130802.7462066669</v>
      </c>
      <c r="V26" s="734">
        <f t="shared" si="24"/>
        <v>-1339.5901400005969</v>
      </c>
      <c r="W26" s="744">
        <f t="shared" ref="W26" si="31">((T26-M26)/M26)*100</f>
        <v>-0.77177696136472984</v>
      </c>
      <c r="X26" s="735">
        <f t="shared" ref="X26" si="32">T26-O26</f>
        <v>0</v>
      </c>
      <c r="Y26" s="731"/>
      <c r="Z26" s="734">
        <v>515</v>
      </c>
      <c r="AA26" s="731">
        <f t="shared" ref="AA26" si="33">((Z26-T26)/T26)*100</f>
        <v>-99.602203425556226</v>
      </c>
      <c r="AB26" s="735">
        <f t="shared" ref="AB26" si="34">Z26-T26</f>
        <v>-128948.1560666663</v>
      </c>
      <c r="AC26" s="731"/>
      <c r="AD26" s="735">
        <f>K26+R26+X26</f>
        <v>-3045.1483051355822</v>
      </c>
      <c r="AE26" s="1342"/>
    </row>
    <row r="27" spans="1:34" s="725" customFormat="1">
      <c r="A27" s="1342" t="s">
        <v>669</v>
      </c>
      <c r="C27" s="733">
        <f>VLOOKUP(A27,'305 Inputs'!$E$7:$I$43,5,FALSE)</f>
        <v>339705.44</v>
      </c>
      <c r="D27" s="728"/>
      <c r="E27" s="734">
        <f>-('305 VS COGNOS kWh'!$C$27/('305 VS COGNOS kWh'!$C$22+'305 VS COGNOS kWh'!$C$27)*'WA SBC'!$H$24)</f>
        <v>-10228.176000000001</v>
      </c>
      <c r="F27" s="734"/>
      <c r="G27" s="734">
        <f>-'305 VS COGNOS kWh'!$C$27/('305 VS COGNOS kWh'!$C$22+'305 VS COGNOS kWh'!$C$27+'305 VS COGNOS kWh'!$C$35)*'WA Depreciation'!$AM$17</f>
        <v>160.04067557261359</v>
      </c>
      <c r="H27" s="734"/>
      <c r="I27" s="734">
        <f>-'305 VS COGNOS kWh'!$C$27/('305 VS COGNOS kWh'!$C$22+'305 VS COGNOS kWh'!$C$27+'305 VS COGNOS kWh'!$C$35)*'WA Merwin'!$AM$17</f>
        <v>-96.024405343568148</v>
      </c>
      <c r="J27" s="733"/>
      <c r="K27" s="734">
        <v>-5204.8792000000003</v>
      </c>
      <c r="L27" s="733"/>
      <c r="M27" s="733">
        <f t="shared" si="23"/>
        <v>324336.40107022901</v>
      </c>
      <c r="N27" s="733"/>
      <c r="O27" s="734">
        <v>323153.10708400072</v>
      </c>
      <c r="P27" s="733"/>
      <c r="Q27" s="1349">
        <f t="shared" si="25"/>
        <v>-0.36499999999999488</v>
      </c>
      <c r="R27" s="735">
        <f t="shared" si="18"/>
        <v>-1183.2939862282947</v>
      </c>
      <c r="S27" s="1354">
        <f t="shared" si="19"/>
        <v>0</v>
      </c>
      <c r="T27" s="734">
        <f>O27</f>
        <v>323153.10708400072</v>
      </c>
      <c r="U27" s="734">
        <v>331781.76027733274</v>
      </c>
      <c r="V27" s="734">
        <f t="shared" si="24"/>
        <v>-8628.6531933320221</v>
      </c>
      <c r="W27" s="744">
        <f t="shared" si="26"/>
        <v>-0.36483539384531627</v>
      </c>
      <c r="X27" s="735">
        <f t="shared" si="20"/>
        <v>0</v>
      </c>
      <c r="Y27" s="731"/>
      <c r="Z27" s="734">
        <v>515</v>
      </c>
      <c r="AA27" s="731">
        <f t="shared" si="27"/>
        <v>-99.840632818094448</v>
      </c>
      <c r="AB27" s="735">
        <f t="shared" si="21"/>
        <v>-322638.10708400072</v>
      </c>
      <c r="AC27" s="731"/>
      <c r="AD27" s="735">
        <f>K27+R27+X27</f>
        <v>-6388.173186228295</v>
      </c>
      <c r="AE27" s="1342"/>
    </row>
    <row r="28" spans="1:34" s="131" customFormat="1">
      <c r="A28" s="132" t="s">
        <v>268</v>
      </c>
      <c r="C28" s="140">
        <f>SUM(C18:C27)</f>
        <v>124590807.40999998</v>
      </c>
      <c r="D28" s="128"/>
      <c r="E28" s="140">
        <f>SUM(E18:E27)</f>
        <v>-3825890.1679299995</v>
      </c>
      <c r="F28" s="140"/>
      <c r="G28" s="140">
        <f>SUM(G18:G27)</f>
        <v>61527.68925259087</v>
      </c>
      <c r="H28" s="140"/>
      <c r="I28" s="140">
        <f>SUM(I18:I27)</f>
        <v>-37083.274915109156</v>
      </c>
      <c r="J28" s="140"/>
      <c r="K28" s="140">
        <f>SUM(K18:K27)</f>
        <v>215611.922202357</v>
      </c>
      <c r="L28" s="140"/>
      <c r="M28" s="140">
        <f>SUM(M18:M27)</f>
        <v>121004973.57860984</v>
      </c>
      <c r="N28" s="140"/>
      <c r="O28" s="140">
        <f>SUM(O18:O27)</f>
        <v>120962720.95254296</v>
      </c>
      <c r="P28" s="140"/>
      <c r="Q28" s="1350">
        <f t="shared" si="25"/>
        <v>-3.4999999999996589E-2</v>
      </c>
      <c r="R28" s="148">
        <f t="shared" si="18"/>
        <v>-42252.626066878438</v>
      </c>
      <c r="S28" s="1355">
        <f t="shared" si="19"/>
        <v>0</v>
      </c>
      <c r="T28" s="140">
        <f>SUM(T18:T27)</f>
        <v>123550147.68593733</v>
      </c>
      <c r="U28" s="140">
        <f t="shared" ref="U28:V28" si="35">SUM(U18:U27)</f>
        <v>123561106.68452509</v>
      </c>
      <c r="V28" s="140">
        <f t="shared" si="35"/>
        <v>-155.58127457005321</v>
      </c>
      <c r="W28" s="745">
        <f t="shared" si="26"/>
        <v>2.1033632189292124</v>
      </c>
      <c r="X28" s="148">
        <f t="shared" si="20"/>
        <v>2587426.7333943695</v>
      </c>
      <c r="Y28" s="136"/>
      <c r="Z28" s="140" t="e">
        <f>SUM(Z18:Z27)</f>
        <v>#REF!</v>
      </c>
      <c r="AA28" s="136" t="e">
        <f t="shared" si="27"/>
        <v>#REF!</v>
      </c>
      <c r="AB28" s="148" t="e">
        <f t="shared" si="21"/>
        <v>#REF!</v>
      </c>
      <c r="AC28" s="136"/>
      <c r="AD28" s="148">
        <f>SUM(AD18:AD27)</f>
        <v>2760786.0295298356</v>
      </c>
      <c r="AE28" s="132"/>
      <c r="AF28" s="148" t="s">
        <v>31</v>
      </c>
    </row>
    <row r="29" spans="1:34" s="131" customFormat="1">
      <c r="A29" s="132"/>
      <c r="C29" s="140"/>
      <c r="D29" s="128"/>
      <c r="E29" s="140"/>
      <c r="F29" s="140"/>
      <c r="G29" s="140"/>
      <c r="H29" s="140"/>
      <c r="I29" s="140"/>
      <c r="J29" s="140"/>
      <c r="K29" s="140"/>
      <c r="L29" s="140"/>
      <c r="M29" s="140" t="s">
        <v>31</v>
      </c>
      <c r="N29" s="140"/>
      <c r="O29" s="140"/>
      <c r="P29" s="140"/>
      <c r="Q29" s="132"/>
      <c r="S29" s="1355"/>
      <c r="W29" s="136"/>
      <c r="X29" s="136"/>
      <c r="Y29" s="136"/>
      <c r="AA29" s="136"/>
      <c r="AB29" s="136"/>
      <c r="AC29" s="136"/>
      <c r="AD29" s="136"/>
      <c r="AE29" s="132"/>
      <c r="AF29" s="131" t="s">
        <v>31</v>
      </c>
    </row>
    <row r="30" spans="1:34" s="131" customFormat="1">
      <c r="A30" s="132"/>
      <c r="C30" s="140"/>
      <c r="D30" s="128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32"/>
      <c r="R30" s="132"/>
      <c r="S30" s="1355"/>
      <c r="W30" s="136"/>
      <c r="X30" s="136"/>
      <c r="Y30" s="136"/>
      <c r="AA30" s="136"/>
      <c r="AB30" s="136"/>
      <c r="AC30" s="136"/>
      <c r="AD30" s="136"/>
      <c r="AE30" s="132"/>
    </row>
    <row r="31" spans="1:34" s="131" customFormat="1">
      <c r="A31" s="132" t="s">
        <v>269</v>
      </c>
      <c r="C31" s="140"/>
      <c r="D31" s="128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32"/>
      <c r="R31" s="132"/>
      <c r="S31" s="1355"/>
      <c r="W31" s="136"/>
      <c r="X31" s="136"/>
      <c r="Y31" s="136"/>
      <c r="AA31" s="136"/>
      <c r="AB31" s="136"/>
      <c r="AC31" s="136"/>
      <c r="AD31" s="136"/>
      <c r="AE31" s="132"/>
    </row>
    <row r="32" spans="1:34" s="725" customFormat="1">
      <c r="A32" s="1342" t="s">
        <v>51</v>
      </c>
      <c r="C32" s="733">
        <f>VLOOKUP(A32,'305 Inputs'!$E$51:$I$71,5,FALSE)+'305 Inputs'!I64</f>
        <v>1608597.8599999999</v>
      </c>
      <c r="D32" s="728"/>
      <c r="E32" s="734">
        <f>-('305 VS COGNOS kWh'!$C$32/('305 VS COGNOS kWh'!$C$32+'305 VS COGNOS kWh'!$C$33+'305 VS COGNOS kWh'!$C$34)*'WA SBC'!$H$31)</f>
        <v>-49812.095010000005</v>
      </c>
      <c r="F32" s="734"/>
      <c r="G32" s="734">
        <f>-'305 VS COGNOS kWh'!$C$32/('305 VS COGNOS kWh'!$C$13+'305 VS COGNOS kWh'!$C$18+'305 VS COGNOS kWh'!$C$19+'305 VS COGNOS kWh'!$C$20+'305 VS COGNOS kWh'!$C$26+'305 VS COGNOS kWh'!$C$32+'305 VS COGNOS kWh'!$C$33+'305 VS COGNOS kWh'!$C$34)*'WA Depreciation'!$AM$16</f>
        <v>817.76890028611012</v>
      </c>
      <c r="H32" s="734"/>
      <c r="I32" s="734">
        <f>-'305 VS COGNOS kWh'!$C$32/('305 VS COGNOS kWh'!$C$13+'305 VS COGNOS kWh'!$C$18+'305 VS COGNOS kWh'!$C$19+'305 VS COGNOS kWh'!$C$20+'305 VS COGNOS kWh'!$C$26+'305 VS COGNOS kWh'!$C$32+'305 VS COGNOS kWh'!$C$33+'305 VS COGNOS kWh'!$C$34)*'WA Merwin'!$AM$16</f>
        <v>-490.66134017166598</v>
      </c>
      <c r="J32" s="733"/>
      <c r="K32" s="734">
        <v>-1184.5735733333299</v>
      </c>
      <c r="L32" s="733"/>
      <c r="M32" s="733">
        <f>C32+E32+G32+I32+K32</f>
        <v>1557928.2989767808</v>
      </c>
      <c r="N32" s="733"/>
      <c r="O32" s="734">
        <v>1533242.9510705566</v>
      </c>
      <c r="P32" s="733"/>
      <c r="Q32" s="1349">
        <f t="shared" ref="Q32:Q41" si="36">ROUND(O32/M32*100,3)-100</f>
        <v>-1.5840000000000032</v>
      </c>
      <c r="R32" s="735">
        <f t="shared" ref="R32:R40" si="37">O32-M32</f>
        <v>-24685.347906224197</v>
      </c>
      <c r="S32" s="1354">
        <f t="shared" ref="S32:S41" si="38">IF(ABS(Q32)&lt;=0.5,0,IF(M32&gt;O32,(M32*0.995)-O32,(M32*1.005)-O32))</f>
        <v>16895.706411340274</v>
      </c>
      <c r="T32" s="734">
        <f>'Rate Design Work eff 10-14-16'!F342</f>
        <v>1551109</v>
      </c>
      <c r="U32" s="734">
        <v>1551107.155770004</v>
      </c>
      <c r="V32" s="734">
        <f>T32-U32</f>
        <v>1.8442299959715456</v>
      </c>
      <c r="W32" s="744">
        <f t="shared" ref="W32:W41" si="39">((T32-M32)/M32)*100</f>
        <v>-0.43771584233110339</v>
      </c>
      <c r="X32" s="735">
        <f t="shared" ref="X32:X41" si="40">T32-O32</f>
        <v>17866.04892944335</v>
      </c>
      <c r="Y32" s="731"/>
      <c r="Z32" s="734">
        <v>1418240</v>
      </c>
      <c r="AA32" s="731">
        <f t="shared" ref="AA32:AA41" si="41">((Z32-T32)/T32)*100</f>
        <v>-8.5660646672799903</v>
      </c>
      <c r="AB32" s="735">
        <f t="shared" ref="AB32:AB41" si="42">Z32-T32</f>
        <v>-132869</v>
      </c>
      <c r="AC32" s="731"/>
      <c r="AD32" s="735">
        <f t="shared" ref="AD32:AD39" si="43">K32+R32+X32</f>
        <v>-8003.872550114178</v>
      </c>
      <c r="AE32" s="1346" t="s">
        <v>31</v>
      </c>
      <c r="AF32" s="730"/>
      <c r="AG32" s="768"/>
    </row>
    <row r="33" spans="1:33" s="725" customFormat="1">
      <c r="A33" s="1342" t="s">
        <v>52</v>
      </c>
      <c r="C33" s="733">
        <f>VLOOKUP(A33,'305 Inputs'!$E$51:$I$71,5,FALSE)</f>
        <v>8155.79</v>
      </c>
      <c r="D33" s="728"/>
      <c r="E33" s="734">
        <f>-('305 VS COGNOS kWh'!$C$33/('305 VS COGNOS kWh'!$C$32+'305 VS COGNOS kWh'!$C$33+'305 VS COGNOS kWh'!$C$34)*'WA SBC'!$H$31)</f>
        <v>-94.272960000000012</v>
      </c>
      <c r="F33" s="734"/>
      <c r="G33" s="734">
        <f>-'305 VS COGNOS kWh'!$C$33/('305 VS COGNOS kWh'!$C$13+'305 VS COGNOS kWh'!$C$18+'305 VS COGNOS kWh'!$C$19+'305 VS COGNOS kWh'!$C$20+'305 VS COGNOS kWh'!$C$26+'305 VS COGNOS kWh'!$C$32+'305 VS COGNOS kWh'!$C$33+'305 VS COGNOS kWh'!$C$34)*'WA Depreciation'!$AM$16</f>
        <v>1.5476862559271918</v>
      </c>
      <c r="H33" s="734"/>
      <c r="I33" s="734">
        <f>-'305 VS COGNOS kWh'!$C$33/('305 VS COGNOS kWh'!$C$13+'305 VS COGNOS kWh'!$C$18+'305 VS COGNOS kWh'!$C$19+'305 VS COGNOS kWh'!$C$20+'305 VS COGNOS kWh'!$C$26+'305 VS COGNOS kWh'!$C$32+'305 VS COGNOS kWh'!$C$33+'305 VS COGNOS kWh'!$C$34)*'WA Merwin'!$AM$16</f>
        <v>-0.92861175355631487</v>
      </c>
      <c r="J33" s="733"/>
      <c r="K33" s="734">
        <v>0</v>
      </c>
      <c r="L33" s="733"/>
      <c r="M33" s="733">
        <f>C33+E33+G33+I33+K33</f>
        <v>8062.1361145023702</v>
      </c>
      <c r="N33" s="733"/>
      <c r="O33" s="734">
        <v>8042.8478195833404</v>
      </c>
      <c r="P33" s="733"/>
      <c r="Q33" s="1349">
        <f t="shared" si="36"/>
        <v>-0.23900000000000432</v>
      </c>
      <c r="R33" s="735">
        <f t="shared" si="37"/>
        <v>-19.288294919029795</v>
      </c>
      <c r="S33" s="1354">
        <f t="shared" si="38"/>
        <v>0</v>
      </c>
      <c r="T33" s="734">
        <f>'Rate Design Work eff 10-14-16'!F447</f>
        <v>8430</v>
      </c>
      <c r="U33" s="734">
        <v>8429.9439454420208</v>
      </c>
      <c r="V33" s="734">
        <f t="shared" ref="V33:V40" si="44">T33-U33</f>
        <v>5.6054557979223318E-2</v>
      </c>
      <c r="W33" s="744">
        <f t="shared" si="39"/>
        <v>4.562858779274479</v>
      </c>
      <c r="X33" s="735">
        <f t="shared" si="40"/>
        <v>387.15218041665958</v>
      </c>
      <c r="Y33" s="731"/>
      <c r="Z33" s="734">
        <v>6139</v>
      </c>
      <c r="AA33" s="731">
        <f t="shared" si="41"/>
        <v>-27.176749703440095</v>
      </c>
      <c r="AB33" s="735">
        <f t="shared" si="42"/>
        <v>-2291</v>
      </c>
      <c r="AC33" s="731"/>
      <c r="AD33" s="735">
        <f t="shared" si="43"/>
        <v>367.86388549762978</v>
      </c>
      <c r="AE33" s="1342"/>
      <c r="AG33" s="768"/>
    </row>
    <row r="34" spans="1:33" s="725" customFormat="1">
      <c r="A34" s="1348" t="s">
        <v>289</v>
      </c>
      <c r="C34" s="733">
        <f>VLOOKUP(A34,'305 Inputs'!$E$51:$I$71,5,FALSE)</f>
        <v>2010.58</v>
      </c>
      <c r="D34" s="728"/>
      <c r="E34" s="734">
        <f>-('305 VS COGNOS kWh'!$C$34/('305 VS COGNOS kWh'!$C$32+'305 VS COGNOS kWh'!$C$33+'305 VS COGNOS kWh'!$C$34)*'WA SBC'!$H$31)</f>
        <v>-16.374380000000002</v>
      </c>
      <c r="F34" s="734"/>
      <c r="G34" s="734">
        <f>-'305 VS COGNOS kWh'!$C$34/('305 VS COGNOS kWh'!$C$13+'305 VS COGNOS kWh'!$C$18+'305 VS COGNOS kWh'!$C$19+'305 VS COGNOS kWh'!$C$20+'305 VS COGNOS kWh'!$C$26+'305 VS COGNOS kWh'!$C$32+'305 VS COGNOS kWh'!$C$33+'305 VS COGNOS kWh'!$C$34)*'WA Depreciation'!$AM$16</f>
        <v>0.26881942473567277</v>
      </c>
      <c r="H34" s="734"/>
      <c r="I34" s="734">
        <f>-'305 VS COGNOS kWh'!$C$34/('305 VS COGNOS kWh'!$C$13+'305 VS COGNOS kWh'!$C$18+'305 VS COGNOS kWh'!$C$19+'305 VS COGNOS kWh'!$C$20+'305 VS COGNOS kWh'!$C$26+'305 VS COGNOS kWh'!$C$32+'305 VS COGNOS kWh'!$C$33+'305 VS COGNOS kWh'!$C$34)*'WA Merwin'!$AM$16</f>
        <v>-0.16129165484140362</v>
      </c>
      <c r="J34" s="733"/>
      <c r="K34" s="734">
        <v>0</v>
      </c>
      <c r="L34" s="733"/>
      <c r="M34" s="733">
        <f t="shared" ref="M34:M40" si="45">C34+E34+G34+I34+K34</f>
        <v>1994.3131477698944</v>
      </c>
      <c r="N34" s="733"/>
      <c r="O34" s="734">
        <v>1993.5645099999999</v>
      </c>
      <c r="P34" s="733"/>
      <c r="Q34" s="1349">
        <f t="shared" si="36"/>
        <v>-3.7999999999996703E-2</v>
      </c>
      <c r="R34" s="735">
        <f t="shared" si="37"/>
        <v>-0.74863776989445796</v>
      </c>
      <c r="S34" s="1354">
        <f t="shared" si="38"/>
        <v>0</v>
      </c>
      <c r="T34" s="734">
        <f>'Rate Design Work eff 10-14-16'!F553</f>
        <v>2075</v>
      </c>
      <c r="U34" s="734">
        <v>2074.2555499999999</v>
      </c>
      <c r="V34" s="734">
        <f t="shared" si="44"/>
        <v>0.74445000000014261</v>
      </c>
      <c r="W34" s="744">
        <f t="shared" si="39"/>
        <v>4.0458466776058843</v>
      </c>
      <c r="X34" s="735">
        <f t="shared" si="40"/>
        <v>81.435490000000073</v>
      </c>
      <c r="Y34" s="731"/>
      <c r="Z34" s="734">
        <v>1696</v>
      </c>
      <c r="AA34" s="731">
        <f t="shared" si="41"/>
        <v>-18.265060240963855</v>
      </c>
      <c r="AB34" s="735">
        <f t="shared" si="42"/>
        <v>-379</v>
      </c>
      <c r="AC34" s="731"/>
      <c r="AD34" s="735">
        <f t="shared" si="43"/>
        <v>80.686852230105615</v>
      </c>
      <c r="AE34" s="1342"/>
      <c r="AG34" s="768"/>
    </row>
    <row r="35" spans="1:33" s="725" customFormat="1">
      <c r="A35" s="1342" t="s">
        <v>53</v>
      </c>
      <c r="C35" s="733">
        <f>VLOOKUP(A35,'305 Inputs'!$E$51:$I$71,5,FALSE)+'305 Inputs'!I68</f>
        <v>8319006.9799999995</v>
      </c>
      <c r="D35" s="728"/>
      <c r="E35" s="734">
        <f>-'WA SBC'!$H$32</f>
        <v>-248651.21279999998</v>
      </c>
      <c r="F35" s="734"/>
      <c r="G35" s="734">
        <f>-'305 VS COGNOS kWh'!$C$35/('305 VS COGNOS kWh'!$C$22+'305 VS COGNOS kWh'!$C$27+'305 VS COGNOS kWh'!$C$35)*'WA Depreciation'!$AM$17</f>
        <v>3890.6553894322601</v>
      </c>
      <c r="H35" s="734"/>
      <c r="I35" s="734">
        <f>-'305 VS COGNOS kWh'!$C$35/('305 VS COGNOS kWh'!$C$22+'305 VS COGNOS kWh'!$C$27+'305 VS COGNOS kWh'!$C$35)*'WA Merwin'!$AM$17</f>
        <v>-2334.3932336593557</v>
      </c>
      <c r="J35" s="733"/>
      <c r="K35" s="734">
        <v>111450.40919999999</v>
      </c>
      <c r="L35" s="733"/>
      <c r="M35" s="733">
        <f t="shared" si="45"/>
        <v>8183362.4385557715</v>
      </c>
      <c r="N35" s="733"/>
      <c r="O35" s="734">
        <v>8175434.4751433302</v>
      </c>
      <c r="P35" s="733"/>
      <c r="Q35" s="1349">
        <f t="shared" si="36"/>
        <v>-9.6999999999994202E-2</v>
      </c>
      <c r="R35" s="735">
        <f>O35-M35</f>
        <v>-7927.9634124413133</v>
      </c>
      <c r="S35" s="1354">
        <f t="shared" si="38"/>
        <v>0</v>
      </c>
      <c r="T35" s="734">
        <f>'Rate Design Work eff 10-14-16'!F712</f>
        <v>8422876</v>
      </c>
      <c r="U35" s="734">
        <v>8422876.303193327</v>
      </c>
      <c r="V35" s="734">
        <f t="shared" si="44"/>
        <v>-0.30319332703948021</v>
      </c>
      <c r="W35" s="744">
        <f t="shared" si="39"/>
        <v>2.9268355549763321</v>
      </c>
      <c r="X35" s="951">
        <f t="shared" si="40"/>
        <v>247441.52485666983</v>
      </c>
      <c r="Y35" s="731"/>
      <c r="Z35" s="734">
        <v>8131326</v>
      </c>
      <c r="AA35" s="731">
        <f t="shared" si="41"/>
        <v>-3.4614067688993639</v>
      </c>
      <c r="AB35" s="735">
        <f t="shared" si="42"/>
        <v>-291550</v>
      </c>
      <c r="AC35" s="731"/>
      <c r="AD35" s="735">
        <f t="shared" si="43"/>
        <v>350963.97064422851</v>
      </c>
      <c r="AE35" s="1342"/>
      <c r="AG35" s="768"/>
    </row>
    <row r="36" spans="1:33" s="725" customFormat="1">
      <c r="A36" s="1342" t="s">
        <v>159</v>
      </c>
      <c r="C36" s="733">
        <f>VLOOKUP(A36,'305 Inputs'!$E$51:$I$71,5,FALSE)</f>
        <v>308414.28999999998</v>
      </c>
      <c r="D36" s="728"/>
      <c r="E36" s="734">
        <f>-'WA SBC'!$H$33</f>
        <v>-4167.12</v>
      </c>
      <c r="F36" s="734"/>
      <c r="G36" s="734">
        <f>-'WA Depreciation'!$AM$19</f>
        <v>43.963850752422182</v>
      </c>
      <c r="H36" s="734"/>
      <c r="I36" s="734">
        <f>-'WA Merwin'!$AM$19</f>
        <v>-27.477406720263865</v>
      </c>
      <c r="J36" s="733"/>
      <c r="K36" s="734">
        <v>6930.48</v>
      </c>
      <c r="L36" s="733"/>
      <c r="M36" s="733">
        <f>C36+E36+G36+I36+K36</f>
        <v>311194.13644403213</v>
      </c>
      <c r="N36" s="733"/>
      <c r="O36" s="734">
        <v>311169.46850000002</v>
      </c>
      <c r="P36" s="733"/>
      <c r="Q36" s="1349">
        <f>ROUND(O36/M36*100,3)-100</f>
        <v>-7.9999999999955662E-3</v>
      </c>
      <c r="R36" s="735">
        <f t="shared" si="37"/>
        <v>-24.667944032116793</v>
      </c>
      <c r="S36" s="1354">
        <f t="shared" si="38"/>
        <v>0</v>
      </c>
      <c r="T36" s="734">
        <f>'Rate Design Work eff 10-14-16'!F896</f>
        <v>319234</v>
      </c>
      <c r="U36" s="734">
        <v>319233.71075000003</v>
      </c>
      <c r="V36" s="734">
        <f t="shared" si="44"/>
        <v>0.28924999997252598</v>
      </c>
      <c r="W36" s="744">
        <f t="shared" si="39"/>
        <v>2.5835523920335257</v>
      </c>
      <c r="X36" s="735">
        <f t="shared" si="40"/>
        <v>8064.5314999999828</v>
      </c>
      <c r="Y36" s="731"/>
      <c r="Z36" s="734">
        <v>858176</v>
      </c>
      <c r="AA36" s="731">
        <f t="shared" si="41"/>
        <v>168.82349624413439</v>
      </c>
      <c r="AB36" s="735">
        <f t="shared" si="42"/>
        <v>538942</v>
      </c>
      <c r="AC36" s="731"/>
      <c r="AD36" s="735">
        <f t="shared" si="43"/>
        <v>14970.343555967866</v>
      </c>
      <c r="AE36" s="1342"/>
      <c r="AG36" s="768"/>
    </row>
    <row r="37" spans="1:33" s="725" customFormat="1">
      <c r="A37" s="1342" t="s">
        <v>54</v>
      </c>
      <c r="C37" s="733">
        <f>VLOOKUP(A37,'305 Inputs'!$E$51:$I$71,5,FALSE)-C38</f>
        <v>15030428.960000001</v>
      </c>
      <c r="D37" s="728"/>
      <c r="E37" s="734">
        <f>-'WA SBC'!$H$34</f>
        <v>-416993.59099999996</v>
      </c>
      <c r="F37" s="734"/>
      <c r="G37" s="734">
        <f>-'305 VS COGNOS kWh'!$C$37/('305 VS COGNOS kWh'!$C$23+'305 VS COGNOS kWh'!$C$37+'305 VS COGNOS kWh'!$C$39)*'WA Depreciation'!$AM$20</f>
        <v>7051.8832556129628</v>
      </c>
      <c r="H37" s="734"/>
      <c r="I37" s="734">
        <f>-'305 VS COGNOS kWh'!$C$37/('305 VS COGNOS kWh'!$C$23+'305 VS COGNOS kWh'!$C$37+'305 VS COGNOS kWh'!$C$39)*'WA Merwin'!$AM$20</f>
        <v>-4407.4270347581023</v>
      </c>
      <c r="J37" s="733"/>
      <c r="K37" s="734">
        <v>103408.391</v>
      </c>
      <c r="L37" s="733"/>
      <c r="M37" s="733">
        <f t="shared" si="45"/>
        <v>14719488.216220856</v>
      </c>
      <c r="N37" s="733"/>
      <c r="O37" s="734">
        <v>14714431.042342</v>
      </c>
      <c r="P37" s="733"/>
      <c r="Q37" s="1349">
        <f>ROUND(O37/M37*100,3)-100</f>
        <v>-3.4000000000006025E-2</v>
      </c>
      <c r="R37" s="735">
        <f>O37-M37</f>
        <v>-5057.1738788560033</v>
      </c>
      <c r="S37" s="1354">
        <f>IF(ABS(Q37)&lt;=0.5,0,IF(M37&gt;O37,(M37*0.995)-O37,(M37*1.005)-O37))</f>
        <v>0</v>
      </c>
      <c r="T37" s="734">
        <f>'Rate Design Work eff 10-14-16'!F1083</f>
        <v>15097364</v>
      </c>
      <c r="U37" s="734">
        <v>15097364.2692471</v>
      </c>
      <c r="V37" s="734">
        <f>T37-U37</f>
        <v>-0.26924709975719452</v>
      </c>
      <c r="W37" s="744">
        <f>((T37-M37)/M37)*100</f>
        <v>2.567180177927149</v>
      </c>
      <c r="X37" s="951">
        <f t="shared" si="40"/>
        <v>382932.95765800029</v>
      </c>
      <c r="Y37" s="731"/>
      <c r="Z37" s="734">
        <v>-225839</v>
      </c>
      <c r="AA37" s="731">
        <f>((Z37-T37)/T37)*100</f>
        <v>-101.49588365227203</v>
      </c>
      <c r="AB37" s="735">
        <f>Z37-T37</f>
        <v>-15323203</v>
      </c>
      <c r="AC37" s="731"/>
      <c r="AD37" s="735">
        <f t="shared" si="43"/>
        <v>481284.17477914429</v>
      </c>
      <c r="AE37" s="1342"/>
      <c r="AG37" s="768"/>
    </row>
    <row r="38" spans="1:33" s="725" customFormat="1">
      <c r="A38" s="1348" t="s">
        <v>571</v>
      </c>
      <c r="C38" s="733">
        <v>26655601.359999999</v>
      </c>
      <c r="D38" s="728"/>
      <c r="E38" s="734">
        <f>-'WA SBC'!$H$35</f>
        <v>-889447.32000000018</v>
      </c>
      <c r="F38" s="734"/>
      <c r="G38" s="734">
        <f>-'WA Depreciation'!$AM$26</f>
        <v>12153.69296</v>
      </c>
      <c r="H38" s="734"/>
      <c r="I38" s="734">
        <f>-'WA Merwin'!$AM$26</f>
        <v>-7596.0581000000002</v>
      </c>
      <c r="J38" s="733"/>
      <c r="K38" s="734">
        <v>0</v>
      </c>
      <c r="L38" s="733"/>
      <c r="M38" s="733">
        <f t="shared" si="45"/>
        <v>25770711.674860001</v>
      </c>
      <c r="N38" s="733"/>
      <c r="O38" s="734">
        <v>25768743.896000002</v>
      </c>
      <c r="P38" s="733"/>
      <c r="Q38" s="1349">
        <f t="shared" si="36"/>
        <v>-7.9999999999955662E-3</v>
      </c>
      <c r="R38" s="735">
        <f t="shared" si="37"/>
        <v>-1967.7788599990308</v>
      </c>
      <c r="S38" s="1354">
        <f t="shared" si="38"/>
        <v>0</v>
      </c>
      <c r="T38" s="734">
        <f>'Rate Design Work eff 10-14-16'!F1102</f>
        <v>26470758</v>
      </c>
      <c r="U38" s="734">
        <v>26470758.619333301</v>
      </c>
      <c r="V38" s="734">
        <f t="shared" si="44"/>
        <v>-0.61933330073952675</v>
      </c>
      <c r="W38" s="744">
        <f t="shared" si="39"/>
        <v>2.7164415712388448</v>
      </c>
      <c r="X38" s="951">
        <f t="shared" si="40"/>
        <v>702014.10399999842</v>
      </c>
      <c r="Y38" s="731"/>
      <c r="Z38" s="734">
        <v>29509698</v>
      </c>
      <c r="AA38" s="731">
        <f t="shared" si="41"/>
        <v>11.480366372583664</v>
      </c>
      <c r="AB38" s="735">
        <f t="shared" si="42"/>
        <v>3038940</v>
      </c>
      <c r="AC38" s="731"/>
      <c r="AD38" s="735">
        <f t="shared" si="43"/>
        <v>700046.32513999939</v>
      </c>
      <c r="AE38" s="1342"/>
      <c r="AG38" s="768"/>
    </row>
    <row r="39" spans="1:33" s="725" customFormat="1">
      <c r="A39" s="1342" t="s">
        <v>60</v>
      </c>
      <c r="B39" s="725" t="s">
        <v>31</v>
      </c>
      <c r="C39" s="733">
        <v>0</v>
      </c>
      <c r="D39" s="728"/>
      <c r="E39" s="734">
        <v>0</v>
      </c>
      <c r="F39" s="734"/>
      <c r="G39" s="734">
        <v>0</v>
      </c>
      <c r="H39" s="734"/>
      <c r="I39" s="734">
        <v>0</v>
      </c>
      <c r="J39" s="733"/>
      <c r="K39" s="734">
        <v>0</v>
      </c>
      <c r="L39" s="733"/>
      <c r="M39" s="733">
        <f>C39+E39+G39+I39+K39</f>
        <v>0</v>
      </c>
      <c r="N39" s="733"/>
      <c r="O39" s="734">
        <v>0</v>
      </c>
      <c r="P39" s="733"/>
      <c r="Q39" s="1349">
        <v>0</v>
      </c>
      <c r="R39" s="735">
        <f t="shared" si="37"/>
        <v>0</v>
      </c>
      <c r="S39" s="1354">
        <f>IF(ABS(Q39)&lt;=0.5,0,IF(M39&gt;O39,(M39*0.995)-O39,(M39*1.005)-O39))</f>
        <v>0</v>
      </c>
      <c r="T39" s="734">
        <f>O39</f>
        <v>0</v>
      </c>
      <c r="U39" s="734">
        <v>0</v>
      </c>
      <c r="V39" s="734">
        <f t="shared" si="44"/>
        <v>0</v>
      </c>
      <c r="W39" s="744">
        <v>0</v>
      </c>
      <c r="X39" s="735">
        <f t="shared" si="40"/>
        <v>0</v>
      </c>
      <c r="Y39" s="731"/>
      <c r="Z39" s="734">
        <v>2372611</v>
      </c>
      <c r="AA39" s="731" t="e">
        <f t="shared" si="41"/>
        <v>#DIV/0!</v>
      </c>
      <c r="AB39" s="735">
        <f t="shared" si="42"/>
        <v>2372611</v>
      </c>
      <c r="AC39" s="731"/>
      <c r="AD39" s="735">
        <f t="shared" si="43"/>
        <v>0</v>
      </c>
      <c r="AE39" s="1342"/>
      <c r="AG39" s="768"/>
    </row>
    <row r="40" spans="1:33" s="725" customFormat="1">
      <c r="A40" s="1342" t="s">
        <v>55</v>
      </c>
      <c r="C40" s="733">
        <f>VLOOKUP(A40,'305 Inputs'!$E$51:$I$71,5,FALSE)+'305 Inputs'!I70</f>
        <v>18394.66</v>
      </c>
      <c r="D40" s="728"/>
      <c r="E40" s="734">
        <f>-'WA SBC'!$H$30</f>
        <v>-353.60768000000002</v>
      </c>
      <c r="F40" s="734"/>
      <c r="G40" s="734">
        <f>-'305 VS COGNOS kWh'!$C$40/('305 VS COGNOS kWh'!$C$12+'305 VS COGNOS kWh'!$C$24+'305 VS COGNOS kWh'!$C$40)*'WA Depreciation'!$AM$12</f>
        <v>10.836353193452037</v>
      </c>
      <c r="H40" s="734"/>
      <c r="I40" s="734">
        <f>-'305 VS COGNOS kWh'!$C$40/('305 VS COGNOS kWh'!$C$12+'305 VS COGNOS kWh'!$C$24+'305 VS COGNOS kWh'!$C$40)*'WA Merwin'!$AM$12</f>
        <v>-6.7361114445782935</v>
      </c>
      <c r="J40" s="733"/>
      <c r="K40" s="734">
        <v>165.71191526188898</v>
      </c>
      <c r="L40" s="733"/>
      <c r="M40" s="733">
        <f t="shared" si="45"/>
        <v>18210.864477010764</v>
      </c>
      <c r="N40" s="733"/>
      <c r="O40" s="734">
        <v>18201.289740259424</v>
      </c>
      <c r="P40" s="733"/>
      <c r="Q40" s="1349">
        <f t="shared" si="36"/>
        <v>-5.2999999999997272E-2</v>
      </c>
      <c r="R40" s="735">
        <f t="shared" si="37"/>
        <v>-9.5747367513395147</v>
      </c>
      <c r="S40" s="1354">
        <f t="shared" si="38"/>
        <v>0</v>
      </c>
      <c r="T40" s="734">
        <f>'Rate Design Work eff 10-14-16'!F81</f>
        <v>18414.478548696392</v>
      </c>
      <c r="U40" s="734">
        <v>18414.47854869637</v>
      </c>
      <c r="V40" s="734">
        <f t="shared" si="44"/>
        <v>0</v>
      </c>
      <c r="W40" s="744">
        <f t="shared" si="39"/>
        <v>1.1180911918962915</v>
      </c>
      <c r="X40" s="735">
        <f t="shared" si="40"/>
        <v>213.18880843696752</v>
      </c>
      <c r="Y40" s="731"/>
      <c r="Z40" s="734">
        <v>19177</v>
      </c>
      <c r="AA40" s="731">
        <f t="shared" si="41"/>
        <v>4.1408799564274865</v>
      </c>
      <c r="AB40" s="735">
        <f t="shared" si="42"/>
        <v>762.52145130360805</v>
      </c>
      <c r="AC40" s="731"/>
      <c r="AD40" s="735">
        <f>K40+R40+X40</f>
        <v>369.32598694751698</v>
      </c>
      <c r="AE40" s="1342"/>
      <c r="AG40" s="768"/>
    </row>
    <row r="41" spans="1:33" s="131" customFormat="1">
      <c r="A41" s="132" t="s">
        <v>270</v>
      </c>
      <c r="C41" s="140">
        <f>SUM(C32:C40)</f>
        <v>51950610.479999997</v>
      </c>
      <c r="D41" s="128"/>
      <c r="E41" s="140">
        <f>SUM(E32:E40)</f>
        <v>-1609535.5938300001</v>
      </c>
      <c r="F41" s="140"/>
      <c r="G41" s="140">
        <f>SUM(G32:G40)</f>
        <v>23970.617214957871</v>
      </c>
      <c r="H41" s="140"/>
      <c r="I41" s="140">
        <f>SUM(I32:I40)</f>
        <v>-14863.843130162364</v>
      </c>
      <c r="J41" s="140"/>
      <c r="K41" s="140">
        <f>SUM(K32:K40)</f>
        <v>220770.41854192855</v>
      </c>
      <c r="L41" s="140"/>
      <c r="M41" s="140">
        <f>SUM(M32:M40)</f>
        <v>50570952.078796722</v>
      </c>
      <c r="N41" s="140"/>
      <c r="O41" s="140">
        <f>SUM(O32:O40)</f>
        <v>50531259.535125725</v>
      </c>
      <c r="P41" s="140"/>
      <c r="Q41" s="1350">
        <f t="shared" si="36"/>
        <v>-7.8000000000002956E-2</v>
      </c>
      <c r="R41" s="148">
        <f>SUM(R32:R40)</f>
        <v>-39692.543670992927</v>
      </c>
      <c r="S41" s="1355">
        <f t="shared" si="38"/>
        <v>0</v>
      </c>
      <c r="T41" s="140">
        <f>SUM(T32:T40)</f>
        <v>51890260.478548698</v>
      </c>
      <c r="U41" s="140">
        <f t="shared" ref="U41:V41" si="46">SUM(U32:U40)</f>
        <v>51890258.736337878</v>
      </c>
      <c r="V41" s="140">
        <f t="shared" si="46"/>
        <v>1.742210826387236</v>
      </c>
      <c r="W41" s="745">
        <f t="shared" si="39"/>
        <v>2.6088265012220977</v>
      </c>
      <c r="X41" s="148">
        <f t="shared" si="40"/>
        <v>1359000.9434229732</v>
      </c>
      <c r="Y41" s="136"/>
      <c r="Z41" s="140">
        <f>SUM(Z32:Z40)</f>
        <v>42091224</v>
      </c>
      <c r="AA41" s="136">
        <f t="shared" si="41"/>
        <v>-18.884153573674187</v>
      </c>
      <c r="AB41" s="148">
        <f t="shared" si="42"/>
        <v>-9799036.4785486981</v>
      </c>
      <c r="AC41" s="136"/>
      <c r="AD41" s="148">
        <f>SUM(AD32:AD40)</f>
        <v>1540078.8182939012</v>
      </c>
      <c r="AE41" s="132"/>
    </row>
    <row r="42" spans="1:33" s="131" customFormat="1">
      <c r="A42" s="132"/>
      <c r="C42" s="140"/>
      <c r="D42" s="128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32"/>
      <c r="R42" s="133"/>
      <c r="S42" s="1355"/>
      <c r="W42" s="136"/>
      <c r="X42" s="136"/>
      <c r="Y42" s="136"/>
      <c r="AA42" s="136"/>
      <c r="AB42" s="136"/>
      <c r="AC42" s="136"/>
      <c r="AD42" s="136"/>
      <c r="AE42" s="132"/>
    </row>
    <row r="43" spans="1:33" s="131" customFormat="1">
      <c r="A43" s="132"/>
      <c r="C43" s="140"/>
      <c r="D43" s="128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32"/>
      <c r="R43" s="133"/>
      <c r="S43" s="1355"/>
      <c r="W43" s="136"/>
      <c r="X43" s="136"/>
      <c r="Y43" s="136"/>
      <c r="AA43" s="136"/>
      <c r="AB43" s="136"/>
      <c r="AC43" s="136"/>
      <c r="AD43" s="136"/>
      <c r="AE43" s="132"/>
    </row>
    <row r="44" spans="1:33" s="131" customFormat="1" ht="12.75" customHeight="1">
      <c r="A44" s="132" t="s">
        <v>271</v>
      </c>
      <c r="C44" s="140"/>
      <c r="D44" s="128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32"/>
      <c r="R44" s="133"/>
      <c r="S44" s="1355"/>
      <c r="W44" s="136"/>
      <c r="X44" s="136"/>
      <c r="Y44" s="136"/>
      <c r="AA44" s="136"/>
      <c r="AB44" s="136"/>
      <c r="AC44" s="136"/>
      <c r="AD44" s="136"/>
      <c r="AE44" s="132"/>
    </row>
    <row r="45" spans="1:33" s="725" customFormat="1" ht="11.25" customHeight="1">
      <c r="A45" s="1342" t="s">
        <v>58</v>
      </c>
      <c r="C45" s="733">
        <f>VLOOKUP(A45,'305 Inputs'!$E$77:$I$97,5,FALSE)+VLOOKUP("02NMT40135",'305 Inputs'!$E$77:$I$97,5,FALSE)</f>
        <v>11333551.449999999</v>
      </c>
      <c r="D45" s="728"/>
      <c r="E45" s="734">
        <f>-('305 VS COGNOS kWh'!$C$45/('305 VS COGNOS kWh'!$C$45+'305 VS COGNOS kWh'!$C$46)*'WA SBC'!$H$39)</f>
        <v>-357442.62699999998</v>
      </c>
      <c r="F45" s="734"/>
      <c r="G45" s="734">
        <f>-('305 VS COGNOS kWh'!$C$45/('305 VS COGNOS kWh'!$C$45+'305 VS COGNOS kWh'!$C$46)*'WA Depreciation'!$AM$18)</f>
        <v>8238.7608066824287</v>
      </c>
      <c r="H45" s="734"/>
      <c r="I45" s="734">
        <f>-('305 VS COGNOS kWh'!$C$45/('305 VS COGNOS kWh'!$C$45+'305 VS COGNOS kWh'!$C$46)*'WA Merwin'!$AM$18)</f>
        <v>-4707.8633181042451</v>
      </c>
      <c r="J45" s="733"/>
      <c r="K45" s="959">
        <v>260484.54255459551</v>
      </c>
      <c r="L45" s="733"/>
      <c r="M45" s="733">
        <f>C45+E45+G45+I45+K45</f>
        <v>11240124.263043173</v>
      </c>
      <c r="N45" s="733"/>
      <c r="O45" s="734">
        <v>11238776.030309403</v>
      </c>
      <c r="P45" s="733"/>
      <c r="Q45" s="1349">
        <f>ROUND(O45/M45*100,3)-100</f>
        <v>-1.2000000000000455E-2</v>
      </c>
      <c r="R45" s="735">
        <f>O45-M45</f>
        <v>-1348.2327337693423</v>
      </c>
      <c r="S45" s="1354">
        <f>IF(ABS(Q45)&lt;=0.5,0,IF(M45&gt;O45,(M45*0.995)-O45,(M45*1.005)-O45))</f>
        <v>0</v>
      </c>
      <c r="T45" s="734">
        <f>'Rate Design Work eff 10-14-16'!F819-Temperature!D92*1000</f>
        <v>11354396.470000001</v>
      </c>
      <c r="U45" s="734">
        <v>11363498.469600316</v>
      </c>
      <c r="V45" s="734">
        <f>T45-U45+Temperature!D92*1000-Temperature!B92*1000*Temperature!C91</f>
        <v>-1.3686328865587711</v>
      </c>
      <c r="W45" s="744">
        <f>((T45-M45)/M45)*100</f>
        <v>1.0166454060703574</v>
      </c>
      <c r="X45" s="735">
        <f>T45-O45</f>
        <v>115620.43969059736</v>
      </c>
      <c r="Y45" s="731"/>
      <c r="Z45" s="734">
        <v>8839304</v>
      </c>
      <c r="AA45" s="731">
        <f>((Z45-T45)/T45)*100</f>
        <v>-22.150824807335624</v>
      </c>
      <c r="AB45" s="735">
        <f>Z45-T45</f>
        <v>-2515092.4700000007</v>
      </c>
      <c r="AC45" s="731"/>
      <c r="AD45" s="735">
        <f>K45+R45+X45</f>
        <v>374756.74951142352</v>
      </c>
      <c r="AE45" s="1342"/>
      <c r="AG45" s="768"/>
    </row>
    <row r="46" spans="1:33" s="725" customFormat="1">
      <c r="A46" s="1342" t="s">
        <v>59</v>
      </c>
      <c r="C46" s="733">
        <f>VLOOKUP(A46,'305 Inputs'!$E$77:$I$97,5,FALSE)</f>
        <v>4076711.77</v>
      </c>
      <c r="D46" s="728"/>
      <c r="E46" s="734">
        <f>-('305 VS COGNOS kWh'!$C$46/('305 VS COGNOS kWh'!$C$45+'305 VS COGNOS kWh'!$C$46)*'WA SBC'!$H$39)</f>
        <v>-127353.02508000001</v>
      </c>
      <c r="F46" s="734"/>
      <c r="G46" s="734">
        <f>-('305 VS COGNOS kWh'!$C$46/('305 VS COGNOS kWh'!$C$45+'305 VS COGNOS kWh'!$C$46)*'WA Depreciation'!$AM$18)</f>
        <v>2935.3832822002742</v>
      </c>
      <c r="H46" s="734"/>
      <c r="I46" s="734">
        <f>-('305 VS COGNOS kWh'!$C$46/('305 VS COGNOS kWh'!$C$45+'305 VS COGNOS kWh'!$C$46)*'WA Merwin'!$AM$18)</f>
        <v>-1677.3618755430139</v>
      </c>
      <c r="J46" s="733"/>
      <c r="K46" s="959">
        <v>57592.767005189657</v>
      </c>
      <c r="L46" s="733"/>
      <c r="M46" s="733">
        <f>C46+E46+G46+I46+K46</f>
        <v>4008209.5333318473</v>
      </c>
      <c r="N46" s="733"/>
      <c r="O46" s="734">
        <v>4007771.3009798941</v>
      </c>
      <c r="P46" s="733"/>
      <c r="Q46" s="1349">
        <f>ROUND(O46/M46*100,3)-100</f>
        <v>-1.099999999999568E-2</v>
      </c>
      <c r="R46" s="735">
        <f>O46-M46</f>
        <v>-438.23235195316374</v>
      </c>
      <c r="S46" s="1354">
        <f>IF(ABS(Q46)&lt;=0.5,0,IF(M46&gt;O46,(M46*0.995)-O46,(M46*1.005)-O46))</f>
        <v>0</v>
      </c>
      <c r="T46" s="734">
        <f>'Rate Design Work eff 10-14-16'!F872</f>
        <v>4051637</v>
      </c>
      <c r="U46" s="734">
        <v>4051639.0863313521</v>
      </c>
      <c r="V46" s="734">
        <f>T46-U46</f>
        <v>-2.0863313521258533</v>
      </c>
      <c r="W46" s="744">
        <f>((T46-M46)/M46)*100</f>
        <v>1.0834629853308437</v>
      </c>
      <c r="X46" s="735">
        <f>T46-O46</f>
        <v>43865.69902010588</v>
      </c>
      <c r="Y46" s="731"/>
      <c r="Z46" s="734">
        <v>1173033</v>
      </c>
      <c r="AA46" s="731">
        <f>((Z46-T46)/T46)*100</f>
        <v>-71.047924579620542</v>
      </c>
      <c r="AB46" s="735">
        <f>Z46-T46</f>
        <v>-2878604</v>
      </c>
      <c r="AC46" s="731"/>
      <c r="AD46" s="735">
        <f>K46+R46+X46</f>
        <v>101020.23367334237</v>
      </c>
      <c r="AE46" s="1342"/>
      <c r="AG46" s="768"/>
    </row>
    <row r="47" spans="1:33" s="131" customFormat="1">
      <c r="A47" s="132" t="s">
        <v>272</v>
      </c>
      <c r="C47" s="140">
        <f>SUM(C45:C46)</f>
        <v>15410263.219999999</v>
      </c>
      <c r="D47" s="128"/>
      <c r="E47" s="140">
        <f>SUM(E45:E46)</f>
        <v>-484795.65207999997</v>
      </c>
      <c r="F47" s="140"/>
      <c r="G47" s="140">
        <f>SUM(G45:G46)</f>
        <v>11174.144088882702</v>
      </c>
      <c r="H47" s="140"/>
      <c r="I47" s="140">
        <f>SUM(I45:I46)</f>
        <v>-6385.2251936472585</v>
      </c>
      <c r="J47" s="140"/>
      <c r="K47" s="140">
        <f>SUM(K45:K46)</f>
        <v>318077.30955978518</v>
      </c>
      <c r="L47" s="140"/>
      <c r="M47" s="140">
        <f>SUM(M45:M46)</f>
        <v>15248333.796375019</v>
      </c>
      <c r="N47" s="140"/>
      <c r="O47" s="140">
        <f>SUM(O45:O46)</f>
        <v>15246547.331289297</v>
      </c>
      <c r="P47" s="140"/>
      <c r="Q47" s="1350">
        <f>ROUND(O47/M47*100,3)-100</f>
        <v>-1.2000000000000455E-2</v>
      </c>
      <c r="R47" s="148">
        <f>SUM(R45:R46)</f>
        <v>-1786.465085722506</v>
      </c>
      <c r="S47" s="1355">
        <f>IF(ABS(Q47)&lt;=0.5,0,IF(M47&gt;O47,(M47*0.995)-O47,(M47*1.005)-O47))</f>
        <v>0</v>
      </c>
      <c r="T47" s="140">
        <f>SUM(T45:T46)</f>
        <v>15406033.470000001</v>
      </c>
      <c r="U47" s="140">
        <f t="shared" ref="U47:V47" si="47">SUM(U45:U46)</f>
        <v>15415137.555931669</v>
      </c>
      <c r="V47" s="140">
        <f t="shared" si="47"/>
        <v>-3.4549642386846244</v>
      </c>
      <c r="W47" s="745">
        <f>((T47-M47)/M47)*100</f>
        <v>1.0342092174193556</v>
      </c>
      <c r="X47" s="148">
        <f>T47-O47</f>
        <v>159486.1387107037</v>
      </c>
      <c r="Y47" s="136"/>
      <c r="Z47" s="140">
        <f>SUM(Z45:Z46)</f>
        <v>10012337</v>
      </c>
      <c r="AA47" s="136">
        <f>((Z47-T47)/T47)*100</f>
        <v>-35.010286590010899</v>
      </c>
      <c r="AB47" s="148">
        <f>Z47-T47</f>
        <v>-5393696.4700000007</v>
      </c>
      <c r="AC47" s="136"/>
      <c r="AD47" s="148">
        <f>SUM(AD45:AD46)</f>
        <v>475776.98318476591</v>
      </c>
      <c r="AE47" s="132"/>
    </row>
    <row r="48" spans="1:33" s="131" customFormat="1">
      <c r="A48" s="132"/>
      <c r="C48" s="140"/>
      <c r="D48" s="128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32"/>
      <c r="R48" s="133"/>
      <c r="S48" s="1355"/>
      <c r="W48" s="136"/>
      <c r="X48" s="136"/>
      <c r="Y48" s="136"/>
      <c r="AA48" s="136"/>
      <c r="AB48" s="136"/>
      <c r="AC48" s="136"/>
      <c r="AD48" s="136"/>
      <c r="AE48" s="132"/>
    </row>
    <row r="49" spans="1:33" s="131" customFormat="1">
      <c r="A49" s="132"/>
      <c r="C49" s="140"/>
      <c r="D49" s="128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32"/>
      <c r="R49" s="133"/>
      <c r="S49" s="1355"/>
      <c r="W49" s="136"/>
      <c r="X49" s="136"/>
      <c r="Y49" s="136"/>
      <c r="AA49" s="136"/>
      <c r="AB49" s="136"/>
      <c r="AC49" s="136"/>
      <c r="AD49" s="136"/>
      <c r="AE49" s="132"/>
    </row>
    <row r="50" spans="1:33" s="131" customFormat="1">
      <c r="A50" s="132" t="s">
        <v>273</v>
      </c>
      <c r="C50" s="140"/>
      <c r="D50" s="128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32"/>
      <c r="R50" s="133"/>
      <c r="S50" s="1355"/>
      <c r="W50" s="136"/>
      <c r="X50" s="136"/>
      <c r="Y50" s="136"/>
      <c r="AA50" s="136"/>
      <c r="AB50" s="136"/>
      <c r="AC50" s="136"/>
      <c r="AD50" s="136"/>
      <c r="AE50" s="132"/>
    </row>
    <row r="51" spans="1:33" s="725" customFormat="1">
      <c r="A51" s="1342" t="s">
        <v>61</v>
      </c>
      <c r="C51" s="733">
        <f>VLOOKUP(A51,'305 Inputs'!$E$103:$I$113,5,FALSE)</f>
        <v>34679.26</v>
      </c>
      <c r="D51" s="728"/>
      <c r="E51" s="734">
        <f>-'WA SBC'!$H$44</f>
        <v>-518.14656000000014</v>
      </c>
      <c r="F51" s="734"/>
      <c r="G51" s="734">
        <f>-'WA Depreciation'!$AM$22</f>
        <v>18.586780471486026</v>
      </c>
      <c r="H51" s="734"/>
      <c r="I51" s="734">
        <f>-'WA Merwin'!$AM$22</f>
        <v>-11.565107848924637</v>
      </c>
      <c r="J51" s="733"/>
      <c r="K51" s="734">
        <v>1385.0392689593118</v>
      </c>
      <c r="L51" s="733"/>
      <c r="M51" s="733">
        <f>C51+E51+G51+I51+K51</f>
        <v>35553.174381581877</v>
      </c>
      <c r="N51" s="733"/>
      <c r="O51" s="734">
        <v>35557.483263352602</v>
      </c>
      <c r="P51" s="733"/>
      <c r="Q51" s="1349">
        <f t="shared" ref="Q51:Q56" si="48">ROUND(O51/M51*100,3)-100</f>
        <v>1.2000000000000455E-2</v>
      </c>
      <c r="R51" s="735">
        <f t="shared" ref="R51:R55" si="49">O51-M51</f>
        <v>4.3088817707248381</v>
      </c>
      <c r="S51" s="1354">
        <f t="shared" ref="S51:S56" si="50">IF(ABS(Q51)&lt;=0.5,0,IF(M51&gt;O51,(M51*0.995)-O51,(M51*1.005)-O51))</f>
        <v>0</v>
      </c>
      <c r="T51" s="734">
        <f>'Rate Design Work eff 10-14-16'!F1153</f>
        <v>35934.726609179299</v>
      </c>
      <c r="U51" s="734">
        <v>35934.972194048503</v>
      </c>
      <c r="V51" s="734">
        <f>T51-U51</f>
        <v>-0.24558486920432188</v>
      </c>
      <c r="W51" s="744">
        <f t="shared" ref="W51:W56" si="51">((T51-M51)/M51)*100</f>
        <v>1.0731875120413517</v>
      </c>
      <c r="X51" s="735">
        <f t="shared" ref="X51:X56" si="52">T51-O51</f>
        <v>377.2433458266969</v>
      </c>
      <c r="Y51" s="731"/>
      <c r="Z51" s="734">
        <v>59948.32</v>
      </c>
      <c r="AA51" s="731">
        <f t="shared" ref="AA51:AA56" si="53">((Z51-T51)/T51)*100</f>
        <v>66.825590888693668</v>
      </c>
      <c r="AB51" s="735">
        <f t="shared" ref="AB51:AB56" si="54">Z51-T51</f>
        <v>24013.593390820701</v>
      </c>
      <c r="AC51" s="731"/>
      <c r="AD51" s="735">
        <f>K51+R51+X51</f>
        <v>1766.5914965567335</v>
      </c>
      <c r="AE51" s="1342"/>
      <c r="AG51" s="768"/>
    </row>
    <row r="52" spans="1:33" s="725" customFormat="1">
      <c r="A52" s="1342" t="s">
        <v>62</v>
      </c>
      <c r="C52" s="733">
        <f>VLOOKUP(A52,'305 Inputs'!$E$103:$I$113,5,FALSE)</f>
        <v>247377.26</v>
      </c>
      <c r="D52" s="728"/>
      <c r="E52" s="734">
        <f>-('305 VS COGNOS kWh'!$C$52/('305 VS COGNOS kWh'!$C$52+'305 VS COGNOS kWh'!$C$53)*'WA SBC'!$H$45)</f>
        <v>-8825.4694400000008</v>
      </c>
      <c r="F52" s="734"/>
      <c r="G52" s="734">
        <f>-'305 VS COGNOS kWh'!$C$52/('305 VS COGNOS kWh'!$C$52+'305 VS COGNOS kWh'!$C$53)*'WA Depreciation'!$AM$23</f>
        <v>138.21705968016369</v>
      </c>
      <c r="H52" s="734"/>
      <c r="I52" s="734">
        <f>-'305 VS COGNOS kWh'!$C$52/('305 VS COGNOS kWh'!$C$52+'305 VS COGNOS kWh'!$C$53)*'WA Merwin'!$AM$23</f>
        <v>-92.144706453442438</v>
      </c>
      <c r="J52" s="733"/>
      <c r="K52" s="734">
        <v>162.69729933110381</v>
      </c>
      <c r="L52" s="733"/>
      <c r="M52" s="733">
        <f t="shared" ref="M52:M55" si="55">C52+E52+G52+I52+K52</f>
        <v>238760.56021255784</v>
      </c>
      <c r="N52" s="733"/>
      <c r="O52" s="734">
        <v>238492.01615346261</v>
      </c>
      <c r="P52" s="733"/>
      <c r="Q52" s="1349">
        <f t="shared" si="48"/>
        <v>-0.11199999999999477</v>
      </c>
      <c r="R52" s="735">
        <f t="shared" si="49"/>
        <v>-268.54405909523484</v>
      </c>
      <c r="S52" s="1354">
        <f t="shared" si="50"/>
        <v>0</v>
      </c>
      <c r="T52" s="734">
        <f>'Rate Design Work eff 10-14-16'!F1197</f>
        <v>240994.26960406106</v>
      </c>
      <c r="U52" s="734">
        <v>241030.07695712513</v>
      </c>
      <c r="V52" s="734">
        <f t="shared" ref="V52:V55" si="56">T52-U52</f>
        <v>-35.807353064068593</v>
      </c>
      <c r="W52" s="744">
        <f t="shared" si="51"/>
        <v>0.93554370517251462</v>
      </c>
      <c r="X52" s="951">
        <f t="shared" si="52"/>
        <v>2502.2534505984513</v>
      </c>
      <c r="Y52" s="731"/>
      <c r="Z52" s="734">
        <v>213189.22</v>
      </c>
      <c r="AA52" s="731">
        <f t="shared" si="53"/>
        <v>-11.53763931803983</v>
      </c>
      <c r="AB52" s="735">
        <f t="shared" si="54"/>
        <v>-27805.04960406106</v>
      </c>
      <c r="AC52" s="731"/>
      <c r="AD52" s="735">
        <f>K52+R52+X52</f>
        <v>2396.4066908343202</v>
      </c>
      <c r="AE52" s="1342"/>
      <c r="AG52" s="768"/>
    </row>
    <row r="53" spans="1:33" s="725" customFormat="1">
      <c r="A53" s="1342" t="s">
        <v>63</v>
      </c>
      <c r="C53" s="733">
        <f>VLOOKUP(A53,'305 Inputs'!$E$103:$I$113,5,FALSE)</f>
        <v>81786.179999999993</v>
      </c>
      <c r="D53" s="728"/>
      <c r="E53" s="734">
        <f>-('305 VS COGNOS kWh'!$C$53/('305 VS COGNOS kWh'!$C$52+'305 VS COGNOS kWh'!$C$53)*'WA SBC'!$H$45)</f>
        <v>-2947.5456000000004</v>
      </c>
      <c r="F53" s="734"/>
      <c r="G53" s="734">
        <f>-'305 VS COGNOS kWh'!$C$53/('305 VS COGNOS kWh'!$C$52+'305 VS COGNOS kWh'!$C$53)*'WA Depreciation'!$AM$23</f>
        <v>46.161973464972284</v>
      </c>
      <c r="H53" s="734"/>
      <c r="I53" s="734">
        <f>-'305 VS COGNOS kWh'!$C$53/('305 VS COGNOS kWh'!$C$52+'305 VS COGNOS kWh'!$C$53)*'WA Merwin'!$AM$23</f>
        <v>-30.774648976648191</v>
      </c>
      <c r="J53" s="733"/>
      <c r="K53" s="734">
        <v>-12.25902</v>
      </c>
      <c r="L53" s="733"/>
      <c r="M53" s="733">
        <f t="shared" si="55"/>
        <v>78841.762704488327</v>
      </c>
      <c r="N53" s="733"/>
      <c r="O53" s="734">
        <v>78841.940910000107</v>
      </c>
      <c r="P53" s="733"/>
      <c r="Q53" s="1349">
        <f t="shared" si="48"/>
        <v>0</v>
      </c>
      <c r="R53" s="735">
        <f t="shared" si="49"/>
        <v>0.17820551178010646</v>
      </c>
      <c r="S53" s="1354">
        <f t="shared" si="50"/>
        <v>0</v>
      </c>
      <c r="T53" s="734">
        <f>'Rate Design Work eff 10-14-16'!F1209</f>
        <v>79733</v>
      </c>
      <c r="U53" s="734">
        <v>79732.666079999894</v>
      </c>
      <c r="V53" s="734">
        <f t="shared" si="56"/>
        <v>0.33392000010644551</v>
      </c>
      <c r="W53" s="744">
        <f t="shared" si="51"/>
        <v>1.1304126961901841</v>
      </c>
      <c r="X53" s="735">
        <f t="shared" si="52"/>
        <v>891.05908999989333</v>
      </c>
      <c r="Y53" s="731"/>
      <c r="Z53" s="734">
        <v>62311</v>
      </c>
      <c r="AA53" s="731">
        <f t="shared" si="53"/>
        <v>-21.850425796094466</v>
      </c>
      <c r="AB53" s="735">
        <f t="shared" si="54"/>
        <v>-17422</v>
      </c>
      <c r="AC53" s="731"/>
      <c r="AD53" s="735">
        <f>K53+R53+X53</f>
        <v>878.97827551167347</v>
      </c>
      <c r="AE53" s="1342"/>
      <c r="AG53" s="768"/>
    </row>
    <row r="54" spans="1:33" s="725" customFormat="1">
      <c r="A54" s="1342" t="s">
        <v>960</v>
      </c>
      <c r="C54" s="733">
        <f>VLOOKUP(A54,'305 Inputs'!$E$103:$I$113,5,FALSE)</f>
        <v>760182.18</v>
      </c>
      <c r="D54" s="728"/>
      <c r="E54" s="734">
        <f>-'WA SBC'!$H$43</f>
        <v>-9964.7129600000007</v>
      </c>
      <c r="F54" s="734"/>
      <c r="G54" s="734">
        <f>-'WA Depreciation'!$AM$21</f>
        <v>410.1164257313385</v>
      </c>
      <c r="H54" s="734"/>
      <c r="I54" s="734">
        <f>-'WA Merwin'!$AM$21</f>
        <v>-252.37933891159298</v>
      </c>
      <c r="J54" s="733"/>
      <c r="K54" s="734">
        <v>-1286.1641208423353</v>
      </c>
      <c r="L54" s="733"/>
      <c r="M54" s="733">
        <f t="shared" si="55"/>
        <v>749089.04000597738</v>
      </c>
      <c r="N54" s="733"/>
      <c r="O54" s="734">
        <v>749056.05630731431</v>
      </c>
      <c r="P54" s="733"/>
      <c r="Q54" s="1349">
        <f t="shared" si="48"/>
        <v>-4.0000000000048885E-3</v>
      </c>
      <c r="R54" s="735">
        <f t="shared" si="49"/>
        <v>-32.983698663068935</v>
      </c>
      <c r="S54" s="1354">
        <f t="shared" si="50"/>
        <v>0</v>
      </c>
      <c r="T54" s="734">
        <f>'Rate Design Work eff 10-14-16'!F1137</f>
        <v>757020</v>
      </c>
      <c r="U54" s="734">
        <v>757022.17445113871</v>
      </c>
      <c r="V54" s="734">
        <f t="shared" si="56"/>
        <v>-2.1744511387078092</v>
      </c>
      <c r="W54" s="744">
        <f t="shared" si="51"/>
        <v>1.0587473011164779</v>
      </c>
      <c r="X54" s="735">
        <f t="shared" si="52"/>
        <v>7963.943692685687</v>
      </c>
      <c r="Y54" s="731"/>
      <c r="Z54" s="734">
        <v>516157</v>
      </c>
      <c r="AA54" s="731">
        <f t="shared" si="53"/>
        <v>-31.817257139837785</v>
      </c>
      <c r="AB54" s="735">
        <f t="shared" si="54"/>
        <v>-240863</v>
      </c>
      <c r="AC54" s="731"/>
      <c r="AD54" s="735">
        <f>K54+R54+X54</f>
        <v>6644.7958731802828</v>
      </c>
      <c r="AE54" s="1342"/>
      <c r="AG54" s="768"/>
    </row>
    <row r="55" spans="1:33" s="725" customFormat="1">
      <c r="A55" s="1342" t="s">
        <v>65</v>
      </c>
      <c r="C55" s="733">
        <f>VLOOKUP(A55,'305 Inputs'!$E$103:$I$113,5,FALSE)</f>
        <v>218370.52</v>
      </c>
      <c r="D55" s="728"/>
      <c r="E55" s="734">
        <f>-'WA SBC'!$H$46</f>
        <v>-4437.4476800000002</v>
      </c>
      <c r="F55" s="734"/>
      <c r="G55" s="734">
        <f>-'WA Depreciation'!$AM$25</f>
        <v>114.03921213706454</v>
      </c>
      <c r="H55" s="734"/>
      <c r="I55" s="734">
        <f>-'WA Merwin'!$AM$25</f>
        <v>-71.274507585665333</v>
      </c>
      <c r="J55" s="733"/>
      <c r="K55" s="734">
        <v>0.56000000000000227</v>
      </c>
      <c r="L55" s="733"/>
      <c r="M55" s="733">
        <f t="shared" si="55"/>
        <v>213976.39702455138</v>
      </c>
      <c r="N55" s="733"/>
      <c r="O55" s="734">
        <v>214032.33322466334</v>
      </c>
      <c r="P55" s="733"/>
      <c r="Q55" s="1349">
        <f t="shared" si="48"/>
        <v>2.5999999999996248E-2</v>
      </c>
      <c r="R55" s="735">
        <f t="shared" si="49"/>
        <v>55.936200111958897</v>
      </c>
      <c r="S55" s="1354">
        <f t="shared" si="50"/>
        <v>0</v>
      </c>
      <c r="T55" s="734">
        <f>'Rate Design Work eff 10-14-16'!F1264</f>
        <v>216286</v>
      </c>
      <c r="U55" s="734">
        <v>216284.96645389151</v>
      </c>
      <c r="V55" s="734">
        <f t="shared" si="56"/>
        <v>1.0335461084905546</v>
      </c>
      <c r="W55" s="744">
        <f t="shared" si="51"/>
        <v>1.0793727754858971</v>
      </c>
      <c r="X55" s="735">
        <f t="shared" si="52"/>
        <v>2253.6667753366637</v>
      </c>
      <c r="Y55" s="731"/>
      <c r="Z55" s="734">
        <v>233013</v>
      </c>
      <c r="AA55" s="731">
        <f t="shared" si="53"/>
        <v>7.7337414349518703</v>
      </c>
      <c r="AB55" s="735">
        <f t="shared" si="54"/>
        <v>16727</v>
      </c>
      <c r="AC55" s="731"/>
      <c r="AD55" s="735">
        <f>K55+R55+X55</f>
        <v>2310.1629754486225</v>
      </c>
      <c r="AE55" s="1342"/>
      <c r="AG55" s="768"/>
    </row>
    <row r="56" spans="1:33">
      <c r="A56" s="124" t="s">
        <v>274</v>
      </c>
      <c r="C56" s="140">
        <f>SUM(C51:C55)</f>
        <v>1342395.4000000001</v>
      </c>
      <c r="D56" s="128"/>
      <c r="E56" s="140">
        <f>SUM(E51:E55)</f>
        <v>-26693.322240000005</v>
      </c>
      <c r="F56" s="140"/>
      <c r="G56" s="140">
        <f>SUM(G51:G55)</f>
        <v>727.12145148502498</v>
      </c>
      <c r="H56" s="140"/>
      <c r="I56" s="140">
        <f>SUM(I51:I55)</f>
        <v>-458.13830977627356</v>
      </c>
      <c r="J56" s="140"/>
      <c r="K56" s="140">
        <f>SUM(K51:K55)</f>
        <v>249.87342744808035</v>
      </c>
      <c r="L56" s="140"/>
      <c r="M56" s="140">
        <f>SUM(M51:M55)</f>
        <v>1316220.9343291568</v>
      </c>
      <c r="N56" s="140"/>
      <c r="O56" s="140">
        <f>SUM(O51:O55)</f>
        <v>1315979.8298587929</v>
      </c>
      <c r="P56" s="140"/>
      <c r="Q56" s="1350">
        <f t="shared" si="48"/>
        <v>-1.8000000000000682E-2</v>
      </c>
      <c r="R56" s="148">
        <f>SUM(R51:R55)</f>
        <v>-241.10447036383994</v>
      </c>
      <c r="S56" s="1355">
        <f t="shared" si="50"/>
        <v>0</v>
      </c>
      <c r="T56" s="140">
        <f>SUM(T51:T55)</f>
        <v>1329967.9962132403</v>
      </c>
      <c r="U56" s="140">
        <f t="shared" ref="U56:V56" si="57">SUM(U51:U55)</f>
        <v>1330004.8561362037</v>
      </c>
      <c r="V56" s="140">
        <f t="shared" si="57"/>
        <v>-36.859922963383724</v>
      </c>
      <c r="W56" s="745">
        <f t="shared" si="51"/>
        <v>1.044434222670229</v>
      </c>
      <c r="X56" s="148">
        <f t="shared" si="52"/>
        <v>13988.16635444737</v>
      </c>
      <c r="Y56" s="136"/>
      <c r="Z56" s="140">
        <f>SUM(Z51:Z55)</f>
        <v>1084618.54</v>
      </c>
      <c r="AA56" s="136">
        <f t="shared" si="53"/>
        <v>-18.447771443509396</v>
      </c>
      <c r="AB56" s="148">
        <f t="shared" si="54"/>
        <v>-245349.45621324028</v>
      </c>
      <c r="AC56" s="136"/>
      <c r="AD56" s="148">
        <f>SUM(AD51:AD55)</f>
        <v>13996.935311531632</v>
      </c>
      <c r="AE56" s="132"/>
    </row>
    <row r="57" spans="1:33">
      <c r="D57" s="128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350"/>
      <c r="R57" s="131"/>
      <c r="S57" s="1355"/>
      <c r="T57" s="131"/>
      <c r="U57" s="131"/>
      <c r="V57" s="131"/>
      <c r="W57" s="745"/>
      <c r="X57" s="131"/>
      <c r="Y57" s="131"/>
      <c r="Z57" s="131"/>
      <c r="AA57" s="131"/>
      <c r="AB57" s="131"/>
      <c r="AC57" s="131"/>
      <c r="AD57" s="131"/>
      <c r="AE57" s="132"/>
    </row>
    <row r="58" spans="1:33">
      <c r="A58" s="124" t="s">
        <v>275</v>
      </c>
      <c r="C58" s="140">
        <f>C56+C47+C41+C28+C14</f>
        <v>333943867.16999996</v>
      </c>
      <c r="D58" s="128"/>
      <c r="E58" s="140">
        <f>E56+E47+E41+E28+E14</f>
        <v>-10285806.797019999</v>
      </c>
      <c r="F58" s="140"/>
      <c r="G58" s="140">
        <f>G56+G47+G41+G28+G14</f>
        <v>159574.46700718207</v>
      </c>
      <c r="H58" s="140"/>
      <c r="I58" s="140">
        <f>I56+I47+I41+I28+I14</f>
        <v>-96097.160827014057</v>
      </c>
      <c r="J58" s="140"/>
      <c r="K58" s="140">
        <f>K56+K47+K41+K28+K14</f>
        <v>758801.64545549778</v>
      </c>
      <c r="L58" s="140"/>
      <c r="M58" s="140">
        <f>M56+M47+M41+M28+M14</f>
        <v>324480339.32461572</v>
      </c>
      <c r="N58" s="140"/>
      <c r="O58" s="140">
        <f>O56+O47+O41+O28+O14</f>
        <v>324472490.29354334</v>
      </c>
      <c r="P58" s="140"/>
      <c r="Q58" s="1350">
        <f>ROUND(O58/M58*100,3)-100</f>
        <v>-1.9999999999953388E-3</v>
      </c>
      <c r="R58" s="140">
        <f>R56+R47+R41+R28+R14</f>
        <v>-7849.0310723433504</v>
      </c>
      <c r="S58" s="1355">
        <f>IF(ABS(Q58)&lt;=0.5,0,IF(M58&gt;O58,(M58*0.995)-O58,(M58*1.005)-O58))</f>
        <v>0</v>
      </c>
      <c r="T58" s="140">
        <f>T56+T47+T41+T28+T14</f>
        <v>332584986.76906419</v>
      </c>
      <c r="U58" s="140">
        <f t="shared" ref="U58:V58" si="58">U56+U47+U41+U28+U14</f>
        <v>332408050.68881738</v>
      </c>
      <c r="V58" s="140">
        <f t="shared" si="58"/>
        <v>-196.94858859496208</v>
      </c>
      <c r="W58" s="745">
        <f>((T58-M58)/M58)*100</f>
        <v>2.4977314376944242</v>
      </c>
      <c r="X58" s="148">
        <f>T58-O58</f>
        <v>8112496.4755208492</v>
      </c>
      <c r="Y58" s="136"/>
      <c r="Z58" s="140" t="e">
        <f>Z56+Z47+Z41+Z28+Z14</f>
        <v>#REF!</v>
      </c>
      <c r="AA58" s="136" t="e">
        <f>((Z58-T58)/T58)*100</f>
        <v>#REF!</v>
      </c>
      <c r="AB58" s="148" t="e">
        <f>Z58-T58</f>
        <v>#REF!</v>
      </c>
      <c r="AC58" s="136"/>
      <c r="AD58" s="140">
        <f>AD56+AD47+AD41+AD28+AD14</f>
        <v>8863449.0899039768</v>
      </c>
      <c r="AE58" s="132"/>
      <c r="AG58" s="769"/>
    </row>
    <row r="59" spans="1:33">
      <c r="D59" s="128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32"/>
      <c r="R59" s="148" t="s">
        <v>31</v>
      </c>
      <c r="S59" s="1355"/>
      <c r="T59" s="131"/>
      <c r="U59" s="131"/>
      <c r="V59" s="131"/>
      <c r="W59" s="131"/>
      <c r="X59" s="148" t="s">
        <v>31</v>
      </c>
      <c r="Y59" s="131"/>
      <c r="Z59" s="131"/>
      <c r="AA59" s="131"/>
      <c r="AB59" s="131"/>
      <c r="AC59" s="131"/>
      <c r="AD59" s="131"/>
      <c r="AE59" s="132"/>
    </row>
    <row r="60" spans="1:33">
      <c r="D60" s="128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32"/>
      <c r="R60" s="131"/>
      <c r="S60" s="1355"/>
      <c r="T60" s="1393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2"/>
    </row>
    <row r="61" spans="1:33">
      <c r="D61" s="128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2"/>
      <c r="R61" s="131"/>
      <c r="S61" s="1355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2"/>
    </row>
    <row r="62" spans="1:33">
      <c r="A62" s="124" t="s">
        <v>276</v>
      </c>
      <c r="C62" s="139"/>
      <c r="D62" s="128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2"/>
      <c r="R62" s="131"/>
      <c r="S62" s="1355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2"/>
    </row>
    <row r="63" spans="1:33">
      <c r="A63" s="124" t="s">
        <v>264</v>
      </c>
      <c r="C63" s="140">
        <f>SUMIF($A$6:$A$56,$A63,C$6:C$56)</f>
        <v>153289.88</v>
      </c>
      <c r="D63" s="140"/>
      <c r="E63" s="140">
        <f t="shared" ref="E63:I64" si="59">SUMIF($A$6:$A$56,$A63,E$6:E$56)</f>
        <v>-2629.4681600000004</v>
      </c>
      <c r="F63" s="140"/>
      <c r="G63" s="140">
        <f t="shared" si="59"/>
        <v>80.580392633713302</v>
      </c>
      <c r="H63" s="140"/>
      <c r="I63" s="140">
        <f t="shared" si="59"/>
        <v>-50.090514339875831</v>
      </c>
      <c r="J63" s="140"/>
      <c r="K63" s="140">
        <f>SUMIF($A$6:$A$56,$A63,K$6:K$56)</f>
        <v>-49.4690123543119</v>
      </c>
      <c r="L63" s="140"/>
      <c r="M63" s="140">
        <f>SUMIF($A$6:$A$56,$A63,M$6:M$56)</f>
        <v>150641.43270593951</v>
      </c>
      <c r="N63" s="140"/>
      <c r="O63" s="140">
        <f>SUMIF($A$6:$A$56,$A63,O$6:O$56)</f>
        <v>150683.12109846235</v>
      </c>
      <c r="P63" s="140"/>
      <c r="Q63" s="1350">
        <f>ROUND(O63/M63*100,3)-100</f>
        <v>2.8000000000005798E-2</v>
      </c>
      <c r="R63" s="148">
        <f>O63-M63</f>
        <v>41.688392522832146</v>
      </c>
      <c r="S63" s="1355">
        <f>IF(ABS(Q63)&lt;=0.5,0,IF(M63&gt;O63,(M63*0.995)-O63,(M63*1.005)-O63))</f>
        <v>0</v>
      </c>
      <c r="T63" s="140">
        <f>SUMIF($A$6:$A$56,$A63,T$6:T$56)</f>
        <v>152472.36836490635</v>
      </c>
      <c r="U63" s="140">
        <f t="shared" ref="U63:V64" si="60">SUMIF($A$6:$A$56,$A63,U$6:U$56)</f>
        <v>152472.36836488175</v>
      </c>
      <c r="V63" s="140">
        <f t="shared" si="60"/>
        <v>2.459273673593998E-8</v>
      </c>
      <c r="W63" s="136">
        <f>((T63-M63)/M63)*100</f>
        <v>1.215426344584043</v>
      </c>
      <c r="X63" s="148">
        <f>T63-O63</f>
        <v>1789.2472664439993</v>
      </c>
      <c r="Y63" s="136"/>
      <c r="Z63" s="140" t="e">
        <f>SUMIF($A$6:$A$56,$A63,Z$6:Z$56)</f>
        <v>#REF!</v>
      </c>
      <c r="AA63" s="136" t="e">
        <f>((Z63-T63)/T63)*100</f>
        <v>#REF!</v>
      </c>
      <c r="AB63" s="148" t="e">
        <f>Z63-T63</f>
        <v>#REF!</v>
      </c>
      <c r="AC63" s="136"/>
      <c r="AD63" s="148">
        <f>K63+R63+X63</f>
        <v>1781.4666466125195</v>
      </c>
      <c r="AE63" s="132"/>
    </row>
    <row r="64" spans="1:33">
      <c r="A64" s="124" t="s">
        <v>55</v>
      </c>
      <c r="C64" s="140">
        <f>SUMIF($A$6:$A$56,$A64,C$6:C$56)</f>
        <v>311753.24</v>
      </c>
      <c r="D64" s="140"/>
      <c r="E64" s="140">
        <f t="shared" si="59"/>
        <v>-5628.7488000000003</v>
      </c>
      <c r="F64" s="140"/>
      <c r="G64" s="140">
        <f t="shared" si="59"/>
        <v>172.49373665758424</v>
      </c>
      <c r="H64" s="140"/>
      <c r="I64" s="140">
        <f t="shared" si="59"/>
        <v>-107.22583630066048</v>
      </c>
      <c r="J64" s="140"/>
      <c r="K64" s="140">
        <f>SUMIF($A$6:$A$56,$A64,K$6:K$56)</f>
        <v>2003.381329130315</v>
      </c>
      <c r="L64" s="140"/>
      <c r="M64" s="140">
        <f>SUMIF($A$6:$A$56,$A64,M$6:M$56)</f>
        <v>308193.14042948734</v>
      </c>
      <c r="N64" s="140"/>
      <c r="O64" s="140">
        <f>SUMIF($A$6:$A$56,$A64,O$6:O$56)</f>
        <v>308212.85707614018</v>
      </c>
      <c r="P64" s="140"/>
      <c r="Q64" s="1350">
        <f>ROUND(O64/M64*100,3)-100</f>
        <v>6.0000000000002274E-3</v>
      </c>
      <c r="R64" s="148">
        <f>O64-M64</f>
        <v>19.716646652843338</v>
      </c>
      <c r="S64" s="1355">
        <f>IF(ABS(Q64)&lt;=0.5,0,IF(M64&gt;O64,(M64*0.995)-O64,(M64*1.005)-O64))</f>
        <v>0</v>
      </c>
      <c r="T64" s="140">
        <f>SUMIF($A$6:$A$56,$A64,T$6:T$56)</f>
        <v>312221.19448600517</v>
      </c>
      <c r="U64" s="140">
        <f t="shared" si="60"/>
        <v>312221.19448598713</v>
      </c>
      <c r="V64" s="140">
        <f t="shared" si="60"/>
        <v>1.8044374883174896E-8</v>
      </c>
      <c r="W64" s="136">
        <f>((T64-M64)/M64)*100</f>
        <v>1.3069901721058688</v>
      </c>
      <c r="X64" s="148">
        <f>T64-O64</f>
        <v>4008.3374098649947</v>
      </c>
      <c r="Y64" s="136"/>
      <c r="Z64" s="140">
        <f>SUMIF($A$6:$A$56,$A64,Z$6:Z$56)</f>
        <v>315750</v>
      </c>
      <c r="AA64" s="136">
        <f>((Z64-T64)/T64)*100</f>
        <v>1.1302261269623703</v>
      </c>
      <c r="AB64" s="148">
        <f>Z64-T64</f>
        <v>3528.8055139948265</v>
      </c>
      <c r="AC64" s="136"/>
      <c r="AD64" s="148">
        <f>K64+R64+X64</f>
        <v>6031.435385648153</v>
      </c>
      <c r="AE64" s="132"/>
    </row>
    <row r="65" spans="1:31">
      <c r="A65" s="124" t="s">
        <v>277</v>
      </c>
      <c r="C65" s="143">
        <f>SUM(C63:C64)</f>
        <v>465043.12</v>
      </c>
      <c r="D65" s="143"/>
      <c r="E65" s="143">
        <f t="shared" ref="E65" si="61">SUM(E63:E64)</f>
        <v>-8258.2169600000016</v>
      </c>
      <c r="F65" s="143"/>
      <c r="G65" s="143">
        <f t="shared" ref="G65" si="62">SUM(G63:G64)</f>
        <v>253.07412929129754</v>
      </c>
      <c r="H65" s="143"/>
      <c r="I65" s="143">
        <f t="shared" ref="I65" si="63">SUM(I63:I64)</f>
        <v>-157.31635064053631</v>
      </c>
      <c r="J65" s="143"/>
      <c r="K65" s="143">
        <f>SUM(K63:K64)</f>
        <v>1953.9123167760031</v>
      </c>
      <c r="L65" s="143"/>
      <c r="M65" s="143">
        <f>SUM(M63:M64)</f>
        <v>458834.57313542685</v>
      </c>
      <c r="N65" s="143"/>
      <c r="O65" s="143">
        <f>SUM(O63:O64)</f>
        <v>458895.9781746025</v>
      </c>
      <c r="P65" s="143"/>
      <c r="Q65" s="1350">
        <f>ROUND(O65/M65*100,3)-100</f>
        <v>1.300000000000523E-2</v>
      </c>
      <c r="R65" s="148">
        <f>O65-M65</f>
        <v>61.40503917564638</v>
      </c>
      <c r="S65" s="1355">
        <f>IF(ABS(Q65)&lt;=0.5,0,IF(M65&gt;O65,(M65*0.995)-O65,(M65*1.005)-O65))</f>
        <v>0</v>
      </c>
      <c r="T65" s="143">
        <f>SUM(T63:T64)</f>
        <v>464693.56285091152</v>
      </c>
      <c r="U65" s="143">
        <f t="shared" ref="U65:V65" si="64">SUM(U63:U64)</f>
        <v>464693.56285086891</v>
      </c>
      <c r="V65" s="143">
        <f t="shared" si="64"/>
        <v>4.2637111619114876E-8</v>
      </c>
      <c r="W65" s="136">
        <f>((T65-M65)/M65)*100</f>
        <v>1.2769285617357709</v>
      </c>
      <c r="X65" s="148">
        <f>T65-O65</f>
        <v>5797.5846763090231</v>
      </c>
      <c r="Y65" s="136"/>
      <c r="Z65" s="143" t="e">
        <f>SUM(Z63:Z64)</f>
        <v>#REF!</v>
      </c>
      <c r="AA65" s="136" t="e">
        <f>((Z65-T65)/T65)*100</f>
        <v>#REF!</v>
      </c>
      <c r="AB65" s="148" t="e">
        <f>Z65-T65</f>
        <v>#REF!</v>
      </c>
      <c r="AC65" s="136"/>
      <c r="AD65" s="148">
        <f>SUM(AD63:AD64)</f>
        <v>7812.9020322606721</v>
      </c>
      <c r="AE65" s="132"/>
    </row>
    <row r="66" spans="1:31"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50"/>
      <c r="R66" s="148"/>
      <c r="S66" s="1355"/>
      <c r="T66" s="139"/>
      <c r="U66" s="139"/>
      <c r="V66" s="139"/>
      <c r="W66" s="136"/>
      <c r="X66" s="136"/>
      <c r="Y66" s="136"/>
      <c r="Z66" s="139"/>
      <c r="AA66" s="136"/>
      <c r="AB66" s="136"/>
      <c r="AC66" s="136"/>
      <c r="AD66" s="136"/>
      <c r="AE66" s="132"/>
    </row>
    <row r="67" spans="1:31">
      <c r="A67" s="124" t="s">
        <v>260</v>
      </c>
      <c r="C67" s="140">
        <f>SUMIF($A$6:$A$56,$A67,C$6:C$56)</f>
        <v>129705719.7</v>
      </c>
      <c r="D67" s="140"/>
      <c r="E67" s="140">
        <f t="shared" ref="E67:I68" si="65">SUMIF($A$6:$A$56,$A67,E$6:E$56)</f>
        <v>-4017503.366510001</v>
      </c>
      <c r="F67" s="140"/>
      <c r="G67" s="140">
        <f t="shared" si="65"/>
        <v>57240.375820186295</v>
      </c>
      <c r="H67" s="140"/>
      <c r="I67" s="140">
        <f t="shared" si="65"/>
        <v>-34344.225492111771</v>
      </c>
      <c r="J67" s="140"/>
      <c r="K67" s="140">
        <f>SUMIF($A$6:$A$56,$A67,K$6:K$56)</f>
        <v>-3888.2200000000012</v>
      </c>
      <c r="L67" s="140"/>
      <c r="M67" s="140">
        <f>SUMIF($A$6:$A$56,$A67,M$6:M$56)</f>
        <v>125707224.26381809</v>
      </c>
      <c r="N67" s="140"/>
      <c r="O67" s="140">
        <f>SUMIF($A$6:$A$56,$A67,O$6:O$56)</f>
        <v>125793352.460004</v>
      </c>
      <c r="P67" s="140"/>
      <c r="Q67" s="1350">
        <f>ROUND(O67/M67*100,3)-100</f>
        <v>6.9000000000002615E-2</v>
      </c>
      <c r="R67" s="148">
        <f>O67-M67</f>
        <v>86128.196185916662</v>
      </c>
      <c r="S67" s="1355">
        <f>IF(ABS(Q67)&lt;=0.5,0,IF(M67&gt;O67,(M67*0.995)-O67,(M67*1.005)-O67))</f>
        <v>0</v>
      </c>
      <c r="T67" s="140">
        <f>SUMIF($A$6:$A$56,$A67,T$6:T$56)</f>
        <v>129507484.71208499</v>
      </c>
      <c r="U67" s="140">
        <f t="shared" ref="U67:V68" si="66">SUMIF($A$6:$A$56,$A67,U$6:U$56)</f>
        <v>129316271.24292301</v>
      </c>
      <c r="V67" s="140">
        <f t="shared" si="66"/>
        <v>7734.2650897009298</v>
      </c>
      <c r="W67" s="136">
        <f>((T67-M67)/M67)*100</f>
        <v>3.0231042571518505</v>
      </c>
      <c r="X67" s="148">
        <f>T67-O67</f>
        <v>3714132.2520809919</v>
      </c>
      <c r="Y67" s="136"/>
      <c r="Z67" s="140" t="e">
        <f>SUMIF($A$6:$A$56,$A67,Z$6:Z$56)</f>
        <v>#REF!</v>
      </c>
      <c r="AA67" s="136" t="e">
        <f>((Z67-T67)/T67)*100</f>
        <v>#REF!</v>
      </c>
      <c r="AB67" s="148" t="e">
        <f>Z67-T67</f>
        <v>#REF!</v>
      </c>
      <c r="AC67" s="136"/>
      <c r="AD67" s="148">
        <f t="shared" ref="AD67:AD68" si="67">K67+R67+X67</f>
        <v>3796372.2282669083</v>
      </c>
      <c r="AE67" s="132"/>
    </row>
    <row r="68" spans="1:31">
      <c r="A68" s="124" t="s">
        <v>261</v>
      </c>
      <c r="C68" s="140">
        <f>SUMIF($A$6:$A$56,$A68,C$6:C$56)</f>
        <v>7788978.2800000003</v>
      </c>
      <c r="D68" s="140"/>
      <c r="E68" s="140">
        <f t="shared" si="65"/>
        <v>-242501.63875000001</v>
      </c>
      <c r="F68" s="140"/>
      <c r="G68" s="140">
        <f t="shared" si="65"/>
        <v>3624.4318933351219</v>
      </c>
      <c r="H68" s="140"/>
      <c r="I68" s="140">
        <f t="shared" si="65"/>
        <v>-2174.659136001073</v>
      </c>
      <c r="J68" s="140"/>
      <c r="K68" s="140">
        <f>SUMIF($A$6:$A$56,$A68,K$6:K$56)</f>
        <v>552.03</v>
      </c>
      <c r="L68" s="140"/>
      <c r="M68" s="140">
        <f>SUMIF($A$6:$A$56,$A68,M$6:M$56)</f>
        <v>7548478.4440073343</v>
      </c>
      <c r="N68" s="140"/>
      <c r="O68" s="140">
        <f>SUMIF($A$6:$A$56,$A68,O$6:O$56)</f>
        <v>7547468.8379945504</v>
      </c>
      <c r="P68" s="140"/>
      <c r="Q68" s="1350">
        <f>ROUND(O68/M68*100,3)-100</f>
        <v>-1.300000000000523E-2</v>
      </c>
      <c r="R68" s="148">
        <f>O68-M68</f>
        <v>-1009.6060127839446</v>
      </c>
      <c r="S68" s="1355">
        <f>IF(ABS(Q68)&lt;=0.5,0,IF(M68&gt;O68,(M68*0.995)-O68,(M68*1.005)-O68))</f>
        <v>0</v>
      </c>
      <c r="T68" s="140">
        <f>SUMIF($A$6:$A$56,$A68,T$6:T$56)</f>
        <v>7770591.5800000001</v>
      </c>
      <c r="U68" s="140">
        <f t="shared" si="66"/>
        <v>7757147.8444535499</v>
      </c>
      <c r="V68" s="140">
        <f t="shared" si="66"/>
        <v>-0.11720403717481531</v>
      </c>
      <c r="W68" s="136">
        <f>((T68-M68)/M68)*100</f>
        <v>2.9424888424898303</v>
      </c>
      <c r="X68" s="148">
        <f>T68-O68</f>
        <v>223122.74200544972</v>
      </c>
      <c r="Y68" s="136"/>
      <c r="Z68" s="140" t="e">
        <f>SUMIF($A$6:$A$56,$A68,Z$6:Z$56)</f>
        <v>#REF!</v>
      </c>
      <c r="AA68" s="136" t="e">
        <f>((Z68-T68)/T68)*100</f>
        <v>#REF!</v>
      </c>
      <c r="AB68" s="148" t="e">
        <f>Z68-T68</f>
        <v>#REF!</v>
      </c>
      <c r="AC68" s="136"/>
      <c r="AD68" s="148">
        <f t="shared" si="67"/>
        <v>222665.16599266577</v>
      </c>
      <c r="AE68" s="132"/>
    </row>
    <row r="69" spans="1:31">
      <c r="A69" s="124" t="s">
        <v>278</v>
      </c>
      <c r="C69" s="143">
        <f>SUM(C67:C68)</f>
        <v>137494697.97999999</v>
      </c>
      <c r="D69" s="143"/>
      <c r="E69" s="143">
        <f t="shared" ref="E69" si="68">SUM(E67:E68)</f>
        <v>-4260005.0052600009</v>
      </c>
      <c r="F69" s="143"/>
      <c r="G69" s="143">
        <f t="shared" ref="G69" si="69">SUM(G67:G68)</f>
        <v>60864.807713521419</v>
      </c>
      <c r="H69" s="143"/>
      <c r="I69" s="143">
        <f t="shared" ref="I69" si="70">SUM(I67:I68)</f>
        <v>-36518.884628112843</v>
      </c>
      <c r="J69" s="143"/>
      <c r="K69" s="143">
        <f>SUM(K67:K68)</f>
        <v>-3336.1900000000014</v>
      </c>
      <c r="L69" s="143"/>
      <c r="M69" s="143">
        <f>SUM(M67:M68)</f>
        <v>133255702.70782542</v>
      </c>
      <c r="N69" s="143"/>
      <c r="O69" s="143">
        <f>SUM(O67:O68)</f>
        <v>133340821.29799855</v>
      </c>
      <c r="P69" s="143"/>
      <c r="Q69" s="1350">
        <f>ROUND(O69/M69*100,3)-100</f>
        <v>6.3999999999992951E-2</v>
      </c>
      <c r="R69" s="148">
        <f>O69-M69</f>
        <v>85118.590173125267</v>
      </c>
      <c r="S69" s="1355">
        <f>IF(ABS(Q69)&lt;=0.5,0,IF(M69&gt;O69,(M69*0.995)-O69,(M69*1.005)-O69))</f>
        <v>0</v>
      </c>
      <c r="T69" s="143">
        <f>SUM(T67:T68)</f>
        <v>137278076.29208499</v>
      </c>
      <c r="U69" s="143">
        <f t="shared" ref="U69:V69" si="71">SUM(U67:U68)</f>
        <v>137073419.08737656</v>
      </c>
      <c r="V69" s="143">
        <f t="shared" si="71"/>
        <v>7734.147885663755</v>
      </c>
      <c r="W69" s="136">
        <f>((T69-M69)/M69)*100</f>
        <v>3.0185376704507494</v>
      </c>
      <c r="X69" s="148">
        <f>T69-O69</f>
        <v>3937254.9940864444</v>
      </c>
      <c r="Y69" s="136"/>
      <c r="Z69" s="143" t="e">
        <f>SUM(Z67:Z68)</f>
        <v>#REF!</v>
      </c>
      <c r="AA69" s="136" t="e">
        <f>((Z69-T69)/T69)*100</f>
        <v>#REF!</v>
      </c>
      <c r="AB69" s="148" t="e">
        <f>Z69-T69</f>
        <v>#REF!</v>
      </c>
      <c r="AC69" s="136"/>
      <c r="AD69" s="148">
        <f>SUM(AD67:AD68)</f>
        <v>4019037.3942595739</v>
      </c>
      <c r="AE69" s="132"/>
    </row>
    <row r="70" spans="1:31"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350"/>
      <c r="R70" s="148"/>
      <c r="S70" s="1355"/>
      <c r="T70" s="143"/>
      <c r="U70" s="143"/>
      <c r="V70" s="143"/>
      <c r="W70" s="136"/>
      <c r="X70" s="148"/>
      <c r="Y70" s="136"/>
      <c r="Z70" s="143"/>
      <c r="AA70" s="136"/>
      <c r="AB70" s="148"/>
      <c r="AC70" s="136"/>
      <c r="AD70" s="148"/>
      <c r="AE70" s="132"/>
    </row>
    <row r="71" spans="1:31">
      <c r="A71" s="132" t="s">
        <v>244</v>
      </c>
      <c r="C71" s="140">
        <f>SUMIF($A$6:$A$56,$A71,C$6:C$56)</f>
        <v>276110.82</v>
      </c>
      <c r="D71" s="140"/>
      <c r="E71" s="140">
        <f t="shared" ref="E71:I71" si="72">SUMIF($A$6:$A$56,$A71,E$6:E$56)</f>
        <v>-8209.9828200000011</v>
      </c>
      <c r="F71" s="140"/>
      <c r="G71" s="140">
        <f t="shared" si="72"/>
        <v>116.97376684523138</v>
      </c>
      <c r="H71" s="140"/>
      <c r="I71" s="140">
        <f t="shared" si="72"/>
        <v>-70.184260107138826</v>
      </c>
      <c r="J71" s="140"/>
      <c r="K71" s="140">
        <f>SUMIF($A$6:$A$56,$A71,K$6:K$56)</f>
        <v>-212.79</v>
      </c>
      <c r="L71" s="140"/>
      <c r="M71" s="140">
        <f>SUMIF($A$6:$A$56,$A71,M$6:M$56)</f>
        <v>267734.83668673818</v>
      </c>
      <c r="N71" s="140"/>
      <c r="O71" s="140">
        <f>SUMIF($A$6:$A$56,$A71,O$6:O$56)</f>
        <v>267817.52791499998</v>
      </c>
      <c r="P71" s="140"/>
      <c r="Q71" s="1350">
        <f>ROUND(O71/M71*100,3)-100</f>
        <v>3.1000000000005912E-2</v>
      </c>
      <c r="R71" s="148">
        <f>O71-M71</f>
        <v>82.691228261799552</v>
      </c>
      <c r="S71" s="1355">
        <f>IF(ABS(Q71)&lt;=0.5,0,IF(M71&gt;O71,(M71*0.995)-O71,(M71*1.005)-O71))</f>
        <v>0</v>
      </c>
      <c r="T71" s="140">
        <f>SUMIF($A$6:$A$56,$A71,T$6:T$56)</f>
        <v>267817.52791499998</v>
      </c>
      <c r="U71" s="140">
        <f t="shared" ref="U71:V71" si="73">SUMIF($A$6:$A$56,$A71,U$6:U$56)</f>
        <v>275552.63991000003</v>
      </c>
      <c r="V71" s="140">
        <f t="shared" si="73"/>
        <v>-7735.111995000043</v>
      </c>
      <c r="W71" s="136">
        <f>((T71-M71)/M71)*100</f>
        <v>3.0885494500871403E-2</v>
      </c>
      <c r="X71" s="148">
        <f>T71-O71</f>
        <v>0</v>
      </c>
      <c r="Y71" s="136"/>
      <c r="Z71" s="140" t="e">
        <f>SUMIF($A$6:$A$56,$A71,Z$6:Z$56)</f>
        <v>#REF!</v>
      </c>
      <c r="AA71" s="136" t="e">
        <f>((Z71-T71)/T71)*100</f>
        <v>#REF!</v>
      </c>
      <c r="AB71" s="148" t="e">
        <f>Z71-T71</f>
        <v>#REF!</v>
      </c>
      <c r="AC71" s="136"/>
      <c r="AD71" s="148">
        <f>K71+R71+X71</f>
        <v>-130.09877173820044</v>
      </c>
      <c r="AE71" s="132"/>
    </row>
    <row r="72" spans="1:31"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50"/>
      <c r="R72" s="148"/>
      <c r="S72" s="1355"/>
      <c r="T72" s="139"/>
      <c r="U72" s="139"/>
      <c r="V72" s="139"/>
      <c r="W72" s="136"/>
      <c r="X72" s="136"/>
      <c r="Y72" s="136"/>
      <c r="Z72" s="139"/>
      <c r="AA72" s="136"/>
      <c r="AB72" s="136"/>
      <c r="AC72" s="136"/>
      <c r="AD72" s="136"/>
      <c r="AE72" s="132"/>
    </row>
    <row r="73" spans="1:31">
      <c r="A73" s="124" t="s">
        <v>262</v>
      </c>
      <c r="C73" s="140">
        <f>SUMIF($A$6:$A$56,$A73,C$6:C$56)</f>
        <v>219458.32</v>
      </c>
      <c r="D73" s="140"/>
      <c r="E73" s="140">
        <f t="shared" ref="E73:I74" si="74">SUMIF($A$6:$A$56,$A73,E$6:E$56)</f>
        <v>-6194.8417000000018</v>
      </c>
      <c r="F73" s="140"/>
      <c r="G73" s="140">
        <f t="shared" si="74"/>
        <v>97.799420463621843</v>
      </c>
      <c r="H73" s="140"/>
      <c r="I73" s="140">
        <f t="shared" si="74"/>
        <v>-58.679652278173108</v>
      </c>
      <c r="J73" s="140"/>
      <c r="K73" s="140">
        <f>SUMIF($A$6:$A$56,$A73,K$6:K$56)</f>
        <v>0</v>
      </c>
      <c r="L73" s="140"/>
      <c r="M73" s="140">
        <f>SUMIF($A$6:$A$56,$A73,M$6:M$56)</f>
        <v>213302.59806818547</v>
      </c>
      <c r="N73" s="140"/>
      <c r="O73" s="140">
        <f>SUMIF($A$6:$A$56,$A73,O$6:O$56)</f>
        <v>213314.38642225799</v>
      </c>
      <c r="P73" s="140"/>
      <c r="Q73" s="1350">
        <f>ROUND(O73/M73*100,3)-100</f>
        <v>6.0000000000002274E-3</v>
      </c>
      <c r="R73" s="148">
        <f>O73-M73</f>
        <v>11.788354072516086</v>
      </c>
      <c r="S73" s="1355">
        <f>IF(ABS(Q73)&lt;=0.5,0,IF(M73&gt;O73,(M73*0.995)-O73,(M73*1.005)-O73))</f>
        <v>0</v>
      </c>
      <c r="T73" s="140">
        <f>SUMIF($A$6:$A$56,$A73,T$6:T$56)</f>
        <v>219604.71</v>
      </c>
      <c r="U73" s="140">
        <f t="shared" ref="U73:V74" si="75">SUMIF($A$6:$A$56,$A73,U$6:U$56)</f>
        <v>219308.80208838699</v>
      </c>
      <c r="V73" s="140">
        <f t="shared" si="75"/>
        <v>-0.16238008565733253</v>
      </c>
      <c r="W73" s="136">
        <f>((T73-M73)/M73)*100</f>
        <v>2.9545406333025319</v>
      </c>
      <c r="X73" s="148">
        <f>T73-O73</f>
        <v>6290.323577742005</v>
      </c>
      <c r="Y73" s="136"/>
      <c r="Z73" s="140" t="e">
        <f>SUMIF($A$6:$A$56,$A73,Z$6:Z$56)</f>
        <v>#REF!</v>
      </c>
      <c r="AA73" s="136" t="e">
        <f>((Z73-T73)/T73)*100</f>
        <v>#REF!</v>
      </c>
      <c r="AB73" s="148" t="e">
        <f>Z73-T73</f>
        <v>#REF!</v>
      </c>
      <c r="AC73" s="136"/>
      <c r="AD73" s="148">
        <f t="shared" ref="AD73:AD74" si="76">K73+R73+X73</f>
        <v>6302.1119318145211</v>
      </c>
      <c r="AE73" s="132"/>
    </row>
    <row r="74" spans="1:31">
      <c r="A74" s="124" t="s">
        <v>263</v>
      </c>
      <c r="C74" s="140">
        <f>SUMIF($A$6:$A$56,$A74,C$6:C$56)</f>
        <v>38953.69</v>
      </c>
      <c r="D74" s="140"/>
      <c r="E74" s="140">
        <f t="shared" si="74"/>
        <v>-1123.6882900000003</v>
      </c>
      <c r="F74" s="140"/>
      <c r="G74" s="140">
        <f t="shared" si="74"/>
        <v>17.739930875676489</v>
      </c>
      <c r="H74" s="140"/>
      <c r="I74" s="140">
        <f t="shared" si="74"/>
        <v>-10.643958525405893</v>
      </c>
      <c r="J74" s="140"/>
      <c r="K74" s="140">
        <f>SUMIF($A$6:$A$56,$A74,K$6:K$56)</f>
        <v>0</v>
      </c>
      <c r="L74" s="140"/>
      <c r="M74" s="140">
        <f>SUMIF($A$6:$A$56,$A74,M$6:M$56)</f>
        <v>37837.097682350279</v>
      </c>
      <c r="N74" s="140"/>
      <c r="O74" s="140">
        <f>SUMIF($A$6:$A$56,$A74,O$6:O$56)</f>
        <v>37831.903449999998</v>
      </c>
      <c r="P74" s="140"/>
      <c r="Q74" s="1350">
        <f>ROUND(O74/M74*100,3)-100</f>
        <v>-1.3999999999995794E-2</v>
      </c>
      <c r="R74" s="148">
        <f>O74-M74</f>
        <v>-5.1942323502807994</v>
      </c>
      <c r="S74" s="1355">
        <f>IF(ABS(Q74)&lt;=0.5,0,IF(M74&gt;O74,(M74*0.995)-O74,(M74*1.005)-O74))</f>
        <v>0</v>
      </c>
      <c r="T74" s="140">
        <f>SUMIF($A$6:$A$56,$A74,T$6:T$56)</f>
        <v>38916</v>
      </c>
      <c r="U74" s="140">
        <f t="shared" si="75"/>
        <v>38916.958319999998</v>
      </c>
      <c r="V74" s="140">
        <f t="shared" si="75"/>
        <v>-0.95831999999791151</v>
      </c>
      <c r="W74" s="136">
        <f>((T74-M74)/M74)*100</f>
        <v>2.8514404743918624</v>
      </c>
      <c r="X74" s="148">
        <f>T74-O74</f>
        <v>1084.096550000002</v>
      </c>
      <c r="Y74" s="136"/>
      <c r="Z74" s="140" t="e">
        <f>SUMIF($A$6:$A$56,$A74,Z$6:Z$56)</f>
        <v>#REF!</v>
      </c>
      <c r="AA74" s="136" t="e">
        <f>((Z74-T74)/T74)*100</f>
        <v>#REF!</v>
      </c>
      <c r="AB74" s="148" t="e">
        <f>Z74-T74</f>
        <v>#REF!</v>
      </c>
      <c r="AC74" s="136"/>
      <c r="AD74" s="148">
        <f t="shared" si="76"/>
        <v>1078.9023176497212</v>
      </c>
      <c r="AE74" s="132"/>
    </row>
    <row r="75" spans="1:31">
      <c r="A75" s="124" t="s">
        <v>279</v>
      </c>
      <c r="C75" s="143">
        <f>SUM(C73:C74)</f>
        <v>258412.01</v>
      </c>
      <c r="D75" s="143"/>
      <c r="E75" s="143">
        <f t="shared" ref="E75" si="77">SUM(E73:E74)</f>
        <v>-7318.5299900000018</v>
      </c>
      <c r="F75" s="143"/>
      <c r="G75" s="143">
        <f t="shared" ref="G75" si="78">SUM(G73:G74)</f>
        <v>115.53935133929834</v>
      </c>
      <c r="H75" s="143"/>
      <c r="I75" s="143">
        <f t="shared" ref="I75" si="79">SUM(I73:I74)</f>
        <v>-69.323610803579001</v>
      </c>
      <c r="J75" s="143"/>
      <c r="K75" s="143">
        <f>SUM(K73:K74)</f>
        <v>0</v>
      </c>
      <c r="L75" s="143"/>
      <c r="M75" s="143">
        <f>SUM(M73:M74)</f>
        <v>251139.69575053576</v>
      </c>
      <c r="N75" s="143"/>
      <c r="O75" s="143">
        <f>SUM(O73:O74)</f>
        <v>251146.28987225797</v>
      </c>
      <c r="P75" s="143"/>
      <c r="Q75" s="1350">
        <f>ROUND(O75/M75*100,3)-100</f>
        <v>3.0000000000001137E-3</v>
      </c>
      <c r="R75" s="148">
        <f>O75-M75</f>
        <v>6.5941217222134583</v>
      </c>
      <c r="S75" s="1355">
        <f>IF(ABS(Q75)&lt;=0.5,0,IF(M75&gt;O75,(M75*0.995)-O75,(M75*1.005)-O75))</f>
        <v>0</v>
      </c>
      <c r="T75" s="143">
        <f>SUM(T73:T74)</f>
        <v>258520.71</v>
      </c>
      <c r="U75" s="143">
        <f t="shared" ref="U75:V75" si="80">SUM(U73:U74)</f>
        <v>258225.760408387</v>
      </c>
      <c r="V75" s="143">
        <f t="shared" si="80"/>
        <v>-1.120700085655244</v>
      </c>
      <c r="W75" s="136">
        <f>((T75-M75)/M75)*100</f>
        <v>2.9390074027946613</v>
      </c>
      <c r="X75" s="148">
        <f>T75-O75</f>
        <v>7374.4201277420216</v>
      </c>
      <c r="Y75" s="136"/>
      <c r="Z75" s="143" t="e">
        <f>SUM(Z73:Z74)</f>
        <v>#REF!</v>
      </c>
      <c r="AA75" s="136" t="e">
        <f>((Z75-T75)/T75)*100</f>
        <v>#REF!</v>
      </c>
      <c r="AB75" s="148" t="e">
        <f>Z75-T75</f>
        <v>#REF!</v>
      </c>
      <c r="AC75" s="136"/>
      <c r="AD75" s="148">
        <f>SUM(AD73:AD74)</f>
        <v>7381.0142494642423</v>
      </c>
      <c r="AE75" s="132"/>
    </row>
    <row r="76" spans="1:31">
      <c r="C76" s="139"/>
      <c r="D76" s="139"/>
      <c r="E76" s="139"/>
      <c r="F76" s="139"/>
      <c r="G76" s="139"/>
      <c r="H76" s="139"/>
      <c r="I76" s="139"/>
      <c r="J76" s="140"/>
      <c r="K76" s="140"/>
      <c r="L76" s="140"/>
      <c r="M76" s="140"/>
      <c r="N76" s="140"/>
      <c r="O76" s="140"/>
      <c r="P76" s="140"/>
      <c r="Q76" s="1350"/>
      <c r="R76" s="148"/>
      <c r="S76" s="1355"/>
      <c r="T76" s="140"/>
      <c r="U76" s="140"/>
      <c r="V76" s="140"/>
      <c r="W76" s="136"/>
      <c r="X76" s="136"/>
      <c r="Y76" s="136"/>
      <c r="Z76" s="140"/>
      <c r="AA76" s="136"/>
      <c r="AB76" s="136"/>
      <c r="AC76" s="136"/>
      <c r="AD76" s="136"/>
      <c r="AE76" s="132"/>
    </row>
    <row r="77" spans="1:31">
      <c r="A77" s="124" t="s">
        <v>51</v>
      </c>
      <c r="C77" s="140">
        <f>SUMIF($A$6:$A$56,$A77,C$6:C$56)</f>
        <v>47208952.869999997</v>
      </c>
      <c r="D77" s="140"/>
      <c r="E77" s="140">
        <f t="shared" ref="E77:I81" si="81">SUMIF($A$6:$A$56,$A77,E$6:E$56)</f>
        <v>-1470578.2511400001</v>
      </c>
      <c r="F77" s="140"/>
      <c r="G77" s="140">
        <f t="shared" si="81"/>
        <v>24142.593460042244</v>
      </c>
      <c r="H77" s="140"/>
      <c r="I77" s="140">
        <f t="shared" si="81"/>
        <v>-14485.556076025343</v>
      </c>
      <c r="J77" s="140"/>
      <c r="K77" s="140">
        <f>SUMIF($A$6:$A$56,$A77,K$6:K$56)</f>
        <v>42379.316367666586</v>
      </c>
      <c r="L77" s="140"/>
      <c r="M77" s="140">
        <f>SUMIF($A$6:$A$56,$A77,M$6:M$56)</f>
        <v>45790410.972611681</v>
      </c>
      <c r="N77" s="140"/>
      <c r="O77" s="140">
        <f>SUMIF($A$6:$A$56,$A77,O$6:O$56)</f>
        <v>45763880.716484897</v>
      </c>
      <c r="P77" s="140"/>
      <c r="Q77" s="1350">
        <f t="shared" ref="Q77:Q82" si="82">ROUND(O77/M77*100,3)-100</f>
        <v>-5.8000000000006935E-2</v>
      </c>
      <c r="R77" s="148">
        <f t="shared" ref="R77:R82" si="83">O77-M77</f>
        <v>-26530.256126783788</v>
      </c>
      <c r="S77" s="1355">
        <f t="shared" ref="S77:S82" si="84">IF(ABS(Q77)&lt;=0.5,0,IF(M77&gt;O77,(M77*0.995)-O77,(M77*1.005)-O77))</f>
        <v>0</v>
      </c>
      <c r="T77" s="140">
        <f>SUMIF($A$6:$A$56,$A77,T$6:T$56)</f>
        <v>46288197.993933335</v>
      </c>
      <c r="U77" s="140">
        <f t="shared" ref="U77:V81" si="85">SUMIF($A$6:$A$56,$A77,U$6:U$56)</f>
        <v>46290604.678377636</v>
      </c>
      <c r="V77" s="140">
        <f t="shared" si="85"/>
        <v>1183.4396924391331</v>
      </c>
      <c r="W77" s="136">
        <f t="shared" ref="W77:W82" si="86">((T77-M77)/M77)*100</f>
        <v>1.0870988286595471</v>
      </c>
      <c r="X77" s="148">
        <f t="shared" ref="X77:X82" si="87">T77-O77</f>
        <v>524317.27744843811</v>
      </c>
      <c r="Y77" s="136"/>
      <c r="Z77" s="140">
        <f>SUMIF($A$6:$A$56,$A77,Z$6:Z$56)</f>
        <v>33288086</v>
      </c>
      <c r="AA77" s="136">
        <f t="shared" ref="AA77:AA82" si="88">((Z77-T77)/T77)*100</f>
        <v>-28.08515465570115</v>
      </c>
      <c r="AB77" s="148">
        <f t="shared" ref="AB77:AB82" si="89">Z77-T77</f>
        <v>-13000111.993933335</v>
      </c>
      <c r="AC77" s="136"/>
      <c r="AD77" s="148">
        <f t="shared" ref="AD77:AD81" si="90">K77+R77+X77</f>
        <v>540166.33768932091</v>
      </c>
      <c r="AE77" s="132"/>
    </row>
    <row r="78" spans="1:31">
      <c r="A78" s="124" t="s">
        <v>52</v>
      </c>
      <c r="C78" s="140">
        <f>SUMIF($A$6:$A$56,$A78,C$6:C$56)</f>
        <v>177407.04</v>
      </c>
      <c r="D78" s="140"/>
      <c r="E78" s="140">
        <f t="shared" si="81"/>
        <v>-3698.6175599999997</v>
      </c>
      <c r="F78" s="140"/>
      <c r="G78" s="140">
        <f t="shared" si="81"/>
        <v>60.720481923374052</v>
      </c>
      <c r="H78" s="140"/>
      <c r="I78" s="140">
        <f t="shared" si="81"/>
        <v>-36.432289154024431</v>
      </c>
      <c r="J78" s="140"/>
      <c r="K78" s="140">
        <f>SUMIF($A$6:$A$56,$A78,K$6:K$56)</f>
        <v>-336.25333000000001</v>
      </c>
      <c r="L78" s="128"/>
      <c r="M78" s="140">
        <f>SUMIF($A$6:$A$56,$A78,M$6:M$56)</f>
        <v>173396.45730276936</v>
      </c>
      <c r="N78" s="128"/>
      <c r="O78" s="140">
        <f>SUMIF($A$6:$A$56,$A78,O$6:O$56)</f>
        <v>173238.53160595015</v>
      </c>
      <c r="P78" s="144"/>
      <c r="Q78" s="1350">
        <f t="shared" si="82"/>
        <v>-9.0999999999993975E-2</v>
      </c>
      <c r="R78" s="148">
        <f t="shared" si="83"/>
        <v>-157.92569681920577</v>
      </c>
      <c r="S78" s="1355">
        <f t="shared" si="84"/>
        <v>0</v>
      </c>
      <c r="T78" s="140">
        <f>SUMIF($A$6:$A$56,$A78,T$6:T$56)</f>
        <v>177328</v>
      </c>
      <c r="U78" s="140">
        <f t="shared" si="85"/>
        <v>177327.37337961973</v>
      </c>
      <c r="V78" s="140">
        <f t="shared" si="85"/>
        <v>0.62662038028065581</v>
      </c>
      <c r="W78" s="136">
        <f t="shared" si="86"/>
        <v>2.2673719857873089</v>
      </c>
      <c r="X78" s="148">
        <f t="shared" si="87"/>
        <v>4089.4683940498508</v>
      </c>
      <c r="Y78" s="136"/>
      <c r="Z78" s="140">
        <f>SUMIF($A$6:$A$56,$A78,Z$6:Z$56)</f>
        <v>145918</v>
      </c>
      <c r="AA78" s="136">
        <f t="shared" si="88"/>
        <v>-17.712938734999547</v>
      </c>
      <c r="AB78" s="148">
        <f t="shared" si="89"/>
        <v>-31410</v>
      </c>
      <c r="AC78" s="136"/>
      <c r="AD78" s="148">
        <f t="shared" si="90"/>
        <v>3595.289367230645</v>
      </c>
      <c r="AE78" s="132"/>
    </row>
    <row r="79" spans="1:31">
      <c r="A79" s="147" t="s">
        <v>289</v>
      </c>
      <c r="C79" s="140">
        <f>SUMIF($A$6:$A$56,$A79,C$6:C$56)</f>
        <v>101852.18000000001</v>
      </c>
      <c r="D79" s="140"/>
      <c r="E79" s="140">
        <f t="shared" si="81"/>
        <v>-866.72995000000003</v>
      </c>
      <c r="F79" s="140"/>
      <c r="G79" s="140">
        <f t="shared" si="81"/>
        <v>14.229170604333014</v>
      </c>
      <c r="H79" s="140"/>
      <c r="I79" s="140">
        <f t="shared" si="81"/>
        <v>-8.5375023625998061</v>
      </c>
      <c r="J79" s="140"/>
      <c r="K79" s="140">
        <f>SUMIF($A$6:$A$56,$A79,K$6:K$56)</f>
        <v>-1117.15376917808</v>
      </c>
      <c r="L79" s="128"/>
      <c r="M79" s="140">
        <f>SUMIF($A$6:$A$56,$A79,M$6:M$56)</f>
        <v>99873.987949063652</v>
      </c>
      <c r="N79" s="128"/>
      <c r="O79" s="140">
        <f>SUMIF($A$6:$A$56,$A79,O$6:O$56)</f>
        <v>99828.749954320199</v>
      </c>
      <c r="P79" s="144"/>
      <c r="Q79" s="1350">
        <f t="shared" si="82"/>
        <v>-4.5000000000001705E-2</v>
      </c>
      <c r="R79" s="148">
        <f t="shared" si="83"/>
        <v>-45.237994743452873</v>
      </c>
      <c r="S79" s="1355">
        <f t="shared" si="84"/>
        <v>0</v>
      </c>
      <c r="T79" s="140">
        <f>SUMIF($A$6:$A$56,$A79,T$6:T$56)</f>
        <v>103967</v>
      </c>
      <c r="U79" s="140">
        <f t="shared" si="85"/>
        <v>103967.02473550501</v>
      </c>
      <c r="V79" s="140">
        <f t="shared" si="85"/>
        <v>-2.4735505006901803E-2</v>
      </c>
      <c r="W79" s="136">
        <f t="shared" si="86"/>
        <v>4.0981762468760223</v>
      </c>
      <c r="X79" s="148">
        <f t="shared" si="87"/>
        <v>4138.2500456798007</v>
      </c>
      <c r="Y79" s="136"/>
      <c r="Z79" s="140">
        <f>SUMIF($A$6:$A$56,$A79,Z$6:Z$56)</f>
        <v>114589</v>
      </c>
      <c r="AA79" s="136">
        <f t="shared" si="88"/>
        <v>10.216703377033097</v>
      </c>
      <c r="AB79" s="148">
        <f t="shared" si="89"/>
        <v>10622</v>
      </c>
      <c r="AC79" s="136"/>
      <c r="AD79" s="148">
        <f t="shared" si="90"/>
        <v>2975.8582817582678</v>
      </c>
      <c r="AE79" s="132"/>
    </row>
    <row r="80" spans="1:31">
      <c r="A80" s="132" t="s">
        <v>727</v>
      </c>
      <c r="C80" s="140">
        <f>SUMIF($A$6:$A$56,$A80,C$6:C$56)</f>
        <v>2467279.9700000002</v>
      </c>
      <c r="D80" s="140"/>
      <c r="E80" s="140">
        <f t="shared" si="81"/>
        <v>-60729.074710000008</v>
      </c>
      <c r="F80" s="140"/>
      <c r="G80" s="140">
        <f t="shared" si="81"/>
        <v>996.99377492594488</v>
      </c>
      <c r="H80" s="140"/>
      <c r="I80" s="140">
        <f t="shared" si="81"/>
        <v>-598.19626495556679</v>
      </c>
      <c r="J80" s="140"/>
      <c r="K80" s="140">
        <f>SUMIF($A$6:$A$56,$A80,K$6:K$56)</f>
        <v>7690.5707363333386</v>
      </c>
      <c r="L80" s="128"/>
      <c r="M80" s="140">
        <f>SUMIF($A$6:$A$56,$A80,M$6:M$56)</f>
        <v>2414640.2635363038</v>
      </c>
      <c r="N80" s="128"/>
      <c r="O80" s="140">
        <f>SUMIF($A$6:$A$56,$A80,O$6:O$56)</f>
        <v>2405514.4078422985</v>
      </c>
      <c r="P80" s="144"/>
      <c r="Q80" s="1350">
        <f t="shared" si="82"/>
        <v>-0.37800000000000011</v>
      </c>
      <c r="R80" s="148">
        <f t="shared" si="83"/>
        <v>-9125.8556940052658</v>
      </c>
      <c r="S80" s="1355">
        <f t="shared" si="84"/>
        <v>0</v>
      </c>
      <c r="T80" s="140">
        <f>SUMIF($A$6:$A$56,$A80,T$6:T$56)</f>
        <v>2451690.2400000002</v>
      </c>
      <c r="U80" s="140">
        <f t="shared" si="85"/>
        <v>2451872.9998267149</v>
      </c>
      <c r="V80" s="140">
        <f t="shared" si="85"/>
        <v>-0.70982825187684284</v>
      </c>
      <c r="W80" s="136">
        <f t="shared" si="86"/>
        <v>1.5343890774618243</v>
      </c>
      <c r="X80" s="148">
        <f t="shared" si="87"/>
        <v>46175.83215770172</v>
      </c>
      <c r="Y80" s="136"/>
      <c r="Z80" s="140">
        <f>SUMIF($A$6:$A$56,$A80,Z$6:Z$56)</f>
        <v>31869846</v>
      </c>
      <c r="AA80" s="136">
        <f t="shared" si="88"/>
        <v>1199.9132386316469</v>
      </c>
      <c r="AB80" s="148">
        <f t="shared" si="89"/>
        <v>29418155.759999998</v>
      </c>
      <c r="AC80" s="136"/>
      <c r="AD80" s="148">
        <f t="shared" si="90"/>
        <v>44740.547200029789</v>
      </c>
      <c r="AE80" s="132"/>
    </row>
    <row r="81" spans="1:31">
      <c r="A81" s="132" t="s">
        <v>212</v>
      </c>
      <c r="C81" s="140">
        <f>SUMIF($A$6:$A$56,$A81,C$6:C$56)</f>
        <v>136919.25</v>
      </c>
      <c r="D81" s="140"/>
      <c r="E81" s="140">
        <f t="shared" si="81"/>
        <v>-4440.1030300000002</v>
      </c>
      <c r="F81" s="140"/>
      <c r="G81" s="140">
        <f t="shared" si="81"/>
        <v>72.893504504702932</v>
      </c>
      <c r="H81" s="140"/>
      <c r="I81" s="140">
        <f t="shared" si="81"/>
        <v>-43.736102702821746</v>
      </c>
      <c r="J81" s="140"/>
      <c r="K81" s="140">
        <f>SUMIF($A$6:$A$56,$A81,K$6:K$56)</f>
        <v>-2038.2101766666669</v>
      </c>
      <c r="L81" s="140"/>
      <c r="M81" s="140">
        <f>SUMIF($A$6:$A$56,$A81,M$6:M$56)</f>
        <v>130470.09419513521</v>
      </c>
      <c r="N81" s="140"/>
      <c r="O81" s="140">
        <f>SUMIF($A$6:$A$56,$A81,O$6:O$56)</f>
        <v>129463.1560666663</v>
      </c>
      <c r="P81" s="140"/>
      <c r="Q81" s="1350">
        <f t="shared" si="82"/>
        <v>-0.77200000000000557</v>
      </c>
      <c r="R81" s="148">
        <f t="shared" si="83"/>
        <v>-1006.9381284689152</v>
      </c>
      <c r="S81" s="1355">
        <f t="shared" si="84"/>
        <v>354.58765749323356</v>
      </c>
      <c r="T81" s="140">
        <f>SUMIF($A$6:$A$56,$A81,T$6:T$56)</f>
        <v>129463.1560666663</v>
      </c>
      <c r="U81" s="140">
        <f t="shared" si="85"/>
        <v>130802.7462066669</v>
      </c>
      <c r="V81" s="140">
        <f t="shared" si="85"/>
        <v>-1339.5901400005969</v>
      </c>
      <c r="W81" s="136">
        <f t="shared" si="86"/>
        <v>-0.77177696136472984</v>
      </c>
      <c r="X81" s="148">
        <f t="shared" si="87"/>
        <v>0</v>
      </c>
      <c r="Y81" s="136"/>
      <c r="Z81" s="140">
        <f>SUMIF($A$6:$A$56,$A81,Z$6:Z$56)</f>
        <v>515</v>
      </c>
      <c r="AA81" s="136">
        <f t="shared" si="88"/>
        <v>-99.602203425556226</v>
      </c>
      <c r="AB81" s="148">
        <f t="shared" si="89"/>
        <v>-128948.1560666663</v>
      </c>
      <c r="AC81" s="136"/>
      <c r="AD81" s="148">
        <f t="shared" si="90"/>
        <v>-3045.1483051355822</v>
      </c>
      <c r="AE81" s="132"/>
    </row>
    <row r="82" spans="1:31">
      <c r="A82" s="124" t="s">
        <v>280</v>
      </c>
      <c r="C82" s="140">
        <f>SUM(C77:C81)</f>
        <v>50092411.309999995</v>
      </c>
      <c r="D82" s="140"/>
      <c r="E82" s="140">
        <f t="shared" ref="E82" si="91">SUM(E77:E81)</f>
        <v>-1540312.7763900002</v>
      </c>
      <c r="F82" s="140"/>
      <c r="G82" s="140">
        <f t="shared" ref="G82" si="92">SUM(G77:G81)</f>
        <v>25287.430392000599</v>
      </c>
      <c r="H82" s="140"/>
      <c r="I82" s="140">
        <f t="shared" ref="I82" si="93">SUM(I77:I81)</f>
        <v>-15172.458235200356</v>
      </c>
      <c r="J82" s="140"/>
      <c r="K82" s="140">
        <f>SUM(K77:K81)</f>
        <v>46578.269828155178</v>
      </c>
      <c r="L82" s="140"/>
      <c r="M82" s="140">
        <f>SUM(M77:M81)</f>
        <v>48608791.775594957</v>
      </c>
      <c r="N82" s="140"/>
      <c r="O82" s="140">
        <f>SUM(O77:O81)</f>
        <v>48571925.561954133</v>
      </c>
      <c r="P82" s="140"/>
      <c r="Q82" s="1350">
        <f t="shared" si="82"/>
        <v>-7.5999999999993406E-2</v>
      </c>
      <c r="R82" s="148">
        <f t="shared" si="83"/>
        <v>-36866.21364082396</v>
      </c>
      <c r="S82" s="1355">
        <f t="shared" si="84"/>
        <v>0</v>
      </c>
      <c r="T82" s="140">
        <f>SUM(T77:T81)</f>
        <v>49150646.390000001</v>
      </c>
      <c r="U82" s="140">
        <f t="shared" ref="U82:V82" si="94">SUM(U77:U81)</f>
        <v>49154574.822526135</v>
      </c>
      <c r="V82" s="140">
        <f t="shared" si="94"/>
        <v>-156.2583909380669</v>
      </c>
      <c r="W82" s="136">
        <f t="shared" si="86"/>
        <v>1.1147255354680359</v>
      </c>
      <c r="X82" s="148">
        <f t="shared" si="87"/>
        <v>578720.82804586738</v>
      </c>
      <c r="Y82" s="136"/>
      <c r="Z82" s="140">
        <f>SUM(Z77:Z79)</f>
        <v>33548593</v>
      </c>
      <c r="AA82" s="136">
        <f t="shared" si="88"/>
        <v>-31.743333070741329</v>
      </c>
      <c r="AB82" s="148">
        <f t="shared" si="89"/>
        <v>-15602053.390000001</v>
      </c>
      <c r="AC82" s="136"/>
      <c r="AD82" s="148">
        <f>SUM(AD77:AD81)</f>
        <v>588432.88423320407</v>
      </c>
      <c r="AE82" s="132"/>
    </row>
    <row r="83" spans="1:31">
      <c r="D83" s="144"/>
      <c r="E83" s="144"/>
      <c r="F83" s="144"/>
      <c r="G83" s="144"/>
      <c r="H83" s="144"/>
      <c r="I83" s="144"/>
      <c r="J83" s="128"/>
      <c r="K83" s="128"/>
      <c r="L83" s="128"/>
      <c r="M83" s="128"/>
      <c r="N83" s="128"/>
      <c r="O83" s="133"/>
      <c r="P83" s="133"/>
      <c r="Q83" s="1350"/>
      <c r="R83" s="148"/>
      <c r="S83" s="1355"/>
      <c r="T83" s="133"/>
      <c r="U83" s="133"/>
      <c r="V83" s="133"/>
      <c r="W83" s="136"/>
      <c r="X83" s="136"/>
      <c r="Y83" s="136"/>
      <c r="Z83" s="128"/>
      <c r="AA83" s="136"/>
      <c r="AB83" s="136"/>
      <c r="AC83" s="136"/>
      <c r="AD83" s="136"/>
      <c r="AE83" s="132"/>
    </row>
    <row r="84" spans="1:31">
      <c r="A84" s="124" t="s">
        <v>53</v>
      </c>
      <c r="C84" s="140">
        <f>SUMIF($A$6:$A$56,$A84,C$6:C$56)</f>
        <v>72371529.25</v>
      </c>
      <c r="D84" s="140"/>
      <c r="E84" s="140">
        <f t="shared" ref="E84:I85" si="95">SUMIF($A$6:$A$56,$A84,E$6:E$56)</f>
        <v>-2243453.1888000001</v>
      </c>
      <c r="F84" s="140"/>
      <c r="G84" s="140">
        <f t="shared" si="95"/>
        <v>35103.40103172708</v>
      </c>
      <c r="H84" s="140"/>
      <c r="I84" s="140">
        <f t="shared" si="95"/>
        <v>-21062.040619036248</v>
      </c>
      <c r="J84" s="140"/>
      <c r="K84" s="140">
        <f>SUMIF($A$6:$A$56,$A84,K$6:K$56)</f>
        <v>227776.2819333334</v>
      </c>
      <c r="L84" s="140"/>
      <c r="M84" s="140">
        <f>SUMIF($A$6:$A$56,$A84,M$6:M$56)</f>
        <v>70369893.703546017</v>
      </c>
      <c r="N84" s="140"/>
      <c r="O84" s="140">
        <f>SUMIF($A$6:$A$56,$A84,O$6:O$56)</f>
        <v>70325081.292451933</v>
      </c>
      <c r="P84" s="140"/>
      <c r="Q84" s="1350">
        <f>ROUND(O84/M84*100,3)-100</f>
        <v>-6.3999999999992951E-2</v>
      </c>
      <c r="R84" s="148">
        <f>O84-M84</f>
        <v>-44812.411094084382</v>
      </c>
      <c r="S84" s="1355">
        <f>IF(ABS(Q84)&lt;=0.5,0,IF(M84&gt;O84,(M84*0.995)-O84,(M84*1.005)-O84))</f>
        <v>0</v>
      </c>
      <c r="T84" s="140">
        <f>SUMIF($A$6:$A$56,$A84,T$6:T$56)</f>
        <v>72288240.702915996</v>
      </c>
      <c r="U84" s="140">
        <f t="shared" ref="U84:V85" si="96">SUMIF($A$6:$A$56,$A84,U$6:U$56)</f>
        <v>72283625.89195323</v>
      </c>
      <c r="V84" s="140">
        <f t="shared" si="96"/>
        <v>8630.0806077063316</v>
      </c>
      <c r="W84" s="136">
        <f>((T84-M84)/M84)*100</f>
        <v>2.7260905174186889</v>
      </c>
      <c r="X84" s="148">
        <f>T84-O84</f>
        <v>1963159.4104640633</v>
      </c>
      <c r="Y84" s="136"/>
      <c r="Z84" s="140" t="e">
        <f>SUMIF($A$6:$A$56,$A84,Z$6:Z$56)</f>
        <v>#REF!</v>
      </c>
      <c r="AA84" s="136" t="e">
        <f>((Z84-T84)/T84)*100</f>
        <v>#REF!</v>
      </c>
      <c r="AB84" s="148" t="e">
        <f>Z84-T84</f>
        <v>#REF!</v>
      </c>
      <c r="AC84" s="136"/>
      <c r="AD84" s="148">
        <f t="shared" ref="AD84:AD85" si="97">K84+R84+X84</f>
        <v>2146123.2813033122</v>
      </c>
      <c r="AE84" s="132"/>
    </row>
    <row r="85" spans="1:31">
      <c r="A85" s="132" t="s">
        <v>669</v>
      </c>
      <c r="C85" s="140">
        <f>SUMIF($A$6:$A$56,$A85,C$6:C$56)</f>
        <v>339705.44</v>
      </c>
      <c r="D85" s="140"/>
      <c r="E85" s="140">
        <f t="shared" si="95"/>
        <v>-10228.176000000001</v>
      </c>
      <c r="F85" s="140"/>
      <c r="G85" s="140">
        <f t="shared" si="95"/>
        <v>160.04067557261359</v>
      </c>
      <c r="H85" s="140"/>
      <c r="I85" s="140">
        <f t="shared" si="95"/>
        <v>-96.024405343568148</v>
      </c>
      <c r="J85" s="140"/>
      <c r="K85" s="140">
        <f>SUMIF($A$6:$A$56,$A85,K$6:K$56)</f>
        <v>-5204.8792000000003</v>
      </c>
      <c r="L85" s="140"/>
      <c r="M85" s="140">
        <f>SUMIF($A$6:$A$56,$A85,M$6:M$56)</f>
        <v>324336.40107022901</v>
      </c>
      <c r="N85" s="140"/>
      <c r="O85" s="140">
        <f>SUMIF($A$6:$A$56,$A85,O$6:O$56)</f>
        <v>323153.10708400072</v>
      </c>
      <c r="P85" s="140"/>
      <c r="Q85" s="1350">
        <f>ROUND(O85/M85*100,3)-100</f>
        <v>-0.36499999999999488</v>
      </c>
      <c r="R85" s="148">
        <f>O85-M85</f>
        <v>-1183.2939862282947</v>
      </c>
      <c r="S85" s="1355">
        <f>IF(ABS(Q85)&lt;=0.5,0,IF(M85&gt;O85,(M85*0.995)-O85,(M85*1.005)-O85))</f>
        <v>0</v>
      </c>
      <c r="T85" s="140">
        <f>SUMIF($A$6:$A$56,$A85,T$6:T$56)</f>
        <v>323153.10708400072</v>
      </c>
      <c r="U85" s="140">
        <f t="shared" si="96"/>
        <v>331781.76027733274</v>
      </c>
      <c r="V85" s="140">
        <f t="shared" si="96"/>
        <v>-8628.6531933320221</v>
      </c>
      <c r="W85" s="136">
        <f>((T85-M85)/M85)*100</f>
        <v>-0.36483539384531627</v>
      </c>
      <c r="X85" s="148">
        <f>T85-O85</f>
        <v>0</v>
      </c>
      <c r="Y85" s="136"/>
      <c r="Z85" s="140">
        <f>SUMIF($A$6:$A$56,$A85,Z$6:Z$56)</f>
        <v>515</v>
      </c>
      <c r="AA85" s="136">
        <f>((Z85-T85)/T85)*100</f>
        <v>-99.840632818094448</v>
      </c>
      <c r="AB85" s="148">
        <f>Z85-T85</f>
        <v>-322638.10708400072</v>
      </c>
      <c r="AC85" s="136"/>
      <c r="AD85" s="148">
        <f t="shared" si="97"/>
        <v>-6388.173186228295</v>
      </c>
      <c r="AE85" s="132"/>
    </row>
    <row r="86" spans="1:31">
      <c r="A86" s="124" t="s">
        <v>281</v>
      </c>
      <c r="C86" s="140">
        <f>SUM(C84:C85)</f>
        <v>72711234.689999998</v>
      </c>
      <c r="D86" s="140"/>
      <c r="E86" s="140">
        <f t="shared" ref="E86" si="98">SUM(E84:E85)</f>
        <v>-2253681.3648000001</v>
      </c>
      <c r="F86" s="140"/>
      <c r="G86" s="140">
        <f t="shared" ref="G86" si="99">SUM(G84:G85)</f>
        <v>35263.441707299695</v>
      </c>
      <c r="H86" s="140"/>
      <c r="I86" s="140">
        <f t="shared" ref="I86" si="100">SUM(I84:I85)</f>
        <v>-21158.065024379815</v>
      </c>
      <c r="J86" s="140"/>
      <c r="K86" s="140">
        <f>SUM(K84:K85)</f>
        <v>222571.40273333341</v>
      </c>
      <c r="L86" s="140"/>
      <c r="M86" s="140">
        <f>SUM(M84:M85)</f>
        <v>70694230.10461624</v>
      </c>
      <c r="N86" s="140"/>
      <c r="O86" s="140">
        <f>SUM(O84:O85)</f>
        <v>70648234.399535939</v>
      </c>
      <c r="P86" s="140"/>
      <c r="Q86" s="1350">
        <f>ROUND(O86/M86*100,3)-100</f>
        <v>-6.4999999999997726E-2</v>
      </c>
      <c r="R86" s="148">
        <f>O86-M86</f>
        <v>-45995.70508030057</v>
      </c>
      <c r="S86" s="1355">
        <f>IF(ABS(Q86)&lt;=0.5,0,IF(M86&gt;O86,(M86*0.995)-O86,(M86*1.005)-O86))</f>
        <v>0</v>
      </c>
      <c r="T86" s="140">
        <f>SUM(T84:T85)</f>
        <v>72611393.810000002</v>
      </c>
      <c r="U86" s="140">
        <f t="shared" ref="U86:V86" si="101">SUM(U84:U85)</f>
        <v>72615407.652230561</v>
      </c>
      <c r="V86" s="140">
        <f t="shared" si="101"/>
        <v>1.4274143743095919</v>
      </c>
      <c r="W86" s="136">
        <f>((T86-M86)/M86)*100</f>
        <v>2.7119097308884541</v>
      </c>
      <c r="X86" s="148">
        <f>T86-O86</f>
        <v>1963159.4104640633</v>
      </c>
      <c r="Y86" s="136"/>
      <c r="Z86" s="140" t="e">
        <f>SUM(Z84:Z84)</f>
        <v>#REF!</v>
      </c>
      <c r="AA86" s="136" t="e">
        <f>((Z86-T86)/T86)*100</f>
        <v>#REF!</v>
      </c>
      <c r="AB86" s="148" t="e">
        <f>Z86-T86</f>
        <v>#REF!</v>
      </c>
      <c r="AC86" s="136"/>
      <c r="AD86" s="148">
        <f>SUM(AD84:AD85)</f>
        <v>2139735.108117084</v>
      </c>
      <c r="AE86" s="132"/>
    </row>
    <row r="87" spans="1:31"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350"/>
      <c r="R87" s="148"/>
      <c r="S87" s="1355"/>
      <c r="T87" s="140"/>
      <c r="U87" s="140"/>
      <c r="V87" s="140"/>
      <c r="W87" s="136"/>
      <c r="X87" s="136"/>
      <c r="Y87" s="136"/>
      <c r="Z87" s="140"/>
      <c r="AA87" s="136"/>
      <c r="AB87" s="136"/>
      <c r="AC87" s="136"/>
      <c r="AD87" s="136"/>
      <c r="AE87" s="132"/>
    </row>
    <row r="88" spans="1:31"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350"/>
      <c r="R88" s="148"/>
      <c r="S88" s="1355"/>
      <c r="T88" s="144"/>
      <c r="U88" s="144"/>
      <c r="V88" s="144"/>
      <c r="W88" s="136"/>
      <c r="X88" s="136"/>
      <c r="Y88" s="136"/>
      <c r="Z88" s="144"/>
      <c r="AA88" s="136"/>
      <c r="AB88" s="136"/>
      <c r="AC88" s="136"/>
      <c r="AD88" s="136"/>
      <c r="AE88" s="132"/>
    </row>
    <row r="89" spans="1:31">
      <c r="A89" s="124" t="s">
        <v>58</v>
      </c>
      <c r="C89" s="140">
        <f>SUMIF($A$6:$A$56,$A89,C$6:C$56)</f>
        <v>11333551.449999999</v>
      </c>
      <c r="D89" s="140"/>
      <c r="E89" s="140">
        <f t="shared" ref="E89:I90" si="102">SUMIF($A$6:$A$56,$A89,E$6:E$56)</f>
        <v>-357442.62699999998</v>
      </c>
      <c r="F89" s="140"/>
      <c r="G89" s="140">
        <f t="shared" si="102"/>
        <v>8238.7608066824287</v>
      </c>
      <c r="H89" s="140"/>
      <c r="I89" s="140">
        <f t="shared" si="102"/>
        <v>-4707.8633181042451</v>
      </c>
      <c r="J89" s="140"/>
      <c r="K89" s="140">
        <f>SUMIF($A$6:$A$56,$A89,K$6:K$56)</f>
        <v>260484.54255459551</v>
      </c>
      <c r="L89" s="140"/>
      <c r="M89" s="140">
        <f>SUMIF($A$6:$A$56,$A89,M$6:M$56)</f>
        <v>11240124.263043173</v>
      </c>
      <c r="N89" s="140"/>
      <c r="O89" s="140">
        <f>SUMIF($A$6:$A$56,$A89,O$6:O$56)</f>
        <v>11238776.030309403</v>
      </c>
      <c r="P89" s="140"/>
      <c r="Q89" s="1350">
        <f>ROUND(O89/M89*100,3)-100</f>
        <v>-1.2000000000000455E-2</v>
      </c>
      <c r="R89" s="148">
        <f>O89-M89</f>
        <v>-1348.2327337693423</v>
      </c>
      <c r="S89" s="1355">
        <f>IF(ABS(Q89)&lt;=0.5,0,IF(M89&gt;O89,(M89*0.995)-O89,(M89*1.005)-O89))</f>
        <v>0</v>
      </c>
      <c r="T89" s="140">
        <f>SUMIF($A$6:$A$56,$A89,T$6:T$56)</f>
        <v>11354396.470000001</v>
      </c>
      <c r="U89" s="140">
        <f t="shared" ref="U89:V90" si="103">SUMIF($A$6:$A$56,$A89,U$6:U$56)</f>
        <v>11363498.469600316</v>
      </c>
      <c r="V89" s="140">
        <f t="shared" si="103"/>
        <v>-1.3686328865587711</v>
      </c>
      <c r="W89" s="136">
        <f>((T89-M89)/M89)*100</f>
        <v>1.0166454060703574</v>
      </c>
      <c r="X89" s="148">
        <f>T89-O89</f>
        <v>115620.43969059736</v>
      </c>
      <c r="Y89" s="136"/>
      <c r="Z89" s="140">
        <f>SUMIF($A$6:$A$56,$A89,Z$6:Z$56)</f>
        <v>8839304</v>
      </c>
      <c r="AA89" s="136">
        <f>((Z89-T89)/T89)*100</f>
        <v>-22.150824807335624</v>
      </c>
      <c r="AB89" s="148">
        <f>Z89-T89</f>
        <v>-2515092.4700000007</v>
      </c>
      <c r="AC89" s="136"/>
      <c r="AD89" s="148">
        <f t="shared" ref="AD89:AD90" si="104">K89+R89+X89</f>
        <v>374756.74951142352</v>
      </c>
      <c r="AE89" s="132"/>
    </row>
    <row r="90" spans="1:31">
      <c r="A90" s="124" t="s">
        <v>59</v>
      </c>
      <c r="C90" s="140">
        <f>SUMIF($A$6:$A$56,$A90,C$6:C$56)</f>
        <v>4076711.77</v>
      </c>
      <c r="D90" s="140"/>
      <c r="E90" s="140">
        <f t="shared" si="102"/>
        <v>-127353.02508000001</v>
      </c>
      <c r="F90" s="140"/>
      <c r="G90" s="140">
        <f t="shared" si="102"/>
        <v>2935.3832822002742</v>
      </c>
      <c r="H90" s="140"/>
      <c r="I90" s="140">
        <f t="shared" si="102"/>
        <v>-1677.3618755430139</v>
      </c>
      <c r="J90" s="140"/>
      <c r="K90" s="140">
        <f>SUMIF($A$6:$A$56,$A90,K$6:K$56)</f>
        <v>57592.767005189657</v>
      </c>
      <c r="L90" s="140"/>
      <c r="M90" s="140">
        <f>SUMIF($A$6:$A$56,$A90,M$6:M$56)</f>
        <v>4008209.5333318473</v>
      </c>
      <c r="N90" s="140"/>
      <c r="O90" s="140">
        <f>SUMIF($A$6:$A$56,$A90,O$6:O$56)</f>
        <v>4007771.3009798941</v>
      </c>
      <c r="P90" s="140"/>
      <c r="Q90" s="1350">
        <f>ROUND(O90/M90*100,3)-100</f>
        <v>-1.099999999999568E-2</v>
      </c>
      <c r="R90" s="148">
        <f>O90-M90</f>
        <v>-438.23235195316374</v>
      </c>
      <c r="S90" s="1355">
        <f>IF(ABS(Q90)&lt;=0.5,0,IF(M90&gt;O90,(M90*0.995)-O90,(M90*1.005)-O90))</f>
        <v>0</v>
      </c>
      <c r="T90" s="140">
        <f>SUMIF($A$6:$A$56,$A90,T$6:T$56)</f>
        <v>4051637</v>
      </c>
      <c r="U90" s="140">
        <f t="shared" si="103"/>
        <v>4051639.0863313521</v>
      </c>
      <c r="V90" s="140">
        <f t="shared" si="103"/>
        <v>-2.0863313521258533</v>
      </c>
      <c r="W90" s="136">
        <f>((T90-M90)/M90)*100</f>
        <v>1.0834629853308437</v>
      </c>
      <c r="X90" s="148">
        <f>T90-O90</f>
        <v>43865.69902010588</v>
      </c>
      <c r="Y90" s="136"/>
      <c r="Z90" s="140">
        <f>SUMIF($A$6:$A$56,$A90,Z$6:Z$56)</f>
        <v>1173033</v>
      </c>
      <c r="AA90" s="136">
        <f>((Z90-T90)/T90)*100</f>
        <v>-71.047924579620542</v>
      </c>
      <c r="AB90" s="148">
        <f>Z90-T90</f>
        <v>-2878604</v>
      </c>
      <c r="AC90" s="136"/>
      <c r="AD90" s="148">
        <f t="shared" si="104"/>
        <v>101020.23367334237</v>
      </c>
      <c r="AE90" s="132"/>
    </row>
    <row r="91" spans="1:31">
      <c r="A91" s="124" t="s">
        <v>282</v>
      </c>
      <c r="C91" s="140">
        <f>SUM(C89:C90)</f>
        <v>15410263.219999999</v>
      </c>
      <c r="D91" s="140"/>
      <c r="E91" s="140">
        <f t="shared" ref="E91" si="105">SUM(E89:E90)</f>
        <v>-484795.65207999997</v>
      </c>
      <c r="F91" s="140"/>
      <c r="G91" s="140">
        <f t="shared" ref="G91" si="106">SUM(G89:G90)</f>
        <v>11174.144088882702</v>
      </c>
      <c r="H91" s="140"/>
      <c r="I91" s="140">
        <f t="shared" ref="I91" si="107">SUM(I89:I90)</f>
        <v>-6385.2251936472585</v>
      </c>
      <c r="J91" s="140"/>
      <c r="K91" s="140">
        <f>SUM(K89:K90)</f>
        <v>318077.30955978518</v>
      </c>
      <c r="L91" s="140"/>
      <c r="M91" s="140">
        <f>SUM(M89:M90)</f>
        <v>15248333.796375019</v>
      </c>
      <c r="N91" s="140"/>
      <c r="O91" s="140">
        <f>SUM(O89:O90)</f>
        <v>15246547.331289297</v>
      </c>
      <c r="P91" s="140"/>
      <c r="Q91" s="1350">
        <f>ROUND(O91/M91*100,3)-100</f>
        <v>-1.2000000000000455E-2</v>
      </c>
      <c r="R91" s="148">
        <f>O91-M91</f>
        <v>-1786.465085722506</v>
      </c>
      <c r="S91" s="1355">
        <f>IF(ABS(Q91)&lt;=0.5,0,IF(M91&gt;O91,(M91*0.995)-O91,(M91*1.005)-O91))</f>
        <v>0</v>
      </c>
      <c r="T91" s="140">
        <f>SUM(T89:T90)</f>
        <v>15406033.470000001</v>
      </c>
      <c r="U91" s="140">
        <f t="shared" ref="U91:V91" si="108">SUM(U89:U90)</f>
        <v>15415137.555931669</v>
      </c>
      <c r="V91" s="140">
        <f t="shared" si="108"/>
        <v>-3.4549642386846244</v>
      </c>
      <c r="W91" s="136">
        <f>((T91-M91)/M91)*100</f>
        <v>1.0342092174193556</v>
      </c>
      <c r="X91" s="148">
        <f>T91-O91</f>
        <v>159486.1387107037</v>
      </c>
      <c r="Y91" s="136"/>
      <c r="Z91" s="140">
        <f>SUM(Z89:Z90)</f>
        <v>10012337</v>
      </c>
      <c r="AA91" s="136">
        <f>((Z91-T91)/T91)*100</f>
        <v>-35.010286590010899</v>
      </c>
      <c r="AB91" s="148">
        <f>Z91-T91</f>
        <v>-5393696.4700000007</v>
      </c>
      <c r="AC91" s="136"/>
      <c r="AD91" s="148">
        <f>SUM(AD89:AD90)</f>
        <v>475776.98318476591</v>
      </c>
      <c r="AE91" s="132"/>
    </row>
    <row r="92" spans="1:31"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350"/>
      <c r="R92" s="148"/>
      <c r="S92" s="1355"/>
      <c r="T92" s="144"/>
      <c r="U92" s="144"/>
      <c r="V92" s="144"/>
      <c r="W92" s="136"/>
      <c r="X92" s="136"/>
      <c r="Y92" s="136"/>
      <c r="Z92" s="144"/>
      <c r="AA92" s="136"/>
      <c r="AB92" s="136"/>
      <c r="AC92" s="136"/>
      <c r="AD92" s="136"/>
      <c r="AE92" s="132"/>
    </row>
    <row r="93" spans="1:31">
      <c r="A93" s="124" t="s">
        <v>159</v>
      </c>
      <c r="C93" s="140">
        <f>SUMIF($A$6:$A$56,$A93,C$6:C$56)</f>
        <v>308414.28999999998</v>
      </c>
      <c r="D93" s="140"/>
      <c r="E93" s="140">
        <f t="shared" ref="E93:I93" si="109">SUMIF($A$6:$A$56,$A93,E$6:E$56)</f>
        <v>-4167.12</v>
      </c>
      <c r="F93" s="140"/>
      <c r="G93" s="140">
        <f t="shared" si="109"/>
        <v>43.963850752422182</v>
      </c>
      <c r="H93" s="140"/>
      <c r="I93" s="140">
        <f t="shared" si="109"/>
        <v>-27.477406720263865</v>
      </c>
      <c r="J93" s="140"/>
      <c r="K93" s="140">
        <f>SUMIF($A$6:$A$56,$A93,K$6:K$56)</f>
        <v>6930.48</v>
      </c>
      <c r="L93" s="140"/>
      <c r="M93" s="140">
        <f>SUMIF($A$6:$A$56,$A93,M$6:M$56)</f>
        <v>311194.13644403213</v>
      </c>
      <c r="N93" s="140"/>
      <c r="O93" s="140">
        <f>SUMIF($A$6:$A$56,$A93,O$6:O$56)</f>
        <v>311169.46850000002</v>
      </c>
      <c r="P93" s="140"/>
      <c r="Q93" s="1350">
        <f>ROUND(O93/M93*100,3)-100</f>
        <v>-7.9999999999955662E-3</v>
      </c>
      <c r="R93" s="148">
        <f>O93-M93</f>
        <v>-24.667944032116793</v>
      </c>
      <c r="S93" s="1355">
        <f>IF(ABS(Q93)&lt;=0.5,0,IF(M93&gt;O93,(M93*0.995)-O93,(M93*1.005)-O93))</f>
        <v>0</v>
      </c>
      <c r="T93" s="140">
        <f>SUMIF($A$6:$A$56,$A93,T$6:T$56)</f>
        <v>319234</v>
      </c>
      <c r="U93" s="140">
        <f t="shared" ref="U93:V93" si="110">SUMIF($A$6:$A$56,$A93,U$6:U$56)</f>
        <v>319233.71075000003</v>
      </c>
      <c r="V93" s="140">
        <f t="shared" si="110"/>
        <v>0.28924999997252598</v>
      </c>
      <c r="W93" s="136">
        <f>((T93-M93)/M93)*100</f>
        <v>2.5835523920335257</v>
      </c>
      <c r="X93" s="148">
        <f>T93-O93</f>
        <v>8064.5314999999828</v>
      </c>
      <c r="Y93" s="136"/>
      <c r="Z93" s="140">
        <f>SUMIF($A$6:$A$56,$A93,Z$6:Z$56)</f>
        <v>858176</v>
      </c>
      <c r="AA93" s="136">
        <f>((Z93-T93)/T93)*100</f>
        <v>168.82349624413439</v>
      </c>
      <c r="AB93" s="148">
        <f>Z93-T93</f>
        <v>538942</v>
      </c>
      <c r="AC93" s="136"/>
      <c r="AD93" s="148">
        <f>K93+R93+X93</f>
        <v>14970.343555967866</v>
      </c>
      <c r="AE93" s="132"/>
    </row>
    <row r="94" spans="1:31">
      <c r="D94" s="144"/>
      <c r="E94" s="144"/>
      <c r="F94" s="144"/>
      <c r="G94" s="144"/>
      <c r="H94" s="144"/>
      <c r="I94" s="144"/>
      <c r="J94" s="144"/>
      <c r="K94" s="144"/>
      <c r="L94" s="144"/>
      <c r="M94" s="144"/>
      <c r="N94" s="144"/>
      <c r="O94" s="144"/>
      <c r="P94" s="144"/>
      <c r="Q94" s="1350"/>
      <c r="R94" s="148"/>
      <c r="S94" s="1355"/>
      <c r="T94" s="144"/>
      <c r="U94" s="144"/>
      <c r="V94" s="144"/>
      <c r="W94" s="136"/>
      <c r="X94" s="136"/>
      <c r="Y94" s="136"/>
      <c r="Z94" s="144"/>
      <c r="AA94" s="136"/>
      <c r="AB94" s="136"/>
      <c r="AC94" s="136"/>
      <c r="AD94" s="136"/>
      <c r="AE94" s="132"/>
    </row>
    <row r="95" spans="1:31">
      <c r="A95" s="124" t="s">
        <v>54</v>
      </c>
      <c r="C95" s="140">
        <f>SUMIF($A$6:$A$56,$A95,C$6:C$56)</f>
        <v>28904720.670000002</v>
      </c>
      <c r="D95" s="140"/>
      <c r="E95" s="140">
        <f t="shared" ref="E95:I97" si="111">SUMIF($A$6:$A$56,$A95,E$6:E$56)</f>
        <v>-802124.64140000008</v>
      </c>
      <c r="F95" s="140"/>
      <c r="G95" s="140">
        <f t="shared" si="111"/>
        <v>13564.931091718416</v>
      </c>
      <c r="H95" s="140"/>
      <c r="I95" s="140">
        <f t="shared" si="111"/>
        <v>-8478.0819323240103</v>
      </c>
      <c r="J95" s="140"/>
      <c r="K95" s="140">
        <f>SUMIF($A$6:$A$56,$A95,K$6:K$56)</f>
        <v>166136.68900000001</v>
      </c>
      <c r="L95" s="140"/>
      <c r="M95" s="140">
        <f>SUMIF($A$6:$A$56,$A95,M$6:M$56)</f>
        <v>28273819.566759396</v>
      </c>
      <c r="N95" s="140"/>
      <c r="O95" s="140">
        <f>SUMIF($A$6:$A$56,$A95,O$6:O$56)</f>
        <v>28267581.291634791</v>
      </c>
      <c r="P95" s="140"/>
      <c r="Q95" s="1350">
        <f>ROUND(O95/M95*100,3)-100</f>
        <v>-2.2000000000005571E-2</v>
      </c>
      <c r="R95" s="148">
        <f>O95-M95</f>
        <v>-6238.2751246057451</v>
      </c>
      <c r="S95" s="1355">
        <f>IF(ABS(Q95)&lt;=0.5,0,IF(M95&gt;O95,(M95*0.995)-O95,(M95*1.005)-O95))</f>
        <v>0</v>
      </c>
      <c r="T95" s="140">
        <f>SUMIF($A$6:$A$56,$A95,T$6:T$56)</f>
        <v>29003926.009999998</v>
      </c>
      <c r="U95" s="140">
        <f t="shared" ref="U95:V97" si="112">SUMIF($A$6:$A$56,$A95,U$6:U$56)</f>
        <v>29007124.089153677</v>
      </c>
      <c r="V95" s="140">
        <f t="shared" si="112"/>
        <v>-5.5622149062401149E-2</v>
      </c>
      <c r="W95" s="136">
        <f>((T95-M95)/M95)*100</f>
        <v>2.5822702925464087</v>
      </c>
      <c r="X95" s="148">
        <f>T95-O95</f>
        <v>736344.71836520731</v>
      </c>
      <c r="Y95" s="136"/>
      <c r="Z95" s="140">
        <f>SUMIF($A$6:$A$56,$A95,Z$6:Z$56)</f>
        <v>7472169</v>
      </c>
      <c r="AA95" s="136">
        <f>((Z95-T95)/T95)*100</f>
        <v>-74.237387733564958</v>
      </c>
      <c r="AB95" s="148">
        <f>Z95-T95</f>
        <v>-21531757.009999998</v>
      </c>
      <c r="AC95" s="136"/>
      <c r="AD95" s="148">
        <f t="shared" ref="AD95:AD97" si="113">K95+R95+X95</f>
        <v>896243.13224060158</v>
      </c>
      <c r="AE95" s="132"/>
    </row>
    <row r="96" spans="1:31">
      <c r="A96" s="124" t="s">
        <v>60</v>
      </c>
      <c r="C96" s="140">
        <f>SUMIF($A$6:$A$56,$A96,C$6:C$56)</f>
        <v>0</v>
      </c>
      <c r="D96" s="140"/>
      <c r="E96" s="140">
        <f t="shared" si="111"/>
        <v>0</v>
      </c>
      <c r="F96" s="140"/>
      <c r="G96" s="140">
        <f t="shared" si="111"/>
        <v>0</v>
      </c>
      <c r="H96" s="140"/>
      <c r="I96" s="140">
        <f t="shared" si="111"/>
        <v>0</v>
      </c>
      <c r="J96" s="140"/>
      <c r="K96" s="140">
        <f>SUMIF($A$6:$A$56,$A96,K$6:K$56)</f>
        <v>0</v>
      </c>
      <c r="L96" s="140"/>
      <c r="M96" s="140">
        <f>SUMIF($A$6:$A$56,$A96,M$6:M$56)</f>
        <v>0</v>
      </c>
      <c r="N96" s="140"/>
      <c r="O96" s="140">
        <f>SUMIF($A$6:$A$56,$A96,O$6:O$56)</f>
        <v>0</v>
      </c>
      <c r="P96" s="140"/>
      <c r="Q96" s="1350" t="e">
        <f>ROUND(O96/M96*100,3)-100</f>
        <v>#DIV/0!</v>
      </c>
      <c r="R96" s="148">
        <f>O96-M96</f>
        <v>0</v>
      </c>
      <c r="S96" s="1355" t="e">
        <f>IF(ABS(Q96)&lt;=0.5,0,IF(M96&gt;O96,(M96*0.995)-O96,(M96*1.005)-O96))</f>
        <v>#DIV/0!</v>
      </c>
      <c r="T96" s="140">
        <f>SUMIF($A$6:$A$56,$A96,T$6:T$56)</f>
        <v>0</v>
      </c>
      <c r="U96" s="140">
        <f t="shared" si="112"/>
        <v>0</v>
      </c>
      <c r="V96" s="140">
        <f t="shared" si="112"/>
        <v>0</v>
      </c>
      <c r="W96" s="136" t="e">
        <f>((T96-M96)/M96)*100</f>
        <v>#DIV/0!</v>
      </c>
      <c r="X96" s="148">
        <f>T96-O96</f>
        <v>0</v>
      </c>
      <c r="Y96" s="136"/>
      <c r="Z96" s="140">
        <f>SUMIF($A$6:$A$56,$A96,Z$6:Z$56)</f>
        <v>2372611</v>
      </c>
      <c r="AA96" s="136" t="e">
        <f>((Z96-T96)/T96)*100</f>
        <v>#DIV/0!</v>
      </c>
      <c r="AB96" s="148">
        <f>Z96-T96</f>
        <v>2372611</v>
      </c>
      <c r="AC96" s="136"/>
      <c r="AD96" s="148">
        <f t="shared" si="113"/>
        <v>0</v>
      </c>
      <c r="AE96" s="132"/>
    </row>
    <row r="97" spans="1:31">
      <c r="A97" s="124" t="s">
        <v>571</v>
      </c>
      <c r="C97" s="140">
        <f>SUMIF($A$6:$A$56,$A97,C$6:C$56)</f>
        <v>26655601.359999999</v>
      </c>
      <c r="D97" s="140"/>
      <c r="E97" s="140">
        <f t="shared" si="111"/>
        <v>-889447.32000000018</v>
      </c>
      <c r="F97" s="140"/>
      <c r="G97" s="140">
        <f t="shared" si="111"/>
        <v>12153.69296</v>
      </c>
      <c r="H97" s="140"/>
      <c r="I97" s="140">
        <f t="shared" si="111"/>
        <v>-7596.0581000000002</v>
      </c>
      <c r="J97" s="140"/>
      <c r="K97" s="140">
        <f>SUMIF($A$6:$A$56,$A97,K$6:K$56)</f>
        <v>0</v>
      </c>
      <c r="L97" s="140"/>
      <c r="M97" s="140">
        <f>SUMIF($A$6:$A$56,$A97,M$6:M$56)</f>
        <v>25770711.674860001</v>
      </c>
      <c r="N97" s="140"/>
      <c r="O97" s="140">
        <f>SUMIF($A$6:$A$56,$A97,O$6:O$56)</f>
        <v>25768743.896000002</v>
      </c>
      <c r="P97" s="140"/>
      <c r="Q97" s="1350">
        <f>ROUND(O97/M97*100,3)-100</f>
        <v>-7.9999999999955662E-3</v>
      </c>
      <c r="R97" s="148">
        <f>O97-M97</f>
        <v>-1967.7788599990308</v>
      </c>
      <c r="S97" s="1355">
        <f>IF(ABS(Q97)&lt;=0.5,0,IF(M97&gt;O97,(M97*0.995)-O97,(M97*1.005)-O97))</f>
        <v>0</v>
      </c>
      <c r="T97" s="140">
        <f>SUMIF($A$6:$A$56,$A97,T$6:T$56)</f>
        <v>26470758</v>
      </c>
      <c r="U97" s="140">
        <f t="shared" si="112"/>
        <v>26470758.619333301</v>
      </c>
      <c r="V97" s="140">
        <f t="shared" si="112"/>
        <v>-0.61933330073952675</v>
      </c>
      <c r="W97" s="136">
        <f>((T97-M97)/M97)*100</f>
        <v>2.7164415712388448</v>
      </c>
      <c r="X97" s="148">
        <f>T97-O97</f>
        <v>702014.10399999842</v>
      </c>
      <c r="Y97" s="136"/>
      <c r="Z97" s="140">
        <f>SUMIF($A$6:$A$56,$A97,Z$6:Z$56)</f>
        <v>29509698</v>
      </c>
      <c r="AA97" s="136">
        <f>((Z97-T97)/T97)*100</f>
        <v>11.480366372583664</v>
      </c>
      <c r="AB97" s="148">
        <f>Z97-T97</f>
        <v>3038940</v>
      </c>
      <c r="AC97" s="136"/>
      <c r="AD97" s="148">
        <f t="shared" si="113"/>
        <v>700046.32513999939</v>
      </c>
      <c r="AE97" s="132"/>
    </row>
    <row r="98" spans="1:31">
      <c r="A98" s="124" t="s">
        <v>283</v>
      </c>
      <c r="C98" s="140">
        <f>SUM(C95:C97)</f>
        <v>55560322.030000001</v>
      </c>
      <c r="D98" s="140"/>
      <c r="E98" s="140">
        <f t="shared" ref="E98" si="114">SUM(E95:E97)</f>
        <v>-1691571.9614000004</v>
      </c>
      <c r="F98" s="140"/>
      <c r="G98" s="140">
        <f t="shared" ref="G98" si="115">SUM(G95:G97)</f>
        <v>25718.624051718416</v>
      </c>
      <c r="H98" s="140"/>
      <c r="I98" s="140">
        <f t="shared" ref="I98" si="116">SUM(I95:I97)</f>
        <v>-16074.14003232401</v>
      </c>
      <c r="J98" s="140"/>
      <c r="K98" s="140">
        <f>SUM(K95:K97)</f>
        <v>166136.68900000001</v>
      </c>
      <c r="L98" s="140"/>
      <c r="M98" s="140">
        <f>SUM(M95:M97)</f>
        <v>54044531.241619393</v>
      </c>
      <c r="N98" s="140"/>
      <c r="O98" s="140">
        <f>SUM(O95:O97)</f>
        <v>54036325.187634796</v>
      </c>
      <c r="P98" s="140"/>
      <c r="Q98" s="1350">
        <f>ROUND(O98/M98*100,3)-100</f>
        <v>-1.5000000000000568E-2</v>
      </c>
      <c r="R98" s="148">
        <f>O98-M98</f>
        <v>-8206.0539845973253</v>
      </c>
      <c r="S98" s="1355">
        <f>IF(ABS(Q98)&lt;=0.5,0,IF(M98&gt;O98,(M98*0.995)-O98,(M98*1.005)-O98))</f>
        <v>0</v>
      </c>
      <c r="T98" s="140">
        <f>SUM(T95:T97)</f>
        <v>55474684.009999998</v>
      </c>
      <c r="U98" s="140">
        <f t="shared" ref="U98:V98" si="117">SUM(U95:U97)</f>
        <v>55477882.708486974</v>
      </c>
      <c r="V98" s="140">
        <f t="shared" si="117"/>
        <v>-0.6749554498019279</v>
      </c>
      <c r="W98" s="136">
        <f>((T98-M98)/M98)*100</f>
        <v>2.6462488165301208</v>
      </c>
      <c r="X98" s="148">
        <f>T98-O98</f>
        <v>1438358.822365202</v>
      </c>
      <c r="Y98" s="136"/>
      <c r="Z98" s="140">
        <f>SUM(Z95:Z97)</f>
        <v>39354478</v>
      </c>
      <c r="AA98" s="136">
        <f>((Z98-T98)/T98)*100</f>
        <v>-29.058671171690008</v>
      </c>
      <c r="AB98" s="148">
        <f>Z98-T98</f>
        <v>-16120206.009999998</v>
      </c>
      <c r="AC98" s="136"/>
      <c r="AD98" s="148">
        <f>SUM(AD95:AD97)</f>
        <v>1596289.457380601</v>
      </c>
      <c r="AE98" s="132"/>
    </row>
    <row r="99" spans="1:31"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350"/>
      <c r="R99" s="148"/>
      <c r="S99" s="1355"/>
      <c r="T99" s="144"/>
      <c r="U99" s="144"/>
      <c r="V99" s="144"/>
      <c r="W99" s="136"/>
      <c r="X99" s="136"/>
      <c r="Y99" s="136"/>
      <c r="Z99" s="144"/>
      <c r="AA99" s="136"/>
      <c r="AB99" s="136"/>
      <c r="AC99" s="136"/>
      <c r="AD99" s="136"/>
      <c r="AE99" s="132"/>
    </row>
    <row r="100" spans="1:31">
      <c r="A100" s="124" t="s">
        <v>960</v>
      </c>
      <c r="C100" s="140">
        <f>SUMIF($A$6:$A$56,$A100,C$6:C$56)</f>
        <v>760182.18</v>
      </c>
      <c r="D100" s="140"/>
      <c r="E100" s="140">
        <f t="shared" ref="E100:I100" si="118">SUMIF($A$6:$A$56,$A100,E$6:E$56)</f>
        <v>-9964.7129600000007</v>
      </c>
      <c r="F100" s="140"/>
      <c r="G100" s="140">
        <f t="shared" si="118"/>
        <v>410.1164257313385</v>
      </c>
      <c r="H100" s="140"/>
      <c r="I100" s="140">
        <f t="shared" si="118"/>
        <v>-252.37933891159298</v>
      </c>
      <c r="J100" s="140"/>
      <c r="K100" s="140">
        <f>SUMIF($A$6:$A$56,$A100,K$6:K$56)</f>
        <v>-1286.1641208423353</v>
      </c>
      <c r="L100" s="140"/>
      <c r="M100" s="140">
        <f>SUMIF($A$6:$A$56,$A100,M$6:M$56)</f>
        <v>749089.04000597738</v>
      </c>
      <c r="N100" s="140"/>
      <c r="O100" s="140">
        <f>SUMIF($A$6:$A$56,$A100,O$6:O$56)</f>
        <v>749056.05630731431</v>
      </c>
      <c r="P100" s="140"/>
      <c r="Q100" s="1350">
        <f>ROUND(O100/M100*100,3)-100</f>
        <v>-4.0000000000048885E-3</v>
      </c>
      <c r="R100" s="148">
        <f>O100-M100</f>
        <v>-32.983698663068935</v>
      </c>
      <c r="S100" s="1355">
        <f>IF(ABS(Q100)&lt;=0.5,0,IF(M100&gt;O100,(M100*0.995)-O100,(M100*1.005)-O100))</f>
        <v>0</v>
      </c>
      <c r="T100" s="140">
        <f>SUMIF($A$6:$A$56,$A100,T$6:T$56)</f>
        <v>757020</v>
      </c>
      <c r="U100" s="140">
        <f t="shared" ref="U100:V100" si="119">SUMIF($A$6:$A$56,$A100,U$6:U$56)</f>
        <v>757022.17445113871</v>
      </c>
      <c r="V100" s="140">
        <f t="shared" si="119"/>
        <v>-2.1744511387078092</v>
      </c>
      <c r="W100" s="136">
        <f>((T100-M100)/M100)*100</f>
        <v>1.0587473011164779</v>
      </c>
      <c r="X100" s="148">
        <f>T100-O100</f>
        <v>7963.943692685687</v>
      </c>
      <c r="Y100" s="136"/>
      <c r="Z100" s="140">
        <f>SUMIF($A$6:$A$56,$A100,Z$6:Z$56)</f>
        <v>516157</v>
      </c>
      <c r="AA100" s="136">
        <f>((Z100-T100)/T100)*100</f>
        <v>-31.817257139837785</v>
      </c>
      <c r="AB100" s="148">
        <f>Z100-T100</f>
        <v>-240863</v>
      </c>
      <c r="AC100" s="136"/>
      <c r="AD100" s="148">
        <f>K100+R100+X100</f>
        <v>6644.7958731802828</v>
      </c>
      <c r="AE100" s="132"/>
    </row>
    <row r="101" spans="1:31"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350"/>
      <c r="R101" s="148"/>
      <c r="S101" s="1355"/>
      <c r="T101" s="144"/>
      <c r="U101" s="144"/>
      <c r="V101" s="144"/>
      <c r="W101" s="136"/>
      <c r="X101" s="136"/>
      <c r="Y101" s="136"/>
      <c r="Z101" s="144"/>
      <c r="AA101" s="136"/>
      <c r="AB101" s="136"/>
      <c r="AC101" s="136"/>
      <c r="AD101" s="136"/>
      <c r="AE101" s="132"/>
    </row>
    <row r="102" spans="1:31">
      <c r="A102" s="124" t="s">
        <v>61</v>
      </c>
      <c r="C102" s="140">
        <f>SUMIF($A$6:$A$56,$A102,C$6:C$56)</f>
        <v>34679.26</v>
      </c>
      <c r="D102" s="140"/>
      <c r="E102" s="140">
        <f t="shared" ref="E102:I102" si="120">SUMIF($A$6:$A$56,$A102,E$6:E$56)</f>
        <v>-518.14656000000014</v>
      </c>
      <c r="F102" s="140"/>
      <c r="G102" s="140">
        <f t="shared" si="120"/>
        <v>18.586780471486026</v>
      </c>
      <c r="H102" s="140"/>
      <c r="I102" s="140">
        <f t="shared" si="120"/>
        <v>-11.565107848924637</v>
      </c>
      <c r="J102" s="140"/>
      <c r="K102" s="140">
        <f>SUMIF($A$6:$A$56,$A102,K$6:K$56)</f>
        <v>1385.0392689593118</v>
      </c>
      <c r="L102" s="140"/>
      <c r="M102" s="140">
        <f>SUMIF($A$6:$A$56,$A102,M$6:M$56)</f>
        <v>35553.174381581877</v>
      </c>
      <c r="N102" s="140"/>
      <c r="O102" s="140">
        <f>SUMIF($A$6:$A$56,$A102,O$6:O$56)</f>
        <v>35557.483263352602</v>
      </c>
      <c r="P102" s="140"/>
      <c r="Q102" s="1350">
        <f>ROUND(O102/M102*100,3)-100</f>
        <v>1.2000000000000455E-2</v>
      </c>
      <c r="R102" s="148">
        <f>O102-M102</f>
        <v>4.3088817707248381</v>
      </c>
      <c r="S102" s="1355">
        <f>IF(ABS(Q102)&lt;=0.5,0,IF(M102&gt;O102,(M102*0.995)-O102,(M102*1.005)-O102))</f>
        <v>0</v>
      </c>
      <c r="T102" s="140">
        <f>SUMIF($A$6:$A$56,$A102,T$6:T$56)</f>
        <v>35934.726609179299</v>
      </c>
      <c r="U102" s="140">
        <f t="shared" ref="U102:V102" si="121">SUMIF($A$6:$A$56,$A102,U$6:U$56)</f>
        <v>35934.972194048503</v>
      </c>
      <c r="V102" s="140">
        <f t="shared" si="121"/>
        <v>-0.24558486920432188</v>
      </c>
      <c r="W102" s="136">
        <f>((T102-M102)/M102)*100</f>
        <v>1.0731875120413517</v>
      </c>
      <c r="X102" s="148">
        <f>T102-O102</f>
        <v>377.2433458266969</v>
      </c>
      <c r="Y102" s="136"/>
      <c r="Z102" s="140">
        <f>SUMIF($A$6:$A$56,$A102,Z$6:Z$56)</f>
        <v>59948.32</v>
      </c>
      <c r="AA102" s="136">
        <f>((Z102-T102)/T102)*100</f>
        <v>66.825590888693668</v>
      </c>
      <c r="AB102" s="148">
        <f>Z102-T102</f>
        <v>24013.593390820701</v>
      </c>
      <c r="AC102" s="136"/>
      <c r="AD102" s="148">
        <f>K102+R102+X102</f>
        <v>1766.5914965567335</v>
      </c>
      <c r="AE102" s="132"/>
    </row>
    <row r="103" spans="1:31"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350"/>
      <c r="R103" s="148"/>
      <c r="S103" s="1355"/>
      <c r="T103" s="144"/>
      <c r="U103" s="144"/>
      <c r="V103" s="144"/>
      <c r="W103" s="136"/>
      <c r="X103" s="136"/>
      <c r="Y103" s="136"/>
      <c r="Z103" s="144"/>
      <c r="AA103" s="136"/>
      <c r="AB103" s="136"/>
      <c r="AC103" s="136"/>
      <c r="AD103" s="136"/>
      <c r="AE103" s="132"/>
    </row>
    <row r="104" spans="1:31">
      <c r="A104" s="124" t="s">
        <v>62</v>
      </c>
      <c r="C104" s="140">
        <f>SUMIF($A$6:$A$56,$A104,C$6:C$56)</f>
        <v>247377.26</v>
      </c>
      <c r="D104" s="140"/>
      <c r="E104" s="140">
        <f t="shared" ref="E104:I105" si="122">SUMIF($A$6:$A$56,$A104,E$6:E$56)</f>
        <v>-8825.4694400000008</v>
      </c>
      <c r="F104" s="140"/>
      <c r="G104" s="140">
        <f t="shared" si="122"/>
        <v>138.21705968016369</v>
      </c>
      <c r="H104" s="140"/>
      <c r="I104" s="140">
        <f t="shared" si="122"/>
        <v>-92.144706453442438</v>
      </c>
      <c r="J104" s="140"/>
      <c r="K104" s="140">
        <f>SUMIF($A$6:$A$56,$A104,K$6:K$56)</f>
        <v>162.69729933110381</v>
      </c>
      <c r="L104" s="140"/>
      <c r="M104" s="140">
        <f>SUMIF($A$6:$A$56,$A104,M$6:M$56)</f>
        <v>238760.56021255784</v>
      </c>
      <c r="N104" s="140"/>
      <c r="O104" s="140">
        <f>SUMIF($A$6:$A$56,$A104,O$6:O$56)</f>
        <v>238492.01615346261</v>
      </c>
      <c r="P104" s="140"/>
      <c r="Q104" s="1350">
        <f>ROUND(O104/M104*100,3)-100</f>
        <v>-0.11199999999999477</v>
      </c>
      <c r="R104" s="148">
        <f>O104-M104</f>
        <v>-268.54405909523484</v>
      </c>
      <c r="S104" s="1355">
        <f>IF(ABS(Q104)&lt;=0.5,0,IF(M104&gt;O104,(M104*0.995)-O104,(M104*1.005)-O104))</f>
        <v>0</v>
      </c>
      <c r="T104" s="140">
        <f>SUMIF($A$6:$A$56,$A104,T$6:T$56)</f>
        <v>240994.26960406106</v>
      </c>
      <c r="U104" s="140">
        <f t="shared" ref="U104:V105" si="123">SUMIF($A$6:$A$56,$A104,U$6:U$56)</f>
        <v>241030.07695712513</v>
      </c>
      <c r="V104" s="140">
        <f t="shared" si="123"/>
        <v>-35.807353064068593</v>
      </c>
      <c r="W104" s="136">
        <f>((T104-M104)/M104)*100</f>
        <v>0.93554370517251462</v>
      </c>
      <c r="X104" s="148">
        <f>T104-O104</f>
        <v>2502.2534505984513</v>
      </c>
      <c r="Y104" s="136"/>
      <c r="Z104" s="140">
        <f>SUMIF($A$6:$A$56,$A104,Z$6:Z$56)</f>
        <v>213189.22</v>
      </c>
      <c r="AA104" s="136">
        <f>((Z104-T104)/T104)*100</f>
        <v>-11.53763931803983</v>
      </c>
      <c r="AB104" s="148">
        <f>Z104-T104</f>
        <v>-27805.04960406106</v>
      </c>
      <c r="AC104" s="136"/>
      <c r="AD104" s="148">
        <f t="shared" ref="AD104:AD105" si="124">K104+R104+X104</f>
        <v>2396.4066908343202</v>
      </c>
      <c r="AE104" s="132"/>
    </row>
    <row r="105" spans="1:31">
      <c r="A105" s="124" t="s">
        <v>63</v>
      </c>
      <c r="C105" s="140">
        <f>SUMIF($A$6:$A$56,$A105,C$6:C$56)</f>
        <v>81786.179999999993</v>
      </c>
      <c r="D105" s="140"/>
      <c r="E105" s="140">
        <f t="shared" si="122"/>
        <v>-2947.5456000000004</v>
      </c>
      <c r="F105" s="140"/>
      <c r="G105" s="140">
        <f t="shared" si="122"/>
        <v>46.161973464972284</v>
      </c>
      <c r="H105" s="140"/>
      <c r="I105" s="140">
        <f t="shared" si="122"/>
        <v>-30.774648976648191</v>
      </c>
      <c r="J105" s="140"/>
      <c r="K105" s="140">
        <f>SUMIF($A$6:$A$56,$A105,K$6:K$56)</f>
        <v>-12.25902</v>
      </c>
      <c r="L105" s="140"/>
      <c r="M105" s="140">
        <f>SUMIF($A$6:$A$56,$A105,M$6:M$56)</f>
        <v>78841.762704488327</v>
      </c>
      <c r="N105" s="140"/>
      <c r="O105" s="140">
        <f>SUMIF($A$6:$A$56,$A105,O$6:O$56)</f>
        <v>78841.940910000107</v>
      </c>
      <c r="P105" s="140"/>
      <c r="Q105" s="1350">
        <f>ROUND(O105/M105*100,3)-100</f>
        <v>0</v>
      </c>
      <c r="R105" s="148">
        <f>O105-M105</f>
        <v>0.17820551178010646</v>
      </c>
      <c r="S105" s="1355">
        <f>IF(ABS(Q105)&lt;=0.5,0,IF(M105&gt;O105,(M105*0.995)-O105,(M105*1.005)-O105))</f>
        <v>0</v>
      </c>
      <c r="T105" s="140">
        <f>SUMIF($A$6:$A$56,$A105,T$6:T$56)</f>
        <v>79733</v>
      </c>
      <c r="U105" s="140">
        <f t="shared" si="123"/>
        <v>79732.666079999894</v>
      </c>
      <c r="V105" s="140">
        <f t="shared" si="123"/>
        <v>0.33392000010644551</v>
      </c>
      <c r="W105" s="136">
        <f>((T105-M105)/M105)*100</f>
        <v>1.1304126961901841</v>
      </c>
      <c r="X105" s="148">
        <f>T105-O105</f>
        <v>891.05908999989333</v>
      </c>
      <c r="Y105" s="136"/>
      <c r="Z105" s="140">
        <f>SUMIF($A$6:$A$56,$A105,Z$6:Z$56)</f>
        <v>62311</v>
      </c>
      <c r="AA105" s="136">
        <f>((Z105-T105)/T105)*100</f>
        <v>-21.850425796094466</v>
      </c>
      <c r="AB105" s="148">
        <f>Z105-T105</f>
        <v>-17422</v>
      </c>
      <c r="AC105" s="136"/>
      <c r="AD105" s="148">
        <f t="shared" si="124"/>
        <v>878.97827551167347</v>
      </c>
      <c r="AE105" s="132"/>
    </row>
    <row r="106" spans="1:31">
      <c r="A106" s="124" t="s">
        <v>284</v>
      </c>
      <c r="C106" s="140">
        <f>SUM(C104:C105)</f>
        <v>329163.44</v>
      </c>
      <c r="D106" s="140"/>
      <c r="E106" s="140">
        <f t="shared" ref="E106" si="125">SUM(E104:E105)</f>
        <v>-11773.015040000002</v>
      </c>
      <c r="F106" s="140"/>
      <c r="G106" s="140">
        <f t="shared" ref="G106" si="126">SUM(G104:G105)</f>
        <v>184.37903314513596</v>
      </c>
      <c r="H106" s="140"/>
      <c r="I106" s="140">
        <f t="shared" ref="I106" si="127">SUM(I104:I105)</f>
        <v>-122.91935543009063</v>
      </c>
      <c r="J106" s="140"/>
      <c r="K106" s="140">
        <f>SUM(K104:K105)</f>
        <v>150.43827933110381</v>
      </c>
      <c r="L106" s="140"/>
      <c r="M106" s="140">
        <f>SUM(M104:M105)</f>
        <v>317602.32291704614</v>
      </c>
      <c r="N106" s="140"/>
      <c r="O106" s="140">
        <f>SUM(O104:O105)</f>
        <v>317333.9570634627</v>
      </c>
      <c r="P106" s="140"/>
      <c r="Q106" s="1350">
        <f>ROUND(O106/M106*100,3)-100</f>
        <v>-8.4000000000003183E-2</v>
      </c>
      <c r="R106" s="148">
        <f>O106-M106</f>
        <v>-268.36585358344018</v>
      </c>
      <c r="S106" s="1355">
        <f>IF(ABS(Q106)&lt;=0.5,0,IF(M106&gt;O106,(M106*0.995)-O106,(M106*1.005)-O106))</f>
        <v>0</v>
      </c>
      <c r="T106" s="140">
        <f>SUM(T104:T105)</f>
        <v>320727.26960406103</v>
      </c>
      <c r="U106" s="140">
        <f t="shared" ref="U106:V106" si="128">SUM(U104:U105)</f>
        <v>320762.74303712504</v>
      </c>
      <c r="V106" s="140">
        <f t="shared" si="128"/>
        <v>-35.473433063962148</v>
      </c>
      <c r="W106" s="136">
        <f>((T106-M106)/M106)*100</f>
        <v>0.98391808293892358</v>
      </c>
      <c r="X106" s="148">
        <f>T106-O106</f>
        <v>3393.3125405983301</v>
      </c>
      <c r="Y106" s="136"/>
      <c r="Z106" s="140">
        <f>SUM(Z104:Z105)</f>
        <v>275500.21999999997</v>
      </c>
      <c r="AA106" s="136">
        <f>((Z106-T106)/T106)*100</f>
        <v>-14.101404492325836</v>
      </c>
      <c r="AB106" s="148">
        <f>Z106-T106</f>
        <v>-45227.04960406106</v>
      </c>
      <c r="AC106" s="136"/>
      <c r="AD106" s="148">
        <f>SUM(AD104:AD105)</f>
        <v>3275.3849663459937</v>
      </c>
      <c r="AE106" s="132"/>
    </row>
    <row r="107" spans="1:31">
      <c r="D107" s="144"/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350"/>
      <c r="R107" s="148"/>
      <c r="S107" s="1355"/>
      <c r="T107" s="144"/>
      <c r="U107" s="144"/>
      <c r="V107" s="144"/>
      <c r="W107" s="136"/>
      <c r="X107" s="136"/>
      <c r="Y107" s="136"/>
      <c r="Z107" s="144"/>
      <c r="AA107" s="136"/>
      <c r="AB107" s="136"/>
      <c r="AC107" s="136"/>
      <c r="AD107" s="136"/>
      <c r="AE107" s="132"/>
    </row>
    <row r="108" spans="1:31">
      <c r="A108" s="124" t="s">
        <v>56</v>
      </c>
      <c r="C108" s="140">
        <f>SUMIF($A$6:$A$56,$A108,C$6:C$56)</f>
        <v>24562.3</v>
      </c>
      <c r="D108" s="140"/>
      <c r="E108" s="140">
        <f t="shared" ref="E108:I108" si="129">SUMIF($A$6:$A$56,$A108,E$6:E$56)</f>
        <v>-792.86508000000003</v>
      </c>
      <c r="F108" s="140"/>
      <c r="G108" s="140">
        <f t="shared" si="129"/>
        <v>9.34650404597161</v>
      </c>
      <c r="H108" s="140"/>
      <c r="I108" s="140">
        <f t="shared" si="129"/>
        <v>-5.9477753019819337</v>
      </c>
      <c r="J108" s="140"/>
      <c r="K108" s="140">
        <f>SUMIF($A$6:$A$56,$A108,K$6:K$56)</f>
        <v>-147.31141</v>
      </c>
      <c r="L108" s="140"/>
      <c r="M108" s="140">
        <f>SUMIF($A$6:$A$56,$A108,M$6:M$56)</f>
        <v>23625.52223874399</v>
      </c>
      <c r="N108" s="140"/>
      <c r="O108" s="140">
        <f>SUMIF($A$6:$A$56,$A108,O$6:O$56)</f>
        <v>23627.42081</v>
      </c>
      <c r="P108" s="140"/>
      <c r="Q108" s="1350">
        <f>ROUND(O108/M108*100,3)-100</f>
        <v>7.9999999999955662E-3</v>
      </c>
      <c r="R108" s="148">
        <f>O108-M108</f>
        <v>1.8985712560097454</v>
      </c>
      <c r="S108" s="1355">
        <f>IF(ABS(Q108)&lt;=0.5,0,IF(M108&gt;O108,(M108*0.995)-O108,(M108*1.005)-O108))</f>
        <v>0</v>
      </c>
      <c r="T108" s="140">
        <f>SUMIF($A$6:$A$56,$A108,T$6:T$56)</f>
        <v>23919</v>
      </c>
      <c r="U108" s="140">
        <f t="shared" ref="U108:V108" si="130">SUMIF($A$6:$A$56,$A108,U$6:U$56)</f>
        <v>23918.33221</v>
      </c>
      <c r="V108" s="140">
        <f t="shared" si="130"/>
        <v>0.66778999999951338</v>
      </c>
      <c r="W108" s="136">
        <f>((T108-M108)/M108)*100</f>
        <v>1.2422064506778596</v>
      </c>
      <c r="X108" s="148">
        <f>T108-O108</f>
        <v>291.57919000000038</v>
      </c>
      <c r="Y108" s="136"/>
      <c r="Z108" s="140">
        <f>SUMIF($A$6:$A$56,$A108,Z$6:Z$56)</f>
        <v>18590</v>
      </c>
      <c r="AA108" s="136">
        <f>((Z108-T108)/T108)*100</f>
        <v>-22.279359504996027</v>
      </c>
      <c r="AB108" s="148">
        <f>Z108-T108</f>
        <v>-5329</v>
      </c>
      <c r="AC108" s="136"/>
      <c r="AD108" s="148">
        <f>K108+R108+X108</f>
        <v>146.16635125601013</v>
      </c>
      <c r="AE108" s="132"/>
    </row>
    <row r="109" spans="1:31"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350"/>
      <c r="R109" s="148"/>
      <c r="S109" s="1355"/>
      <c r="T109" s="144"/>
      <c r="U109" s="144"/>
      <c r="V109" s="144"/>
      <c r="W109" s="136"/>
      <c r="X109" s="136"/>
      <c r="Y109" s="136"/>
      <c r="Z109" s="144"/>
      <c r="AA109" s="136"/>
      <c r="AB109" s="136"/>
      <c r="AC109" s="136"/>
      <c r="AD109" s="136"/>
      <c r="AE109" s="132"/>
    </row>
    <row r="110" spans="1:31">
      <c r="A110" s="124" t="s">
        <v>65</v>
      </c>
      <c r="C110" s="140">
        <f>SUMIF($A$6:$A$56,$A110,C$6:C$56)</f>
        <v>218370.52</v>
      </c>
      <c r="D110" s="140"/>
      <c r="E110" s="140">
        <f t="shared" ref="E110:I110" si="131">SUMIF($A$6:$A$56,$A110,E$6:E$56)</f>
        <v>-4437.4476800000002</v>
      </c>
      <c r="F110" s="140"/>
      <c r="G110" s="140">
        <f t="shared" si="131"/>
        <v>114.03921213706454</v>
      </c>
      <c r="H110" s="140"/>
      <c r="I110" s="140">
        <f t="shared" si="131"/>
        <v>-71.274507585665333</v>
      </c>
      <c r="J110" s="140"/>
      <c r="K110" s="140">
        <f>SUMIF($A$6:$A$56,$A110,K$6:K$56)</f>
        <v>0.56000000000000227</v>
      </c>
      <c r="L110" s="140"/>
      <c r="M110" s="140">
        <f>SUMIF($A$6:$A$56,$A110,M$6:M$56)</f>
        <v>213976.39702455138</v>
      </c>
      <c r="N110" s="140"/>
      <c r="O110" s="140">
        <f>SUMIF($A$6:$A$56,$A110,O$6:O$56)</f>
        <v>214032.33322466334</v>
      </c>
      <c r="P110" s="140"/>
      <c r="Q110" s="1350">
        <f>ROUND(O110/M110*100,3)-100</f>
        <v>2.5999999999996248E-2</v>
      </c>
      <c r="R110" s="148">
        <f>O110-M110</f>
        <v>55.936200111958897</v>
      </c>
      <c r="S110" s="1355">
        <f>IF(ABS(Q110)&lt;=0.5,0,IF(M110&gt;O110,(M110*0.995)-O110,(M110*1.005)-O110))</f>
        <v>0</v>
      </c>
      <c r="T110" s="140">
        <f>SUMIF($A$6:$A$56,$A110,T$6:T$56)</f>
        <v>216286</v>
      </c>
      <c r="U110" s="140">
        <f t="shared" ref="U110:V110" si="132">SUMIF($A$6:$A$56,$A110,U$6:U$56)</f>
        <v>216284.96645389151</v>
      </c>
      <c r="V110" s="140">
        <f t="shared" si="132"/>
        <v>1.0335461084905546</v>
      </c>
      <c r="W110" s="136">
        <f>((T110-M110)/M110)*100</f>
        <v>1.0793727754858971</v>
      </c>
      <c r="X110" s="148">
        <f>T110-O110</f>
        <v>2253.6667753366637</v>
      </c>
      <c r="Y110" s="136"/>
      <c r="Z110" s="140">
        <f>SUMIF($A$6:$A$56,$A110,Z$6:Z$56)</f>
        <v>233013</v>
      </c>
      <c r="AA110" s="136">
        <f>((Z110-T110)/T110)*100</f>
        <v>7.7337414349518703</v>
      </c>
      <c r="AB110" s="148">
        <f>Z110-T110</f>
        <v>16727</v>
      </c>
      <c r="AC110" s="136"/>
      <c r="AD110" s="148">
        <f>K110+R110+X110</f>
        <v>2310.1629754486225</v>
      </c>
      <c r="AE110" s="132"/>
    </row>
    <row r="111" spans="1:31">
      <c r="D111" s="144"/>
      <c r="E111" s="144"/>
      <c r="F111" s="144"/>
      <c r="G111" s="144"/>
      <c r="H111" s="144"/>
      <c r="I111" s="144"/>
      <c r="J111" s="128"/>
      <c r="K111" s="128"/>
      <c r="L111" s="128"/>
      <c r="M111" s="128"/>
      <c r="N111" s="128"/>
      <c r="O111" s="128"/>
      <c r="P111" s="128"/>
      <c r="Q111" s="1350"/>
      <c r="R111" s="148"/>
      <c r="S111" s="1355"/>
      <c r="T111" s="128"/>
      <c r="U111" s="128"/>
      <c r="V111" s="128"/>
      <c r="W111" s="136"/>
      <c r="X111" s="136"/>
      <c r="Y111" s="136"/>
      <c r="Z111" s="128"/>
      <c r="AA111" s="136"/>
      <c r="AB111" s="136"/>
      <c r="AC111" s="136"/>
      <c r="AD111" s="136"/>
      <c r="AE111" s="132"/>
    </row>
    <row r="112" spans="1:31">
      <c r="A112" s="124" t="s">
        <v>275</v>
      </c>
      <c r="C112" s="140">
        <f>C110+C108+C106+C102+C100+C98+C93+C91+C86+C82+C75+C71+C69+C65</f>
        <v>333943867.16999996</v>
      </c>
      <c r="D112" s="140"/>
      <c r="E112" s="140">
        <f t="shared" ref="E112" si="133">E110+E108+E106+E102+E100+E98+E93+E91+E86+E82+E75+E71+E69+E65</f>
        <v>-10285806.797020001</v>
      </c>
      <c r="F112" s="140"/>
      <c r="G112" s="140">
        <f t="shared" ref="G112:I112" si="134">G110+G108+G106+G102+G100+G98+G93+G91+G86+G82+G75+G71+G69+G65</f>
        <v>159574.46700718204</v>
      </c>
      <c r="H112" s="140"/>
      <c r="I112" s="140">
        <f t="shared" si="134"/>
        <v>-96097.160827014057</v>
      </c>
      <c r="J112" s="140"/>
      <c r="K112" s="140">
        <f>K110+K108+K106+K102+K100+K98+K93+K91+K86+K82+K75+K71+K69+K65</f>
        <v>758801.6454554979</v>
      </c>
      <c r="L112" s="140"/>
      <c r="M112" s="140">
        <f>M110+M108+M106+M102+M100+M98+M93+M91+M86+M82+M75+M71+M69+M65</f>
        <v>324480339.32461566</v>
      </c>
      <c r="N112" s="140"/>
      <c r="O112" s="140">
        <f>O110+O108+O106+O102+O100+O98+O93+O91+O86+O82+O75+O71+O69+O65</f>
        <v>324472490.2935434</v>
      </c>
      <c r="P112" s="140"/>
      <c r="Q112" s="1350">
        <f>ROUND(O112/M112*100,3)-100</f>
        <v>-1.9999999999953388E-3</v>
      </c>
      <c r="R112" s="140">
        <f>R110+R108+R106+R102+R100+R98+R93+R91+R86+R82+R75+R71+R69+R65</f>
        <v>-7849.0310722993745</v>
      </c>
      <c r="S112" s="1355">
        <f>IF(ABS(Q112)&lt;=0.5,0,IF(M112&gt;O112,(M112*0.995)-O112,(M112*1.005)-O112))</f>
        <v>0</v>
      </c>
      <c r="T112" s="140">
        <f>T110+T108+T106+T102+T100+T98+T93+T91+T86+T82+T75+T71+T69+T65</f>
        <v>332584986.76906413</v>
      </c>
      <c r="U112" s="140">
        <f t="shared" ref="U112:V112" si="135">U110+U108+U106+U102+U100+U98+U93+U91+U86+U82+U75+U71+U69+U65</f>
        <v>332408050.68881744</v>
      </c>
      <c r="V112" s="140">
        <f t="shared" si="135"/>
        <v>-196.94858859496162</v>
      </c>
      <c r="W112" s="136">
        <f>((T112-M112)/M112)*100</f>
        <v>2.4977314376944251</v>
      </c>
      <c r="X112" s="140">
        <f>X110+X108+X106+X102+X100+X98+X93+X91+X86+X82+X75+X71+X69+X65</f>
        <v>8112496.4755207784</v>
      </c>
      <c r="Y112" s="136"/>
      <c r="Z112" s="140" t="e">
        <f>Z110+Z108+Z106+Z102+Z100+Z98+Z93+Z91+Z86+Z85+Z82+Z75+Z69+Z65</f>
        <v>#REF!</v>
      </c>
      <c r="AA112" s="136" t="e">
        <f>((Z112-T112)/T112)*100</f>
        <v>#REF!</v>
      </c>
      <c r="AB112" s="140" t="e">
        <f>AB110+AB108+AB106+AB102+AB100+AB98+AB93+AB91+AB86+AB85+AB82+AB75+AB69+AB65</f>
        <v>#REF!</v>
      </c>
      <c r="AC112" s="136"/>
      <c r="AD112" s="140">
        <f>AD110+AD108+AD106+AD102+AD100+AD98+AD93+AD91+AD86+AD82+AD75+AD71+AD69+AD65</f>
        <v>8863449.0899039693</v>
      </c>
      <c r="AE112" s="132"/>
    </row>
    <row r="113" spans="3:30">
      <c r="C113" s="140">
        <f>C112-C58</f>
        <v>0</v>
      </c>
      <c r="D113" s="140">
        <f t="shared" ref="D113:AD113" si="136">D112-D58</f>
        <v>0</v>
      </c>
      <c r="E113" s="140">
        <f t="shared" si="136"/>
        <v>0</v>
      </c>
      <c r="F113" s="140">
        <f t="shared" si="136"/>
        <v>0</v>
      </c>
      <c r="G113" s="140">
        <f t="shared" si="136"/>
        <v>0</v>
      </c>
      <c r="H113" s="140">
        <f t="shared" si="136"/>
        <v>0</v>
      </c>
      <c r="I113" s="140">
        <f t="shared" si="136"/>
        <v>0</v>
      </c>
      <c r="J113" s="140">
        <f t="shared" si="136"/>
        <v>0</v>
      </c>
      <c r="K113" s="140">
        <f t="shared" si="136"/>
        <v>0</v>
      </c>
      <c r="L113" s="140">
        <f t="shared" si="136"/>
        <v>0</v>
      </c>
      <c r="M113" s="140">
        <f t="shared" si="136"/>
        <v>0</v>
      </c>
      <c r="N113" s="140">
        <f t="shared" si="136"/>
        <v>0</v>
      </c>
      <c r="O113" s="140">
        <f t="shared" si="136"/>
        <v>0</v>
      </c>
      <c r="P113" s="140">
        <f t="shared" si="136"/>
        <v>0</v>
      </c>
      <c r="Q113" s="140">
        <f t="shared" si="136"/>
        <v>0</v>
      </c>
      <c r="R113" s="140">
        <f t="shared" si="136"/>
        <v>4.3975887820124626E-8</v>
      </c>
      <c r="S113" s="140">
        <f t="shared" si="136"/>
        <v>0</v>
      </c>
      <c r="T113" s="140">
        <f t="shared" si="136"/>
        <v>0</v>
      </c>
      <c r="U113" s="140">
        <f t="shared" ref="U113:V113" si="137">U112-U58</f>
        <v>0</v>
      </c>
      <c r="V113" s="140">
        <f t="shared" si="137"/>
        <v>4.5474735088646412E-13</v>
      </c>
      <c r="W113" s="140">
        <f t="shared" si="136"/>
        <v>0</v>
      </c>
      <c r="X113" s="140">
        <f t="shared" si="136"/>
        <v>-7.0780515670776367E-8</v>
      </c>
      <c r="Y113" s="140">
        <f t="shared" si="136"/>
        <v>0</v>
      </c>
      <c r="Z113" s="140" t="e">
        <f t="shared" si="136"/>
        <v>#REF!</v>
      </c>
      <c r="AA113" s="140" t="e">
        <f t="shared" si="136"/>
        <v>#REF!</v>
      </c>
      <c r="AB113" s="140" t="e">
        <f t="shared" si="136"/>
        <v>#REF!</v>
      </c>
      <c r="AC113" s="140">
        <f t="shared" si="136"/>
        <v>0</v>
      </c>
      <c r="AD113" s="140">
        <f t="shared" si="136"/>
        <v>0</v>
      </c>
    </row>
    <row r="114" spans="3:30">
      <c r="C114" s="140"/>
    </row>
    <row r="115" spans="3:30">
      <c r="M115" s="141" t="s">
        <v>31</v>
      </c>
    </row>
  </sheetData>
  <phoneticPr fontId="34" type="noConversion"/>
  <pageMargins left="0.25" right="0.25" top="1" bottom="1" header="0.5" footer="0.5"/>
  <pageSetup scale="51" fitToHeight="2" orientation="landscape" r:id="rId1"/>
  <headerFooter alignWithMargins="0"/>
  <rowBreaks count="1" manualBreakCount="1">
    <brk id="6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130"/>
  <sheetViews>
    <sheetView view="pageBreakPreview" zoomScale="85" zoomScaleNormal="100" zoomScaleSheetLayoutView="85" workbookViewId="0">
      <pane xSplit="1" ySplit="5" topLeftCell="B6" activePane="bottomRight" state="frozen"/>
      <selection activeCell="F14" sqref="F14"/>
      <selection pane="topRight" activeCell="F14" sqref="F14"/>
      <selection pane="bottomLeft" activeCell="F14" sqref="F14"/>
      <selection pane="bottomRight" activeCell="B6" sqref="B6"/>
    </sheetView>
  </sheetViews>
  <sheetFormatPr defaultColWidth="8" defaultRowHeight="12.75"/>
  <cols>
    <col min="1" max="1" width="13.125" style="122" customWidth="1"/>
    <col min="2" max="2" width="1.625" style="122" customWidth="1"/>
    <col min="3" max="3" width="13.125" style="123" customWidth="1"/>
    <col min="4" max="4" width="1.625" style="123" customWidth="1"/>
    <col min="5" max="5" width="13.125" style="123" customWidth="1"/>
    <col min="6" max="6" width="1.625" style="123" customWidth="1"/>
    <col min="7" max="7" width="13.125" style="123" customWidth="1"/>
    <col min="8" max="8" width="1.625" style="123" customWidth="1"/>
    <col min="9" max="9" width="13.125" style="121" customWidth="1"/>
    <col min="10" max="11" width="13.125" style="122" customWidth="1"/>
    <col min="12" max="12" width="15.875" style="122" bestFit="1" customWidth="1"/>
    <col min="13" max="13" width="16.375" style="122" customWidth="1"/>
    <col min="14" max="14" width="1.625" style="123" customWidth="1"/>
    <col min="15" max="15" width="13.5" style="122" customWidth="1"/>
    <col min="16" max="16" width="14.25" style="122" bestFit="1" customWidth="1"/>
    <col min="17" max="17" width="14.125" style="122" bestFit="1" customWidth="1"/>
    <col min="18" max="16384" width="8" style="122"/>
  </cols>
  <sheetData>
    <row r="1" spans="1:17" ht="15.75">
      <c r="A1" s="118" t="s">
        <v>248</v>
      </c>
      <c r="B1" s="119"/>
      <c r="C1" s="120"/>
      <c r="D1" s="120"/>
      <c r="E1" s="120"/>
      <c r="F1" s="120"/>
      <c r="G1" s="120"/>
      <c r="H1" s="120"/>
    </row>
    <row r="3" spans="1:17">
      <c r="C3" s="120" t="s">
        <v>25</v>
      </c>
      <c r="D3" s="120"/>
      <c r="L3" s="124" t="s">
        <v>249</v>
      </c>
    </row>
    <row r="4" spans="1:17">
      <c r="E4" s="126" t="s">
        <v>253</v>
      </c>
      <c r="J4" s="124" t="s">
        <v>250</v>
      </c>
      <c r="L4" s="124" t="s">
        <v>251</v>
      </c>
    </row>
    <row r="5" spans="1:17">
      <c r="A5" s="122" t="s">
        <v>252</v>
      </c>
      <c r="C5" s="125">
        <v>305</v>
      </c>
      <c r="D5" s="125"/>
      <c r="E5" s="126" t="s">
        <v>285</v>
      </c>
      <c r="F5" s="126"/>
      <c r="G5" s="126" t="s">
        <v>254</v>
      </c>
      <c r="H5" s="126"/>
      <c r="I5" s="127" t="s">
        <v>255</v>
      </c>
      <c r="J5" s="124" t="s">
        <v>256</v>
      </c>
      <c r="K5" s="124" t="s">
        <v>257</v>
      </c>
      <c r="L5" s="124" t="s">
        <v>258</v>
      </c>
      <c r="N5" s="126"/>
    </row>
    <row r="6" spans="1:17">
      <c r="A6" s="122" t="s">
        <v>259</v>
      </c>
      <c r="C6" s="128"/>
      <c r="D6" s="128"/>
      <c r="E6" s="129"/>
      <c r="F6" s="126"/>
      <c r="G6" s="126"/>
      <c r="H6" s="126"/>
      <c r="I6" s="134"/>
      <c r="J6" s="145"/>
      <c r="K6" s="124"/>
      <c r="L6" s="124"/>
      <c r="N6" s="126"/>
    </row>
    <row r="7" spans="1:17" s="725" customFormat="1">
      <c r="A7" s="725" t="s">
        <v>260</v>
      </c>
      <c r="C7" s="726">
        <f>VLOOKUP(A7,'305 Inputs'!$E$118:$H$144,4,FALSE)</f>
        <v>1419612497</v>
      </c>
      <c r="D7" s="726"/>
      <c r="E7" s="727">
        <v>-50270</v>
      </c>
      <c r="F7" s="728"/>
      <c r="G7" s="726">
        <f t="shared" ref="G7:G13" si="0">C7+E7</f>
        <v>1419562227</v>
      </c>
      <c r="H7" s="726"/>
      <c r="I7" s="729">
        <v>1419562084</v>
      </c>
      <c r="J7" s="725">
        <f t="shared" ref="J7:J11" si="1">ROUND(I7/G7*100,3)-100</f>
        <v>0</v>
      </c>
      <c r="K7" s="730">
        <f t="shared" ref="K7:K13" si="2">I7-G7</f>
        <v>-143</v>
      </c>
      <c r="L7" s="730">
        <f t="shared" ref="L7:L13" si="3">IF(ABS(J7)&lt;=0.5,0,IF(G7&gt;I7,(G7*0.995)-I7,(G7*1.005)-I7))</f>
        <v>0</v>
      </c>
      <c r="N7" s="728"/>
    </row>
    <row r="8" spans="1:17" s="725" customFormat="1">
      <c r="A8" s="725" t="s">
        <v>261</v>
      </c>
      <c r="C8" s="726">
        <f>VLOOKUP(A8,'305 Inputs'!$E$118:$H$144,4,FALSE)</f>
        <v>85689625</v>
      </c>
      <c r="D8" s="726"/>
      <c r="E8" s="727">
        <v>-6508</v>
      </c>
      <c r="F8" s="728"/>
      <c r="G8" s="726">
        <f t="shared" si="0"/>
        <v>85683117</v>
      </c>
      <c r="H8" s="726"/>
      <c r="I8" s="729">
        <v>85683116</v>
      </c>
      <c r="J8" s="725">
        <f t="shared" si="1"/>
        <v>0</v>
      </c>
      <c r="K8" s="730">
        <f t="shared" si="2"/>
        <v>-1</v>
      </c>
      <c r="L8" s="730">
        <f t="shared" si="3"/>
        <v>0</v>
      </c>
      <c r="N8" s="728"/>
    </row>
    <row r="9" spans="1:17" s="725" customFormat="1">
      <c r="A9" s="725" t="s">
        <v>262</v>
      </c>
      <c r="C9" s="726">
        <f>VLOOKUP(A9,'305 Inputs'!$E$118:$H$144,4,FALSE)</f>
        <v>2188990</v>
      </c>
      <c r="D9" s="950"/>
      <c r="E9" s="727"/>
      <c r="F9" s="728"/>
      <c r="G9" s="726">
        <f t="shared" si="0"/>
        <v>2188990</v>
      </c>
      <c r="H9" s="726"/>
      <c r="I9" s="729">
        <v>2188990</v>
      </c>
      <c r="J9" s="725">
        <f t="shared" si="1"/>
        <v>0</v>
      </c>
      <c r="K9" s="730">
        <f t="shared" si="2"/>
        <v>0</v>
      </c>
      <c r="L9" s="730">
        <f t="shared" si="3"/>
        <v>0</v>
      </c>
      <c r="N9" s="728"/>
    </row>
    <row r="10" spans="1:17" s="725" customFormat="1">
      <c r="A10" s="725" t="s">
        <v>263</v>
      </c>
      <c r="C10" s="726">
        <f>VLOOKUP(A10,'305 Inputs'!$E$118:$H$144,4,FALSE)</f>
        <v>397063</v>
      </c>
      <c r="D10" s="726"/>
      <c r="E10" s="727"/>
      <c r="F10" s="728"/>
      <c r="G10" s="726">
        <f t="shared" si="0"/>
        <v>397063</v>
      </c>
      <c r="H10" s="726"/>
      <c r="I10" s="729">
        <v>397063</v>
      </c>
      <c r="J10" s="725">
        <f t="shared" si="1"/>
        <v>0</v>
      </c>
      <c r="K10" s="730">
        <f t="shared" si="2"/>
        <v>0</v>
      </c>
      <c r="L10" s="730">
        <f>IF(ABS(J10)&lt;=0.5,0,IF(G10&gt;I10,(G10*0.995)-I10,(G10*1.005)-I10))</f>
        <v>0</v>
      </c>
      <c r="M10" s="731"/>
      <c r="N10" s="728"/>
      <c r="P10" s="731"/>
    </row>
    <row r="11" spans="1:17" s="725" customFormat="1">
      <c r="A11" s="725" t="s">
        <v>244</v>
      </c>
      <c r="C11" s="726">
        <f>VLOOKUP(A11,'305 Inputs'!$E$118:$H$144,4,FALSE)</f>
        <v>2901054</v>
      </c>
      <c r="D11" s="726"/>
      <c r="E11" s="727">
        <v>-2167</v>
      </c>
      <c r="F11" s="728"/>
      <c r="G11" s="726">
        <f t="shared" si="0"/>
        <v>2898887</v>
      </c>
      <c r="H11" s="726"/>
      <c r="I11" s="729">
        <v>2898890</v>
      </c>
      <c r="J11" s="725">
        <f t="shared" si="1"/>
        <v>0</v>
      </c>
      <c r="K11" s="730">
        <f t="shared" si="2"/>
        <v>3</v>
      </c>
      <c r="L11" s="730">
        <f t="shared" si="3"/>
        <v>0</v>
      </c>
      <c r="M11" s="731"/>
      <c r="N11" s="728"/>
      <c r="P11" s="731"/>
    </row>
    <row r="12" spans="1:17" s="1106" customFormat="1">
      <c r="A12" s="1106" t="s">
        <v>264</v>
      </c>
      <c r="C12" s="1107">
        <f>VLOOKUP(A12,'305 Inputs'!$E$118:$H$144,4,FALSE)</f>
        <v>1027136</v>
      </c>
      <c r="D12" s="1107"/>
      <c r="E12" s="1108">
        <v>-228</v>
      </c>
      <c r="F12" s="1109"/>
      <c r="G12" s="1107">
        <f t="shared" si="0"/>
        <v>1026908</v>
      </c>
      <c r="H12" s="1107"/>
      <c r="I12" s="1110">
        <v>1033526</v>
      </c>
      <c r="J12" s="1106">
        <f>ROUND(I12/G12*100,3)-100</f>
        <v>0.64400000000000546</v>
      </c>
      <c r="K12" s="1111">
        <f t="shared" si="2"/>
        <v>6618</v>
      </c>
      <c r="L12" s="1111">
        <f>IF(ABS(J12)&lt;=0.5,0,IF(G12&gt;I12,(G12*0.995)-I12,(G12*1.005)-I12))</f>
        <v>-1483.4600000000792</v>
      </c>
      <c r="N12" s="1109"/>
    </row>
    <row r="13" spans="1:17" s="131" customFormat="1">
      <c r="A13" s="131" t="s">
        <v>727</v>
      </c>
      <c r="C13" s="133">
        <f>VLOOKUP(A13,'305 Inputs'!$E$118:$H$144,4,FALSE)</f>
        <v>21459037</v>
      </c>
      <c r="D13" s="133"/>
      <c r="E13" s="948">
        <v>79766</v>
      </c>
      <c r="F13" s="128"/>
      <c r="G13" s="133">
        <f t="shared" si="0"/>
        <v>21538803</v>
      </c>
      <c r="H13" s="133"/>
      <c r="I13" s="134">
        <v>21463183</v>
      </c>
      <c r="J13" s="131">
        <f>ROUND(I13/G13*100,3)-100</f>
        <v>-0.35099999999999909</v>
      </c>
      <c r="K13" s="135">
        <f t="shared" si="2"/>
        <v>-75620</v>
      </c>
      <c r="L13" s="135">
        <f t="shared" si="3"/>
        <v>0</v>
      </c>
      <c r="M13" s="136" t="s">
        <v>31</v>
      </c>
      <c r="N13" s="128"/>
      <c r="O13" s="136"/>
      <c r="P13" s="136"/>
      <c r="Q13" s="136"/>
    </row>
    <row r="14" spans="1:17" s="131" customFormat="1">
      <c r="A14" s="131" t="s">
        <v>265</v>
      </c>
      <c r="C14" s="133">
        <f>SUM(C7:C13)</f>
        <v>1533275402</v>
      </c>
      <c r="D14" s="133"/>
      <c r="E14" s="133">
        <f>SUM(E7:E13)</f>
        <v>20593</v>
      </c>
      <c r="F14" s="128"/>
      <c r="G14" s="133">
        <f>SUM(G7:G13)</f>
        <v>1533295995</v>
      </c>
      <c r="H14" s="133"/>
      <c r="I14" s="133">
        <f>SUM(I7:I13)</f>
        <v>1533226852</v>
      </c>
      <c r="K14" s="135">
        <f>SUM(K7:K13)</f>
        <v>-69143</v>
      </c>
      <c r="L14" s="135"/>
      <c r="M14" s="136"/>
      <c r="N14" s="133"/>
      <c r="P14" s="136"/>
    </row>
    <row r="15" spans="1:17" s="131" customFormat="1">
      <c r="C15" s="133"/>
      <c r="D15" s="133"/>
      <c r="E15" s="128"/>
      <c r="F15" s="128"/>
      <c r="G15" s="128"/>
      <c r="H15" s="128"/>
      <c r="I15" s="134"/>
      <c r="K15" s="135"/>
      <c r="L15" s="135"/>
      <c r="M15" s="136"/>
      <c r="N15" s="128"/>
      <c r="O15" s="949" t="s">
        <v>31</v>
      </c>
      <c r="P15" s="136"/>
    </row>
    <row r="16" spans="1:17" s="131" customFormat="1">
      <c r="C16" s="133"/>
      <c r="D16" s="133"/>
      <c r="E16" s="128"/>
      <c r="F16" s="128"/>
      <c r="G16" s="128"/>
      <c r="H16" s="128"/>
      <c r="I16" s="134"/>
      <c r="K16" s="135"/>
      <c r="L16" s="135"/>
      <c r="M16" s="136"/>
      <c r="N16" s="128"/>
      <c r="P16" s="136"/>
    </row>
    <row r="17" spans="1:17" s="131" customFormat="1">
      <c r="A17" s="131" t="s">
        <v>266</v>
      </c>
      <c r="C17" s="133"/>
      <c r="D17" s="133"/>
      <c r="E17" s="128"/>
      <c r="F17" s="128"/>
      <c r="G17" s="128"/>
      <c r="H17" s="128"/>
      <c r="I17" s="134"/>
      <c r="K17" s="135"/>
      <c r="L17" s="135"/>
      <c r="M17" s="136"/>
      <c r="N17" s="128"/>
      <c r="P17" s="136"/>
    </row>
    <row r="18" spans="1:17" s="131" customFormat="1">
      <c r="A18" s="131" t="s">
        <v>51</v>
      </c>
      <c r="C18" s="133">
        <f>VLOOKUP(A18,'305 Inputs'!$E$7:$H$46,4,FALSE)+'305 Inputs'!H29</f>
        <v>502037511</v>
      </c>
      <c r="D18" s="133"/>
      <c r="E18" s="948">
        <v>306614</v>
      </c>
      <c r="F18" s="128"/>
      <c r="G18" s="133">
        <f t="shared" ref="G18:G27" si="4">C18+E18</f>
        <v>502344125</v>
      </c>
      <c r="H18" s="133"/>
      <c r="I18" s="134">
        <v>502719496</v>
      </c>
      <c r="J18" s="131">
        <f>ROUND(I18/G18*100,3)-100</f>
        <v>7.5000000000002842E-2</v>
      </c>
      <c r="K18" s="135">
        <f t="shared" ref="K18:K27" si="5">I18-G18</f>
        <v>375371</v>
      </c>
      <c r="L18" s="135">
        <f t="shared" ref="L18:L28" si="6">IF(ABS(J18)&lt;=0.5,0,IF(G18&gt;I18,(G18*0.995)-I18,(G18*1.005)-I18))</f>
        <v>0</v>
      </c>
      <c r="M18" s="136" t="s">
        <v>31</v>
      </c>
      <c r="N18" s="128"/>
      <c r="O18" s="136"/>
      <c r="P18" s="136"/>
      <c r="Q18" s="136"/>
    </row>
    <row r="19" spans="1:17" s="725" customFormat="1">
      <c r="A19" s="725" t="s">
        <v>52</v>
      </c>
      <c r="C19" s="726">
        <f>VLOOKUP(A19,'305 Inputs'!$E$7:$H$46,4,FALSE)+'305 Inputs'!H37</f>
        <v>1273620</v>
      </c>
      <c r="D19" s="726"/>
      <c r="E19" s="727">
        <v>-3151</v>
      </c>
      <c r="F19" s="728"/>
      <c r="G19" s="726">
        <f t="shared" si="4"/>
        <v>1270469</v>
      </c>
      <c r="H19" s="726"/>
      <c r="I19" s="729">
        <v>1270469.7942953119</v>
      </c>
      <c r="J19" s="725">
        <f>ROUND(I19/G19*100,3)-100</f>
        <v>0</v>
      </c>
      <c r="K19" s="730">
        <f t="shared" si="5"/>
        <v>0.79429531190544367</v>
      </c>
      <c r="L19" s="730">
        <f t="shared" si="6"/>
        <v>0</v>
      </c>
      <c r="M19" s="725" t="s">
        <v>31</v>
      </c>
      <c r="N19" s="1112"/>
    </row>
    <row r="20" spans="1:17" s="725" customFormat="1">
      <c r="A20" s="958" t="s">
        <v>289</v>
      </c>
      <c r="C20" s="726">
        <f>VLOOKUP(A20,'305 Inputs'!$E$7:$H$46,4,FALSE)</f>
        <v>300479</v>
      </c>
      <c r="D20" s="726"/>
      <c r="E20" s="727">
        <v>-15499</v>
      </c>
      <c r="F20" s="728"/>
      <c r="G20" s="726">
        <f t="shared" si="4"/>
        <v>284980</v>
      </c>
      <c r="H20" s="726"/>
      <c r="I20" s="729">
        <v>284980</v>
      </c>
      <c r="J20" s="725">
        <f>ROUND(I20/G20*100,3)-100</f>
        <v>0</v>
      </c>
      <c r="K20" s="730">
        <f t="shared" si="5"/>
        <v>0</v>
      </c>
      <c r="L20" s="730">
        <f t="shared" si="6"/>
        <v>0</v>
      </c>
      <c r="N20" s="728"/>
    </row>
    <row r="21" spans="1:17" s="725" customFormat="1">
      <c r="A21" s="725" t="s">
        <v>267</v>
      </c>
      <c r="C21" s="726">
        <v>0</v>
      </c>
      <c r="D21" s="726"/>
      <c r="E21" s="727">
        <v>0</v>
      </c>
      <c r="F21" s="728"/>
      <c r="G21" s="726">
        <f t="shared" si="4"/>
        <v>0</v>
      </c>
      <c r="H21" s="726"/>
      <c r="I21" s="729">
        <v>0</v>
      </c>
      <c r="J21" s="725">
        <v>0</v>
      </c>
      <c r="K21" s="730">
        <f t="shared" si="5"/>
        <v>0</v>
      </c>
      <c r="L21" s="730">
        <f t="shared" si="6"/>
        <v>0</v>
      </c>
      <c r="N21" s="728"/>
    </row>
    <row r="22" spans="1:17" s="725" customFormat="1">
      <c r="A22" s="725" t="s">
        <v>53</v>
      </c>
      <c r="C22" s="726">
        <f>VLOOKUP(A22,'305 Inputs'!$E$7:$H$46,4,FALSE)+'305 Inputs'!H33</f>
        <v>831167490</v>
      </c>
      <c r="D22" s="726"/>
      <c r="E22" s="727">
        <v>1344440</v>
      </c>
      <c r="F22" s="728"/>
      <c r="G22" s="726">
        <f t="shared" si="4"/>
        <v>832511930</v>
      </c>
      <c r="H22" s="726"/>
      <c r="I22" s="729">
        <v>832511930</v>
      </c>
      <c r="J22" s="725">
        <f t="shared" ref="J22:J27" si="7">ROUND(I22/G22*100,3)-100</f>
        <v>0</v>
      </c>
      <c r="K22" s="730">
        <f t="shared" si="5"/>
        <v>0</v>
      </c>
      <c r="L22" s="730">
        <f t="shared" si="6"/>
        <v>0</v>
      </c>
      <c r="N22" s="728"/>
    </row>
    <row r="23" spans="1:17" s="725" customFormat="1">
      <c r="A23" s="725" t="s">
        <v>54</v>
      </c>
      <c r="C23" s="726">
        <f>VLOOKUP(A23,'305 Inputs'!$E$7:$H$46,4,FALSE)+'305 Inputs'!H44</f>
        <v>198521160</v>
      </c>
      <c r="D23" s="726"/>
      <c r="E23" s="727">
        <v>892800</v>
      </c>
      <c r="F23" s="728"/>
      <c r="G23" s="726">
        <f t="shared" si="4"/>
        <v>199413960</v>
      </c>
      <c r="H23" s="726"/>
      <c r="I23" s="729">
        <v>199413960</v>
      </c>
      <c r="J23" s="725">
        <f t="shared" si="7"/>
        <v>0</v>
      </c>
      <c r="K23" s="730">
        <f t="shared" si="5"/>
        <v>0</v>
      </c>
      <c r="L23" s="730">
        <f t="shared" si="6"/>
        <v>0</v>
      </c>
      <c r="N23" s="728"/>
    </row>
    <row r="24" spans="1:17" s="1106" customFormat="1">
      <c r="A24" s="1106" t="s">
        <v>55</v>
      </c>
      <c r="C24" s="1107">
        <f>VLOOKUP(A24,'305 Inputs'!$E$7:$H$46,4,FALSE)+'305 Inputs'!H35</f>
        <v>2060602</v>
      </c>
      <c r="D24" s="1107"/>
      <c r="E24" s="1108">
        <v>19043</v>
      </c>
      <c r="F24" s="1109"/>
      <c r="G24" s="1107">
        <f t="shared" si="4"/>
        <v>2079645</v>
      </c>
      <c r="H24" s="1107"/>
      <c r="I24" s="1110">
        <v>2083856</v>
      </c>
      <c r="J24" s="1106">
        <f t="shared" si="7"/>
        <v>0.20199999999999818</v>
      </c>
      <c r="K24" s="1111">
        <f t="shared" si="5"/>
        <v>4211</v>
      </c>
      <c r="L24" s="1111">
        <f t="shared" si="6"/>
        <v>0</v>
      </c>
      <c r="N24" s="1109"/>
    </row>
    <row r="25" spans="1:17" s="725" customFormat="1">
      <c r="A25" s="725" t="s">
        <v>56</v>
      </c>
      <c r="C25" s="726">
        <f>VLOOKUP(A25,'305 Inputs'!$E$7:$H$46,4,FALSE)</f>
        <v>269682</v>
      </c>
      <c r="D25" s="726"/>
      <c r="E25" s="727">
        <v>-1901</v>
      </c>
      <c r="F25" s="728"/>
      <c r="G25" s="726">
        <f t="shared" si="4"/>
        <v>267781</v>
      </c>
      <c r="H25" s="726"/>
      <c r="I25" s="729">
        <v>267781</v>
      </c>
      <c r="J25" s="725">
        <f t="shared" si="7"/>
        <v>0</v>
      </c>
      <c r="K25" s="730">
        <f t="shared" si="5"/>
        <v>0</v>
      </c>
      <c r="L25" s="730">
        <f t="shared" si="6"/>
        <v>0</v>
      </c>
      <c r="N25" s="728"/>
    </row>
    <row r="26" spans="1:17" s="725" customFormat="1">
      <c r="A26" s="725" t="s">
        <v>212</v>
      </c>
      <c r="C26" s="726">
        <f>VLOOKUP(A26,'305 Inputs'!$E$7:$H$46,4,FALSE)</f>
        <v>1568941</v>
      </c>
      <c r="D26" s="726"/>
      <c r="E26" s="727">
        <v>-44702</v>
      </c>
      <c r="F26" s="728"/>
      <c r="G26" s="726">
        <f t="shared" ref="G26" si="8">C26+E26</f>
        <v>1524239</v>
      </c>
      <c r="H26" s="726"/>
      <c r="I26" s="729">
        <v>1524239</v>
      </c>
      <c r="J26" s="725">
        <f t="shared" si="7"/>
        <v>0</v>
      </c>
      <c r="K26" s="730">
        <f t="shared" ref="K26" si="9">I26-G26</f>
        <v>0</v>
      </c>
      <c r="L26" s="730">
        <f t="shared" ref="L26" si="10">IF(ABS(J26)&lt;=0.5,0,IF(G26&gt;I26,(G26*0.995)-I26,(G26*1.005)-I26))</f>
        <v>0</v>
      </c>
      <c r="N26" s="728"/>
    </row>
    <row r="27" spans="1:17" s="725" customFormat="1">
      <c r="A27" s="725" t="s">
        <v>669</v>
      </c>
      <c r="C27" s="726">
        <f>VLOOKUP(A27,'305 Inputs'!$E$7:$H$46,4,FALSE)</f>
        <v>4261740</v>
      </c>
      <c r="D27" s="726"/>
      <c r="E27" s="727">
        <v>-69120</v>
      </c>
      <c r="F27" s="728"/>
      <c r="G27" s="726">
        <f t="shared" si="4"/>
        <v>4192620</v>
      </c>
      <c r="H27" s="726"/>
      <c r="I27" s="729">
        <v>4192620</v>
      </c>
      <c r="J27" s="725">
        <f t="shared" si="7"/>
        <v>0</v>
      </c>
      <c r="K27" s="730">
        <f t="shared" si="5"/>
        <v>0</v>
      </c>
      <c r="L27" s="730">
        <f t="shared" si="6"/>
        <v>0</v>
      </c>
      <c r="N27" s="728"/>
    </row>
    <row r="28" spans="1:17">
      <c r="A28" s="122" t="s">
        <v>268</v>
      </c>
      <c r="C28" s="133">
        <f>SUM(C18:C27)</f>
        <v>1541461225</v>
      </c>
      <c r="D28" s="133"/>
      <c r="E28" s="133">
        <f>SUM(E18:E27)</f>
        <v>2428524</v>
      </c>
      <c r="G28" s="121">
        <f>SUM(G18:G27)</f>
        <v>1543889749</v>
      </c>
      <c r="H28" s="121"/>
      <c r="I28" s="121">
        <f>SUM(I18:I27)</f>
        <v>1544269331.7942953</v>
      </c>
      <c r="K28" s="146">
        <f>SUM(K18:K27)</f>
        <v>379582.79429531191</v>
      </c>
      <c r="L28" s="135">
        <f t="shared" si="6"/>
        <v>0</v>
      </c>
    </row>
    <row r="29" spans="1:17">
      <c r="C29" s="133"/>
      <c r="D29" s="133"/>
      <c r="E29" s="133"/>
      <c r="G29" s="126"/>
      <c r="H29" s="126"/>
      <c r="I29" s="138"/>
      <c r="K29" s="146"/>
      <c r="L29" s="146"/>
    </row>
    <row r="30" spans="1:17">
      <c r="C30" s="137"/>
      <c r="D30" s="137"/>
      <c r="E30" s="133"/>
      <c r="I30" s="138"/>
      <c r="K30" s="146"/>
      <c r="L30" s="145"/>
    </row>
    <row r="31" spans="1:17">
      <c r="A31" s="122" t="s">
        <v>269</v>
      </c>
      <c r="C31" s="133"/>
      <c r="D31" s="133"/>
      <c r="E31" s="133"/>
      <c r="F31" s="126"/>
      <c r="G31" s="126"/>
      <c r="H31" s="126"/>
      <c r="I31" s="138"/>
      <c r="K31" s="145"/>
      <c r="L31" s="145"/>
      <c r="N31" s="126"/>
    </row>
    <row r="32" spans="1:17" s="131" customFormat="1">
      <c r="A32" s="131" t="s">
        <v>51</v>
      </c>
      <c r="C32" s="133">
        <f>VLOOKUP(A32,'305 Inputs'!$E$51:$H$71,4,FALSE)+'305 Inputs'!H64</f>
        <v>17601447</v>
      </c>
      <c r="D32" s="133"/>
      <c r="E32" s="948">
        <v>-21546</v>
      </c>
      <c r="F32" s="128"/>
      <c r="G32" s="133">
        <f t="shared" ref="G32:G40" si="11">C32+E32</f>
        <v>17579901</v>
      </c>
      <c r="H32" s="133"/>
      <c r="I32" s="134">
        <v>17280151</v>
      </c>
      <c r="J32" s="131">
        <f t="shared" ref="J32:J40" si="12">ROUND(I32/G32*100,3)-100</f>
        <v>-1.7049999999999983</v>
      </c>
      <c r="K32" s="135">
        <f t="shared" ref="K32:K40" si="13">I32-G32</f>
        <v>-299750</v>
      </c>
      <c r="L32" s="135">
        <f t="shared" ref="L32:L40" si="14">IF(ABS(J32)&lt;=0.5,0,IF(G32&gt;I32,(G32*0.995)-I32,(G32*1.005)-I32))</f>
        <v>211850.49500000104</v>
      </c>
      <c r="M32" s="135"/>
      <c r="N32" s="133"/>
      <c r="O32" s="135"/>
    </row>
    <row r="33" spans="1:14" s="725" customFormat="1">
      <c r="A33" s="725" t="s">
        <v>52</v>
      </c>
      <c r="C33" s="726">
        <f>VLOOKUP(A33,'305 Inputs'!$E$51:$H$71,4,FALSE)</f>
        <v>33312</v>
      </c>
      <c r="D33" s="726"/>
      <c r="E33" s="727">
        <v>0</v>
      </c>
      <c r="F33" s="728"/>
      <c r="G33" s="726">
        <f t="shared" si="11"/>
        <v>33312</v>
      </c>
      <c r="H33" s="726"/>
      <c r="I33" s="729">
        <v>33312</v>
      </c>
      <c r="J33" s="725">
        <f t="shared" si="12"/>
        <v>0</v>
      </c>
      <c r="K33" s="730">
        <f t="shared" si="13"/>
        <v>0</v>
      </c>
      <c r="L33" s="730">
        <f t="shared" si="14"/>
        <v>0</v>
      </c>
      <c r="N33" s="726"/>
    </row>
    <row r="34" spans="1:14" s="725" customFormat="1">
      <c r="A34" s="958" t="s">
        <v>289</v>
      </c>
      <c r="C34" s="726">
        <f>VLOOKUP(A34,'305 Inputs'!$E$51:$H$71,4,FALSE)</f>
        <v>5786</v>
      </c>
      <c r="D34" s="726"/>
      <c r="E34" s="727">
        <f>0</f>
        <v>0</v>
      </c>
      <c r="F34" s="728"/>
      <c r="G34" s="726">
        <f t="shared" si="11"/>
        <v>5786</v>
      </c>
      <c r="H34" s="726"/>
      <c r="I34" s="729">
        <v>5786</v>
      </c>
      <c r="J34" s="725">
        <f t="shared" si="12"/>
        <v>0</v>
      </c>
      <c r="K34" s="730">
        <f t="shared" si="13"/>
        <v>0</v>
      </c>
      <c r="L34" s="730">
        <f t="shared" si="14"/>
        <v>0</v>
      </c>
      <c r="N34" s="726"/>
    </row>
    <row r="35" spans="1:14" s="725" customFormat="1">
      <c r="A35" s="725" t="s">
        <v>53</v>
      </c>
      <c r="C35" s="726">
        <f>VLOOKUP(A35,'305 Inputs'!$E$51:$H$71,4,FALSE)+'305 Inputs'!H68</f>
        <v>103604672</v>
      </c>
      <c r="D35" s="726"/>
      <c r="E35" s="727">
        <v>1597900</v>
      </c>
      <c r="F35" s="728"/>
      <c r="G35" s="726">
        <f t="shared" si="11"/>
        <v>105202572</v>
      </c>
      <c r="H35" s="726"/>
      <c r="I35" s="729">
        <v>105202572</v>
      </c>
      <c r="J35" s="725">
        <f t="shared" si="12"/>
        <v>0</v>
      </c>
      <c r="K35" s="730">
        <f t="shared" si="13"/>
        <v>0</v>
      </c>
      <c r="L35" s="730">
        <f t="shared" si="14"/>
        <v>0</v>
      </c>
      <c r="N35" s="726"/>
    </row>
    <row r="36" spans="1:14" s="725" customFormat="1">
      <c r="A36" s="725" t="s">
        <v>159</v>
      </c>
      <c r="C36" s="726">
        <f>VLOOKUP(A36,'305 Inputs'!$E$51:$H$71,4,FALSE)</f>
        <v>2148000</v>
      </c>
      <c r="D36" s="726"/>
      <c r="E36" s="727">
        <v>98000</v>
      </c>
      <c r="F36" s="728"/>
      <c r="G36" s="726">
        <f t="shared" si="11"/>
        <v>2246000</v>
      </c>
      <c r="H36" s="726"/>
      <c r="I36" s="729">
        <v>2245825</v>
      </c>
      <c r="J36" s="725">
        <f t="shared" si="12"/>
        <v>-7.9999999999955662E-3</v>
      </c>
      <c r="K36" s="730">
        <f t="shared" si="13"/>
        <v>-175</v>
      </c>
      <c r="L36" s="730">
        <f t="shared" si="14"/>
        <v>0</v>
      </c>
      <c r="N36" s="726"/>
    </row>
    <row r="37" spans="1:14" s="725" customFormat="1">
      <c r="A37" s="725" t="s">
        <v>54</v>
      </c>
      <c r="C37" s="726">
        <f>VLOOKUP(A37,'305 Inputs'!$E$51:$H$71,4,FALSE)-C38</f>
        <v>214945150</v>
      </c>
      <c r="D37" s="726"/>
      <c r="E37" s="727">
        <v>1552100</v>
      </c>
      <c r="F37" s="728"/>
      <c r="G37" s="726">
        <f t="shared" si="11"/>
        <v>216497250</v>
      </c>
      <c r="H37" s="726"/>
      <c r="I37" s="729">
        <v>216497250</v>
      </c>
      <c r="J37" s="725">
        <f t="shared" si="12"/>
        <v>0</v>
      </c>
      <c r="K37" s="730">
        <f t="shared" si="13"/>
        <v>0</v>
      </c>
      <c r="L37" s="730">
        <f t="shared" si="14"/>
        <v>0</v>
      </c>
      <c r="N37" s="726"/>
    </row>
    <row r="38" spans="1:14" s="725" customFormat="1">
      <c r="A38" s="725" t="s">
        <v>571</v>
      </c>
      <c r="C38" s="726">
        <v>458478000</v>
      </c>
      <c r="D38" s="726"/>
      <c r="E38" s="727">
        <v>0</v>
      </c>
      <c r="F38" s="728"/>
      <c r="G38" s="726">
        <f t="shared" ref="G38" si="15">C38+E38</f>
        <v>458478000</v>
      </c>
      <c r="H38" s="726"/>
      <c r="I38" s="729">
        <v>458478000</v>
      </c>
      <c r="J38" s="725">
        <f t="shared" ref="J38" si="16">ROUND(I38/G38*100,3)-100</f>
        <v>0</v>
      </c>
      <c r="K38" s="730">
        <f t="shared" ref="K38" si="17">I38-G38</f>
        <v>0</v>
      </c>
      <c r="L38" s="730">
        <f t="shared" ref="L38" si="18">IF(ABS(J38)&lt;=0.5,0,IF(G38&gt;I38,(G38*0.995)-I38,(G38*1.005)-I38))</f>
        <v>0</v>
      </c>
      <c r="N38" s="726"/>
    </row>
    <row r="39" spans="1:14" s="725" customFormat="1">
      <c r="A39" s="725" t="s">
        <v>60</v>
      </c>
      <c r="C39" s="726">
        <v>0</v>
      </c>
      <c r="D39" s="726"/>
      <c r="E39" s="727">
        <v>0</v>
      </c>
      <c r="F39" s="728"/>
      <c r="G39" s="726">
        <f t="shared" si="11"/>
        <v>0</v>
      </c>
      <c r="H39" s="726"/>
      <c r="I39" s="729">
        <v>0</v>
      </c>
      <c r="J39" s="725" t="e">
        <f t="shared" si="12"/>
        <v>#DIV/0!</v>
      </c>
      <c r="K39" s="730">
        <f t="shared" si="13"/>
        <v>0</v>
      </c>
      <c r="L39" s="730" t="e">
        <f t="shared" si="14"/>
        <v>#DIV/0!</v>
      </c>
      <c r="N39" s="726"/>
    </row>
    <row r="40" spans="1:14" s="1106" customFormat="1">
      <c r="A40" s="1106" t="s">
        <v>55</v>
      </c>
      <c r="C40" s="1107">
        <f>VLOOKUP(A40,'305 Inputs'!$E$51:$H$71,4,FALSE)+'305 Inputs'!H70</f>
        <v>138128</v>
      </c>
      <c r="D40" s="1107"/>
      <c r="E40" s="1108">
        <v>1169</v>
      </c>
      <c r="F40" s="1109"/>
      <c r="G40" s="1107">
        <f t="shared" si="11"/>
        <v>139297</v>
      </c>
      <c r="H40" s="1107"/>
      <c r="I40" s="1110">
        <v>140168</v>
      </c>
      <c r="J40" s="1106">
        <f t="shared" si="12"/>
        <v>0.625</v>
      </c>
      <c r="K40" s="1111">
        <f t="shared" si="13"/>
        <v>871</v>
      </c>
      <c r="L40" s="1111">
        <f t="shared" si="14"/>
        <v>-174.51500000001397</v>
      </c>
      <c r="N40" s="1107"/>
    </row>
    <row r="41" spans="1:14" s="131" customFormat="1">
      <c r="A41" s="131" t="s">
        <v>270</v>
      </c>
      <c r="C41" s="133">
        <f>SUM(C32:C40)</f>
        <v>796954495</v>
      </c>
      <c r="D41" s="133"/>
      <c r="E41" s="133">
        <f>SUM(E32:E40)</f>
        <v>3227623</v>
      </c>
      <c r="F41" s="128"/>
      <c r="G41" s="133">
        <f>SUM(G32:G40)</f>
        <v>800182118</v>
      </c>
      <c r="H41" s="133"/>
      <c r="I41" s="133">
        <f>SUM(I32:I40)</f>
        <v>799883064</v>
      </c>
      <c r="K41" s="133">
        <f>SUM(K32:K40)</f>
        <v>-299054</v>
      </c>
      <c r="L41" s="135"/>
      <c r="N41" s="133"/>
    </row>
    <row r="42" spans="1:14" s="131" customFormat="1">
      <c r="C42" s="133"/>
      <c r="D42" s="133"/>
      <c r="E42" s="128"/>
      <c r="F42" s="128"/>
      <c r="G42" s="133"/>
      <c r="H42" s="133"/>
      <c r="I42" s="134"/>
      <c r="K42" s="133"/>
      <c r="L42" s="135"/>
      <c r="N42" s="133"/>
    </row>
    <row r="43" spans="1:14" s="131" customFormat="1">
      <c r="C43" s="133"/>
      <c r="D43" s="133"/>
      <c r="E43" s="128"/>
      <c r="F43" s="128"/>
      <c r="G43" s="133"/>
      <c r="H43" s="133"/>
      <c r="I43" s="134"/>
      <c r="K43" s="133"/>
      <c r="L43" s="135"/>
      <c r="N43" s="133"/>
    </row>
    <row r="44" spans="1:14" s="131" customFormat="1">
      <c r="A44" s="131" t="s">
        <v>271</v>
      </c>
      <c r="C44" s="133"/>
      <c r="D44" s="133"/>
      <c r="E44" s="128"/>
      <c r="F44" s="128"/>
      <c r="G44" s="133"/>
      <c r="H44" s="133"/>
      <c r="I44" s="134"/>
      <c r="K44" s="133"/>
      <c r="L44" s="135"/>
      <c r="N44" s="133"/>
    </row>
    <row r="45" spans="1:14" s="725" customFormat="1">
      <c r="A45" s="725" t="s">
        <v>58</v>
      </c>
      <c r="C45" s="726">
        <f>VLOOKUP(A45,'305 Inputs'!$E$77:$H$97,4,FALSE)+'305 Inputs'!H96</f>
        <v>132878300</v>
      </c>
      <c r="D45" s="726"/>
      <c r="E45" s="727">
        <v>3693498</v>
      </c>
      <c r="F45" s="728"/>
      <c r="G45" s="726">
        <f>C45+E45</f>
        <v>136571798</v>
      </c>
      <c r="H45" s="726"/>
      <c r="I45" s="729">
        <v>136571800</v>
      </c>
      <c r="J45" s="725">
        <f>ROUND(I45/G45*100,3)-100</f>
        <v>0</v>
      </c>
      <c r="K45" s="730">
        <f t="shared" ref="K45:K55" si="19">I45-G45</f>
        <v>2</v>
      </c>
      <c r="L45" s="730">
        <f>IF(ABS(J45)&lt;=0.5,0,IF(G45&gt;I45,(G45*0.995)-I45,(G45*1.005)-I45))</f>
        <v>0</v>
      </c>
      <c r="N45" s="726"/>
    </row>
    <row r="46" spans="1:14" s="725" customFormat="1">
      <c r="A46" s="725" t="s">
        <v>59</v>
      </c>
      <c r="C46" s="726">
        <f>VLOOKUP(A46,'305 Inputs'!$E$77:$H$97,4,FALSE)</f>
        <v>47343132</v>
      </c>
      <c r="D46" s="726"/>
      <c r="E46" s="727">
        <v>838155</v>
      </c>
      <c r="F46" s="728"/>
      <c r="G46" s="726">
        <f>C46+E46</f>
        <v>48181287</v>
      </c>
      <c r="H46" s="726"/>
      <c r="I46" s="729">
        <v>48181287</v>
      </c>
      <c r="J46" s="725">
        <f>ROUND(I46/G46*100,3)-100</f>
        <v>0</v>
      </c>
      <c r="K46" s="730">
        <f t="shared" si="19"/>
        <v>0</v>
      </c>
      <c r="L46" s="730">
        <f>IF(ABS(J46)&lt;=0.5,0,IF(G46&gt;I46,(G46*0.995)-I46,(G46*1.005)-I46))</f>
        <v>0</v>
      </c>
      <c r="N46" s="726"/>
    </row>
    <row r="47" spans="1:14" s="131" customFormat="1">
      <c r="A47" s="131" t="s">
        <v>272</v>
      </c>
      <c r="C47" s="133">
        <f>SUM(C45:C46)</f>
        <v>180221432</v>
      </c>
      <c r="D47" s="133"/>
      <c r="E47" s="133">
        <f>SUM(E45:E46)</f>
        <v>4531653</v>
      </c>
      <c r="F47" s="128"/>
      <c r="G47" s="133">
        <f>SUM(G45:G46)</f>
        <v>184753085</v>
      </c>
      <c r="H47" s="133"/>
      <c r="I47" s="133">
        <f>SUM(I45:I46)</f>
        <v>184753087</v>
      </c>
      <c r="K47" s="135">
        <f t="shared" si="19"/>
        <v>2</v>
      </c>
      <c r="L47" s="135"/>
      <c r="N47" s="133"/>
    </row>
    <row r="48" spans="1:14" s="131" customFormat="1">
      <c r="C48" s="133"/>
      <c r="D48" s="133"/>
      <c r="E48" s="128"/>
      <c r="F48" s="128"/>
      <c r="G48" s="133"/>
      <c r="H48" s="133"/>
      <c r="I48" s="134"/>
      <c r="K48" s="135">
        <f t="shared" si="19"/>
        <v>0</v>
      </c>
      <c r="L48" s="135"/>
      <c r="N48" s="133"/>
    </row>
    <row r="49" spans="1:14" s="131" customFormat="1">
      <c r="C49" s="133"/>
      <c r="D49" s="133"/>
      <c r="E49" s="128"/>
      <c r="F49" s="128"/>
      <c r="G49" s="133"/>
      <c r="H49" s="133"/>
      <c r="I49" s="134"/>
      <c r="K49" s="135">
        <f t="shared" si="19"/>
        <v>0</v>
      </c>
      <c r="L49" s="135"/>
      <c r="N49" s="133"/>
    </row>
    <row r="50" spans="1:14" s="131" customFormat="1">
      <c r="A50" s="131" t="s">
        <v>273</v>
      </c>
      <c r="C50" s="133"/>
      <c r="D50" s="133"/>
      <c r="E50" s="128"/>
      <c r="F50" s="128"/>
      <c r="G50" s="133"/>
      <c r="H50" s="133"/>
      <c r="I50" s="134"/>
      <c r="K50" s="135">
        <f t="shared" si="19"/>
        <v>0</v>
      </c>
      <c r="L50" s="135"/>
      <c r="N50" s="133"/>
    </row>
    <row r="51" spans="1:14" s="725" customFormat="1">
      <c r="A51" s="725" t="s">
        <v>61</v>
      </c>
      <c r="C51" s="950">
        <f>VLOOKUP(A51,'305 Inputs'!$E$103:$H$112,4,FALSE)</f>
        <v>202401</v>
      </c>
      <c r="D51" s="726"/>
      <c r="E51" s="727">
        <v>7139.9266034302063</v>
      </c>
      <c r="F51" s="728"/>
      <c r="G51" s="726">
        <f>C51+E51</f>
        <v>209540.92660343021</v>
      </c>
      <c r="H51" s="726"/>
      <c r="I51" s="729">
        <v>209541.66875847799</v>
      </c>
      <c r="J51" s="725">
        <f>ROUND(I51/G51*100,3)-100</f>
        <v>0</v>
      </c>
      <c r="K51" s="730">
        <f t="shared" si="19"/>
        <v>0.74215504777384922</v>
      </c>
      <c r="L51" s="730">
        <f>IF(ABS(J51)&lt;=0.5,0,IF(G51&gt;I51,(G51*0.995)-I51,(G51*1.005)-I51))</f>
        <v>0</v>
      </c>
      <c r="N51" s="726"/>
    </row>
    <row r="52" spans="1:14" s="725" customFormat="1">
      <c r="A52" s="725" t="s">
        <v>62</v>
      </c>
      <c r="C52" s="950">
        <f>VLOOKUP(A52,'305 Inputs'!$E$103:$H$112,4,FALSE)</f>
        <v>3447449</v>
      </c>
      <c r="D52" s="726"/>
      <c r="E52" s="727">
        <v>2349.0802675585301</v>
      </c>
      <c r="F52" s="728"/>
      <c r="G52" s="726">
        <f>C52+E52</f>
        <v>3449798.0802675583</v>
      </c>
      <c r="H52" s="726"/>
      <c r="I52" s="729">
        <v>3447468.713884904</v>
      </c>
      <c r="J52" s="725">
        <f>ROUND(I52/G52*100,3)-100</f>
        <v>-6.799999999999784E-2</v>
      </c>
      <c r="K52" s="730">
        <f t="shared" si="19"/>
        <v>-2329.3663826542906</v>
      </c>
      <c r="L52" s="730">
        <f>IF(ABS(J52)&lt;=0.5,0,IF(G52&gt;I52,(G52*0.995)-I52,(G52*1.005)-I52))</f>
        <v>0</v>
      </c>
      <c r="N52" s="726"/>
    </row>
    <row r="53" spans="1:14" s="725" customFormat="1">
      <c r="A53" s="725" t="s">
        <v>63</v>
      </c>
      <c r="C53" s="950">
        <f>VLOOKUP(A53,'305 Inputs'!$E$103:$H$112,4,FALSE)</f>
        <v>1151385</v>
      </c>
      <c r="D53" s="726"/>
      <c r="E53" s="727">
        <v>28</v>
      </c>
      <c r="F53" s="728"/>
      <c r="G53" s="726">
        <f>C53+E53</f>
        <v>1151413</v>
      </c>
      <c r="H53" s="726"/>
      <c r="I53" s="729">
        <v>1151208</v>
      </c>
      <c r="J53" s="725">
        <f>ROUND(I53/G53*100,3)-100</f>
        <v>-1.8000000000000682E-2</v>
      </c>
      <c r="K53" s="730">
        <f t="shared" si="19"/>
        <v>-205</v>
      </c>
      <c r="L53" s="730">
        <f>IF(ABS(J53)&lt;=0.5,0,IF(G53&gt;I53,(G53*0.995)-I53,(G53*1.005)-I53))</f>
        <v>0</v>
      </c>
      <c r="N53" s="726"/>
    </row>
    <row r="54" spans="1:14" s="725" customFormat="1">
      <c r="A54" s="725" t="s">
        <v>960</v>
      </c>
      <c r="C54" s="950">
        <f>VLOOKUP(A54,'305 Inputs'!$E$103:$H$112,4,FALSE)</f>
        <v>3892466</v>
      </c>
      <c r="D54" s="726"/>
      <c r="E54" s="727">
        <v>-8741.889906393546</v>
      </c>
      <c r="F54" s="728"/>
      <c r="G54" s="726">
        <f>C54+E54</f>
        <v>3883724.1100936066</v>
      </c>
      <c r="H54" s="726"/>
      <c r="I54" s="729">
        <v>3883379.6674147383</v>
      </c>
      <c r="J54" s="725">
        <f>ROUND(I54/G54*100,3)-100</f>
        <v>-9.0000000000003411E-3</v>
      </c>
      <c r="K54" s="730">
        <f t="shared" si="19"/>
        <v>-344.44267886830494</v>
      </c>
      <c r="L54" s="730">
        <f>IF(ABS(J54)&lt;=0.5,0,IF(G54&gt;I54,(G54*0.995)-I54,(G54*1.005)-I54))</f>
        <v>0</v>
      </c>
      <c r="N54" s="726"/>
    </row>
    <row r="55" spans="1:14" s="725" customFormat="1">
      <c r="A55" s="725" t="s">
        <v>65</v>
      </c>
      <c r="C55" s="950">
        <f>VLOOKUP(A55,'305 Inputs'!$E$103:$H$113,4,FALSE)</f>
        <v>1733378</v>
      </c>
      <c r="D55" s="726"/>
      <c r="E55" s="727">
        <v>0</v>
      </c>
      <c r="F55" s="728"/>
      <c r="G55" s="726">
        <f>C55+E55</f>
        <v>1733378</v>
      </c>
      <c r="H55" s="726"/>
      <c r="I55" s="729">
        <v>1731861.333333333</v>
      </c>
      <c r="J55" s="725">
        <f>ROUND(I55/G55*100,3)-100</f>
        <v>-8.7000000000003297E-2</v>
      </c>
      <c r="K55" s="730">
        <f t="shared" si="19"/>
        <v>-1516.6666666669771</v>
      </c>
      <c r="L55" s="730">
        <f>IF(ABS(J55)&lt;=0.5,0,IF(G55&gt;I55,(G55*0.995)-I55,(G55*1.005)-I55))</f>
        <v>0</v>
      </c>
      <c r="N55" s="726"/>
    </row>
    <row r="56" spans="1:14">
      <c r="A56" s="122" t="s">
        <v>274</v>
      </c>
      <c r="C56" s="133">
        <f>SUM(C51:C55)</f>
        <v>10427079</v>
      </c>
      <c r="D56" s="133"/>
      <c r="E56" s="133">
        <f>SUM(E51:E55)</f>
        <v>775.11696459519044</v>
      </c>
      <c r="G56" s="121">
        <f>SUM(G51:G55)</f>
        <v>10427854.116964595</v>
      </c>
      <c r="H56" s="121"/>
      <c r="I56" s="121">
        <f>SUM(I51:I55)</f>
        <v>10423459.383391455</v>
      </c>
      <c r="K56" s="121">
        <f>SUM(K51:K55)</f>
        <v>-4394.7335731417988</v>
      </c>
      <c r="L56" s="146"/>
      <c r="N56" s="121"/>
    </row>
    <row r="57" spans="1:14">
      <c r="C57" s="133"/>
      <c r="D57" s="133"/>
      <c r="E57" s="128"/>
      <c r="G57" s="121"/>
      <c r="H57" s="121"/>
      <c r="K57" s="121"/>
      <c r="L57" s="146"/>
      <c r="N57" s="121"/>
    </row>
    <row r="58" spans="1:14">
      <c r="A58" s="122" t="s">
        <v>275</v>
      </c>
      <c r="C58" s="133">
        <f>C56+C47+C41+C28+C14</f>
        <v>4062339633</v>
      </c>
      <c r="D58" s="133"/>
      <c r="E58" s="133">
        <f>E56+E47+E41+E28+E14</f>
        <v>10209168.116964595</v>
      </c>
      <c r="G58" s="121">
        <f>G56+G47+G41+G28+G14</f>
        <v>4072548801.1169643</v>
      </c>
      <c r="H58" s="121"/>
      <c r="I58" s="121">
        <f>I56+I47+I41+I28+I14</f>
        <v>4072555794.1776867</v>
      </c>
      <c r="J58" s="122">
        <f>ROUND(I58/G58*100,3)-100</f>
        <v>0</v>
      </c>
      <c r="K58" s="146">
        <f>I58-G58</f>
        <v>6993.0607223510742</v>
      </c>
      <c r="L58" s="135">
        <f>IF(ABS(J58)&lt;=0.5,0,IF(G58&gt;I58,(G58*0.995)-I58,(G58*1.005)-I58))</f>
        <v>0</v>
      </c>
      <c r="N58" s="121">
        <f>N56+N47+N41+N28+N14</f>
        <v>0</v>
      </c>
    </row>
    <row r="59" spans="1:14">
      <c r="C59" s="128"/>
      <c r="D59" s="128"/>
      <c r="E59" s="128"/>
      <c r="J59" s="131"/>
      <c r="K59" s="135"/>
    </row>
    <row r="60" spans="1:14">
      <c r="C60" s="128"/>
      <c r="D60" s="128"/>
      <c r="E60" s="128"/>
      <c r="K60" s="146"/>
    </row>
    <row r="61" spans="1:14">
      <c r="C61" s="129"/>
      <c r="D61" s="129"/>
      <c r="E61" s="128"/>
      <c r="K61" s="146"/>
    </row>
    <row r="62" spans="1:14">
      <c r="A62" s="122" t="s">
        <v>276</v>
      </c>
      <c r="C62" s="139"/>
      <c r="D62" s="139"/>
      <c r="E62" s="140"/>
      <c r="F62" s="141"/>
      <c r="G62" s="141"/>
      <c r="H62" s="141"/>
      <c r="I62" s="141"/>
      <c r="J62" s="131"/>
      <c r="L62" s="146"/>
      <c r="N62" s="141"/>
    </row>
    <row r="63" spans="1:14">
      <c r="A63" s="122" t="s">
        <v>264</v>
      </c>
      <c r="C63" s="133">
        <f>SUMIF($A$6:$A$55,$A63,C$6:C$55)</f>
        <v>1027136</v>
      </c>
      <c r="D63" s="133"/>
      <c r="E63" s="133">
        <f>SUMIF($A$6:$A$55,$A63,E$6:E$55)</f>
        <v>-228</v>
      </c>
      <c r="F63" s="121"/>
      <c r="G63" s="121">
        <f>SUMIF($A$6:$A$55,$A63,G$6:G$55)</f>
        <v>1026908</v>
      </c>
      <c r="H63" s="121"/>
      <c r="I63" s="121">
        <f>SUMIF($A$6:$A$55,$A63,I$6:I$55)</f>
        <v>1033526</v>
      </c>
      <c r="J63" s="122">
        <f>ROUND(I63/G63*100,3)-100</f>
        <v>0.64400000000000546</v>
      </c>
      <c r="K63" s="146">
        <f>I63-G63</f>
        <v>6618</v>
      </c>
      <c r="L63" s="135">
        <f>IF(ABS(J63)&lt;=0.5,0,IF(G63&gt;I63,(G63*0.995)-I63,(G63*1.005)-I63))</f>
        <v>-1483.4600000000792</v>
      </c>
      <c r="M63" s="136"/>
      <c r="N63" s="121">
        <f>SUMIF($A$6:$A$55,"=02OALT015R",N$6:N$55)</f>
        <v>0</v>
      </c>
    </row>
    <row r="64" spans="1:14">
      <c r="A64" s="122" t="s">
        <v>55</v>
      </c>
      <c r="C64" s="133">
        <f>SUMIF($A$6:$A$55,$A64,C$6:C$55)</f>
        <v>2198730</v>
      </c>
      <c r="D64" s="133"/>
      <c r="E64" s="133">
        <f>SUMIF($A$6:$A$55,$A64,E$6:E$55)</f>
        <v>20212</v>
      </c>
      <c r="F64" s="121"/>
      <c r="G64" s="121">
        <f>SUMIF($A$6:$A$55,$A64,G$6:G$55)</f>
        <v>2218942</v>
      </c>
      <c r="H64" s="121"/>
      <c r="I64" s="121">
        <f>SUMIF($A$6:$A$55,$A64,I$6:I$55)</f>
        <v>2224024</v>
      </c>
      <c r="J64" s="122">
        <f>ROUND(I64/G64*100,3)-100</f>
        <v>0.2289999999999992</v>
      </c>
      <c r="K64" s="146">
        <f>I64-G64</f>
        <v>5082</v>
      </c>
      <c r="L64" s="135">
        <f>IF(ABS(J64)&lt;=0.5,0,IF(G64&gt;I64,(G64*0.995)-I64,(G64*1.005)-I64))</f>
        <v>0</v>
      </c>
      <c r="M64" s="136"/>
      <c r="N64" s="121">
        <f>SUMIF($A$6:$A$55,"=02OALT015N",N$6:N$55)</f>
        <v>0</v>
      </c>
    </row>
    <row r="65" spans="1:14">
      <c r="A65" s="122" t="s">
        <v>277</v>
      </c>
      <c r="C65" s="130">
        <f>SUM(C63:C64)</f>
        <v>3225866</v>
      </c>
      <c r="D65" s="130"/>
      <c r="E65" s="130">
        <f>SUM(E63:E64)</f>
        <v>19984</v>
      </c>
      <c r="F65" s="127"/>
      <c r="G65" s="127">
        <f>SUM(G63:G64)</f>
        <v>3245850</v>
      </c>
      <c r="H65" s="127"/>
      <c r="I65" s="127">
        <f>SUM(I63:I64)</f>
        <v>3257550</v>
      </c>
      <c r="J65" s="122">
        <f>ROUND(I65/G65*100,3)-100</f>
        <v>0.35999999999999943</v>
      </c>
      <c r="K65" s="146">
        <f>I65-G65</f>
        <v>11700</v>
      </c>
      <c r="L65" s="135">
        <f>IF(ABS(J65)&lt;=0.5,0,IF(G65&gt;I65,(G65*0.995)-I65,(G65*1.005)-I65))</f>
        <v>0</v>
      </c>
      <c r="M65" s="136"/>
      <c r="N65" s="127">
        <f>SUM(N63:N64)</f>
        <v>0</v>
      </c>
    </row>
    <row r="66" spans="1:14">
      <c r="C66" s="130"/>
      <c r="D66" s="130"/>
      <c r="E66" s="130"/>
      <c r="F66" s="127"/>
      <c r="G66" s="127"/>
      <c r="H66" s="127"/>
      <c r="I66" s="127"/>
      <c r="J66" s="131"/>
      <c r="K66" s="133"/>
      <c r="L66" s="135"/>
      <c r="M66" s="136"/>
      <c r="N66" s="127"/>
    </row>
    <row r="67" spans="1:14">
      <c r="A67" s="122" t="s">
        <v>260</v>
      </c>
      <c r="C67" s="133">
        <f>SUMIF($A$6:$A$55,$A67,C$6:C$55)</f>
        <v>1419612497</v>
      </c>
      <c r="D67" s="133"/>
      <c r="E67" s="133">
        <f>SUMIF($A$6:$A$55,$A67,E$6:E$55)</f>
        <v>-50270</v>
      </c>
      <c r="F67" s="121"/>
      <c r="G67" s="121">
        <f>SUMIF($A$6:$A$55,$A67,G$6:G$55)</f>
        <v>1419562227</v>
      </c>
      <c r="H67" s="121"/>
      <c r="I67" s="121">
        <f>SUMIF($A$6:$A$55,$A67,I$6:I$55)</f>
        <v>1419562084</v>
      </c>
      <c r="J67" s="122">
        <f>ROUND(I67/G67*100,3)-100</f>
        <v>0</v>
      </c>
      <c r="K67" s="146">
        <f>I67-G67</f>
        <v>-143</v>
      </c>
      <c r="L67" s="135">
        <f>IF(ABS(J67)&lt;=0.5,0,IF(G67&gt;I67,(G67*0.995)-I67,(G67*1.005)-I67))</f>
        <v>0</v>
      </c>
      <c r="M67" s="136"/>
      <c r="N67" s="121">
        <f>SUMIF($A$6:$A$55,"=02RESD0016",N$6:N$55)</f>
        <v>0</v>
      </c>
    </row>
    <row r="68" spans="1:14">
      <c r="A68" s="122" t="s">
        <v>261</v>
      </c>
      <c r="C68" s="133">
        <f>SUMIF($A$6:$A$55,$A68,C$6:C$55)</f>
        <v>85689625</v>
      </c>
      <c r="D68" s="133"/>
      <c r="E68" s="133">
        <f>SUMIF($A$6:$A$55,$A68,E$6:E$55)</f>
        <v>-6508</v>
      </c>
      <c r="F68" s="121"/>
      <c r="G68" s="121">
        <f>SUMIF($A$6:$A$55,$A68,G$6:G$55)</f>
        <v>85683117</v>
      </c>
      <c r="H68" s="121"/>
      <c r="I68" s="121">
        <f>SUMIF($A$6:$A$55,$A68,I$6:I$55)</f>
        <v>85683116</v>
      </c>
      <c r="J68" s="122">
        <f>ROUND(I68/G68*100,3)-100</f>
        <v>0</v>
      </c>
      <c r="K68" s="146">
        <f>I68-G68</f>
        <v>-1</v>
      </c>
      <c r="L68" s="135">
        <f>IF(ABS(J68)&lt;=0.5,0,IF(G68&gt;I68,(G68*0.995)-I68,(G68*1.005)-I68))</f>
        <v>0</v>
      </c>
      <c r="M68" s="136"/>
      <c r="N68" s="121">
        <f>SUMIF($A$6:$A$55,"=02RESD0017",N$6:N$55)</f>
        <v>0</v>
      </c>
    </row>
    <row r="69" spans="1:14">
      <c r="A69" s="131" t="s">
        <v>244</v>
      </c>
      <c r="C69" s="133">
        <f>SUMIF($A$6:$A$55,$A69,C$6:C$55)</f>
        <v>2901054</v>
      </c>
      <c r="D69" s="133"/>
      <c r="E69" s="133">
        <f>SUMIF($A$6:$A$55,$A69,E$6:E$55)</f>
        <v>-2167</v>
      </c>
      <c r="F69" s="121"/>
      <c r="G69" s="121">
        <f>SUMIF($A$6:$A$55,$A69,G$6:G$55)</f>
        <v>2898887</v>
      </c>
      <c r="H69" s="121"/>
      <c r="I69" s="121">
        <f>SUMIF($A$6:$A$55,$A69,I$6:I$55)</f>
        <v>2898890</v>
      </c>
      <c r="J69" s="122">
        <f>ROUND(I69/G69*100,3)-100</f>
        <v>0</v>
      </c>
      <c r="K69" s="146">
        <f>I69-G69</f>
        <v>3</v>
      </c>
      <c r="L69" s="135">
        <f>IF(ABS(J69)&lt;=0.5,0,IF(G69&gt;I69,(G69*0.995)-I69,(G69*1.005)-I69))</f>
        <v>0</v>
      </c>
      <c r="M69" s="136"/>
      <c r="N69" s="121">
        <f>SUMIF($A$6:$A$55,"=02RESD0017",N$6:N$55)</f>
        <v>0</v>
      </c>
    </row>
    <row r="70" spans="1:14">
      <c r="A70" s="122" t="s">
        <v>278</v>
      </c>
      <c r="C70" s="130">
        <f>SUM(C67:C69)</f>
        <v>1508203176</v>
      </c>
      <c r="D70" s="130"/>
      <c r="E70" s="130">
        <f>SUM(E67:E69)</f>
        <v>-58945</v>
      </c>
      <c r="F70" s="127"/>
      <c r="G70" s="127">
        <f>SUM(G67:G69)</f>
        <v>1508144231</v>
      </c>
      <c r="H70" s="127"/>
      <c r="I70" s="127">
        <f>SUM(I67:I69)</f>
        <v>1508144090</v>
      </c>
      <c r="J70" s="122">
        <f>ROUND(I70/G70*100,3)-100</f>
        <v>0</v>
      </c>
      <c r="K70" s="146">
        <f>I70-G70</f>
        <v>-141</v>
      </c>
      <c r="L70" s="631" t="s">
        <v>31</v>
      </c>
      <c r="M70" s="136"/>
      <c r="N70" s="127">
        <f>SUM(N67:N69)</f>
        <v>0</v>
      </c>
    </row>
    <row r="71" spans="1:14">
      <c r="C71" s="130"/>
      <c r="D71" s="130"/>
      <c r="E71" s="130"/>
      <c r="F71" s="127"/>
      <c r="G71" s="127"/>
      <c r="H71" s="127"/>
      <c r="I71" s="127"/>
      <c r="J71" s="131"/>
      <c r="K71" s="133"/>
      <c r="L71" s="135"/>
      <c r="M71" s="136"/>
      <c r="N71" s="127"/>
    </row>
    <row r="72" spans="1:14">
      <c r="A72" s="122" t="s">
        <v>262</v>
      </c>
      <c r="C72" s="133">
        <f>SUMIF($A$6:$A$55,$A72,C$6:C$55)</f>
        <v>2188990</v>
      </c>
      <c r="D72" s="133"/>
      <c r="E72" s="133">
        <f>SUMIF($A$6:$A$55,$A72,E$6:E$55)</f>
        <v>0</v>
      </c>
      <c r="F72" s="121"/>
      <c r="G72" s="121">
        <f>SUMIF($A$6:$A$55,$A72,G$6:G$55)</f>
        <v>2188990</v>
      </c>
      <c r="H72" s="121"/>
      <c r="I72" s="121">
        <f>SUMIF($A$6:$A$55,$A72,I$6:I$55)</f>
        <v>2188990</v>
      </c>
      <c r="J72" s="122">
        <f>ROUND(I72/G72*100,3)-100</f>
        <v>0</v>
      </c>
      <c r="K72" s="146">
        <f>I72-G72</f>
        <v>0</v>
      </c>
      <c r="L72" s="135">
        <f>IF(ABS(J72)&lt;=0.5,0,IF(G72&gt;I72,(G72*0.995)-I72,(G72*1.005)-I72))</f>
        <v>0</v>
      </c>
      <c r="M72" s="136"/>
      <c r="N72" s="121">
        <f>SUMIF($A$6:$A$55,"=02RESD0018",N$6:N$55)</f>
        <v>0</v>
      </c>
    </row>
    <row r="73" spans="1:14">
      <c r="A73" s="122" t="s">
        <v>263</v>
      </c>
      <c r="C73" s="133">
        <f>SUMIF($A$6:$A$55,$A73,C$6:C$55)</f>
        <v>397063</v>
      </c>
      <c r="D73" s="133"/>
      <c r="E73" s="133">
        <f>SUMIF($A$6:$A$55,$A73,E$6:E$55)</f>
        <v>0</v>
      </c>
      <c r="F73" s="121"/>
      <c r="G73" s="121">
        <f>SUMIF($A$6:$A$55,$A73,G$6:G$55)</f>
        <v>397063</v>
      </c>
      <c r="H73" s="121"/>
      <c r="I73" s="121">
        <f>SUMIF($A$6:$A$55,$A73,I$6:I$55)</f>
        <v>397063</v>
      </c>
      <c r="J73" s="122">
        <f>ROUND(I73/G73*100,3)-100</f>
        <v>0</v>
      </c>
      <c r="K73" s="146">
        <f>I73-G73</f>
        <v>0</v>
      </c>
      <c r="L73" s="135">
        <f>IF(ABS(J73)&lt;=0.5,0,IF(G73&gt;I73,(G73*0.995)-I73,(G73*1.005)-I73))</f>
        <v>0</v>
      </c>
      <c r="M73" s="136"/>
      <c r="N73" s="121">
        <f>SUMIF($A$6:$A$55,"=02RESD018X",N$6:N$55)</f>
        <v>0</v>
      </c>
    </row>
    <row r="74" spans="1:14">
      <c r="A74" s="122" t="s">
        <v>279</v>
      </c>
      <c r="C74" s="130">
        <f>SUM(C72:C73)</f>
        <v>2586053</v>
      </c>
      <c r="D74" s="130"/>
      <c r="E74" s="130">
        <f>SUM(E72:E73)</f>
        <v>0</v>
      </c>
      <c r="F74" s="127"/>
      <c r="G74" s="127">
        <f>SUM(G72:G73)</f>
        <v>2586053</v>
      </c>
      <c r="H74" s="127"/>
      <c r="I74" s="127">
        <f>SUM(I72:I73)</f>
        <v>2586053</v>
      </c>
      <c r="J74" s="122">
        <f>ROUND(I74/G74*100,3)-100</f>
        <v>0</v>
      </c>
      <c r="K74" s="146">
        <f>I74-G74</f>
        <v>0</v>
      </c>
      <c r="L74" s="135">
        <f>IF(ABS(J74)&lt;=0.5,0,IF(G74&gt;I74,(G74*0.995)-I74,(G74*1.005)-I74))</f>
        <v>0</v>
      </c>
      <c r="M74" s="136"/>
      <c r="N74" s="127">
        <f>SUM(N72:N73)</f>
        <v>0</v>
      </c>
    </row>
    <row r="75" spans="1:14">
      <c r="C75" s="130"/>
      <c r="D75" s="130"/>
      <c r="E75" s="133"/>
      <c r="F75" s="121"/>
      <c r="G75" s="121"/>
      <c r="H75" s="121"/>
      <c r="J75" s="131"/>
      <c r="K75" s="133"/>
      <c r="L75" s="135"/>
      <c r="M75" s="136"/>
      <c r="N75" s="121"/>
    </row>
    <row r="76" spans="1:14">
      <c r="A76" s="122" t="s">
        <v>51</v>
      </c>
      <c r="C76" s="133">
        <f>SUMIF($A$6:$A$55,$A76,C$6:C$55)</f>
        <v>519638958</v>
      </c>
      <c r="D76" s="133"/>
      <c r="E76" s="133">
        <f>SUMIF($A$6:$A$55,$A76,E$6:E$55)</f>
        <v>285068</v>
      </c>
      <c r="F76" s="121"/>
      <c r="G76" s="121">
        <f>SUMIF($A$6:$A$55,$A76,G$6:G$55)</f>
        <v>519924026</v>
      </c>
      <c r="H76" s="121"/>
      <c r="I76" s="121">
        <f>SUMIF($A$6:$A$55,$A76,I$6:I$55)</f>
        <v>519999647</v>
      </c>
      <c r="J76" s="122">
        <f t="shared" ref="J76:J81" si="20">ROUND(I76/G76*100,3)-100</f>
        <v>1.5000000000000568E-2</v>
      </c>
      <c r="K76" s="146">
        <f t="shared" ref="K76:K81" si="21">I76-G76</f>
        <v>75621</v>
      </c>
      <c r="L76" s="135">
        <f t="shared" ref="L76:L81" si="22">IF(ABS(J76)&lt;=0.5,0,IF(G76&gt;I76,(G76*0.995)-I76,(G76*1.005)-I76))</f>
        <v>0</v>
      </c>
      <c r="M76" s="136"/>
      <c r="N76" s="121">
        <f>SUMIF($A$6:$A$55,"=02GNSV0024",N$6:N$55)</f>
        <v>0</v>
      </c>
    </row>
    <row r="77" spans="1:14">
      <c r="A77" s="122" t="s">
        <v>52</v>
      </c>
      <c r="C77" s="133">
        <f>SUMIF($A$6:$A$55,$A77,C$6:C$55)</f>
        <v>1306932</v>
      </c>
      <c r="D77" s="133"/>
      <c r="E77" s="133">
        <f>SUMIF($A$6:$A$55,$A77,E$6:E$55)</f>
        <v>-3151</v>
      </c>
      <c r="F77" s="121"/>
      <c r="G77" s="121">
        <f>SUMIF($A$6:$A$55,$A77,G$6:G$55)</f>
        <v>1303781</v>
      </c>
      <c r="H77" s="121"/>
      <c r="I77" s="121">
        <f>SUMIF($A$6:$A$55,$A77,I$6:I$55)</f>
        <v>1303781.7942953119</v>
      </c>
      <c r="J77" s="122">
        <f t="shared" si="20"/>
        <v>0</v>
      </c>
      <c r="K77" s="146">
        <f t="shared" si="21"/>
        <v>0.79429531190544367</v>
      </c>
      <c r="L77" s="135">
        <f t="shared" si="22"/>
        <v>0</v>
      </c>
      <c r="M77" s="136"/>
      <c r="N77" s="121">
        <f>SUMIF($A$6:$A$55,"=02GNSV024F",N$6:N$55)</f>
        <v>0</v>
      </c>
    </row>
    <row r="78" spans="1:14">
      <c r="A78" s="142" t="s">
        <v>289</v>
      </c>
      <c r="C78" s="133">
        <f>SUMIF($A$6:$A$55,$A78,C$6:C$55)</f>
        <v>306265</v>
      </c>
      <c r="D78" s="133"/>
      <c r="E78" s="133">
        <f>SUMIF($A$6:$A$55,$A78,E$6:E$55)</f>
        <v>-15499</v>
      </c>
      <c r="F78" s="121"/>
      <c r="G78" s="121">
        <f>SUMIF($A$6:$A$55,$A78,G$6:G$55)</f>
        <v>290766</v>
      </c>
      <c r="H78" s="121"/>
      <c r="I78" s="121">
        <f>SUMIF($A$6:$A$55,$A78,I$6:I$55)</f>
        <v>290766</v>
      </c>
      <c r="J78" s="122">
        <f t="shared" si="20"/>
        <v>0</v>
      </c>
      <c r="K78" s="146">
        <f t="shared" si="21"/>
        <v>0</v>
      </c>
      <c r="L78" s="135">
        <f t="shared" si="22"/>
        <v>0</v>
      </c>
      <c r="M78" s="136"/>
      <c r="N78" s="121">
        <f>SUMIF($A$6:$A$55,"=02GNSV24FP",N$6:N$55)</f>
        <v>0</v>
      </c>
    </row>
    <row r="79" spans="1:14">
      <c r="A79" s="131" t="s">
        <v>727</v>
      </c>
      <c r="C79" s="133">
        <f>SUMIF($A$6:$A$55,$A79,C$6:C$55)</f>
        <v>21459037</v>
      </c>
      <c r="D79" s="133"/>
      <c r="E79" s="133">
        <f>SUMIF($A$6:$A$55,$A79,E$6:E$55)</f>
        <v>79766</v>
      </c>
      <c r="F79" s="121"/>
      <c r="G79" s="121">
        <f>SUMIF($A$6:$A$55,$A79,G$6:G$55)</f>
        <v>21538803</v>
      </c>
      <c r="H79" s="121"/>
      <c r="I79" s="121">
        <f>SUMIF($A$6:$A$55,$A79,I$6:I$55)</f>
        <v>21463183</v>
      </c>
      <c r="J79" s="122">
        <f t="shared" si="20"/>
        <v>-0.35099999999999909</v>
      </c>
      <c r="K79" s="146">
        <f t="shared" si="21"/>
        <v>-75620</v>
      </c>
      <c r="L79" s="135">
        <f t="shared" si="22"/>
        <v>0</v>
      </c>
      <c r="M79" s="136"/>
      <c r="N79" s="121">
        <f>SUMIF($A$6:$A$55,"=02GNSV24FP",N$6:N$55)</f>
        <v>0</v>
      </c>
    </row>
    <row r="80" spans="1:14">
      <c r="A80" s="131" t="s">
        <v>212</v>
      </c>
      <c r="C80" s="133">
        <f>SUMIF($A$6:$A$55,$A80,C$6:C$55)</f>
        <v>1568941</v>
      </c>
      <c r="D80" s="133"/>
      <c r="E80" s="133">
        <f>SUMIF($A$6:$A$55,$A80,E$6:E$55)</f>
        <v>-44702</v>
      </c>
      <c r="F80" s="121"/>
      <c r="G80" s="121">
        <f>SUMIF($A$6:$A$55,$A80,G$6:G$55)</f>
        <v>1524239</v>
      </c>
      <c r="H80" s="121"/>
      <c r="I80" s="121">
        <f>SUMIF($A$6:$A$55,$A80,I$6:I$55)</f>
        <v>1524239</v>
      </c>
      <c r="J80" s="122">
        <f t="shared" si="20"/>
        <v>0</v>
      </c>
      <c r="K80" s="146">
        <f t="shared" si="21"/>
        <v>0</v>
      </c>
      <c r="L80" s="135">
        <f t="shared" si="22"/>
        <v>0</v>
      </c>
      <c r="M80" s="136"/>
      <c r="N80" s="121">
        <f>SUMIF($A$6:$A$55,"=02LGSV0036",N$6:N$55)</f>
        <v>0</v>
      </c>
    </row>
    <row r="81" spans="1:14">
      <c r="A81" s="122" t="s">
        <v>280</v>
      </c>
      <c r="C81" s="133">
        <f>SUM(C76:C80)</f>
        <v>544280133</v>
      </c>
      <c r="D81" s="133"/>
      <c r="E81" s="133">
        <f>SUM(E76:E80)</f>
        <v>301482</v>
      </c>
      <c r="F81" s="121"/>
      <c r="G81" s="121">
        <f>SUM(G76:G80)</f>
        <v>544581615</v>
      </c>
      <c r="H81" s="121"/>
      <c r="I81" s="121">
        <f>SUM(I76:I80)</f>
        <v>544581616.79429531</v>
      </c>
      <c r="J81" s="122">
        <f t="shared" si="20"/>
        <v>0</v>
      </c>
      <c r="K81" s="146">
        <f t="shared" si="21"/>
        <v>1.7942953109741211</v>
      </c>
      <c r="L81" s="135">
        <f t="shared" si="22"/>
        <v>0</v>
      </c>
      <c r="M81" s="136"/>
      <c r="N81" s="121">
        <f>SUM(N76:N78)</f>
        <v>0</v>
      </c>
    </row>
    <row r="82" spans="1:14">
      <c r="C82" s="133"/>
      <c r="D82" s="133"/>
      <c r="E82" s="133"/>
      <c r="F82" s="121"/>
      <c r="G82" s="121"/>
      <c r="H82" s="121"/>
      <c r="J82" s="131"/>
      <c r="K82" s="133"/>
      <c r="L82" s="135"/>
      <c r="M82" s="136"/>
      <c r="N82" s="121"/>
    </row>
    <row r="83" spans="1:14">
      <c r="A83" s="122" t="s">
        <v>53</v>
      </c>
      <c r="C83" s="133">
        <f>SUMIF($A$6:$A$55,$A83,C$6:C$55)</f>
        <v>934772162</v>
      </c>
      <c r="D83" s="133"/>
      <c r="E83" s="133">
        <f>SUMIF($A$6:$A$55,$A83,E$6:E$55)</f>
        <v>2942340</v>
      </c>
      <c r="F83" s="121"/>
      <c r="G83" s="121">
        <f>SUMIF($A$6:$A$55,$A83,G$6:G$55)</f>
        <v>937714502</v>
      </c>
      <c r="H83" s="121"/>
      <c r="I83" s="121">
        <f>SUMIF($A$6:$A$55,$A83,I$6:I$55)</f>
        <v>937714502</v>
      </c>
      <c r="J83" s="122">
        <f>ROUND(I83/G83*100,3)-100</f>
        <v>0</v>
      </c>
      <c r="K83" s="146">
        <f>I83-G83</f>
        <v>0</v>
      </c>
      <c r="L83" s="135">
        <f>IF(ABS(J83)&lt;=0.5,0,IF(G83&gt;I83,(G83*0.995)-I83,(G83*1.005)-I83))</f>
        <v>0</v>
      </c>
      <c r="M83" s="136"/>
      <c r="N83" s="121">
        <f>SUMIF($A$6:$A$55,"=02LGSV0036",N$6:N$55)</f>
        <v>0</v>
      </c>
    </row>
    <row r="84" spans="1:14">
      <c r="A84" s="131" t="s">
        <v>669</v>
      </c>
      <c r="C84" s="133">
        <f>SUMIF($A$6:$A$55,$A84,C$6:C$55)</f>
        <v>4261740</v>
      </c>
      <c r="D84" s="133"/>
      <c r="E84" s="133">
        <f>SUMIF($A$6:$A$55,$A84,E$6:E$55)</f>
        <v>-69120</v>
      </c>
      <c r="F84" s="121"/>
      <c r="G84" s="121">
        <f>SUMIF($A$6:$A$55,$A84,G$6:G$55)</f>
        <v>4192620</v>
      </c>
      <c r="H84" s="121"/>
      <c r="I84" s="121">
        <f>SUMIF($A$6:$A$55,$A84,I$6:I$55)</f>
        <v>4192620</v>
      </c>
      <c r="J84" s="122">
        <f>ROUND(I84/G84*100,3)-100</f>
        <v>0</v>
      </c>
      <c r="K84" s="146">
        <f>I84-G84</f>
        <v>0</v>
      </c>
      <c r="L84" s="135">
        <f>IF(ABS(J84)&lt;=0.5,0,IF(G84&gt;I84,(G84*0.995)-I84,(G84*1.005)-I84))</f>
        <v>0</v>
      </c>
      <c r="M84" s="136"/>
      <c r="N84" s="121">
        <f>SUMIF($A$6:$A$55,"=02LGSV0036",N$6:N$55)</f>
        <v>0</v>
      </c>
    </row>
    <row r="85" spans="1:14">
      <c r="A85" s="122" t="s">
        <v>281</v>
      </c>
      <c r="C85" s="133">
        <f>SUM(C83:C84)</f>
        <v>939033902</v>
      </c>
      <c r="D85" s="133"/>
      <c r="E85" s="133">
        <f>SUM(E83:E84)</f>
        <v>2873220</v>
      </c>
      <c r="F85" s="121"/>
      <c r="G85" s="121">
        <f>SUM(G83:G84)</f>
        <v>941907122</v>
      </c>
      <c r="H85" s="121"/>
      <c r="I85" s="121">
        <f>SUM(I83:I84)</f>
        <v>941907122</v>
      </c>
      <c r="J85" s="122">
        <f>ROUND(I85/G85*100,3)-100</f>
        <v>0</v>
      </c>
      <c r="K85" s="146">
        <f>I85-G85</f>
        <v>0</v>
      </c>
      <c r="L85" s="135">
        <f>IF(ABS(J85)&lt;=0.5,0,IF(G85&gt;I85,(G85*0.995)-I85,(G85*1.005)-I85))</f>
        <v>0</v>
      </c>
      <c r="M85" s="136"/>
      <c r="N85" s="121">
        <f>SUM(N83:N83)</f>
        <v>0</v>
      </c>
    </row>
    <row r="86" spans="1:14">
      <c r="C86" s="133"/>
      <c r="D86" s="133"/>
      <c r="E86" s="133"/>
      <c r="F86" s="121"/>
      <c r="G86" s="121"/>
      <c r="H86" s="121"/>
      <c r="K86" s="146"/>
      <c r="L86" s="135"/>
      <c r="M86" s="136"/>
      <c r="N86" s="121"/>
    </row>
    <row r="87" spans="1:14">
      <c r="C87" s="133"/>
      <c r="D87" s="133"/>
      <c r="E87" s="133"/>
      <c r="F87" s="121"/>
      <c r="G87" s="121"/>
      <c r="H87" s="121"/>
      <c r="J87" s="131"/>
      <c r="K87" s="133"/>
      <c r="L87" s="135"/>
      <c r="M87" s="136"/>
      <c r="N87" s="121"/>
    </row>
    <row r="88" spans="1:14">
      <c r="A88" s="122" t="s">
        <v>58</v>
      </c>
      <c r="C88" s="133">
        <f>SUMIF($A$6:$A$55,$A88,C$6:C$55)</f>
        <v>132878300</v>
      </c>
      <c r="D88" s="133"/>
      <c r="E88" s="133">
        <f>SUMIF($A$6:$A$55,$A88,E$6:E$55)</f>
        <v>3693498</v>
      </c>
      <c r="F88" s="121"/>
      <c r="G88" s="121">
        <f>SUMIF($A$6:$A$55,$A88,G$6:G$55)</f>
        <v>136571798</v>
      </c>
      <c r="H88" s="121"/>
      <c r="I88" s="121">
        <f>SUMIF($A$6:$A$55,$A88,I$6:I$55)</f>
        <v>136571800</v>
      </c>
      <c r="J88" s="122">
        <f>ROUND(I88/G88*100,3)-100</f>
        <v>0</v>
      </c>
      <c r="K88" s="146">
        <f>I88-G88</f>
        <v>2</v>
      </c>
      <c r="L88" s="135">
        <f>IF(ABS(J88)&lt;=0.5,0,IF(G88&gt;I88,(G88*0.995)-I88,(G88*1.005)-I88))</f>
        <v>0</v>
      </c>
      <c r="M88" s="136"/>
      <c r="N88" s="121">
        <f>SUMIF($A$6:$A$55,"=02APSV0040",N$6:N$55)</f>
        <v>0</v>
      </c>
    </row>
    <row r="89" spans="1:14">
      <c r="A89" s="122" t="s">
        <v>59</v>
      </c>
      <c r="C89" s="133">
        <f>SUMIF($A$6:$A$55,$A89,C$6:C$55)</f>
        <v>47343132</v>
      </c>
      <c r="D89" s="133"/>
      <c r="E89" s="133">
        <f>SUMIF($A$6:$A$55,$A89,E$6:E$55)</f>
        <v>838155</v>
      </c>
      <c r="F89" s="121"/>
      <c r="G89" s="121">
        <f>SUMIF($A$6:$A$55,$A89,G$6:G$55)</f>
        <v>48181287</v>
      </c>
      <c r="H89" s="121"/>
      <c r="I89" s="121">
        <f>SUMIF($A$6:$A$55,$A89,I$6:I$55)</f>
        <v>48181287</v>
      </c>
      <c r="J89" s="122">
        <f>ROUND(I89/G89*100,3)-100</f>
        <v>0</v>
      </c>
      <c r="K89" s="146">
        <f>I89-G89</f>
        <v>0</v>
      </c>
      <c r="L89" s="135">
        <f>IF(ABS(J89)&lt;=0.5,0,IF(G89&gt;I89,(G89*0.995)-I89,(G89*1.005)-I89))</f>
        <v>0</v>
      </c>
      <c r="M89" s="136"/>
      <c r="N89" s="121">
        <f>SUMIF($A$6:$A$55,"=02APSV040X",N$6:N$55)</f>
        <v>0</v>
      </c>
    </row>
    <row r="90" spans="1:14">
      <c r="A90" s="122" t="s">
        <v>282</v>
      </c>
      <c r="C90" s="133">
        <f>SUM(C88:C89)</f>
        <v>180221432</v>
      </c>
      <c r="D90" s="133"/>
      <c r="E90" s="133">
        <f>SUM(E88:E89)</f>
        <v>4531653</v>
      </c>
      <c r="F90" s="121"/>
      <c r="G90" s="121">
        <f>SUM(G88:G89)</f>
        <v>184753085</v>
      </c>
      <c r="H90" s="121"/>
      <c r="I90" s="121">
        <f>SUM(I88:I89)</f>
        <v>184753087</v>
      </c>
      <c r="J90" s="122">
        <f>ROUND(I90/G90*100,3)-100</f>
        <v>0</v>
      </c>
      <c r="K90" s="146">
        <f>I90-G90</f>
        <v>2</v>
      </c>
      <c r="L90" s="135">
        <f>IF(ABS(J90)&lt;=0.5,0,IF(G90&gt;I90,(G90*0.995)-I90,(G90*1.005)-I90))</f>
        <v>0</v>
      </c>
      <c r="M90" s="136"/>
      <c r="N90" s="121">
        <f>SUM(N88:N89)</f>
        <v>0</v>
      </c>
    </row>
    <row r="91" spans="1:14">
      <c r="C91" s="133"/>
      <c r="D91" s="133"/>
      <c r="E91" s="133"/>
      <c r="F91" s="121"/>
      <c r="G91" s="121"/>
      <c r="H91" s="121"/>
      <c r="J91" s="131"/>
      <c r="K91" s="133"/>
      <c r="L91" s="135"/>
      <c r="M91" s="136"/>
      <c r="N91" s="121"/>
    </row>
    <row r="92" spans="1:14">
      <c r="A92" s="122" t="s">
        <v>159</v>
      </c>
      <c r="C92" s="133">
        <f>SUMIF($A$6:$A$55,$A92,C$6:C$55)</f>
        <v>2148000</v>
      </c>
      <c r="D92" s="133"/>
      <c r="E92" s="133">
        <f>SUMIF($A$6:$A$55,$A92,E$6:E$55)</f>
        <v>98000</v>
      </c>
      <c r="F92" s="121"/>
      <c r="G92" s="121">
        <f>SUMIF($A$6:$A$55,$A92,G$6:G$55)</f>
        <v>2246000</v>
      </c>
      <c r="H92" s="121"/>
      <c r="I92" s="121">
        <f>SUMIF($A$6:$A$55,$A92,I$6:I$55)</f>
        <v>2245825</v>
      </c>
      <c r="J92" s="122">
        <f>ROUND(I92/G92*100,3)-100</f>
        <v>-7.9999999999955662E-3</v>
      </c>
      <c r="K92" s="146">
        <f>I92-G92</f>
        <v>-175</v>
      </c>
      <c r="L92" s="135">
        <f>IF(ABS(J92)&lt;=0.5,0,IF(G92&gt;I92,(G92*0.995)-I92,(G92*1.005)-I92))</f>
        <v>0</v>
      </c>
      <c r="M92" s="136"/>
      <c r="N92" s="121">
        <f>SUMIF($A$6:$A$55,"=02PRSV47TM",N$6:N$55)</f>
        <v>0</v>
      </c>
    </row>
    <row r="93" spans="1:14">
      <c r="C93" s="133"/>
      <c r="D93" s="133"/>
      <c r="E93" s="133"/>
      <c r="F93" s="121"/>
      <c r="G93" s="121"/>
      <c r="H93" s="121"/>
      <c r="J93" s="131"/>
      <c r="K93" s="133"/>
      <c r="L93" s="135"/>
      <c r="M93" s="136"/>
      <c r="N93" s="121"/>
    </row>
    <row r="94" spans="1:14">
      <c r="A94" s="122" t="s">
        <v>54</v>
      </c>
      <c r="C94" s="133">
        <f>SUMIF($A$6:$A$55,$A94,C$6:C$55)+C38</f>
        <v>871944310</v>
      </c>
      <c r="D94" s="133"/>
      <c r="E94" s="133">
        <f>SUMIF($A$6:$A$55,$A94,E$6:E$55)+E38</f>
        <v>2444900</v>
      </c>
      <c r="F94" s="121"/>
      <c r="G94" s="121">
        <f>C94+E94</f>
        <v>874389210</v>
      </c>
      <c r="H94" s="121"/>
      <c r="I94" s="121">
        <f>SUMIF($A$6:$A$55,$A94,I$6:I$55)+I38</f>
        <v>874389210</v>
      </c>
      <c r="J94" s="122">
        <f>ROUND(I94/G94*100,3)-100</f>
        <v>0</v>
      </c>
      <c r="K94" s="146">
        <f>I94-G94</f>
        <v>0</v>
      </c>
      <c r="L94" s="135">
        <f>IF(ABS(J94)&lt;=0.5,0,IF(G94&gt;I94,(G94*0.995)-I94,(G94*1.005)-I94))</f>
        <v>0</v>
      </c>
      <c r="M94" s="136"/>
      <c r="N94" s="121">
        <f>SUMIF($A$6:$A$55,"=02LGSV048T",N$6:N$55)</f>
        <v>0</v>
      </c>
    </row>
    <row r="95" spans="1:14">
      <c r="A95" s="122" t="s">
        <v>60</v>
      </c>
      <c r="C95" s="133">
        <f>SUMIF($A$6:$A$55,$A95,C$6:C$55)</f>
        <v>0</v>
      </c>
      <c r="D95" s="133"/>
      <c r="E95" s="133">
        <f>SUMIF($A$6:$A$55,$A95,E$6:E$55)</f>
        <v>0</v>
      </c>
      <c r="F95" s="121"/>
      <c r="G95" s="121">
        <f>SUMIF($A$6:$A$55,$A95,G$6:G$55)</f>
        <v>0</v>
      </c>
      <c r="H95" s="121"/>
      <c r="I95" s="121">
        <f>SUMIF($A$6:$A$55,$A95,I$6:I$55)</f>
        <v>0</v>
      </c>
      <c r="J95" s="122" t="e">
        <f>ROUND(I95/G95*100,3)-100</f>
        <v>#DIV/0!</v>
      </c>
      <c r="K95" s="146">
        <f>I95-G95</f>
        <v>0</v>
      </c>
      <c r="L95" s="135" t="e">
        <f>IF(ABS(J95)&lt;=0.5,0,IF(G95&gt;I95,(G95*0.995)-I95,(G95*1.005)-I95))</f>
        <v>#DIV/0!</v>
      </c>
      <c r="M95" s="136"/>
      <c r="N95" s="121">
        <f>SUMIF($A$6:$A$55,"=02LGSV048M",N$6:N$55)</f>
        <v>0</v>
      </c>
    </row>
    <row r="96" spans="1:14">
      <c r="A96" s="122" t="s">
        <v>283</v>
      </c>
      <c r="C96" s="133">
        <f>SUM(C94:C95)</f>
        <v>871944310</v>
      </c>
      <c r="D96" s="133"/>
      <c r="E96" s="133">
        <f>SUM(E94:E95)</f>
        <v>2444900</v>
      </c>
      <c r="F96" s="121"/>
      <c r="G96" s="121">
        <f>SUM(G94:G95)</f>
        <v>874389210</v>
      </c>
      <c r="H96" s="121"/>
      <c r="I96" s="121">
        <f>SUM(I94:I95)</f>
        <v>874389210</v>
      </c>
      <c r="J96" s="122">
        <f>ROUND(I96/G96*100,3)-100</f>
        <v>0</v>
      </c>
      <c r="K96" s="146">
        <f>I96-G96</f>
        <v>0</v>
      </c>
      <c r="L96" s="135">
        <f>IF(ABS(J96)&lt;=0.5,0,IF(G96&gt;I96,(G96*0.995)-I96,(G96*1.005)-I96))</f>
        <v>0</v>
      </c>
      <c r="M96" s="136"/>
      <c r="N96" s="121">
        <f>SUM(N94:N95)</f>
        <v>0</v>
      </c>
    </row>
    <row r="97" spans="1:14">
      <c r="C97" s="133"/>
      <c r="D97" s="133"/>
      <c r="E97" s="133"/>
      <c r="F97" s="121"/>
      <c r="G97" s="121"/>
      <c r="H97" s="121"/>
      <c r="J97" s="131"/>
      <c r="K97" s="133"/>
      <c r="L97" s="135"/>
      <c r="M97" s="136"/>
      <c r="N97" s="121"/>
    </row>
    <row r="98" spans="1:14">
      <c r="A98" s="122" t="s">
        <v>960</v>
      </c>
      <c r="C98" s="133">
        <f>SUMIF($A$6:$A$55,$A98,C$6:C$55)</f>
        <v>3892466</v>
      </c>
      <c r="D98" s="133"/>
      <c r="E98" s="133">
        <f>SUMIF($A$6:$A$55,$A98,E$6:E$55)</f>
        <v>-8741.889906393546</v>
      </c>
      <c r="F98" s="121"/>
      <c r="G98" s="121">
        <f>SUMIF($A$6:$A$55,$A98,G$6:G$55)</f>
        <v>3883724.1100936066</v>
      </c>
      <c r="H98" s="121"/>
      <c r="I98" s="121">
        <f>SUMIF($A$6:$A$55,$A98,I$6:I$55)</f>
        <v>3883379.6674147383</v>
      </c>
      <c r="J98" s="122">
        <f>ROUND(I98/G98*100,3)-100</f>
        <v>-9.0000000000003411E-3</v>
      </c>
      <c r="K98" s="146">
        <f>I98-G98</f>
        <v>-344.44267886830494</v>
      </c>
      <c r="L98" s="135">
        <f>IF(ABS(J98)&lt;=0.5,0,IF(G98&gt;I98,(G98*0.995)-I98,(G98*1.005)-I98))</f>
        <v>0</v>
      </c>
      <c r="M98" s="136"/>
      <c r="N98" s="121">
        <f>SUMIF($A$6:$A$55,"=02HPSV0051",N$6:N$55)</f>
        <v>0</v>
      </c>
    </row>
    <row r="99" spans="1:14">
      <c r="C99" s="133"/>
      <c r="D99" s="133"/>
      <c r="E99" s="133"/>
      <c r="F99" s="121"/>
      <c r="G99" s="121"/>
      <c r="H99" s="121"/>
      <c r="J99" s="131"/>
      <c r="K99" s="133"/>
      <c r="L99" s="135"/>
      <c r="M99" s="136"/>
      <c r="N99" s="121"/>
    </row>
    <row r="100" spans="1:14">
      <c r="A100" s="122" t="s">
        <v>61</v>
      </c>
      <c r="C100" s="133">
        <f>SUMIF($A$6:$A$55,$A100,C$6:C$55)</f>
        <v>202401</v>
      </c>
      <c r="D100" s="133"/>
      <c r="E100" s="133">
        <f>SUMIF($A$6:$A$55,$A100,E$6:E$55)</f>
        <v>7139.9266034302063</v>
      </c>
      <c r="F100" s="121"/>
      <c r="G100" s="121">
        <f>SUMIF($A$6:$A$55,$A100,G$6:G$55)</f>
        <v>209540.92660343021</v>
      </c>
      <c r="H100" s="121"/>
      <c r="I100" s="121">
        <f>SUMIF($A$6:$A$55,$A100,I$6:I$55)</f>
        <v>209541.66875847799</v>
      </c>
      <c r="J100" s="122">
        <f>ROUND(I100/G100*100,3)-100</f>
        <v>0</v>
      </c>
      <c r="K100" s="146">
        <f>I100-G100</f>
        <v>0.74215504777384922</v>
      </c>
      <c r="L100" s="135">
        <f>IF(ABS(J100)&lt;=0.5,0,IF(G100&gt;I100,(G100*0.995)-I100,(G100*1.005)-I100))</f>
        <v>0</v>
      </c>
      <c r="M100" s="136"/>
      <c r="N100" s="121">
        <f>SUMIF($A$6:$A$55,"=02COSL0052",N$6:N$55)</f>
        <v>0</v>
      </c>
    </row>
    <row r="101" spans="1:14">
      <c r="C101" s="133"/>
      <c r="D101" s="133"/>
      <c r="E101" s="133"/>
      <c r="F101" s="121"/>
      <c r="G101" s="121"/>
      <c r="H101" s="121"/>
      <c r="J101" s="131"/>
      <c r="K101" s="133"/>
      <c r="L101" s="135"/>
      <c r="M101" s="136"/>
      <c r="N101" s="121"/>
    </row>
    <row r="102" spans="1:14">
      <c r="A102" s="122" t="s">
        <v>62</v>
      </c>
      <c r="C102" s="133">
        <f>SUMIF($A$6:$A$55,$A102,C$6:C$55)</f>
        <v>3447449</v>
      </c>
      <c r="D102" s="133"/>
      <c r="E102" s="133">
        <f>SUMIF($A$6:$A$55,$A102,E$6:E$55)</f>
        <v>2349.0802675585301</v>
      </c>
      <c r="F102" s="121"/>
      <c r="G102" s="121">
        <f>SUMIF($A$6:$A$55,$A102,G$6:G$55)</f>
        <v>3449798.0802675583</v>
      </c>
      <c r="H102" s="121"/>
      <c r="I102" s="121">
        <f>SUMIF($A$6:$A$55,$A102,I$6:I$55)</f>
        <v>3447468.713884904</v>
      </c>
      <c r="J102" s="122">
        <f>ROUND(I102/G102*100,3)-100</f>
        <v>-6.799999999999784E-2</v>
      </c>
      <c r="K102" s="146">
        <f>I102-G102</f>
        <v>-2329.3663826542906</v>
      </c>
      <c r="L102" s="135">
        <f>IF(ABS(J102)&lt;=0.5,0,IF(G102&gt;I102,(G102*0.995)-I102,(G102*1.005)-I102))</f>
        <v>0</v>
      </c>
      <c r="M102" s="136"/>
      <c r="N102" s="121">
        <f>SUMIF($A$6:$A$55,"=02CUSL053F",N$6:N$55)</f>
        <v>0</v>
      </c>
    </row>
    <row r="103" spans="1:14">
      <c r="A103" s="122" t="s">
        <v>63</v>
      </c>
      <c r="C103" s="133">
        <f>SUMIF($A$6:$A$55,$A103,C$6:C$55)</f>
        <v>1151385</v>
      </c>
      <c r="D103" s="133"/>
      <c r="E103" s="133">
        <f>SUMIF($A$6:$A$55,$A103,E$6:E$55)</f>
        <v>28</v>
      </c>
      <c r="F103" s="121"/>
      <c r="G103" s="121">
        <f>SUMIF($A$6:$A$55,$A103,G$6:G$55)</f>
        <v>1151413</v>
      </c>
      <c r="H103" s="121"/>
      <c r="I103" s="121">
        <f>SUMIF($A$6:$A$55,$A103,I$6:I$55)</f>
        <v>1151208</v>
      </c>
      <c r="J103" s="122">
        <f>ROUND(I103/G103*100,3)-100</f>
        <v>-1.8000000000000682E-2</v>
      </c>
      <c r="K103" s="146">
        <f>I103-G103</f>
        <v>-205</v>
      </c>
      <c r="L103" s="135">
        <f>IF(ABS(J103)&lt;=0.5,0,IF(G103&gt;I103,(G103*0.995)-I103,(G103*1.005)-I103))</f>
        <v>0</v>
      </c>
      <c r="M103" s="136"/>
      <c r="N103" s="121">
        <f>SUMIF($A$6:$A$55,"=02CUSL053M",N$6:N$55)</f>
        <v>0</v>
      </c>
    </row>
    <row r="104" spans="1:14">
      <c r="A104" s="122" t="s">
        <v>284</v>
      </c>
      <c r="C104" s="133">
        <f>SUM(C102:C103)</f>
        <v>4598834</v>
      </c>
      <c r="D104" s="133"/>
      <c r="E104" s="133">
        <f>SUM(E102:E103)</f>
        <v>2377.0802675585301</v>
      </c>
      <c r="F104" s="121"/>
      <c r="G104" s="121">
        <f>SUM(G102:G103)</f>
        <v>4601211.0802675579</v>
      </c>
      <c r="H104" s="121"/>
      <c r="I104" s="121">
        <f>SUM(I102:I103)</f>
        <v>4598676.713884904</v>
      </c>
      <c r="J104" s="122">
        <f>ROUND(I104/G104*100,3)-100</f>
        <v>-5.5000000000006821E-2</v>
      </c>
      <c r="K104" s="146">
        <f>I104-G104</f>
        <v>-2534.366382653825</v>
      </c>
      <c r="L104" s="135">
        <f>IF(ABS(J104)&lt;=0.5,0,IF(G104&gt;I104,(G104*0.995)-I104,(G104*1.005)-I104))</f>
        <v>0</v>
      </c>
      <c r="M104" s="136"/>
      <c r="N104" s="121">
        <f>SUM(N102:N103)</f>
        <v>0</v>
      </c>
    </row>
    <row r="105" spans="1:14">
      <c r="C105" s="133"/>
      <c r="D105" s="133"/>
      <c r="E105" s="133"/>
      <c r="F105" s="121"/>
      <c r="G105" s="121"/>
      <c r="H105" s="121"/>
      <c r="J105" s="131"/>
      <c r="K105" s="133"/>
      <c r="L105" s="135"/>
      <c r="M105" s="136"/>
      <c r="N105" s="121"/>
    </row>
    <row r="106" spans="1:14">
      <c r="A106" s="122" t="s">
        <v>56</v>
      </c>
      <c r="C106" s="133">
        <f>SUMIF($A$6:$A$55,$A106,C$6:C$55)</f>
        <v>269682</v>
      </c>
      <c r="D106" s="133"/>
      <c r="E106" s="133">
        <f>SUMIF($A$6:$A$55,$A106,E$6:E$55)</f>
        <v>-1901</v>
      </c>
      <c r="F106" s="121"/>
      <c r="G106" s="121">
        <f>SUMIF($A$6:$A$55,$A106,G$6:G$55)</f>
        <v>267781</v>
      </c>
      <c r="H106" s="121"/>
      <c r="I106" s="121">
        <f>SUMIF($A$6:$A$55,$A106,I$6:I$55)</f>
        <v>267781</v>
      </c>
      <c r="J106" s="122">
        <f>ROUND(I106/G106*100,3)-100</f>
        <v>0</v>
      </c>
      <c r="K106" s="146">
        <f>I106-G106</f>
        <v>0</v>
      </c>
      <c r="L106" s="135">
        <f>IF(ABS(J106)&lt;=0.5,0,IF(G106&gt;I106,(G106*0.995)-I106,(G106*1.005)-I106))</f>
        <v>0</v>
      </c>
      <c r="M106" s="136"/>
      <c r="N106" s="121">
        <f>SUMIF($A$6:$A$55,"=02RCFL0054",N$6:N$55)</f>
        <v>0</v>
      </c>
    </row>
    <row r="107" spans="1:14">
      <c r="C107" s="133"/>
      <c r="D107" s="133"/>
      <c r="E107" s="133"/>
      <c r="F107" s="121"/>
      <c r="G107" s="121"/>
      <c r="H107" s="121"/>
      <c r="J107" s="131"/>
      <c r="K107" s="133"/>
      <c r="L107" s="135"/>
      <c r="M107" s="136"/>
      <c r="N107" s="121"/>
    </row>
    <row r="108" spans="1:14">
      <c r="A108" s="122" t="s">
        <v>65</v>
      </c>
      <c r="C108" s="133">
        <f>SUMIF($A$6:$A$55,$A108,C$6:C$55)</f>
        <v>1733378</v>
      </c>
      <c r="D108" s="133"/>
      <c r="E108" s="133">
        <f>SUMIF($A$6:$A$55,$A108,E$6:E$55)</f>
        <v>0</v>
      </c>
      <c r="F108" s="121"/>
      <c r="G108" s="121">
        <f>SUMIF($A$6:$A$55,$A108,G$6:G$55)</f>
        <v>1733378</v>
      </c>
      <c r="H108" s="121"/>
      <c r="I108" s="121">
        <f>SUMIF($A$6:$A$55,$A108,I$6:I$55)</f>
        <v>1731861.333333333</v>
      </c>
      <c r="J108" s="122">
        <f>ROUND(I108/G108*100,3)-100</f>
        <v>-8.7000000000003297E-2</v>
      </c>
      <c r="K108" s="146">
        <f>I108-G108</f>
        <v>-1516.6666666669771</v>
      </c>
      <c r="L108" s="135">
        <f>IF(ABS(J108)&lt;=0.5,0,IF(G108&gt;I108,(G108*0.995)-I108,(G108*1.005)-I108))</f>
        <v>0</v>
      </c>
      <c r="M108" s="136"/>
      <c r="N108" s="121">
        <f>SUMIF($A$6:$A$55,"=02MVSL0057",N$6:N$55)</f>
        <v>0</v>
      </c>
    </row>
    <row r="109" spans="1:14">
      <c r="C109" s="133"/>
      <c r="D109" s="133"/>
      <c r="E109" s="133"/>
      <c r="F109" s="121"/>
      <c r="G109" s="121"/>
      <c r="H109" s="121"/>
      <c r="J109" s="131"/>
      <c r="K109" s="133"/>
      <c r="L109" s="135"/>
      <c r="M109" s="136"/>
      <c r="N109" s="121"/>
    </row>
    <row r="110" spans="1:14">
      <c r="A110" s="122" t="s">
        <v>275</v>
      </c>
      <c r="C110" s="133">
        <f>C108+C106+C104+C100+C98+C96+C92+C90+C85+C81+C74+C70+C65</f>
        <v>4062339633</v>
      </c>
      <c r="D110" s="133"/>
      <c r="E110" s="133">
        <f>E108+E106+E104+E100+E98+E96+E92+E90+E85+E81+E74+E70+E65</f>
        <v>10209168.116964595</v>
      </c>
      <c r="F110" s="121"/>
      <c r="G110" s="121">
        <f>G108+G106+G104+G100+G98+G96+G92+G90+G85+G81+G74+G70+G65</f>
        <v>4072548801.1169643</v>
      </c>
      <c r="H110" s="121"/>
      <c r="I110" s="121">
        <f>I108+I106+I104+I100+I98+I96+I92+I90+I85+I81+I74+I70+I65</f>
        <v>4072555794.1776867</v>
      </c>
      <c r="J110" s="122">
        <f>ROUND(I110/G110*100,3)-100</f>
        <v>0</v>
      </c>
      <c r="K110" s="146">
        <f>I110-G110</f>
        <v>6993.0607223510742</v>
      </c>
      <c r="L110" s="135">
        <f>IF(ABS(J110)&lt;=0.5,0,IF(G110&gt;I110,(G110*0.995)-I110,(G110*1.005)-I110))</f>
        <v>0</v>
      </c>
      <c r="M110" s="136"/>
      <c r="N110" s="121">
        <f>N108+N106+N104+N100+N98+N96+N92+N90+N85+N81+N74+N70+N65</f>
        <v>0</v>
      </c>
    </row>
    <row r="111" spans="1:14">
      <c r="C111" s="128"/>
      <c r="D111" s="128"/>
      <c r="E111" s="128"/>
      <c r="G111" s="128"/>
      <c r="I111" s="128"/>
    </row>
    <row r="112" spans="1:14">
      <c r="C112" s="133">
        <f>C110-C58</f>
        <v>0</v>
      </c>
      <c r="D112" s="133">
        <f t="shared" ref="D112:K112" si="23">D110-D58</f>
        <v>0</v>
      </c>
      <c r="E112" s="133">
        <f>E110-E58</f>
        <v>0</v>
      </c>
      <c r="F112" s="133">
        <f t="shared" si="23"/>
        <v>0</v>
      </c>
      <c r="G112" s="133">
        <f t="shared" si="23"/>
        <v>0</v>
      </c>
      <c r="H112" s="133">
        <f t="shared" si="23"/>
        <v>0</v>
      </c>
      <c r="I112" s="133">
        <f t="shared" si="23"/>
        <v>0</v>
      </c>
      <c r="J112" s="133">
        <f t="shared" si="23"/>
        <v>0</v>
      </c>
      <c r="K112" s="133">
        <f t="shared" si="23"/>
        <v>0</v>
      </c>
    </row>
    <row r="113" spans="3:5">
      <c r="C113" s="128"/>
      <c r="D113" s="128"/>
      <c r="E113" s="128"/>
    </row>
    <row r="114" spans="3:5">
      <c r="C114" s="128"/>
      <c r="D114" s="128"/>
      <c r="E114" s="128"/>
    </row>
    <row r="115" spans="3:5">
      <c r="C115" s="128"/>
      <c r="D115" s="128"/>
      <c r="E115" s="128"/>
    </row>
    <row r="116" spans="3:5">
      <c r="C116" s="128"/>
      <c r="D116" s="128"/>
      <c r="E116" s="128"/>
    </row>
    <row r="117" spans="3:5">
      <c r="C117" s="128"/>
      <c r="D117" s="128"/>
      <c r="E117" s="128"/>
    </row>
    <row r="118" spans="3:5">
      <c r="C118" s="128"/>
      <c r="D118" s="128"/>
      <c r="E118" s="128"/>
    </row>
    <row r="119" spans="3:5">
      <c r="C119" s="128"/>
      <c r="D119" s="128"/>
      <c r="E119" s="128"/>
    </row>
    <row r="120" spans="3:5">
      <c r="C120" s="128"/>
      <c r="D120" s="128"/>
      <c r="E120" s="128"/>
    </row>
    <row r="121" spans="3:5">
      <c r="C121" s="128"/>
      <c r="D121" s="128"/>
      <c r="E121" s="128"/>
    </row>
    <row r="122" spans="3:5">
      <c r="C122" s="128"/>
      <c r="D122" s="128"/>
      <c r="E122" s="128"/>
    </row>
    <row r="123" spans="3:5">
      <c r="C123" s="128"/>
      <c r="D123" s="128"/>
      <c r="E123" s="128"/>
    </row>
    <row r="124" spans="3:5">
      <c r="C124" s="128"/>
      <c r="D124" s="128"/>
      <c r="E124" s="128"/>
    </row>
    <row r="125" spans="3:5">
      <c r="C125" s="128"/>
      <c r="D125" s="128"/>
      <c r="E125" s="128"/>
    </row>
    <row r="126" spans="3:5">
      <c r="C126" s="128"/>
      <c r="D126" s="128"/>
      <c r="E126" s="128"/>
    </row>
    <row r="127" spans="3:5">
      <c r="C127" s="128"/>
      <c r="D127" s="128"/>
      <c r="E127" s="128"/>
    </row>
    <row r="128" spans="3:5">
      <c r="C128" s="128"/>
      <c r="D128" s="128"/>
      <c r="E128" s="128"/>
    </row>
    <row r="129" spans="3:11">
      <c r="C129" s="128"/>
      <c r="D129" s="128"/>
      <c r="E129" s="128"/>
    </row>
    <row r="130" spans="3:11">
      <c r="C130" s="128"/>
      <c r="D130" s="128"/>
      <c r="E130" s="128"/>
      <c r="K130" s="142" t="s">
        <v>31</v>
      </c>
    </row>
  </sheetData>
  <phoneticPr fontId="34" type="noConversion"/>
  <pageMargins left="0.75" right="0.75" top="1" bottom="1" header="0.5" footer="0.5"/>
  <pageSetup scale="64" orientation="landscape" r:id="rId1"/>
  <headerFooter alignWithMargins="0"/>
  <rowBreaks count="1" manualBreakCount="1">
    <brk id="59" max="10" man="1"/>
  </rowBreaks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K69"/>
  <sheetViews>
    <sheetView view="pageBreakPreview" zoomScale="65" zoomScaleNormal="75" zoomScaleSheetLayoutView="65" workbookViewId="0">
      <pane ySplit="10" topLeftCell="A11" activePane="bottomLeft" state="frozen"/>
      <selection activeCell="Q6" sqref="Q6"/>
      <selection pane="bottomLeft"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69" bestFit="1" customWidth="1"/>
    <col min="17" max="18" width="16.25" style="69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1466" t="s">
        <v>179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  <c r="O1" s="20"/>
      <c r="P1" s="74"/>
      <c r="Q1" s="74"/>
      <c r="R1" s="74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</row>
    <row r="2" spans="1:37" ht="18">
      <c r="A2" s="1466" t="s">
        <v>336</v>
      </c>
      <c r="B2" s="1466"/>
      <c r="C2" s="1466"/>
      <c r="D2" s="1466"/>
      <c r="E2" s="1466"/>
      <c r="F2" s="1466"/>
      <c r="G2" s="1466"/>
      <c r="H2" s="1466"/>
      <c r="I2" s="1466"/>
      <c r="J2" s="1466"/>
      <c r="K2" s="1466"/>
      <c r="L2" s="1466"/>
      <c r="M2" s="1466"/>
      <c r="N2" s="1466"/>
      <c r="O2" s="20"/>
      <c r="P2" s="74"/>
      <c r="Q2" s="74"/>
      <c r="R2" s="74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</row>
    <row r="3" spans="1:37" ht="18">
      <c r="A3" s="1489" t="s">
        <v>979</v>
      </c>
      <c r="B3" s="1466"/>
      <c r="C3" s="1466"/>
      <c r="D3" s="1466"/>
      <c r="E3" s="1466"/>
      <c r="F3" s="1466"/>
      <c r="G3" s="1466"/>
      <c r="H3" s="1466"/>
      <c r="I3" s="1466"/>
      <c r="J3" s="1466"/>
      <c r="K3" s="1466"/>
      <c r="L3" s="1466"/>
      <c r="M3" s="1466"/>
      <c r="N3" s="1466"/>
      <c r="O3" s="20"/>
      <c r="P3" s="74"/>
      <c r="Q3" s="74"/>
      <c r="R3" s="74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</row>
    <row r="4" spans="1:37" ht="18">
      <c r="A4" s="1466"/>
      <c r="B4" s="1466"/>
      <c r="C4" s="1466"/>
      <c r="D4" s="1466"/>
      <c r="E4" s="1466"/>
      <c r="F4" s="1466"/>
      <c r="G4" s="1466"/>
      <c r="H4" s="1466"/>
      <c r="I4" s="1466"/>
      <c r="J4" s="1466"/>
      <c r="K4" s="1466"/>
      <c r="L4" s="1466"/>
      <c r="M4" s="1466"/>
      <c r="N4" s="1466"/>
      <c r="O4" s="20"/>
      <c r="P4" s="74"/>
      <c r="Q4" s="74"/>
      <c r="R4" s="74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</row>
    <row r="5" spans="1:37">
      <c r="A5" s="237"/>
      <c r="B5" s="235"/>
      <c r="C5" s="235"/>
      <c r="D5" s="236"/>
      <c r="E5" s="236"/>
      <c r="F5" s="235"/>
      <c r="G5" s="236"/>
      <c r="H5" s="236"/>
      <c r="I5" s="235"/>
      <c r="J5" s="235"/>
      <c r="K5" s="235"/>
      <c r="L5" s="235"/>
      <c r="M5" s="235"/>
      <c r="N5" s="235"/>
      <c r="O5" s="20"/>
      <c r="P5" s="74"/>
      <c r="Q5" s="74"/>
      <c r="R5" s="74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</row>
    <row r="6" spans="1:37" hidden="1">
      <c r="A6" s="237"/>
      <c r="B6" s="235"/>
      <c r="C6" s="235"/>
      <c r="D6" s="236"/>
      <c r="E6" s="236"/>
      <c r="F6" s="235"/>
      <c r="G6" s="236"/>
      <c r="H6" s="236"/>
      <c r="I6" s="235"/>
      <c r="J6" s="235"/>
      <c r="K6" s="235"/>
      <c r="L6" s="235"/>
      <c r="M6" s="235"/>
      <c r="N6" s="235"/>
      <c r="O6" s="20"/>
      <c r="P6" s="74"/>
      <c r="Q6" s="74"/>
      <c r="R6" s="74"/>
      <c r="S6" s="74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</row>
    <row r="7" spans="1:37" hidden="1">
      <c r="A7" s="235"/>
      <c r="B7" s="235"/>
      <c r="C7" s="235"/>
      <c r="D7" s="236"/>
      <c r="E7" s="236"/>
      <c r="F7" s="235"/>
      <c r="G7" s="236"/>
      <c r="H7" s="236"/>
      <c r="I7" s="235"/>
      <c r="J7" s="235"/>
      <c r="K7" s="235"/>
      <c r="L7" s="235"/>
      <c r="M7" s="235"/>
      <c r="N7" s="235"/>
      <c r="O7" s="20"/>
      <c r="P7" s="74"/>
      <c r="Q7" s="74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</row>
    <row r="8" spans="1:37">
      <c r="A8" s="238"/>
      <c r="B8" s="238"/>
      <c r="C8" s="239"/>
      <c r="D8" s="240"/>
      <c r="E8" s="240"/>
      <c r="F8" s="241" t="s">
        <v>572</v>
      </c>
      <c r="G8" s="240"/>
      <c r="H8" s="240"/>
      <c r="I8" s="736" t="s">
        <v>191</v>
      </c>
      <c r="J8" s="736"/>
      <c r="K8" s="736"/>
      <c r="L8" s="736"/>
      <c r="M8" s="736"/>
      <c r="N8" s="736"/>
      <c r="O8" s="20"/>
      <c r="P8" s="74"/>
      <c r="Q8" s="74"/>
      <c r="R8" s="74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</row>
    <row r="9" spans="1:37">
      <c r="A9" s="238"/>
      <c r="B9" s="238"/>
      <c r="C9" s="239" t="s">
        <v>338</v>
      </c>
      <c r="D9" s="241" t="s">
        <v>619</v>
      </c>
      <c r="E9" s="240"/>
      <c r="F9" s="243" t="s">
        <v>339</v>
      </c>
      <c r="G9" s="241" t="s">
        <v>191</v>
      </c>
      <c r="H9" s="241"/>
      <c r="I9" s="736" t="s">
        <v>339</v>
      </c>
      <c r="J9" s="736"/>
      <c r="K9" s="736"/>
      <c r="L9" s="736"/>
      <c r="M9" s="736"/>
      <c r="N9" s="736"/>
      <c r="O9" s="20"/>
      <c r="P9" s="74"/>
      <c r="Q9" s="74"/>
      <c r="R9" s="74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7">
      <c r="A10" s="238"/>
      <c r="B10" s="238"/>
      <c r="C10" s="244" t="s">
        <v>295</v>
      </c>
      <c r="D10" s="245" t="s">
        <v>13</v>
      </c>
      <c r="E10" s="246"/>
      <c r="F10" s="245" t="s">
        <v>295</v>
      </c>
      <c r="G10" s="245" t="s">
        <v>13</v>
      </c>
      <c r="H10" s="243"/>
      <c r="I10" s="241" t="s">
        <v>295</v>
      </c>
      <c r="J10" s="241"/>
      <c r="K10" s="241"/>
      <c r="L10" s="241"/>
      <c r="M10" s="241"/>
      <c r="N10" s="241"/>
      <c r="O10" s="20"/>
      <c r="P10" s="74"/>
      <c r="Q10" s="74"/>
      <c r="R10" s="74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7">
      <c r="A11" s="247"/>
      <c r="F11" s="248"/>
      <c r="I11" s="248"/>
      <c r="J11" s="248"/>
      <c r="K11" s="248"/>
      <c r="L11" s="248"/>
      <c r="M11" s="248"/>
      <c r="N11" s="248"/>
      <c r="O11" s="20"/>
      <c r="P11" s="74"/>
      <c r="Q11" s="74"/>
      <c r="R11" s="74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</row>
    <row r="12" spans="1:37">
      <c r="A12" s="1385" t="s">
        <v>986</v>
      </c>
      <c r="B12" s="1"/>
      <c r="C12" s="1" t="s">
        <v>31</v>
      </c>
      <c r="D12" s="21"/>
      <c r="E12" s="21"/>
      <c r="F12" s="1"/>
      <c r="G12" s="21"/>
      <c r="H12" s="1"/>
      <c r="I12" s="1"/>
      <c r="J12" s="1"/>
      <c r="K12" s="1"/>
      <c r="L12" s="1"/>
      <c r="M12" s="1"/>
      <c r="N12" s="1"/>
      <c r="O12" s="2" t="s">
        <v>31</v>
      </c>
      <c r="P12" s="2" t="s">
        <v>31</v>
      </c>
      <c r="Q12" s="2" t="s">
        <v>31</v>
      </c>
      <c r="T12" s="2"/>
      <c r="U12" s="1" t="s">
        <v>31</v>
      </c>
      <c r="V12" s="1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K12" s="84"/>
    </row>
    <row r="13" spans="1:37">
      <c r="A13" s="1" t="s">
        <v>320</v>
      </c>
      <c r="B13" s="1"/>
      <c r="C13" s="1" t="s">
        <v>31</v>
      </c>
      <c r="D13" s="21"/>
      <c r="E13" s="21"/>
      <c r="F13" s="1"/>
      <c r="G13" s="21"/>
      <c r="H13" s="1"/>
      <c r="I13" s="1"/>
      <c r="J13" s="1"/>
      <c r="K13" s="1"/>
      <c r="L13" s="1"/>
      <c r="M13" s="1"/>
      <c r="N13" s="1"/>
      <c r="O13" s="20"/>
      <c r="P13" s="74"/>
      <c r="Q13" s="74"/>
      <c r="R13" s="74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K13" s="84"/>
    </row>
    <row r="14" spans="1:37">
      <c r="A14" s="333" t="s">
        <v>985</v>
      </c>
      <c r="B14" s="1"/>
      <c r="C14" s="1"/>
      <c r="D14" s="21"/>
      <c r="E14" s="21"/>
      <c r="F14" s="1"/>
      <c r="G14" s="21"/>
      <c r="H14" s="1"/>
      <c r="I14" s="1"/>
      <c r="J14" s="1"/>
      <c r="K14" s="1"/>
      <c r="L14" s="1"/>
      <c r="M14" s="1"/>
      <c r="N14" s="1"/>
      <c r="O14" s="20"/>
      <c r="P14" s="74"/>
      <c r="Q14" s="74"/>
      <c r="R14" s="74"/>
      <c r="S14" s="7" t="s">
        <v>31</v>
      </c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K14" s="84"/>
    </row>
    <row r="15" spans="1:37">
      <c r="A15" s="1" t="s">
        <v>360</v>
      </c>
      <c r="B15" s="1"/>
      <c r="C15" s="21">
        <f>'Rate Design Work eff 10-14-16'!C88-C28</f>
        <v>1260477.6954837877</v>
      </c>
      <c r="D15" s="283">
        <v>6</v>
      </c>
      <c r="E15" s="1"/>
      <c r="F15" s="2">
        <v>7578622</v>
      </c>
      <c r="G15" s="283">
        <v>7.75</v>
      </c>
      <c r="H15" s="1"/>
      <c r="I15" s="2">
        <f>ROUND(G15*C15,0)</f>
        <v>9768702</v>
      </c>
      <c r="J15" s="2"/>
      <c r="K15" s="2"/>
      <c r="L15" s="2"/>
      <c r="M15" s="2"/>
      <c r="N15" s="2"/>
      <c r="O15" s="20"/>
      <c r="P15" s="74"/>
      <c r="Q15" s="74"/>
      <c r="R15" s="74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K15" s="84"/>
    </row>
    <row r="16" spans="1:37">
      <c r="A16" s="1" t="s">
        <v>363</v>
      </c>
      <c r="B16" s="1"/>
      <c r="C16" s="21">
        <f>'Rate Design Work eff 10-14-16'!C89-C29</f>
        <v>705936055.07558155</v>
      </c>
      <c r="D16" s="284">
        <v>5.9489999999999998</v>
      </c>
      <c r="E16" s="1" t="s">
        <v>364</v>
      </c>
      <c r="F16" s="2">
        <v>42058950</v>
      </c>
      <c r="G16" s="284">
        <v>6.4249999999999998</v>
      </c>
      <c r="H16" s="1" t="s">
        <v>364</v>
      </c>
      <c r="I16" s="2">
        <f>ROUND(C16*G16/100,0)</f>
        <v>45356392</v>
      </c>
      <c r="J16" s="2"/>
      <c r="K16" s="2"/>
      <c r="L16" s="2"/>
      <c r="M16" s="2"/>
      <c r="N16" s="2"/>
      <c r="O16" s="20"/>
      <c r="P16" s="74"/>
      <c r="Q16" s="74"/>
      <c r="R16" s="74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K16" s="84"/>
    </row>
    <row r="17" spans="1:37">
      <c r="A17" s="1" t="s">
        <v>365</v>
      </c>
      <c r="B17" s="21"/>
      <c r="C17" s="21">
        <f>'Rate Design Work eff 10-14-16'!C90-C30</f>
        <v>841382108.61000884</v>
      </c>
      <c r="D17" s="284">
        <v>9.4159999999999986</v>
      </c>
      <c r="E17" s="1" t="s">
        <v>364</v>
      </c>
      <c r="F17" s="2">
        <v>79398076</v>
      </c>
      <c r="G17" s="284">
        <v>10.166</v>
      </c>
      <c r="H17" s="1" t="s">
        <v>364</v>
      </c>
      <c r="I17" s="2">
        <f>ROUND(C17*G17/100,0)</f>
        <v>85534905</v>
      </c>
      <c r="J17" s="2"/>
      <c r="K17" s="2"/>
      <c r="L17" s="2"/>
      <c r="M17" s="2"/>
      <c r="N17" s="2"/>
      <c r="O17" s="20"/>
      <c r="P17" s="74"/>
      <c r="Q17" s="74"/>
      <c r="R17" s="74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K17" s="84"/>
    </row>
    <row r="18" spans="1:37">
      <c r="A18" s="1" t="s">
        <v>367</v>
      </c>
      <c r="B18" s="1"/>
      <c r="C18" s="21">
        <f>'Rate Design Work eff 10-14-16'!C91-C31</f>
        <v>5306</v>
      </c>
      <c r="D18" s="286">
        <v>1.65</v>
      </c>
      <c r="E18" s="1"/>
      <c r="F18" s="2">
        <v>8755</v>
      </c>
      <c r="G18" s="286">
        <v>1.71</v>
      </c>
      <c r="H18" s="1"/>
      <c r="I18" s="2">
        <f>ROUND(C18*G18,0)</f>
        <v>9073</v>
      </c>
      <c r="J18" s="2"/>
      <c r="K18" s="2"/>
      <c r="L18" s="2"/>
      <c r="M18" s="2"/>
      <c r="N18" s="2"/>
      <c r="O18" s="20"/>
      <c r="P18" s="74"/>
      <c r="Q18" s="74"/>
      <c r="R18" s="74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K18" s="84"/>
    </row>
    <row r="19" spans="1:37">
      <c r="A19" s="288" t="s">
        <v>369</v>
      </c>
      <c r="B19" s="288"/>
      <c r="C19" s="21">
        <f>'Rate Design Work eff 10-14-16'!C92-C32</f>
        <v>703</v>
      </c>
      <c r="D19" s="286">
        <v>3.2</v>
      </c>
      <c r="E19" s="288"/>
      <c r="F19" s="2">
        <v>2250</v>
      </c>
      <c r="G19" s="286">
        <v>3.3</v>
      </c>
      <c r="H19" s="288"/>
      <c r="I19" s="2">
        <f>ROUND(C19*G19,0)</f>
        <v>2320</v>
      </c>
      <c r="J19" s="2"/>
      <c r="K19" s="2"/>
      <c r="L19" s="2"/>
      <c r="M19" s="2"/>
      <c r="N19" s="2"/>
      <c r="O19" s="20"/>
      <c r="P19" s="74"/>
      <c r="Q19" s="74"/>
      <c r="R19" s="74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K19" s="84"/>
    </row>
    <row r="20" spans="1:37" s="1118" customFormat="1">
      <c r="A20" s="968" t="s">
        <v>370</v>
      </c>
      <c r="C20" s="1122">
        <f>'Rate Design Work eff 10-14-16'!C93-C33</f>
        <v>70.5</v>
      </c>
      <c r="D20" s="254">
        <v>-1.65</v>
      </c>
      <c r="E20" s="1119"/>
      <c r="F20" s="1123">
        <v>-117</v>
      </c>
      <c r="G20" s="254">
        <v>-1.71</v>
      </c>
      <c r="H20" s="1119"/>
      <c r="I20" s="2">
        <f>ROUND(C20*G20,0)</f>
        <v>-121</v>
      </c>
      <c r="J20" s="2"/>
      <c r="K20" s="2"/>
      <c r="L20" s="2"/>
      <c r="M20" s="2"/>
      <c r="N20" s="2"/>
      <c r="P20" s="784"/>
      <c r="S20" s="1125"/>
      <c r="T20" s="1125"/>
      <c r="Y20" s="1119"/>
      <c r="Z20" s="1119"/>
      <c r="AA20" s="1119"/>
      <c r="AB20" s="1119"/>
      <c r="AC20" s="1119"/>
      <c r="AD20" s="1119"/>
      <c r="AE20" s="1119"/>
      <c r="AF20" s="1119"/>
      <c r="AG20" s="1119"/>
      <c r="AH20" s="1119"/>
      <c r="AI20" s="1119"/>
      <c r="AK20" s="1124"/>
    </row>
    <row r="21" spans="1:37">
      <c r="A21" s="1" t="s">
        <v>371</v>
      </c>
      <c r="B21" s="1"/>
      <c r="C21" s="335">
        <f>SUM(C16:C17)</f>
        <v>1547318163.6855903</v>
      </c>
      <c r="D21" s="51"/>
      <c r="E21" s="51"/>
      <c r="F21" s="51">
        <v>129046536</v>
      </c>
      <c r="G21" s="51"/>
      <c r="H21" s="51"/>
      <c r="I21" s="2">
        <f>SUM(I15:I20)</f>
        <v>140671271</v>
      </c>
      <c r="J21" s="2"/>
      <c r="K21" s="2"/>
      <c r="L21" s="2"/>
      <c r="M21" s="2"/>
      <c r="N21" s="2"/>
      <c r="O21" s="396"/>
      <c r="P21" s="455"/>
      <c r="Q21" s="74"/>
      <c r="R21" s="74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K21" s="84"/>
    </row>
    <row r="22" spans="1:37">
      <c r="A22" s="1" t="s">
        <v>353</v>
      </c>
      <c r="B22" s="1"/>
      <c r="C22" s="325">
        <f>V56</f>
        <v>19532032.377836931</v>
      </c>
      <c r="D22" s="738"/>
      <c r="E22" s="738"/>
      <c r="F22" s="738">
        <v>1987055.0327333291</v>
      </c>
      <c r="G22" s="51"/>
      <c r="H22" s="51"/>
      <c r="I22" s="1387">
        <f>'Rate Design Work eff 10-14-16'!F99*I21/(I21+I34)</f>
        <v>1983170.3265957546</v>
      </c>
      <c r="J22" s="1388"/>
      <c r="K22" s="1388"/>
      <c r="L22" s="1388"/>
      <c r="M22" s="1388"/>
      <c r="N22" s="1388"/>
      <c r="O22" s="396"/>
      <c r="P22" s="455"/>
      <c r="Q22" s="74"/>
      <c r="R22" s="74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K22" s="84"/>
    </row>
    <row r="23" spans="1:37" ht="16.5" thickBot="1">
      <c r="A23" s="1" t="s">
        <v>372</v>
      </c>
      <c r="B23" s="1"/>
      <c r="C23" s="741">
        <f>SUM(C21:C22)</f>
        <v>1566850196.0634272</v>
      </c>
      <c r="D23" s="739"/>
      <c r="E23" s="739"/>
      <c r="F23" s="739">
        <v>131033591.03273334</v>
      </c>
      <c r="G23" s="740"/>
      <c r="H23" s="740"/>
      <c r="I23" s="739">
        <f>SUM(I21:I22)</f>
        <v>142654441.32659575</v>
      </c>
      <c r="J23" s="51"/>
      <c r="K23" s="51"/>
      <c r="L23" s="51"/>
      <c r="M23" s="51"/>
      <c r="N23" s="51"/>
      <c r="O23" s="396"/>
      <c r="P23" s="455"/>
      <c r="Q23" s="74"/>
      <c r="R23" s="74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K23" s="84"/>
    </row>
    <row r="24" spans="1:37" ht="16.5" thickTop="1"/>
    <row r="25" spans="1:37">
      <c r="A25" s="1385" t="s">
        <v>1008</v>
      </c>
    </row>
    <row r="26" spans="1:37">
      <c r="A26" s="1" t="s">
        <v>320</v>
      </c>
    </row>
    <row r="27" spans="1:37">
      <c r="A27" s="333" t="s">
        <v>984</v>
      </c>
    </row>
    <row r="28" spans="1:37">
      <c r="A28" s="1" t="s">
        <v>360</v>
      </c>
      <c r="B28" s="1"/>
      <c r="C28" s="21">
        <v>2626.10193548387</v>
      </c>
      <c r="D28" s="283">
        <v>6</v>
      </c>
      <c r="E28" s="1"/>
      <c r="F28" s="2">
        <f>ROUND(D28*$C28,0)</f>
        <v>15757</v>
      </c>
      <c r="G28" s="283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20"/>
      <c r="P28" s="74"/>
      <c r="Q28" s="74"/>
      <c r="R28" s="7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K28" s="84"/>
    </row>
    <row r="29" spans="1:37">
      <c r="A29" s="1" t="s">
        <v>363</v>
      </c>
      <c r="B29" s="1"/>
      <c r="C29" s="21">
        <v>1055889</v>
      </c>
      <c r="D29" s="284">
        <v>5.9489999999999998</v>
      </c>
      <c r="E29" s="1" t="s">
        <v>364</v>
      </c>
      <c r="F29" s="2">
        <f>ROUND(D29*$C29/100,0)</f>
        <v>62815</v>
      </c>
      <c r="G29" s="284">
        <v>6.4249999999999998</v>
      </c>
      <c r="H29" s="1" t="s">
        <v>364</v>
      </c>
      <c r="I29" s="2">
        <f>ROUND(C29*G29/100,0)</f>
        <v>67841</v>
      </c>
      <c r="J29" s="2"/>
      <c r="K29" s="2"/>
      <c r="L29" s="2"/>
      <c r="M29" s="2"/>
      <c r="N29" s="2"/>
      <c r="O29" s="20"/>
      <c r="P29" s="74"/>
      <c r="Q29" s="74"/>
      <c r="R29" s="74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K29" s="84"/>
    </row>
    <row r="30" spans="1:37">
      <c r="A30" s="1" t="s">
        <v>365</v>
      </c>
      <c r="B30" s="21"/>
      <c r="C30" s="21">
        <v>1843001</v>
      </c>
      <c r="D30" s="284">
        <v>9.4159999999999986</v>
      </c>
      <c r="E30" s="1" t="s">
        <v>364</v>
      </c>
      <c r="F30" s="2">
        <f>ROUND(D30*$C30/100,0)</f>
        <v>173537</v>
      </c>
      <c r="G30" s="284">
        <v>10.166</v>
      </c>
      <c r="H30" s="1" t="s">
        <v>364</v>
      </c>
      <c r="I30" s="2">
        <f>ROUND(C30*G30/100,0)</f>
        <v>187359</v>
      </c>
      <c r="J30" s="2"/>
      <c r="K30" s="2"/>
      <c r="L30" s="2"/>
      <c r="M30" s="2"/>
      <c r="N30" s="2"/>
      <c r="O30" s="20"/>
      <c r="P30" s="74"/>
      <c r="Q30" s="74"/>
      <c r="R30" s="74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K30" s="84"/>
    </row>
    <row r="31" spans="1:37">
      <c r="A31" s="1" t="s">
        <v>367</v>
      </c>
      <c r="B31" s="1"/>
      <c r="C31" s="21">
        <v>0</v>
      </c>
      <c r="D31" s="286">
        <v>1.65</v>
      </c>
      <c r="E31" s="1"/>
      <c r="F31" s="2">
        <f>ROUND(D31*$C31,0)</f>
        <v>0</v>
      </c>
      <c r="G31" s="286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20"/>
      <c r="P31" s="74"/>
      <c r="Q31" s="74"/>
      <c r="R31" s="74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K31" s="84"/>
    </row>
    <row r="32" spans="1:37">
      <c r="A32" s="288" t="s">
        <v>369</v>
      </c>
      <c r="B32" s="288"/>
      <c r="C32" s="21">
        <v>0</v>
      </c>
      <c r="D32" s="286">
        <v>3.2</v>
      </c>
      <c r="E32" s="288"/>
      <c r="F32" s="2">
        <f>ROUND(D32*$C32,0)</f>
        <v>0</v>
      </c>
      <c r="G32" s="286">
        <v>3.3</v>
      </c>
      <c r="H32" s="288"/>
      <c r="I32" s="2">
        <f>ROUND(C32*G32,0)</f>
        <v>0</v>
      </c>
      <c r="J32" s="2"/>
      <c r="K32" s="2"/>
      <c r="L32" s="2"/>
      <c r="M32" s="2"/>
      <c r="N32" s="2"/>
      <c r="O32" s="20"/>
      <c r="P32" s="74"/>
      <c r="Q32" s="74"/>
      <c r="R32" s="74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K32" s="84"/>
    </row>
    <row r="33" spans="1:37">
      <c r="A33" s="288" t="s">
        <v>370</v>
      </c>
      <c r="B33" s="288"/>
      <c r="C33" s="21">
        <v>0</v>
      </c>
      <c r="D33" s="289">
        <v>-1.65</v>
      </c>
      <c r="E33" s="288"/>
      <c r="F33" s="2">
        <f>ROUND(D33*$C33,0)</f>
        <v>0</v>
      </c>
      <c r="G33" s="254">
        <v>-1.71</v>
      </c>
      <c r="H33" s="288"/>
      <c r="I33" s="2">
        <f>ROUND(C33*G33,0)</f>
        <v>0</v>
      </c>
      <c r="J33" s="2"/>
      <c r="K33" s="2"/>
      <c r="L33" s="2"/>
      <c r="M33" s="2"/>
      <c r="N33" s="2"/>
      <c r="O33" s="20"/>
      <c r="P33" s="74"/>
      <c r="Q33" s="74"/>
      <c r="R33" s="74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K33" s="84"/>
    </row>
    <row r="34" spans="1:37">
      <c r="A34" s="1" t="s">
        <v>371</v>
      </c>
      <c r="B34" s="290"/>
      <c r="C34" s="21">
        <f>SUM(C29:C30)</f>
        <v>2898890</v>
      </c>
      <c r="D34" s="953"/>
      <c r="E34" s="2"/>
      <c r="F34" s="2">
        <f>SUM(F28:F33)</f>
        <v>252109</v>
      </c>
      <c r="G34" s="953"/>
      <c r="H34" s="2"/>
      <c r="I34" s="2">
        <f>SUM(I28:I33)</f>
        <v>275552</v>
      </c>
      <c r="J34" s="2"/>
      <c r="K34" s="2"/>
      <c r="L34" s="2"/>
      <c r="M34" s="2"/>
      <c r="N34" s="2"/>
      <c r="O34" s="20"/>
      <c r="P34" s="51"/>
      <c r="Q34" s="74"/>
      <c r="R34" s="74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K34" s="84"/>
    </row>
    <row r="35" spans="1:37">
      <c r="A35" s="1" t="s">
        <v>353</v>
      </c>
      <c r="B35" s="292"/>
      <c r="C35" s="293">
        <f>V57</f>
        <v>37551.42574948851</v>
      </c>
      <c r="D35" s="1386"/>
      <c r="E35" s="1386"/>
      <c r="F35" s="738">
        <f>I35</f>
        <v>3884.7061375745538</v>
      </c>
      <c r="G35" s="963"/>
      <c r="H35" s="963"/>
      <c r="I35" s="1387">
        <f>'Rate Design Work eff 10-14-16'!F99*I34/(I21+I34)</f>
        <v>3884.7061375745538</v>
      </c>
      <c r="J35" s="1388"/>
      <c r="K35" s="1388"/>
      <c r="L35" s="1388"/>
      <c r="M35" s="1388"/>
      <c r="N35" s="1388"/>
      <c r="O35" s="429"/>
      <c r="P35" s="272"/>
      <c r="Q35" s="74"/>
      <c r="R35" s="74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K35" s="84"/>
    </row>
    <row r="36" spans="1:37" ht="16.5" thickBot="1">
      <c r="A36" s="1" t="s">
        <v>372</v>
      </c>
      <c r="B36" s="1"/>
      <c r="C36" s="741">
        <f>C34+C35</f>
        <v>2936441.4257494886</v>
      </c>
      <c r="D36" s="739"/>
      <c r="E36" s="739"/>
      <c r="F36" s="739">
        <f>F34+F35</f>
        <v>255993.70613757454</v>
      </c>
      <c r="G36" s="740"/>
      <c r="H36" s="740"/>
      <c r="I36" s="739">
        <f>SUM(I34:I35)</f>
        <v>279436.70613757457</v>
      </c>
      <c r="J36" s="51"/>
      <c r="K36" s="51"/>
      <c r="L36" s="51"/>
      <c r="M36" s="51"/>
      <c r="N36" s="51"/>
      <c r="O36" s="396"/>
      <c r="P36" s="455"/>
      <c r="Q36" s="74"/>
      <c r="R36" s="74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K36" s="84"/>
    </row>
    <row r="37" spans="1:37" ht="16.5" thickTop="1"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37" ht="16.5" thickBot="1">
      <c r="I38" s="1396"/>
      <c r="J38" s="1397" t="s">
        <v>989</v>
      </c>
      <c r="K38" s="1397" t="s">
        <v>990</v>
      </c>
      <c r="L38" s="1397" t="s">
        <v>991</v>
      </c>
      <c r="M38" s="1397" t="s">
        <v>992</v>
      </c>
      <c r="N38" s="1397" t="s">
        <v>993</v>
      </c>
      <c r="O38" s="1397" t="s">
        <v>994</v>
      </c>
      <c r="P38" s="1397" t="s">
        <v>995</v>
      </c>
      <c r="Q38" s="1397" t="s">
        <v>996</v>
      </c>
      <c r="R38" s="1397" t="s">
        <v>997</v>
      </c>
      <c r="S38" s="1397" t="s">
        <v>998</v>
      </c>
      <c r="T38" s="1397" t="s">
        <v>999</v>
      </c>
      <c r="U38" s="1397" t="s">
        <v>1000</v>
      </c>
      <c r="V38" s="1397" t="s">
        <v>1002</v>
      </c>
    </row>
    <row r="39" spans="1:37">
      <c r="I39" s="1389" t="s">
        <v>988</v>
      </c>
    </row>
    <row r="40" spans="1:37">
      <c r="I40" s="1390" t="s">
        <v>684</v>
      </c>
      <c r="J40" s="1392">
        <v>109650975</v>
      </c>
      <c r="K40" s="1392">
        <v>128089470</v>
      </c>
      <c r="L40" s="1392">
        <v>101547178</v>
      </c>
      <c r="M40" s="1392">
        <v>82427457</v>
      </c>
      <c r="N40" s="1392">
        <v>109082077</v>
      </c>
      <c r="O40" s="1392">
        <v>177998198</v>
      </c>
      <c r="P40" s="1392">
        <v>178739087</v>
      </c>
      <c r="Q40" s="1392">
        <v>142955147</v>
      </c>
      <c r="R40" s="1392">
        <v>114199404</v>
      </c>
      <c r="S40" s="1392">
        <v>93799885</v>
      </c>
      <c r="T40" s="1392">
        <v>84179447</v>
      </c>
      <c r="U40" s="1392">
        <v>96893759</v>
      </c>
      <c r="V40" s="15">
        <f>SUM(J40:U40)</f>
        <v>1419562084</v>
      </c>
    </row>
    <row r="41" spans="1:37">
      <c r="I41" s="1390" t="s">
        <v>763</v>
      </c>
      <c r="J41" s="1392">
        <v>5226995</v>
      </c>
      <c r="K41" s="1392">
        <v>5896396</v>
      </c>
      <c r="L41" s="1392">
        <v>5068062</v>
      </c>
      <c r="M41" s="1392">
        <v>4397329</v>
      </c>
      <c r="N41" s="1392">
        <v>6449256</v>
      </c>
      <c r="O41" s="1392">
        <v>11403661</v>
      </c>
      <c r="P41" s="1392">
        <v>11685152</v>
      </c>
      <c r="Q41" s="1392">
        <v>9831706</v>
      </c>
      <c r="R41" s="1392">
        <v>7959009</v>
      </c>
      <c r="S41" s="1392">
        <v>6394456</v>
      </c>
      <c r="T41" s="1392">
        <v>5594402</v>
      </c>
      <c r="U41" s="1392">
        <v>5776692</v>
      </c>
      <c r="V41" s="15">
        <f t="shared" ref="V41:V49" si="0">SUM(J41:U41)</f>
        <v>85683116</v>
      </c>
    </row>
    <row r="42" spans="1:37">
      <c r="I42" s="1390" t="s">
        <v>685</v>
      </c>
      <c r="J42" s="1392">
        <v>185061</v>
      </c>
      <c r="K42" s="1392">
        <v>215220</v>
      </c>
      <c r="L42" s="1392">
        <v>175360</v>
      </c>
      <c r="M42" s="1392">
        <v>143837</v>
      </c>
      <c r="N42" s="1392">
        <v>168813</v>
      </c>
      <c r="O42" s="1392">
        <v>236002</v>
      </c>
      <c r="P42" s="1392">
        <v>246895</v>
      </c>
      <c r="Q42" s="1392">
        <v>189085</v>
      </c>
      <c r="R42" s="1392">
        <v>166114</v>
      </c>
      <c r="S42" s="1392">
        <v>141925</v>
      </c>
      <c r="T42" s="1392">
        <v>151170</v>
      </c>
      <c r="U42" s="1392">
        <v>169508</v>
      </c>
      <c r="V42" s="15">
        <f t="shared" si="0"/>
        <v>2188990</v>
      </c>
    </row>
    <row r="43" spans="1:37">
      <c r="I43" s="1390" t="s">
        <v>987</v>
      </c>
      <c r="J43" s="1392">
        <v>45311</v>
      </c>
      <c r="K43" s="1392">
        <v>46329</v>
      </c>
      <c r="L43" s="1392">
        <v>32741</v>
      </c>
      <c r="M43" s="1392">
        <v>25192</v>
      </c>
      <c r="N43" s="1392">
        <v>29546</v>
      </c>
      <c r="O43" s="1392">
        <v>41682</v>
      </c>
      <c r="P43" s="1392">
        <v>41101</v>
      </c>
      <c r="Q43" s="1392">
        <v>32283</v>
      </c>
      <c r="R43" s="1392">
        <v>26274</v>
      </c>
      <c r="S43" s="1392">
        <v>24052</v>
      </c>
      <c r="T43" s="1392">
        <v>24250</v>
      </c>
      <c r="U43" s="1392">
        <v>28302</v>
      </c>
      <c r="V43" s="15">
        <f t="shared" si="0"/>
        <v>397063</v>
      </c>
    </row>
    <row r="44" spans="1:37">
      <c r="I44" s="1391" t="s">
        <v>371</v>
      </c>
      <c r="J44" s="608">
        <f>SUM(J40:J43)</f>
        <v>115108342</v>
      </c>
      <c r="K44" s="608">
        <f t="shared" ref="K44:U44" si="1">SUM(K40:K43)</f>
        <v>134247415</v>
      </c>
      <c r="L44" s="608">
        <f t="shared" si="1"/>
        <v>106823341</v>
      </c>
      <c r="M44" s="608">
        <f t="shared" si="1"/>
        <v>86993815</v>
      </c>
      <c r="N44" s="608">
        <f t="shared" si="1"/>
        <v>115729692</v>
      </c>
      <c r="O44" s="608">
        <f t="shared" si="1"/>
        <v>189679543</v>
      </c>
      <c r="P44" s="608">
        <f t="shared" si="1"/>
        <v>190712235</v>
      </c>
      <c r="Q44" s="608">
        <f t="shared" si="1"/>
        <v>153008221</v>
      </c>
      <c r="R44" s="608">
        <f t="shared" si="1"/>
        <v>122350801</v>
      </c>
      <c r="S44" s="608">
        <f t="shared" si="1"/>
        <v>100360318</v>
      </c>
      <c r="T44" s="608">
        <f t="shared" si="1"/>
        <v>89949269</v>
      </c>
      <c r="U44" s="608">
        <f t="shared" si="1"/>
        <v>102868261</v>
      </c>
      <c r="V44" s="1395">
        <f t="shared" si="0"/>
        <v>1507831253</v>
      </c>
    </row>
    <row r="45" spans="1:37">
      <c r="I45" s="1390" t="s">
        <v>1009</v>
      </c>
      <c r="J45" s="1392">
        <v>145402</v>
      </c>
      <c r="K45" s="1392">
        <v>191012</v>
      </c>
      <c r="L45" s="1392">
        <v>149617</v>
      </c>
      <c r="M45" s="1392">
        <v>121857</v>
      </c>
      <c r="N45" s="1392">
        <v>209989</v>
      </c>
      <c r="O45" s="1392">
        <v>440726</v>
      </c>
      <c r="P45" s="1392">
        <v>516637</v>
      </c>
      <c r="Q45" s="1392">
        <v>412951</v>
      </c>
      <c r="R45" s="1392">
        <v>244366</v>
      </c>
      <c r="S45" s="1392">
        <v>173674</v>
      </c>
      <c r="T45" s="1392">
        <v>127563</v>
      </c>
      <c r="U45" s="1392">
        <v>165096</v>
      </c>
      <c r="V45" s="15">
        <f t="shared" si="0"/>
        <v>2898890</v>
      </c>
    </row>
    <row r="46" spans="1:37">
      <c r="I46" s="1391" t="s">
        <v>1004</v>
      </c>
      <c r="J46" s="608">
        <f>SUM(J44:J45)</f>
        <v>115253744</v>
      </c>
      <c r="K46" s="608">
        <f t="shared" ref="K46:T46" si="2">SUM(K44:K45)</f>
        <v>134438427</v>
      </c>
      <c r="L46" s="608">
        <f t="shared" si="2"/>
        <v>106972958</v>
      </c>
      <c r="M46" s="608">
        <f t="shared" si="2"/>
        <v>87115672</v>
      </c>
      <c r="N46" s="608">
        <f t="shared" si="2"/>
        <v>115939681</v>
      </c>
      <c r="O46" s="608">
        <f t="shared" si="2"/>
        <v>190120269</v>
      </c>
      <c r="P46" s="608">
        <f t="shared" si="2"/>
        <v>191228872</v>
      </c>
      <c r="Q46" s="608">
        <f t="shared" si="2"/>
        <v>153421172</v>
      </c>
      <c r="R46" s="608">
        <f t="shared" si="2"/>
        <v>122595167</v>
      </c>
      <c r="S46" s="608">
        <f t="shared" si="2"/>
        <v>100533992</v>
      </c>
      <c r="T46" s="608">
        <f t="shared" si="2"/>
        <v>90076832</v>
      </c>
      <c r="U46" s="608">
        <f>SUM(U44:U45)</f>
        <v>103033357</v>
      </c>
      <c r="V46" s="1395">
        <f t="shared" si="0"/>
        <v>1510730143</v>
      </c>
    </row>
    <row r="47" spans="1:37">
      <c r="I47" s="1398" t="s">
        <v>1005</v>
      </c>
      <c r="J47" s="784">
        <f>'Normalized Monthly kWh'!D10</f>
        <v>87257</v>
      </c>
      <c r="K47" s="784">
        <f>'Normalized Monthly kWh'!E10</f>
        <v>86573</v>
      </c>
      <c r="L47" s="784">
        <f>'Normalized Monthly kWh'!F10</f>
        <v>86528</v>
      </c>
      <c r="M47" s="784">
        <f>'Normalized Monthly kWh'!G10</f>
        <v>86669</v>
      </c>
      <c r="N47" s="784">
        <f>'Normalized Monthly kWh'!H10</f>
        <v>86667</v>
      </c>
      <c r="O47" s="784">
        <f>'Normalized Monthly kWh'!I10</f>
        <v>86269</v>
      </c>
      <c r="P47" s="784">
        <f>'Normalized Monthly kWh'!J10</f>
        <v>86139</v>
      </c>
      <c r="Q47" s="784">
        <f>'Normalized Monthly kWh'!K10</f>
        <v>86530</v>
      </c>
      <c r="R47" s="784">
        <f>'Normalized Monthly kWh'!L10</f>
        <v>85138</v>
      </c>
      <c r="S47" s="784">
        <f>'Normalized Monthly kWh'!M10</f>
        <v>85252</v>
      </c>
      <c r="T47" s="784">
        <f>'Normalized Monthly kWh'!N10</f>
        <v>85328</v>
      </c>
      <c r="U47" s="784">
        <f>'Normalized Monthly kWh'!O10</f>
        <v>85176</v>
      </c>
      <c r="V47" s="8">
        <f t="shared" si="0"/>
        <v>1033526</v>
      </c>
    </row>
    <row r="48" spans="1:37">
      <c r="I48" s="1398" t="s">
        <v>1006</v>
      </c>
      <c r="J48" s="784">
        <f>'Normalized Monthly kWh'!D11</f>
        <v>1865195</v>
      </c>
      <c r="K48" s="784">
        <f>'Normalized Monthly kWh'!E11</f>
        <v>2049005</v>
      </c>
      <c r="L48" s="784">
        <f>'Normalized Monthly kWh'!F11</f>
        <v>1799589</v>
      </c>
      <c r="M48" s="784">
        <f>'Normalized Monthly kWh'!G11</f>
        <v>1491704</v>
      </c>
      <c r="N48" s="784">
        <f>'Normalized Monthly kWh'!H11</f>
        <v>1528404</v>
      </c>
      <c r="O48" s="784">
        <f>'Normalized Monthly kWh'!I11</f>
        <v>2325916</v>
      </c>
      <c r="P48" s="784">
        <f>'Normalized Monthly kWh'!J11</f>
        <v>2312344</v>
      </c>
      <c r="Q48" s="784">
        <f>'Normalized Monthly kWh'!K11</f>
        <v>1910794</v>
      </c>
      <c r="R48" s="784">
        <f>'Normalized Monthly kWh'!L11</f>
        <v>1571045</v>
      </c>
      <c r="S48" s="784">
        <f>'Normalized Monthly kWh'!M11</f>
        <v>1376107</v>
      </c>
      <c r="T48" s="784">
        <f>'Normalized Monthly kWh'!N11</f>
        <v>1509919</v>
      </c>
      <c r="U48" s="784">
        <f>'Normalized Monthly kWh'!O11</f>
        <v>1723161</v>
      </c>
      <c r="V48" s="8">
        <f t="shared" si="0"/>
        <v>21463183</v>
      </c>
    </row>
    <row r="49" spans="9:22">
      <c r="I49" s="1391" t="s">
        <v>1007</v>
      </c>
      <c r="J49" s="608">
        <f>SUM(J46:J48)</f>
        <v>117206196</v>
      </c>
      <c r="K49" s="608">
        <f t="shared" ref="K49:U49" si="3">SUM(K46:K48)</f>
        <v>136574005</v>
      </c>
      <c r="L49" s="608">
        <f t="shared" si="3"/>
        <v>108859075</v>
      </c>
      <c r="M49" s="608">
        <f t="shared" si="3"/>
        <v>88694045</v>
      </c>
      <c r="N49" s="608">
        <f t="shared" si="3"/>
        <v>117554752</v>
      </c>
      <c r="O49" s="608">
        <f t="shared" si="3"/>
        <v>192532454</v>
      </c>
      <c r="P49" s="608">
        <f t="shared" si="3"/>
        <v>193627355</v>
      </c>
      <c r="Q49" s="608">
        <f t="shared" si="3"/>
        <v>155418496</v>
      </c>
      <c r="R49" s="608">
        <f t="shared" si="3"/>
        <v>124251350</v>
      </c>
      <c r="S49" s="608">
        <f t="shared" si="3"/>
        <v>101995351</v>
      </c>
      <c r="T49" s="608">
        <f t="shared" si="3"/>
        <v>91672079</v>
      </c>
      <c r="U49" s="608">
        <f t="shared" si="3"/>
        <v>104841694</v>
      </c>
      <c r="V49" s="1395">
        <f t="shared" si="0"/>
        <v>1533226852</v>
      </c>
    </row>
    <row r="51" spans="9:22">
      <c r="I51" s="1389" t="s">
        <v>1003</v>
      </c>
      <c r="J51" s="1400">
        <f>'Table 2'!G36</f>
        <v>19861000</v>
      </c>
    </row>
    <row r="52" spans="9:22">
      <c r="I52" s="1390" t="s">
        <v>684</v>
      </c>
      <c r="J52" s="1392">
        <f>$J$51*J40/$V$49</f>
        <v>1420388.6474034959</v>
      </c>
      <c r="K52" s="1392">
        <f t="shared" ref="K52:U52" si="4">$J$51*K40/$V$49</f>
        <v>1659235.8530321382</v>
      </c>
      <c r="L52" s="1392">
        <f t="shared" si="4"/>
        <v>1315414.2843423146</v>
      </c>
      <c r="M52" s="1392">
        <f t="shared" si="4"/>
        <v>1067742.6640040348</v>
      </c>
      <c r="N52" s="1392">
        <f t="shared" si="4"/>
        <v>1413019.29878867</v>
      </c>
      <c r="O52" s="1392">
        <f t="shared" si="4"/>
        <v>2305739.8230839227</v>
      </c>
      <c r="P52" s="1392">
        <f t="shared" si="4"/>
        <v>2315337.0959270154</v>
      </c>
      <c r="Q52" s="1392">
        <f t="shared" si="4"/>
        <v>1851801.7544914482</v>
      </c>
      <c r="R52" s="1392">
        <f t="shared" si="4"/>
        <v>1479307.7488079369</v>
      </c>
      <c r="S52" s="1392">
        <f t="shared" si="4"/>
        <v>1215057.976290256</v>
      </c>
      <c r="T52" s="1392">
        <f t="shared" si="4"/>
        <v>1090437.4618055541</v>
      </c>
      <c r="U52" s="1392">
        <f t="shared" si="4"/>
        <v>1255135.1712818816</v>
      </c>
      <c r="V52" s="15">
        <f>SUM(J52:U52)</f>
        <v>18388617.779258668</v>
      </c>
    </row>
    <row r="53" spans="9:22">
      <c r="I53" s="1390" t="s">
        <v>763</v>
      </c>
      <c r="J53" s="1392">
        <f>$J$51*J41/$V$49</f>
        <v>67709.05920384964</v>
      </c>
      <c r="K53" s="1392">
        <f t="shared" ref="K53:U53" si="5">$J$51*K41/$V$49</f>
        <v>76380.296107676055</v>
      </c>
      <c r="L53" s="1392">
        <f t="shared" si="5"/>
        <v>65650.284725120378</v>
      </c>
      <c r="M53" s="1392">
        <f t="shared" si="5"/>
        <v>56961.793458728178</v>
      </c>
      <c r="N53" s="1392">
        <f t="shared" si="5"/>
        <v>83541.892870527416</v>
      </c>
      <c r="O53" s="1392">
        <f t="shared" si="5"/>
        <v>147719.89599944733</v>
      </c>
      <c r="P53" s="1392">
        <f t="shared" si="5"/>
        <v>151366.25318638759</v>
      </c>
      <c r="Q53" s="1392">
        <f t="shared" si="5"/>
        <v>127357.22219532325</v>
      </c>
      <c r="R53" s="1392">
        <f t="shared" si="5"/>
        <v>103098.81903177104</v>
      </c>
      <c r="S53" s="1392">
        <f t="shared" si="5"/>
        <v>82832.028704908182</v>
      </c>
      <c r="T53" s="1392">
        <f t="shared" si="5"/>
        <v>72468.348683734119</v>
      </c>
      <c r="U53" s="1392">
        <f t="shared" si="5"/>
        <v>74829.6833324701</v>
      </c>
      <c r="V53" s="15">
        <f t="shared" ref="V53:V58" si="6">SUM(J53:U53)</f>
        <v>1109915.5774999431</v>
      </c>
    </row>
    <row r="54" spans="9:22">
      <c r="I54" s="1390" t="s">
        <v>685</v>
      </c>
      <c r="J54" s="1392">
        <f>$J$51*J42/$V$49</f>
        <v>2397.2294225120968</v>
      </c>
      <c r="K54" s="1392">
        <f t="shared" ref="K54:U54" si="7">$J$51*K42/$V$49</f>
        <v>2787.9008343900305</v>
      </c>
      <c r="L54" s="1392">
        <f t="shared" si="7"/>
        <v>2271.5653299815804</v>
      </c>
      <c r="M54" s="1392">
        <f t="shared" si="7"/>
        <v>1863.2250363170656</v>
      </c>
      <c r="N54" s="1392">
        <f t="shared" si="7"/>
        <v>2186.757288151121</v>
      </c>
      <c r="O54" s="1392">
        <f t="shared" si="7"/>
        <v>3057.1051608480439</v>
      </c>
      <c r="P54" s="1392">
        <f t="shared" si="7"/>
        <v>3198.2100943533437</v>
      </c>
      <c r="Q54" s="1392">
        <f t="shared" si="7"/>
        <v>2449.3552145276412</v>
      </c>
      <c r="R54" s="1392">
        <f t="shared" si="7"/>
        <v>2151.7951826218082</v>
      </c>
      <c r="S54" s="1392">
        <f t="shared" si="7"/>
        <v>1838.457512874292</v>
      </c>
      <c r="T54" s="1392">
        <f t="shared" si="7"/>
        <v>1958.2147065084143</v>
      </c>
      <c r="U54" s="1392">
        <f t="shared" si="7"/>
        <v>2195.7601274778613</v>
      </c>
      <c r="V54" s="15">
        <f t="shared" si="6"/>
        <v>28355.575910563297</v>
      </c>
    </row>
    <row r="55" spans="9:22">
      <c r="I55" s="1390" t="s">
        <v>987</v>
      </c>
      <c r="J55" s="1392">
        <f>$J$51*J43/$V$49</f>
        <v>586.94626292652481</v>
      </c>
      <c r="K55" s="1392">
        <f t="shared" ref="K55:U55" si="8">$J$51*K43/$V$49</f>
        <v>600.13315563821084</v>
      </c>
      <c r="L55" s="1392">
        <f t="shared" si="8"/>
        <v>424.11793150619826</v>
      </c>
      <c r="M55" s="1392">
        <f t="shared" si="8"/>
        <v>326.33025657445245</v>
      </c>
      <c r="N55" s="1392">
        <f t="shared" si="8"/>
        <v>382.73077805449236</v>
      </c>
      <c r="O55" s="1392">
        <f t="shared" si="8"/>
        <v>539.93719254272492</v>
      </c>
      <c r="P55" s="1392">
        <f t="shared" si="8"/>
        <v>532.41107794008292</v>
      </c>
      <c r="Q55" s="1392">
        <f t="shared" si="8"/>
        <v>418.1851251585046</v>
      </c>
      <c r="R55" s="1392">
        <f t="shared" si="8"/>
        <v>340.34618772773752</v>
      </c>
      <c r="S55" s="1392">
        <f t="shared" si="8"/>
        <v>311.56300933346813</v>
      </c>
      <c r="T55" s="1392">
        <f t="shared" si="8"/>
        <v>314.12784701216543</v>
      </c>
      <c r="U55" s="1392">
        <f t="shared" si="8"/>
        <v>366.61634334590951</v>
      </c>
      <c r="V55" s="15">
        <f t="shared" si="6"/>
        <v>5143.445167760472</v>
      </c>
    </row>
    <row r="56" spans="9:22">
      <c r="I56" s="1391" t="s">
        <v>371</v>
      </c>
      <c r="J56" s="1399">
        <f>SUM(J52:J55)</f>
        <v>1491081.8822927841</v>
      </c>
      <c r="K56" s="1399">
        <f t="shared" ref="K56:U56" si="9">SUM(K52:K55)</f>
        <v>1739004.1831298424</v>
      </c>
      <c r="L56" s="1399">
        <f t="shared" si="9"/>
        <v>1383760.2523289225</v>
      </c>
      <c r="M56" s="1399">
        <f t="shared" si="9"/>
        <v>1126894.0127556545</v>
      </c>
      <c r="N56" s="1399">
        <f t="shared" si="9"/>
        <v>1499130.6797254032</v>
      </c>
      <c r="O56" s="1399">
        <f t="shared" si="9"/>
        <v>2457056.7614367614</v>
      </c>
      <c r="P56" s="1399">
        <f t="shared" si="9"/>
        <v>2470433.970285696</v>
      </c>
      <c r="Q56" s="1399">
        <f t="shared" si="9"/>
        <v>1982026.5170264575</v>
      </c>
      <c r="R56" s="1399">
        <f t="shared" si="9"/>
        <v>1584898.7092100575</v>
      </c>
      <c r="S56" s="1399">
        <f t="shared" si="9"/>
        <v>1300040.0255173722</v>
      </c>
      <c r="T56" s="1399">
        <f t="shared" si="9"/>
        <v>1165178.1530428089</v>
      </c>
      <c r="U56" s="1399">
        <f t="shared" si="9"/>
        <v>1332527.2310851754</v>
      </c>
      <c r="V56" s="1395">
        <f t="shared" si="6"/>
        <v>19532032.377836931</v>
      </c>
    </row>
    <row r="57" spans="9:22">
      <c r="I57" s="1390" t="s">
        <v>1009</v>
      </c>
      <c r="J57" s="1392">
        <f t="shared" ref="J57:U57" si="10">$J$51*J45/$V$49</f>
        <v>1883.497616959294</v>
      </c>
      <c r="K57" s="1392">
        <f t="shared" si="10"/>
        <v>2474.3170438551647</v>
      </c>
      <c r="L57" s="1392">
        <f t="shared" si="10"/>
        <v>1938.0975705739856</v>
      </c>
      <c r="M57" s="1392">
        <f t="shared" si="10"/>
        <v>1578.5021465303687</v>
      </c>
      <c r="N57" s="1392">
        <f t="shared" si="10"/>
        <v>2720.139895514953</v>
      </c>
      <c r="O57" s="1392">
        <f t="shared" si="10"/>
        <v>5709.043690815819</v>
      </c>
      <c r="P57" s="1392">
        <f t="shared" si="10"/>
        <v>6692.3739586319216</v>
      </c>
      <c r="Q57" s="1392">
        <f t="shared" si="10"/>
        <v>5349.2539608874522</v>
      </c>
      <c r="R57" s="1392">
        <f t="shared" si="10"/>
        <v>3165.4501221845285</v>
      </c>
      <c r="S57" s="1392">
        <f t="shared" si="10"/>
        <v>2249.7253485357037</v>
      </c>
      <c r="T57" s="1392">
        <f t="shared" si="10"/>
        <v>1652.4161050891901</v>
      </c>
      <c r="U57" s="1392">
        <f t="shared" si="10"/>
        <v>2138.608289910122</v>
      </c>
      <c r="V57" s="15">
        <f t="shared" si="6"/>
        <v>37551.42574948851</v>
      </c>
    </row>
    <row r="58" spans="9:22">
      <c r="I58" s="1391" t="s">
        <v>372</v>
      </c>
      <c r="J58" s="1395">
        <f>SUM(J56:J57)</f>
        <v>1492965.3799097433</v>
      </c>
      <c r="K58" s="1395">
        <f>SUM(K56:K57)</f>
        <v>1741478.5001736975</v>
      </c>
      <c r="L58" s="1395">
        <f>SUM(L56:L57)</f>
        <v>1385698.3498994964</v>
      </c>
      <c r="M58" s="1395">
        <f t="shared" ref="M58:U58" si="11">SUM(M56:M57)</f>
        <v>1128472.514902185</v>
      </c>
      <c r="N58" s="1395">
        <f t="shared" si="11"/>
        <v>1501850.8196209182</v>
      </c>
      <c r="O58" s="1395">
        <f t="shared" si="11"/>
        <v>2462765.8051275774</v>
      </c>
      <c r="P58" s="1395">
        <f t="shared" si="11"/>
        <v>2477126.3442443279</v>
      </c>
      <c r="Q58" s="1395">
        <f t="shared" si="11"/>
        <v>1987375.7709873449</v>
      </c>
      <c r="R58" s="1395">
        <f t="shared" si="11"/>
        <v>1588064.1593322421</v>
      </c>
      <c r="S58" s="1395">
        <f t="shared" si="11"/>
        <v>1302289.7508659079</v>
      </c>
      <c r="T58" s="1395">
        <f t="shared" si="11"/>
        <v>1166830.5691478981</v>
      </c>
      <c r="U58" s="1395">
        <f t="shared" si="11"/>
        <v>1334665.8393750854</v>
      </c>
      <c r="V58" s="1395">
        <f t="shared" si="6"/>
        <v>19569583.803586423</v>
      </c>
    </row>
    <row r="60" spans="9:22">
      <c r="I60" s="1389" t="s">
        <v>12</v>
      </c>
    </row>
    <row r="61" spans="9:22">
      <c r="I61" s="1390" t="s">
        <v>684</v>
      </c>
      <c r="J61" s="981">
        <f>Temperature!B10*1000</f>
        <v>-23901805.001120444</v>
      </c>
      <c r="K61" s="981">
        <f>Temperature!B11*1000</f>
        <v>-12989404.275644815</v>
      </c>
      <c r="L61" s="981">
        <f>Temperature!B12*1000</f>
        <v>4243559.8398463838</v>
      </c>
      <c r="M61" s="981">
        <f>Temperature!B13*1000</f>
        <v>18113359.698625665</v>
      </c>
      <c r="N61" s="981">
        <f>Temperature!B14*1000</f>
        <v>-1046386.5817444028</v>
      </c>
      <c r="O61" s="981">
        <f>Temperature!B15*1000</f>
        <v>20827514.636843547</v>
      </c>
      <c r="P61" s="981">
        <f>Temperature!B16*1000</f>
        <v>12940341.661022328</v>
      </c>
      <c r="Q61" s="981">
        <f>Temperature!B17*1000</f>
        <v>24024924.720344681</v>
      </c>
      <c r="R61" s="981">
        <f>Temperature!B18*1000</f>
        <v>20420301.639696531</v>
      </c>
      <c r="S61" s="981">
        <f>Temperature!B19*1000</f>
        <v>6748237.2429005224</v>
      </c>
      <c r="T61" s="981">
        <f>Temperature!B20*1000</f>
        <v>-2842362.1784595377</v>
      </c>
      <c r="U61" s="981">
        <f>Temperature!B21*1000</f>
        <v>-30179879.712620247</v>
      </c>
      <c r="V61" s="15">
        <f t="shared" ref="V61:V63" si="12">SUM(J61:U61)</f>
        <v>36358401.689690217</v>
      </c>
    </row>
    <row r="62" spans="9:22">
      <c r="I62" s="1390" t="s">
        <v>763</v>
      </c>
      <c r="J62" s="981">
        <f>Temperature!B28*1000</f>
        <v>-1140141.5820779756</v>
      </c>
      <c r="K62" s="981">
        <f>Temperature!B29*1000</f>
        <v>-595746.91979906196</v>
      </c>
      <c r="L62" s="981">
        <f>Temperature!B30*1000</f>
        <v>211397.67771511231</v>
      </c>
      <c r="M62" s="981">
        <f>Temperature!B31*1000</f>
        <v>966292.72869971069</v>
      </c>
      <c r="N62" s="981">
        <f>Temperature!B32*1000</f>
        <v>-61945.89783341733</v>
      </c>
      <c r="O62" s="981">
        <f>Temperature!B33*1000</f>
        <v>1329439.7025666605</v>
      </c>
      <c r="P62" s="981">
        <f>Temperature!B34*1000</f>
        <v>843317.87436034216</v>
      </c>
      <c r="Q62" s="981">
        <f>Temperature!B35*1000</f>
        <v>1648682.961627844</v>
      </c>
      <c r="R62" s="981">
        <f>Temperature!B36*1000</f>
        <v>1416275.3057624025</v>
      </c>
      <c r="S62" s="981">
        <f>Temperature!B37*1000</f>
        <v>459543.10397869709</v>
      </c>
      <c r="T62" s="981">
        <f>Temperature!B38*1000</f>
        <v>-188552.44853831088</v>
      </c>
      <c r="U62" s="981">
        <f>Temperature!B39*1000</f>
        <v>-1797838.7263625122</v>
      </c>
      <c r="V62" s="15">
        <f t="shared" si="12"/>
        <v>3090723.7800994916</v>
      </c>
    </row>
    <row r="63" spans="9:22">
      <c r="I63" s="1390" t="s">
        <v>685</v>
      </c>
      <c r="J63" s="981">
        <f>Temperature!B46*1000</f>
        <v>-50271.543324483602</v>
      </c>
      <c r="K63" s="981">
        <f>Temperature!B47*1000</f>
        <v>-26446.87016782528</v>
      </c>
      <c r="L63" s="981">
        <f>Temperature!B48*1000</f>
        <v>8577.5622116236354</v>
      </c>
      <c r="M63" s="981">
        <f>Temperature!B49*1000</f>
        <v>37349.78436702722</v>
      </c>
      <c r="N63" s="981">
        <f>Temperature!B50*1000</f>
        <v>-1825.1826600198008</v>
      </c>
      <c r="O63" s="981">
        <f>Temperature!B51*1000</f>
        <v>33412.909087090506</v>
      </c>
      <c r="P63" s="981">
        <f>Temperature!B52*1000</f>
        <v>20630.464617329439</v>
      </c>
      <c r="Q63" s="981">
        <f>Temperature!B53*1000</f>
        <v>35242.318027474386</v>
      </c>
      <c r="R63" s="981">
        <f>Temperature!B54*1000</f>
        <v>36753.054541064113</v>
      </c>
      <c r="S63" s="981">
        <f>Temperature!B55*1000</f>
        <v>11819.653120779691</v>
      </c>
      <c r="T63" s="981">
        <f>Temperature!B56*1000</f>
        <v>-5965.3730021514439</v>
      </c>
      <c r="U63" s="981">
        <f>Temperature!B57*1000</f>
        <v>-61491.561017236483</v>
      </c>
      <c r="V63" s="15">
        <f t="shared" si="12"/>
        <v>37785.215800672362</v>
      </c>
    </row>
    <row r="64" spans="9:22">
      <c r="I64" s="1390"/>
    </row>
    <row r="65" spans="9:22">
      <c r="I65" s="1401" t="s">
        <v>9</v>
      </c>
      <c r="J65" s="5"/>
      <c r="K65" s="5"/>
      <c r="L65" s="5"/>
      <c r="M65" s="5"/>
      <c r="N65" s="5"/>
      <c r="O65" s="5"/>
      <c r="P65" s="59"/>
      <c r="Q65" s="59"/>
      <c r="R65" s="59"/>
      <c r="S65" s="5"/>
      <c r="T65" s="5"/>
      <c r="U65" s="5"/>
      <c r="V65" s="5"/>
    </row>
    <row r="66" spans="9:22">
      <c r="I66" s="1391" t="s">
        <v>684</v>
      </c>
      <c r="J66" s="1395">
        <f>SUM(J61:J63,J52:J55,J40:J43)</f>
        <v>91507205.755769879</v>
      </c>
      <c r="K66" s="1395">
        <f t="shared" ref="K66:U66" si="13">SUM(K61:K63,K52:K55,K40:K43)</f>
        <v>122374821.11751814</v>
      </c>
      <c r="L66" s="1395">
        <f t="shared" si="13"/>
        <v>112670636.33210205</v>
      </c>
      <c r="M66" s="1395">
        <f t="shared" si="13"/>
        <v>107237711.22444806</v>
      </c>
      <c r="N66" s="1395">
        <f t="shared" si="13"/>
        <v>116118665.01748757</v>
      </c>
      <c r="O66" s="1395">
        <f t="shared" si="13"/>
        <v>214326967.00993407</v>
      </c>
      <c r="P66" s="1395">
        <f t="shared" si="13"/>
        <v>206986958.97028568</v>
      </c>
      <c r="Q66" s="1395">
        <f t="shared" si="13"/>
        <v>180699097.51702645</v>
      </c>
      <c r="R66" s="1395">
        <f t="shared" si="13"/>
        <v>145809029.70921007</v>
      </c>
      <c r="S66" s="1395">
        <f t="shared" si="13"/>
        <v>108879958.02551737</v>
      </c>
      <c r="T66" s="1395">
        <f t="shared" si="13"/>
        <v>88077567.153042808</v>
      </c>
      <c r="U66" s="1395">
        <f t="shared" si="13"/>
        <v>72161578.231085181</v>
      </c>
      <c r="V66" s="1395">
        <f>SUM(J66:U66)</f>
        <v>1566850196.0634274</v>
      </c>
    </row>
    <row r="67" spans="9:22">
      <c r="I67" s="1391" t="s">
        <v>1009</v>
      </c>
      <c r="J67" s="1395">
        <f>J45+J57</f>
        <v>147285.4976169593</v>
      </c>
      <c r="K67" s="1395">
        <f t="shared" ref="K67:U67" si="14">K45+K57</f>
        <v>193486.31704385518</v>
      </c>
      <c r="L67" s="1395">
        <f t="shared" si="14"/>
        <v>151555.097570574</v>
      </c>
      <c r="M67" s="1395">
        <f t="shared" si="14"/>
        <v>123435.50214653037</v>
      </c>
      <c r="N67" s="1395">
        <f t="shared" si="14"/>
        <v>212709.13989551496</v>
      </c>
      <c r="O67" s="1395">
        <f t="shared" si="14"/>
        <v>446435.0436908158</v>
      </c>
      <c r="P67" s="1395">
        <f t="shared" si="14"/>
        <v>523329.37395863194</v>
      </c>
      <c r="Q67" s="1395">
        <f t="shared" si="14"/>
        <v>418300.25396088744</v>
      </c>
      <c r="R67" s="1395">
        <f t="shared" si="14"/>
        <v>247531.45012218453</v>
      </c>
      <c r="S67" s="1395">
        <f t="shared" si="14"/>
        <v>175923.72534853569</v>
      </c>
      <c r="T67" s="1395">
        <f t="shared" si="14"/>
        <v>129215.41610508919</v>
      </c>
      <c r="U67" s="1395">
        <f t="shared" si="14"/>
        <v>167234.60828991013</v>
      </c>
      <c r="V67" s="1395">
        <f>SUM(J67:U67)</f>
        <v>2936441.4257494882</v>
      </c>
    </row>
    <row r="68" spans="9:22">
      <c r="I68" s="724"/>
    </row>
    <row r="69" spans="9:22">
      <c r="I69" s="1391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3:AI139"/>
  <sheetViews>
    <sheetView zoomScale="80" zoomScaleNormal="80" workbookViewId="0"/>
  </sheetViews>
  <sheetFormatPr defaultColWidth="9.625" defaultRowHeight="15.75"/>
  <cols>
    <col min="1" max="1" width="17.25" style="968" bestFit="1" customWidth="1"/>
    <col min="2" max="9" width="16.375" style="968" customWidth="1"/>
    <col min="10" max="10" width="12.375" style="968" bestFit="1" customWidth="1"/>
    <col min="11" max="11" width="18" style="968" bestFit="1" customWidth="1"/>
    <col min="12" max="12" width="14.5" style="968" bestFit="1" customWidth="1"/>
    <col min="13" max="13" width="9.625" style="968" customWidth="1"/>
    <col min="14" max="14" width="13.125" style="968" bestFit="1" customWidth="1"/>
    <col min="15" max="15" width="14.625" style="968" bestFit="1" customWidth="1"/>
    <col min="16" max="16" width="12" style="968" bestFit="1" customWidth="1"/>
    <col min="17" max="17" width="14.875" style="968" bestFit="1" customWidth="1"/>
    <col min="18" max="18" width="12.375" style="968" bestFit="1" customWidth="1"/>
    <col min="19" max="19" width="12" style="968" bestFit="1" customWidth="1"/>
    <col min="20" max="20" width="14.875" style="968" bestFit="1" customWidth="1"/>
    <col min="21" max="21" width="9.625" style="968" customWidth="1"/>
    <col min="22" max="23" width="9.625" style="968"/>
    <col min="24" max="24" width="19.625" style="968" bestFit="1" customWidth="1"/>
    <col min="25" max="25" width="13.25" style="968" bestFit="1" customWidth="1"/>
    <col min="26" max="16384" width="9.625" style="968"/>
  </cols>
  <sheetData>
    <row r="3" spans="1:27" ht="18.75">
      <c r="A3" s="965" t="s">
        <v>46</v>
      </c>
      <c r="B3" s="966"/>
      <c r="C3" s="966"/>
      <c r="D3" s="966"/>
      <c r="E3" s="966"/>
      <c r="F3" s="966"/>
      <c r="G3" s="966"/>
      <c r="H3" s="966"/>
      <c r="I3" s="966"/>
      <c r="J3" s="966"/>
      <c r="K3" s="966"/>
      <c r="L3" s="966"/>
      <c r="M3" s="966"/>
      <c r="N3" s="966"/>
      <c r="O3" s="966"/>
      <c r="P3" s="966"/>
      <c r="Q3" s="966"/>
      <c r="R3" s="966"/>
      <c r="S3" s="966"/>
      <c r="T3" s="966"/>
      <c r="U3" s="967"/>
      <c r="V3" s="967"/>
      <c r="W3" s="967"/>
      <c r="X3" s="967"/>
      <c r="Y3" s="967"/>
      <c r="Z3" s="967"/>
      <c r="AA3" s="967"/>
    </row>
    <row r="4" spans="1:27" ht="18.75">
      <c r="A4" s="965" t="s">
        <v>961</v>
      </c>
      <c r="B4" s="966"/>
      <c r="C4" s="966"/>
      <c r="D4" s="966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7"/>
      <c r="V4" s="967"/>
      <c r="W4" s="967"/>
      <c r="X4" s="967"/>
      <c r="Y4" s="967"/>
      <c r="Z4" s="967"/>
      <c r="AA4" s="967"/>
    </row>
    <row r="7" spans="1:27">
      <c r="A7" s="966" t="s">
        <v>66</v>
      </c>
      <c r="B7" s="969" t="s">
        <v>12</v>
      </c>
      <c r="C7" s="970" t="s">
        <v>199</v>
      </c>
      <c r="D7" s="969" t="s">
        <v>199</v>
      </c>
      <c r="E7" s="970"/>
      <c r="F7" s="969"/>
      <c r="G7" s="970" t="s">
        <v>1</v>
      </c>
      <c r="H7" s="971"/>
      <c r="I7" s="971"/>
      <c r="J7" s="972"/>
      <c r="K7" s="973"/>
      <c r="L7" s="973"/>
      <c r="M7" s="973"/>
      <c r="N7" s="973"/>
      <c r="O7" s="972"/>
      <c r="P7" s="971"/>
      <c r="Q7" s="971"/>
      <c r="R7" s="971"/>
      <c r="S7" s="971"/>
    </row>
    <row r="8" spans="1:27">
      <c r="A8" s="968" t="s">
        <v>17</v>
      </c>
      <c r="B8" s="969" t="s">
        <v>16</v>
      </c>
      <c r="C8" s="970" t="s">
        <v>200</v>
      </c>
      <c r="D8" s="969" t="s">
        <v>201</v>
      </c>
      <c r="E8" s="970" t="s">
        <v>200</v>
      </c>
      <c r="F8" s="969" t="s">
        <v>201</v>
      </c>
      <c r="G8" s="970" t="s">
        <v>26</v>
      </c>
      <c r="H8" s="972"/>
      <c r="K8" s="971" t="s">
        <v>202</v>
      </c>
      <c r="L8" s="971"/>
      <c r="M8" s="974"/>
      <c r="N8" s="974"/>
      <c r="O8" s="974"/>
      <c r="P8" s="975"/>
      <c r="Q8" s="972"/>
      <c r="R8" s="972"/>
      <c r="S8" s="972"/>
      <c r="T8" s="972"/>
      <c r="U8" s="972"/>
    </row>
    <row r="9" spans="1:27">
      <c r="A9" s="969" t="s">
        <v>24</v>
      </c>
      <c r="B9" s="976" t="s">
        <v>23</v>
      </c>
      <c r="C9" s="977" t="s">
        <v>23</v>
      </c>
      <c r="D9" s="976" t="s">
        <v>23</v>
      </c>
      <c r="E9" s="970" t="s">
        <v>38</v>
      </c>
      <c r="F9" s="975" t="s">
        <v>38</v>
      </c>
      <c r="G9" s="978" t="s">
        <v>192</v>
      </c>
      <c r="H9" s="972"/>
      <c r="I9" s="1020"/>
      <c r="K9" s="979" t="s">
        <v>977</v>
      </c>
      <c r="L9" s="979"/>
      <c r="M9" s="972"/>
      <c r="N9" s="972"/>
      <c r="O9" s="972"/>
      <c r="P9" s="972"/>
      <c r="Q9" s="972"/>
    </row>
    <row r="10" spans="1:27">
      <c r="A10" s="980">
        <v>41821</v>
      </c>
      <c r="B10" s="981">
        <f>'Temp. Adjustments'!C5</f>
        <v>-23901.805001120443</v>
      </c>
      <c r="C10" s="982">
        <f>$B10*$L$10/$L$12</f>
        <v>-10892.591703451757</v>
      </c>
      <c r="D10" s="981">
        <f t="shared" ref="D10:D21" si="0">$B10*$L$11/$L$12</f>
        <v>-13009.213297668684</v>
      </c>
      <c r="E10" s="1367">
        <v>6.1990000000000003E-2</v>
      </c>
      <c r="F10" s="1368">
        <v>9.8169999999999993E-2</v>
      </c>
      <c r="G10" s="998">
        <f>ROUND((C10*E10+D10*F10)*1000,2)/1000</f>
        <v>-1952.3462299999999</v>
      </c>
      <c r="H10" s="972"/>
      <c r="I10" s="984"/>
      <c r="K10" s="985" t="s">
        <v>203</v>
      </c>
      <c r="L10" s="986">
        <v>646926463.41932094</v>
      </c>
      <c r="M10" s="972"/>
      <c r="N10" s="972"/>
      <c r="O10" s="987"/>
      <c r="P10" s="972"/>
      <c r="Q10" s="972"/>
    </row>
    <row r="11" spans="1:27">
      <c r="A11" s="980">
        <v>41852</v>
      </c>
      <c r="B11" s="981">
        <f>'Temp. Adjustments'!C6</f>
        <v>-12989.404275644814</v>
      </c>
      <c r="C11" s="982">
        <f t="shared" ref="C11:C21" si="1">$B11*$L$10/$L$12</f>
        <v>-5919.564536612902</v>
      </c>
      <c r="D11" s="981">
        <f t="shared" si="0"/>
        <v>-7069.8397390319114</v>
      </c>
      <c r="E11" s="1369">
        <v>6.1990000000000003E-2</v>
      </c>
      <c r="F11" s="1370">
        <v>9.8169999999999993E-2</v>
      </c>
      <c r="G11" s="998">
        <f t="shared" ref="G11:G21" si="2">ROUND((C11*E11+D11*F11)*1000,2)/1000</f>
        <v>-1060.9999700000001</v>
      </c>
      <c r="H11" s="972"/>
      <c r="I11" s="984"/>
      <c r="K11" s="988" t="s">
        <v>204</v>
      </c>
      <c r="L11" s="989">
        <v>772635620.58067906</v>
      </c>
      <c r="M11" s="972"/>
      <c r="N11" s="972"/>
      <c r="O11" s="987"/>
      <c r="P11" s="972"/>
      <c r="Q11" s="972"/>
    </row>
    <row r="12" spans="1:27">
      <c r="A12" s="980">
        <v>41883</v>
      </c>
      <c r="B12" s="981">
        <f>'Temp. Adjustments'!C7</f>
        <v>4243.5598398463835</v>
      </c>
      <c r="C12" s="982">
        <f>$B12*$L$10/$L$12</f>
        <v>1933.8859430258501</v>
      </c>
      <c r="D12" s="981">
        <f t="shared" si="0"/>
        <v>2309.6738968205336</v>
      </c>
      <c r="E12" s="1369">
        <v>6.1990000000000003E-2</v>
      </c>
      <c r="F12" s="1370">
        <v>9.8169999999999993E-2</v>
      </c>
      <c r="G12" s="998">
        <f t="shared" si="2"/>
        <v>346.62228000000005</v>
      </c>
      <c r="H12" s="972"/>
      <c r="I12" s="984"/>
      <c r="K12" s="990" t="s">
        <v>9</v>
      </c>
      <c r="L12" s="981">
        <f>SUM(L10:L11)</f>
        <v>1419562084</v>
      </c>
      <c r="M12" s="972"/>
      <c r="N12" s="972"/>
      <c r="O12" s="987"/>
      <c r="P12" s="972"/>
      <c r="Q12" s="972"/>
    </row>
    <row r="13" spans="1:27">
      <c r="A13" s="980">
        <v>41913</v>
      </c>
      <c r="B13" s="981">
        <f>'Temp. Adjustments'!C8</f>
        <v>18113.359698625663</v>
      </c>
      <c r="C13" s="982">
        <f t="shared" si="1"/>
        <v>8254.6666063771518</v>
      </c>
      <c r="D13" s="981">
        <f t="shared" si="0"/>
        <v>9858.6930922485117</v>
      </c>
      <c r="E13" s="1369">
        <v>6.1990000000000003E-2</v>
      </c>
      <c r="F13" s="1370">
        <v>9.8169999999999993E-2</v>
      </c>
      <c r="G13" s="998">
        <f t="shared" si="2"/>
        <v>1479.53468</v>
      </c>
      <c r="H13" s="972"/>
      <c r="I13" s="991"/>
      <c r="J13" s="981"/>
      <c r="K13" s="974"/>
      <c r="L13" s="981"/>
      <c r="M13" s="972"/>
      <c r="N13" s="972"/>
      <c r="O13" s="987"/>
      <c r="P13" s="972"/>
      <c r="Q13" s="972"/>
    </row>
    <row r="14" spans="1:27">
      <c r="A14" s="980">
        <v>41944</v>
      </c>
      <c r="B14" s="981">
        <f>'Temp. Adjustments'!C9</f>
        <v>-1046.3865817444027</v>
      </c>
      <c r="C14" s="982">
        <f t="shared" si="1"/>
        <v>-476.86196914325211</v>
      </c>
      <c r="D14" s="981">
        <f t="shared" si="0"/>
        <v>-569.52461260115069</v>
      </c>
      <c r="E14" s="1369">
        <v>6.1990000000000003E-2</v>
      </c>
      <c r="F14" s="1370">
        <v>9.8169999999999993E-2</v>
      </c>
      <c r="G14" s="998">
        <f t="shared" si="2"/>
        <v>-85.4709</v>
      </c>
      <c r="H14" s="972"/>
      <c r="I14" s="980"/>
      <c r="J14" s="981"/>
      <c r="K14" s="974"/>
      <c r="L14" s="981"/>
      <c r="M14" s="972"/>
      <c r="N14" s="972"/>
      <c r="O14" s="987"/>
      <c r="P14" s="972"/>
      <c r="Q14" s="972"/>
    </row>
    <row r="15" spans="1:27">
      <c r="A15" s="980">
        <v>41974</v>
      </c>
      <c r="B15" s="981">
        <f>'Temp. Adjustments'!C10</f>
        <v>20827.514636843549</v>
      </c>
      <c r="C15" s="982">
        <f t="shared" si="1"/>
        <v>9491.5682362134285</v>
      </c>
      <c r="D15" s="981">
        <f t="shared" si="0"/>
        <v>11335.946400630119</v>
      </c>
      <c r="E15" s="1369">
        <v>6.1990000000000003E-2</v>
      </c>
      <c r="F15" s="1370">
        <v>9.8169999999999993E-2</v>
      </c>
      <c r="G15" s="998">
        <f>ROUND((C15*E15+D15*F15)*1000,2)/1000</f>
        <v>1701.23217</v>
      </c>
      <c r="H15" s="972"/>
      <c r="I15" s="980"/>
      <c r="J15" s="981"/>
      <c r="K15" s="974"/>
      <c r="L15" s="981"/>
      <c r="M15" s="972"/>
      <c r="N15" s="972"/>
      <c r="O15" s="987"/>
      <c r="P15" s="972"/>
      <c r="Q15" s="972"/>
    </row>
    <row r="16" spans="1:27">
      <c r="A16" s="980">
        <v>42005</v>
      </c>
      <c r="B16" s="981">
        <f>'Temp. Adjustments'!C11</f>
        <v>12940.341661022328</v>
      </c>
      <c r="C16" s="982">
        <f t="shared" si="1"/>
        <v>5897.205596400584</v>
      </c>
      <c r="D16" s="981">
        <f t="shared" si="0"/>
        <v>7043.1360646217445</v>
      </c>
      <c r="E16" s="1369">
        <v>6.1990000000000003E-2</v>
      </c>
      <c r="F16" s="1370">
        <v>9.8169999999999993E-2</v>
      </c>
      <c r="G16" s="998">
        <f>ROUND((C16*E16+D16*F16)*1000,2)/1000</f>
        <v>1056.99244</v>
      </c>
      <c r="H16" s="980"/>
      <c r="I16" s="980"/>
      <c r="J16" s="981"/>
      <c r="K16" s="974"/>
      <c r="L16" s="974"/>
      <c r="M16" s="972"/>
      <c r="N16" s="972"/>
      <c r="O16" s="987"/>
      <c r="P16" s="972"/>
      <c r="Q16" s="972"/>
    </row>
    <row r="17" spans="1:22">
      <c r="A17" s="980">
        <v>42036</v>
      </c>
      <c r="B17" s="981">
        <f>'Temp. Adjustments'!C12</f>
        <v>24024.924720344683</v>
      </c>
      <c r="C17" s="982">
        <f t="shared" si="1"/>
        <v>10948.700136772604</v>
      </c>
      <c r="D17" s="981">
        <f t="shared" si="0"/>
        <v>13076.224583572079</v>
      </c>
      <c r="E17" s="1369">
        <v>6.1990000000000003E-2</v>
      </c>
      <c r="F17" s="1370">
        <v>9.8169999999999993E-2</v>
      </c>
      <c r="G17" s="998">
        <f t="shared" si="2"/>
        <v>1962.4028899999998</v>
      </c>
      <c r="H17" s="972" t="s">
        <v>31</v>
      </c>
      <c r="I17" s="980"/>
      <c r="J17" s="981"/>
      <c r="K17" s="974"/>
      <c r="L17" s="974"/>
      <c r="M17" s="972"/>
      <c r="N17" s="972"/>
      <c r="O17" s="987"/>
      <c r="P17" s="972"/>
      <c r="Q17" s="972"/>
    </row>
    <row r="18" spans="1:22">
      <c r="A18" s="980">
        <v>42064</v>
      </c>
      <c r="B18" s="981">
        <f>'Temp. Adjustments'!C13</f>
        <v>20420.301639696532</v>
      </c>
      <c r="C18" s="982">
        <f t="shared" si="1"/>
        <v>9305.9920877152981</v>
      </c>
      <c r="D18" s="981">
        <f t="shared" si="0"/>
        <v>11114.309551981234</v>
      </c>
      <c r="E18" s="1369">
        <v>6.1990000000000003E-2</v>
      </c>
      <c r="F18" s="1370">
        <v>9.8169999999999993E-2</v>
      </c>
      <c r="G18" s="998">
        <f t="shared" si="2"/>
        <v>1667.9702199999999</v>
      </c>
      <c r="H18" s="972"/>
      <c r="I18" s="980"/>
      <c r="J18" s="981"/>
      <c r="K18" s="974"/>
      <c r="L18" s="974"/>
      <c r="M18" s="972"/>
      <c r="N18" s="972"/>
      <c r="O18" s="987"/>
      <c r="P18" s="972"/>
      <c r="Q18" s="972"/>
    </row>
    <row r="19" spans="1:22">
      <c r="A19" s="980">
        <v>42095</v>
      </c>
      <c r="B19" s="981">
        <f>'Temp. Adjustments'!C14</f>
        <v>6748.2372429005227</v>
      </c>
      <c r="C19" s="982">
        <f t="shared" si="1"/>
        <v>3075.3239348031107</v>
      </c>
      <c r="D19" s="981">
        <f t="shared" si="0"/>
        <v>3672.9133080974116</v>
      </c>
      <c r="E19" s="1369">
        <v>6.4250000000000002E-2</v>
      </c>
      <c r="F19" s="1370">
        <v>0.10166</v>
      </c>
      <c r="G19" s="998">
        <f t="shared" si="2"/>
        <v>570.97793000000001</v>
      </c>
      <c r="H19" s="980"/>
      <c r="I19" s="980"/>
      <c r="J19" s="981"/>
      <c r="K19" s="974"/>
      <c r="L19" s="974"/>
      <c r="M19" s="972"/>
      <c r="N19" s="972"/>
      <c r="O19" s="987"/>
      <c r="P19" s="972"/>
      <c r="Q19" s="972"/>
    </row>
    <row r="20" spans="1:22">
      <c r="A20" s="980">
        <v>42125</v>
      </c>
      <c r="B20" s="981">
        <f>'Temp. Adjustments'!C15</f>
        <v>-2842.3621784595375</v>
      </c>
      <c r="C20" s="982">
        <f t="shared" si="1"/>
        <v>-1295.3285612464028</v>
      </c>
      <c r="D20" s="981">
        <f t="shared" si="0"/>
        <v>-1547.0336172131344</v>
      </c>
      <c r="E20" s="1369">
        <v>6.4250000000000002E-2</v>
      </c>
      <c r="F20" s="1370">
        <v>0.10166</v>
      </c>
      <c r="G20" s="998">
        <f t="shared" si="2"/>
        <v>-240.49629999999999</v>
      </c>
      <c r="H20" s="980"/>
      <c r="I20" s="984"/>
      <c r="J20" s="981"/>
      <c r="K20" s="974"/>
      <c r="L20" s="974"/>
      <c r="M20" s="972"/>
      <c r="N20" s="972"/>
      <c r="O20" s="987"/>
      <c r="P20" s="972"/>
      <c r="Q20" s="972"/>
    </row>
    <row r="21" spans="1:22">
      <c r="A21" s="980">
        <v>42156</v>
      </c>
      <c r="B21" s="1011">
        <f>'Temp. Adjustments'!C16</f>
        <v>-30179.879712620248</v>
      </c>
      <c r="C21" s="994">
        <f t="shared" si="1"/>
        <v>-13753.65196701459</v>
      </c>
      <c r="D21" s="993">
        <f t="shared" si="0"/>
        <v>-16426.227745605658</v>
      </c>
      <c r="E21" s="1371">
        <v>6.4250000000000002E-2</v>
      </c>
      <c r="F21" s="1372">
        <v>0.10166</v>
      </c>
      <c r="G21" s="1366">
        <f t="shared" si="2"/>
        <v>-2553.5624500000004</v>
      </c>
      <c r="H21" s="972"/>
      <c r="I21" s="984"/>
      <c r="J21" s="981"/>
      <c r="K21" s="974"/>
      <c r="L21" s="974"/>
      <c r="M21" s="972"/>
      <c r="N21" s="972"/>
      <c r="O21" s="972"/>
      <c r="P21" s="972"/>
      <c r="Q21" s="972"/>
    </row>
    <row r="22" spans="1:22">
      <c r="A22" s="972" t="s">
        <v>9</v>
      </c>
      <c r="B22" s="987">
        <f>SUM(B10:B21)</f>
        <v>36358.401689690225</v>
      </c>
      <c r="C22" s="982">
        <f>SUM(C10:C21)</f>
        <v>16569.343803839125</v>
      </c>
      <c r="D22" s="987">
        <f>SUM(D10:D21)</f>
        <v>19789.057885851096</v>
      </c>
      <c r="E22" s="996" t="s">
        <v>31</v>
      </c>
      <c r="F22" s="968" t="s">
        <v>31</v>
      </c>
      <c r="G22" s="997">
        <f>SUM(G10:G21)</f>
        <v>2892.8567599999997</v>
      </c>
      <c r="H22" s="998"/>
      <c r="I22" s="974"/>
      <c r="J22" s="981"/>
      <c r="K22" s="974"/>
      <c r="L22" s="999"/>
      <c r="M22" s="972"/>
      <c r="N22" s="972"/>
      <c r="O22" s="987"/>
      <c r="P22" s="972"/>
      <c r="Q22" s="1000"/>
    </row>
    <row r="23" spans="1:22">
      <c r="A23" s="972"/>
      <c r="B23" s="987"/>
      <c r="C23" s="987"/>
      <c r="D23" s="987"/>
      <c r="E23" s="987"/>
      <c r="F23" s="987"/>
      <c r="G23" s="987"/>
      <c r="H23" s="987"/>
      <c r="I23" s="987"/>
      <c r="J23" s="987"/>
      <c r="L23" s="1001"/>
      <c r="M23" s="972"/>
      <c r="N23" s="974"/>
      <c r="O23" s="981"/>
      <c r="P23" s="974"/>
      <c r="Q23" s="999"/>
      <c r="R23" s="972"/>
      <c r="S23" s="972"/>
      <c r="T23" s="987"/>
      <c r="U23" s="972"/>
      <c r="V23" s="1000"/>
    </row>
    <row r="25" spans="1:22">
      <c r="A25" s="966" t="s">
        <v>758</v>
      </c>
      <c r="B25" s="969" t="s">
        <v>12</v>
      </c>
      <c r="C25" s="970" t="s">
        <v>199</v>
      </c>
      <c r="D25" s="969" t="s">
        <v>199</v>
      </c>
      <c r="E25" s="970"/>
      <c r="F25" s="969"/>
      <c r="G25" s="970" t="s">
        <v>1</v>
      </c>
      <c r="H25" s="971"/>
      <c r="I25" s="971"/>
      <c r="J25" s="972"/>
      <c r="K25" s="973"/>
      <c r="L25" s="973"/>
      <c r="M25" s="973"/>
      <c r="N25" s="973"/>
      <c r="O25" s="972"/>
      <c r="P25" s="971"/>
      <c r="Q25" s="971"/>
      <c r="R25" s="971"/>
      <c r="S25" s="971"/>
    </row>
    <row r="26" spans="1:22">
      <c r="A26" s="968" t="s">
        <v>17</v>
      </c>
      <c r="B26" s="969" t="s">
        <v>16</v>
      </c>
      <c r="C26" s="970" t="s">
        <v>200</v>
      </c>
      <c r="D26" s="969" t="s">
        <v>201</v>
      </c>
      <c r="E26" s="970" t="s">
        <v>200</v>
      </c>
      <c r="F26" s="969" t="s">
        <v>201</v>
      </c>
      <c r="G26" s="970" t="s">
        <v>26</v>
      </c>
      <c r="H26" s="972"/>
      <c r="K26" s="971" t="s">
        <v>202</v>
      </c>
      <c r="L26" s="971"/>
      <c r="M26" s="974"/>
      <c r="N26" s="974"/>
      <c r="O26" s="974"/>
      <c r="P26" s="975"/>
      <c r="Q26" s="972"/>
      <c r="R26" s="972"/>
      <c r="S26" s="972"/>
      <c r="T26" s="972"/>
      <c r="U26" s="972"/>
    </row>
    <row r="27" spans="1:22">
      <c r="A27" s="969" t="s">
        <v>24</v>
      </c>
      <c r="B27" s="976" t="s">
        <v>23</v>
      </c>
      <c r="C27" s="977" t="s">
        <v>23</v>
      </c>
      <c r="D27" s="976" t="s">
        <v>23</v>
      </c>
      <c r="E27" s="977" t="s">
        <v>38</v>
      </c>
      <c r="F27" s="976" t="s">
        <v>38</v>
      </c>
      <c r="G27" s="978" t="s">
        <v>192</v>
      </c>
      <c r="H27" s="972" t="s">
        <v>31</v>
      </c>
      <c r="K27" s="979" t="str">
        <f>K9</f>
        <v>June 15 Blocking</v>
      </c>
      <c r="L27" s="979"/>
      <c r="M27" s="972"/>
      <c r="N27" s="972"/>
      <c r="O27" s="972"/>
      <c r="P27" s="972"/>
      <c r="Q27" s="972"/>
    </row>
    <row r="28" spans="1:22">
      <c r="A28" s="980">
        <f>$A$10</f>
        <v>41821</v>
      </c>
      <c r="B28" s="981">
        <f>'Temp. Adjustments'!D5</f>
        <v>-1140.1415820779757</v>
      </c>
      <c r="C28" s="982">
        <f>$B28*$L$28/$L$30</f>
        <v>-536.27515151372859</v>
      </c>
      <c r="D28" s="981">
        <f>$B28*$L$29/$L$30</f>
        <v>-603.86643056424714</v>
      </c>
      <c r="E28" s="1362">
        <v>6.1990000000000003E-2</v>
      </c>
      <c r="F28" s="1363">
        <v>9.8169999999999993E-2</v>
      </c>
      <c r="G28" s="983">
        <f t="shared" ref="G28:G34" si="3">ROUND((C28*E28+D28*F28)*1000,2)/1000</f>
        <v>-92.525259999999989</v>
      </c>
      <c r="H28" s="972"/>
      <c r="I28" s="984"/>
      <c r="K28" s="985" t="s">
        <v>203</v>
      </c>
      <c r="L28" s="986">
        <v>40301771.935483903</v>
      </c>
      <c r="M28" s="972"/>
      <c r="N28" s="972"/>
      <c r="O28" s="987"/>
      <c r="P28" s="972"/>
      <c r="Q28" s="972"/>
    </row>
    <row r="29" spans="1:22">
      <c r="A29" s="980">
        <f>$A$11</f>
        <v>41852</v>
      </c>
      <c r="B29" s="981">
        <f>'Temp. Adjustments'!D6</f>
        <v>-595.74691979906197</v>
      </c>
      <c r="C29" s="982">
        <f t="shared" ref="C29:C39" si="4">$B29*$L$28/$L$30</f>
        <v>-280.2145581751347</v>
      </c>
      <c r="D29" s="981">
        <f t="shared" ref="D29:D39" si="5">$B29*$L$29/$L$30</f>
        <v>-315.53236162392727</v>
      </c>
      <c r="E29" s="1362">
        <v>6.1990000000000003E-2</v>
      </c>
      <c r="F29" s="1363">
        <v>9.8169999999999993E-2</v>
      </c>
      <c r="G29" s="983">
        <f t="shared" si="3"/>
        <v>-48.346309999999995</v>
      </c>
      <c r="H29" s="972"/>
      <c r="I29" s="984"/>
      <c r="K29" s="988" t="s">
        <v>204</v>
      </c>
      <c r="L29" s="989">
        <v>45381344.064516097</v>
      </c>
      <c r="M29" s="972"/>
      <c r="N29" s="972"/>
      <c r="O29" s="987"/>
      <c r="P29" s="972"/>
      <c r="Q29" s="972"/>
    </row>
    <row r="30" spans="1:22">
      <c r="A30" s="980">
        <f>$A$12</f>
        <v>41883</v>
      </c>
      <c r="B30" s="981">
        <f>'Temp. Adjustments'!D7</f>
        <v>211.39767771511231</v>
      </c>
      <c r="C30" s="982">
        <f t="shared" si="4"/>
        <v>99.432669966920727</v>
      </c>
      <c r="D30" s="981">
        <f t="shared" si="5"/>
        <v>111.9650077481916</v>
      </c>
      <c r="E30" s="1362">
        <v>6.1990000000000003E-2</v>
      </c>
      <c r="F30" s="1363">
        <v>9.8169999999999993E-2</v>
      </c>
      <c r="G30" s="983">
        <f t="shared" si="3"/>
        <v>17.155439999999999</v>
      </c>
      <c r="H30" s="972"/>
      <c r="I30" s="984"/>
      <c r="K30" s="990" t="s">
        <v>9</v>
      </c>
      <c r="L30" s="981">
        <f>SUM(L28:L29)</f>
        <v>85683116</v>
      </c>
      <c r="M30" s="972"/>
      <c r="N30" s="972"/>
      <c r="O30" s="987"/>
      <c r="P30" s="972"/>
      <c r="Q30" s="972"/>
    </row>
    <row r="31" spans="1:22">
      <c r="A31" s="980">
        <f>$A$13</f>
        <v>41913</v>
      </c>
      <c r="B31" s="981">
        <f>'Temp. Adjustments'!D8</f>
        <v>966.29272869971066</v>
      </c>
      <c r="C31" s="982">
        <f t="shared" si="4"/>
        <v>454.50388586442352</v>
      </c>
      <c r="D31" s="981">
        <f t="shared" si="5"/>
        <v>511.78884283528708</v>
      </c>
      <c r="E31" s="1362">
        <v>6.1990000000000003E-2</v>
      </c>
      <c r="F31" s="1363">
        <v>9.8169999999999993E-2</v>
      </c>
      <c r="G31" s="983">
        <f t="shared" si="3"/>
        <v>78.417009999999991</v>
      </c>
      <c r="H31" s="972"/>
      <c r="I31" s="991"/>
      <c r="J31" s="981"/>
      <c r="K31" s="974"/>
      <c r="L31" s="981"/>
      <c r="M31" s="972"/>
      <c r="N31" s="972"/>
      <c r="O31" s="987"/>
      <c r="P31" s="972"/>
      <c r="Q31" s="972"/>
    </row>
    <row r="32" spans="1:22">
      <c r="A32" s="980">
        <f>$A$14</f>
        <v>41944</v>
      </c>
      <c r="B32" s="981">
        <f>'Temp. Adjustments'!D9</f>
        <v>-61.945897833417327</v>
      </c>
      <c r="C32" s="982">
        <f t="shared" si="4"/>
        <v>-29.136772369730011</v>
      </c>
      <c r="D32" s="981">
        <f t="shared" si="5"/>
        <v>-32.809125463687316</v>
      </c>
      <c r="E32" s="1362">
        <v>6.1990000000000003E-2</v>
      </c>
      <c r="F32" s="1363">
        <v>9.8169999999999993E-2</v>
      </c>
      <c r="G32" s="983">
        <f t="shared" si="3"/>
        <v>-5.0270600000000005</v>
      </c>
      <c r="H32" s="972"/>
      <c r="I32" s="984"/>
      <c r="J32" s="981"/>
      <c r="K32" s="974"/>
      <c r="L32" s="981"/>
      <c r="M32" s="972"/>
      <c r="N32" s="972"/>
      <c r="O32" s="987"/>
      <c r="P32" s="972"/>
      <c r="Q32" s="972"/>
    </row>
    <row r="33" spans="1:21">
      <c r="A33" s="980">
        <f>$A$15</f>
        <v>41974</v>
      </c>
      <c r="B33" s="981">
        <f>'Temp. Adjustments'!D10</f>
        <v>1329.4397025666606</v>
      </c>
      <c r="C33" s="982">
        <f t="shared" si="4"/>
        <v>625.31310946743702</v>
      </c>
      <c r="D33" s="981">
        <f t="shared" si="5"/>
        <v>704.12659309922344</v>
      </c>
      <c r="E33" s="1362">
        <v>6.1990000000000003E-2</v>
      </c>
      <c r="F33" s="1363">
        <v>9.8169999999999993E-2</v>
      </c>
      <c r="G33" s="992">
        <f t="shared" si="3"/>
        <v>107.88727</v>
      </c>
      <c r="H33" s="972"/>
      <c r="I33" s="984"/>
      <c r="J33" s="981"/>
      <c r="K33" s="974"/>
      <c r="L33" s="981"/>
      <c r="M33" s="972"/>
      <c r="N33" s="972"/>
      <c r="O33" s="987"/>
      <c r="P33" s="972"/>
      <c r="Q33" s="972"/>
    </row>
    <row r="34" spans="1:21">
      <c r="A34" s="980">
        <f>$A$16</f>
        <v>42005</v>
      </c>
      <c r="B34" s="981">
        <f>'Temp. Adjustments'!D11</f>
        <v>843.31787436034222</v>
      </c>
      <c r="C34" s="982">
        <f t="shared" si="4"/>
        <v>396.66163216552002</v>
      </c>
      <c r="D34" s="981">
        <f t="shared" si="5"/>
        <v>446.65624219482225</v>
      </c>
      <c r="E34" s="1362">
        <v>6.1990000000000003E-2</v>
      </c>
      <c r="F34" s="1363">
        <v>9.8169999999999993E-2</v>
      </c>
      <c r="G34" s="983">
        <f t="shared" si="3"/>
        <v>68.437300000000008</v>
      </c>
      <c r="H34" s="980"/>
      <c r="I34" s="984"/>
      <c r="J34" s="981"/>
      <c r="K34" s="974"/>
      <c r="L34" s="974"/>
      <c r="M34" s="972"/>
      <c r="N34" s="972"/>
      <c r="O34" s="987"/>
      <c r="P34" s="972"/>
      <c r="Q34" s="972"/>
    </row>
    <row r="35" spans="1:21">
      <c r="A35" s="980">
        <f>$A$17</f>
        <v>42036</v>
      </c>
      <c r="B35" s="981">
        <f>'Temp. Adjustments'!D12</f>
        <v>1648.682961627844</v>
      </c>
      <c r="C35" s="982">
        <f t="shared" si="4"/>
        <v>775.47185274451886</v>
      </c>
      <c r="D35" s="981">
        <f t="shared" si="5"/>
        <v>873.21110888332521</v>
      </c>
      <c r="E35" s="1362">
        <v>6.1990000000000003E-2</v>
      </c>
      <c r="F35" s="1363">
        <v>9.8169999999999993E-2</v>
      </c>
      <c r="G35" s="983">
        <f>ROUND((C35*E35+D35*F35)*1000,2)/1000</f>
        <v>133.79463000000001</v>
      </c>
      <c r="H35" s="972"/>
      <c r="I35" s="984"/>
      <c r="J35" s="981"/>
      <c r="K35" s="974"/>
      <c r="L35" s="974"/>
      <c r="M35" s="972"/>
      <c r="N35" s="972"/>
      <c r="O35" s="987"/>
      <c r="P35" s="972"/>
      <c r="Q35" s="972"/>
    </row>
    <row r="36" spans="1:21">
      <c r="A36" s="980">
        <f>$A$18</f>
        <v>42064</v>
      </c>
      <c r="B36" s="981">
        <f>'Temp. Adjustments'!D13</f>
        <v>1416.2753057624025</v>
      </c>
      <c r="C36" s="982">
        <f t="shared" si="4"/>
        <v>666.15696341732109</v>
      </c>
      <c r="D36" s="981">
        <f t="shared" si="5"/>
        <v>750.11834234508149</v>
      </c>
      <c r="E36" s="1362">
        <v>6.1990000000000003E-2</v>
      </c>
      <c r="F36" s="1363">
        <v>9.8169999999999993E-2</v>
      </c>
      <c r="G36" s="983">
        <f>ROUND((C36*E36+D36*F36)*1000,2)/1000</f>
        <v>114.93419</v>
      </c>
      <c r="H36" s="972"/>
      <c r="I36" s="984"/>
      <c r="J36" s="981"/>
      <c r="K36" s="974"/>
      <c r="L36" s="974"/>
      <c r="M36" s="972"/>
      <c r="N36" s="972"/>
      <c r="O36" s="987"/>
      <c r="P36" s="972"/>
      <c r="Q36" s="972"/>
    </row>
    <row r="37" spans="1:21">
      <c r="A37" s="980">
        <f>$A$19</f>
        <v>42095</v>
      </c>
      <c r="B37" s="981">
        <f>'Temp. Adjustments'!D14</f>
        <v>459.5431039786971</v>
      </c>
      <c r="C37" s="982">
        <f t="shared" si="4"/>
        <v>216.14995153857166</v>
      </c>
      <c r="D37" s="981">
        <f t="shared" si="5"/>
        <v>243.39315244012542</v>
      </c>
      <c r="E37" s="1362">
        <v>6.4250000000000002E-2</v>
      </c>
      <c r="F37" s="1363">
        <v>0.10166</v>
      </c>
      <c r="G37" s="983">
        <f>ROUND((C37*E37+D37*F37)*1000,2)/1000</f>
        <v>38.630980000000001</v>
      </c>
      <c r="H37" s="980"/>
      <c r="I37" s="984"/>
      <c r="J37" s="981"/>
      <c r="K37" s="974"/>
      <c r="L37" s="974"/>
      <c r="M37" s="972"/>
      <c r="N37" s="972"/>
      <c r="O37" s="987"/>
      <c r="P37" s="972"/>
      <c r="Q37" s="972"/>
    </row>
    <row r="38" spans="1:21">
      <c r="A38" s="980">
        <f>$A$20</f>
        <v>42125</v>
      </c>
      <c r="B38" s="981">
        <f>'Temp. Adjustments'!D15</f>
        <v>-188.55244853831087</v>
      </c>
      <c r="C38" s="982">
        <f t="shared" si="4"/>
        <v>-88.687224900505129</v>
      </c>
      <c r="D38" s="981">
        <f t="shared" si="5"/>
        <v>-99.865223637805741</v>
      </c>
      <c r="E38" s="1362">
        <v>6.4250000000000002E-2</v>
      </c>
      <c r="F38" s="1363">
        <v>0.10166</v>
      </c>
      <c r="G38" s="983">
        <f>ROUND((C38*E38+D38*F38)*1000,2)/1000</f>
        <v>-15.85045</v>
      </c>
      <c r="H38" s="980"/>
      <c r="I38" s="984"/>
      <c r="J38" s="981"/>
      <c r="K38" s="974"/>
      <c r="L38" s="974"/>
      <c r="M38" s="972"/>
      <c r="N38" s="972"/>
      <c r="O38" s="987"/>
      <c r="P38" s="972"/>
      <c r="Q38" s="972"/>
    </row>
    <row r="39" spans="1:21">
      <c r="A39" s="980">
        <f>$A$21</f>
        <v>42156</v>
      </c>
      <c r="B39" s="1011">
        <f>'Temp. Adjustments'!D16</f>
        <v>-1797.8387263625123</v>
      </c>
      <c r="C39" s="994">
        <f t="shared" si="4"/>
        <v>-845.6285171356609</v>
      </c>
      <c r="D39" s="1002">
        <f t="shared" si="5"/>
        <v>-952.21020922685136</v>
      </c>
      <c r="E39" s="1364">
        <v>6.4250000000000002E-2</v>
      </c>
      <c r="F39" s="1365">
        <v>0.10166</v>
      </c>
      <c r="G39" s="995">
        <f>ROUND((C39*E39+D39*F39)*1000,2)/1000</f>
        <v>-151.13332</v>
      </c>
      <c r="H39" s="972"/>
      <c r="I39" s="984"/>
      <c r="J39" s="981"/>
      <c r="K39" s="974"/>
      <c r="L39" s="974"/>
      <c r="M39" s="972"/>
      <c r="N39" s="972"/>
      <c r="O39" s="972"/>
      <c r="P39" s="972"/>
      <c r="Q39" s="972"/>
    </row>
    <row r="40" spans="1:21">
      <c r="A40" s="972" t="s">
        <v>9</v>
      </c>
      <c r="B40" s="987">
        <f>SUM(B28:B39)</f>
        <v>3090.7237800994903</v>
      </c>
      <c r="C40" s="982">
        <f>SUM(C28:C39)</f>
        <v>1453.7478410699537</v>
      </c>
      <c r="D40" s="987">
        <f>SUM(D28:D39)</f>
        <v>1636.9759390295376</v>
      </c>
      <c r="E40" s="996" t="s">
        <v>31</v>
      </c>
      <c r="F40" s="968" t="s">
        <v>31</v>
      </c>
      <c r="G40" s="997">
        <f>SUM(G28:G39)</f>
        <v>246.37442000000001</v>
      </c>
      <c r="H40" s="998"/>
      <c r="I40" s="974"/>
      <c r="J40" s="981"/>
      <c r="K40" s="974"/>
      <c r="L40" s="999"/>
      <c r="M40" s="972"/>
      <c r="N40" s="972"/>
      <c r="O40" s="987"/>
      <c r="P40" s="972"/>
      <c r="Q40" s="1000"/>
    </row>
    <row r="41" spans="1:21">
      <c r="A41" s="972"/>
      <c r="B41" s="987"/>
      <c r="C41" s="982"/>
      <c r="D41" s="987"/>
      <c r="E41" s="996"/>
      <c r="G41" s="997"/>
      <c r="H41" s="998"/>
      <c r="I41" s="974"/>
      <c r="J41" s="981"/>
      <c r="K41" s="974"/>
      <c r="L41" s="999"/>
      <c r="M41" s="972"/>
      <c r="N41" s="972"/>
      <c r="O41" s="987"/>
      <c r="P41" s="972"/>
      <c r="Q41" s="1000"/>
    </row>
    <row r="42" spans="1:21">
      <c r="A42" s="972"/>
      <c r="B42" s="987"/>
      <c r="C42" s="982"/>
      <c r="D42" s="987"/>
      <c r="E42" s="996"/>
      <c r="G42" s="997"/>
      <c r="H42" s="998"/>
      <c r="I42" s="974"/>
      <c r="J42" s="981"/>
      <c r="K42" s="974"/>
      <c r="L42" s="999"/>
      <c r="M42" s="972"/>
      <c r="N42" s="972"/>
      <c r="O42" s="987"/>
      <c r="P42" s="972"/>
      <c r="Q42" s="1000"/>
    </row>
    <row r="43" spans="1:21">
      <c r="A43" s="966" t="s">
        <v>236</v>
      </c>
      <c r="B43" s="969" t="s">
        <v>12</v>
      </c>
      <c r="C43" s="970" t="s">
        <v>199</v>
      </c>
      <c r="D43" s="969" t="s">
        <v>199</v>
      </c>
      <c r="E43" s="970"/>
      <c r="F43" s="969"/>
      <c r="G43" s="970" t="s">
        <v>1</v>
      </c>
      <c r="H43" s="971"/>
      <c r="I43" s="971"/>
      <c r="J43" s="972"/>
      <c r="K43" s="973"/>
      <c r="L43" s="973"/>
      <c r="M43" s="973"/>
      <c r="N43" s="973"/>
      <c r="O43" s="972"/>
      <c r="P43" s="971"/>
      <c r="Q43" s="971"/>
      <c r="R43" s="971"/>
      <c r="S43" s="971"/>
    </row>
    <row r="44" spans="1:21">
      <c r="A44" s="968" t="s">
        <v>17</v>
      </c>
      <c r="B44" s="969" t="s">
        <v>16</v>
      </c>
      <c r="C44" s="970" t="s">
        <v>200</v>
      </c>
      <c r="D44" s="969" t="s">
        <v>201</v>
      </c>
      <c r="E44" s="970" t="s">
        <v>200</v>
      </c>
      <c r="F44" s="969" t="s">
        <v>201</v>
      </c>
      <c r="G44" s="970" t="s">
        <v>26</v>
      </c>
      <c r="H44" s="972"/>
      <c r="K44" s="971" t="s">
        <v>202</v>
      </c>
      <c r="L44" s="971"/>
      <c r="M44" s="974"/>
      <c r="N44" s="974"/>
      <c r="O44" s="974"/>
      <c r="P44" s="975"/>
      <c r="Q44" s="972"/>
      <c r="R44" s="972"/>
      <c r="S44" s="972"/>
      <c r="T44" s="972"/>
      <c r="U44" s="972"/>
    </row>
    <row r="45" spans="1:21">
      <c r="A45" s="969" t="s">
        <v>24</v>
      </c>
      <c r="B45" s="976" t="s">
        <v>23</v>
      </c>
      <c r="C45" s="977" t="s">
        <v>23</v>
      </c>
      <c r="D45" s="976" t="s">
        <v>23</v>
      </c>
      <c r="E45" s="977" t="s">
        <v>38</v>
      </c>
      <c r="F45" s="976" t="s">
        <v>38</v>
      </c>
      <c r="G45" s="978" t="s">
        <v>192</v>
      </c>
      <c r="H45" s="972"/>
      <c r="K45" s="979" t="str">
        <f>K27</f>
        <v>June 15 Blocking</v>
      </c>
      <c r="L45" s="979"/>
      <c r="M45" s="972"/>
      <c r="N45" s="972"/>
      <c r="O45" s="972"/>
      <c r="P45" s="972"/>
      <c r="Q45" s="972"/>
    </row>
    <row r="46" spans="1:21">
      <c r="A46" s="980">
        <f>$A$10</f>
        <v>41821</v>
      </c>
      <c r="B46" s="981">
        <f>'Temp. Adjustments'!E5</f>
        <v>-50.271543324483602</v>
      </c>
      <c r="C46" s="982">
        <f>$B46*$L$46/$L$48</f>
        <v>-13.11907758800945</v>
      </c>
      <c r="D46" s="987">
        <f>$B46*$L$47/$L$48</f>
        <v>-37.152465736474149</v>
      </c>
      <c r="E46" s="1362">
        <v>6.1990000000000003E-2</v>
      </c>
      <c r="F46" s="1363">
        <v>9.8169999999999993E-2</v>
      </c>
      <c r="G46" s="983">
        <f>ROUND((C46*E46+D46*F46)*1000,2)/1000</f>
        <v>-4.4605100000000002</v>
      </c>
      <c r="H46" s="972"/>
      <c r="K46" s="985" t="s">
        <v>203</v>
      </c>
      <c r="L46" s="986">
        <v>674867.48387096799</v>
      </c>
      <c r="M46" s="972"/>
      <c r="N46" s="972"/>
      <c r="O46" s="987"/>
      <c r="P46" s="972"/>
      <c r="Q46" s="972"/>
    </row>
    <row r="47" spans="1:21">
      <c r="A47" s="980">
        <f>$A$11</f>
        <v>41852</v>
      </c>
      <c r="B47" s="981">
        <f>'Temp. Adjustments'!E6</f>
        <v>-26.446870167825281</v>
      </c>
      <c r="C47" s="982">
        <f t="shared" ref="C47:C57" si="6">$B47*$L$46/$L$48</f>
        <v>-6.9016886840379579</v>
      </c>
      <c r="D47" s="987">
        <f t="shared" ref="D47:D57" si="7">$B47*$L$47/$L$48</f>
        <v>-19.545181483787324</v>
      </c>
      <c r="E47" s="1362">
        <v>6.1990000000000003E-2</v>
      </c>
      <c r="F47" s="1363">
        <v>9.8169999999999993E-2</v>
      </c>
      <c r="G47" s="983">
        <f t="shared" ref="G47:G57" si="8">ROUND((C47*E47+D47*F47)*1000,2)/1000</f>
        <v>-2.34659</v>
      </c>
      <c r="H47" s="972"/>
      <c r="K47" s="988" t="s">
        <v>204</v>
      </c>
      <c r="L47" s="989">
        <v>1911185.516129032</v>
      </c>
      <c r="M47" s="972"/>
      <c r="N47" s="972"/>
      <c r="O47" s="987"/>
      <c r="P47" s="972"/>
      <c r="Q47" s="972"/>
    </row>
    <row r="48" spans="1:21">
      <c r="A48" s="980">
        <f>$A$12</f>
        <v>41883</v>
      </c>
      <c r="B48" s="981">
        <f>'Temp. Adjustments'!E7</f>
        <v>8.5775622116236363</v>
      </c>
      <c r="C48" s="982">
        <f t="shared" si="6"/>
        <v>2.2384374285852373</v>
      </c>
      <c r="D48" s="987">
        <f t="shared" si="7"/>
        <v>6.3391247830383994</v>
      </c>
      <c r="E48" s="1362">
        <v>6.1990000000000003E-2</v>
      </c>
      <c r="F48" s="1363">
        <v>9.8169999999999993E-2</v>
      </c>
      <c r="G48" s="983">
        <f t="shared" si="8"/>
        <v>0.76107000000000002</v>
      </c>
      <c r="H48" s="972"/>
      <c r="K48" s="990" t="s">
        <v>9</v>
      </c>
      <c r="L48" s="981">
        <f>SUM(L46:L47)</f>
        <v>2586053</v>
      </c>
      <c r="M48" s="972"/>
      <c r="N48" s="972"/>
      <c r="O48" s="987"/>
      <c r="P48" s="972"/>
      <c r="Q48" s="972"/>
    </row>
    <row r="49" spans="1:35">
      <c r="A49" s="980">
        <f>$A$13</f>
        <v>41913</v>
      </c>
      <c r="B49" s="981">
        <f>'Temp. Adjustments'!E8</f>
        <v>37.349784367027219</v>
      </c>
      <c r="C49" s="982">
        <f t="shared" si="6"/>
        <v>9.7469599420038477</v>
      </c>
      <c r="D49" s="987">
        <f t="shared" si="7"/>
        <v>27.602824425023371</v>
      </c>
      <c r="E49" s="1362">
        <v>6.1990000000000003E-2</v>
      </c>
      <c r="F49" s="1363">
        <v>9.8169999999999993E-2</v>
      </c>
      <c r="G49" s="983">
        <f t="shared" si="8"/>
        <v>3.3139799999999999</v>
      </c>
      <c r="H49" s="972"/>
      <c r="I49" s="990"/>
      <c r="J49" s="981"/>
      <c r="K49" s="974"/>
      <c r="L49" s="974"/>
      <c r="M49" s="972"/>
      <c r="N49" s="972"/>
      <c r="O49" s="987"/>
      <c r="P49" s="972"/>
      <c r="Q49" s="972"/>
    </row>
    <row r="50" spans="1:35">
      <c r="A50" s="980">
        <f>$A$14</f>
        <v>41944</v>
      </c>
      <c r="B50" s="981">
        <f>'Temp. Adjustments'!E9</f>
        <v>-1.8251826600198007</v>
      </c>
      <c r="C50" s="982">
        <f t="shared" si="6"/>
        <v>-0.47630749616209855</v>
      </c>
      <c r="D50" s="987">
        <f t="shared" si="7"/>
        <v>-1.3488751638577021</v>
      </c>
      <c r="E50" s="1362">
        <v>6.1990000000000003E-2</v>
      </c>
      <c r="F50" s="1363">
        <v>9.8169999999999993E-2</v>
      </c>
      <c r="G50" s="983">
        <f t="shared" si="8"/>
        <v>-0.16194999999999998</v>
      </c>
      <c r="H50" s="972"/>
      <c r="I50" s="990"/>
      <c r="J50" s="981"/>
      <c r="K50" s="974"/>
      <c r="L50" s="981"/>
      <c r="M50" s="972"/>
      <c r="N50" s="972"/>
      <c r="O50" s="987"/>
      <c r="P50" s="972"/>
      <c r="Q50" s="972"/>
    </row>
    <row r="51" spans="1:35">
      <c r="A51" s="980">
        <f>$A$15</f>
        <v>41974</v>
      </c>
      <c r="B51" s="981">
        <f>'Temp. Adjustments'!E10</f>
        <v>33.412909087090505</v>
      </c>
      <c r="C51" s="982">
        <f t="shared" si="6"/>
        <v>8.7195760815475047</v>
      </c>
      <c r="D51" s="987">
        <f t="shared" si="7"/>
        <v>24.693333005542996</v>
      </c>
      <c r="E51" s="1362">
        <v>6.1990000000000003E-2</v>
      </c>
      <c r="F51" s="1363">
        <v>9.8169999999999993E-2</v>
      </c>
      <c r="G51" s="983">
        <f t="shared" si="8"/>
        <v>2.9646699999999999</v>
      </c>
      <c r="H51" s="972"/>
      <c r="I51" s="990"/>
      <c r="J51" s="981"/>
      <c r="K51" s="974"/>
      <c r="L51" s="981"/>
      <c r="M51" s="972"/>
      <c r="N51" s="972"/>
      <c r="O51" s="987"/>
      <c r="P51" s="972"/>
      <c r="Q51" s="972"/>
    </row>
    <row r="52" spans="1:35">
      <c r="A52" s="980">
        <f>$A$16</f>
        <v>42005</v>
      </c>
      <c r="B52" s="981">
        <f>'Temp. Adjustments'!E11</f>
        <v>20.630464617329437</v>
      </c>
      <c r="C52" s="982">
        <f t="shared" si="6"/>
        <v>5.3838145418466485</v>
      </c>
      <c r="D52" s="987">
        <f t="shared" si="7"/>
        <v>15.24665007548279</v>
      </c>
      <c r="E52" s="1362">
        <v>6.1990000000000003E-2</v>
      </c>
      <c r="F52" s="1363">
        <v>9.8169999999999993E-2</v>
      </c>
      <c r="G52" s="983">
        <f t="shared" si="8"/>
        <v>1.8305100000000001</v>
      </c>
      <c r="H52" s="972"/>
      <c r="I52" s="990"/>
      <c r="J52" s="981"/>
      <c r="K52" s="974"/>
      <c r="L52" s="974"/>
      <c r="M52" s="972"/>
      <c r="N52" s="972"/>
      <c r="O52" s="987"/>
      <c r="P52" s="972"/>
      <c r="Q52" s="972"/>
    </row>
    <row r="53" spans="1:35">
      <c r="A53" s="980">
        <f>$A$17</f>
        <v>42036</v>
      </c>
      <c r="B53" s="981">
        <f>'Temp. Adjustments'!E12</f>
        <v>35.242318027474383</v>
      </c>
      <c r="C53" s="982">
        <f t="shared" si="6"/>
        <v>9.1969864859622348</v>
      </c>
      <c r="D53" s="987">
        <f t="shared" si="7"/>
        <v>26.045331541512152</v>
      </c>
      <c r="E53" s="1362">
        <v>6.1990000000000003E-2</v>
      </c>
      <c r="F53" s="1363">
        <v>9.8169999999999993E-2</v>
      </c>
      <c r="G53" s="983">
        <f t="shared" si="8"/>
        <v>3.1269899999999997</v>
      </c>
      <c r="H53" s="972"/>
      <c r="I53" s="990"/>
      <c r="J53" s="981"/>
      <c r="K53" s="974"/>
      <c r="L53" s="974"/>
      <c r="M53" s="972"/>
      <c r="N53" s="972"/>
      <c r="O53" s="987"/>
      <c r="P53" s="972"/>
      <c r="Q53" s="972"/>
    </row>
    <row r="54" spans="1:35">
      <c r="A54" s="980">
        <f>$A$18</f>
        <v>42064</v>
      </c>
      <c r="B54" s="981">
        <f>'Temp. Adjustments'!E13</f>
        <v>36.753054541064117</v>
      </c>
      <c r="C54" s="982">
        <f t="shared" si="6"/>
        <v>9.5912347669210156</v>
      </c>
      <c r="D54" s="987">
        <f t="shared" si="7"/>
        <v>27.161819774143101</v>
      </c>
      <c r="E54" s="1362">
        <v>6.1990000000000003E-2</v>
      </c>
      <c r="F54" s="1363">
        <v>9.8169999999999993E-2</v>
      </c>
      <c r="G54" s="983">
        <f t="shared" si="8"/>
        <v>3.2610399999999999</v>
      </c>
      <c r="H54" s="972"/>
      <c r="I54" s="990"/>
      <c r="J54" s="981"/>
      <c r="K54" s="974"/>
      <c r="L54" s="974"/>
      <c r="M54" s="972"/>
      <c r="N54" s="972"/>
      <c r="O54" s="987"/>
      <c r="P54" s="972"/>
      <c r="Q54" s="972"/>
    </row>
    <row r="55" spans="1:35">
      <c r="A55" s="980">
        <f>$A$19</f>
        <v>42095</v>
      </c>
      <c r="B55" s="981">
        <f>'Temp. Adjustments'!E14</f>
        <v>11.819653120779691</v>
      </c>
      <c r="C55" s="982">
        <f t="shared" si="6"/>
        <v>3.0845073793337661</v>
      </c>
      <c r="D55" s="987">
        <f t="shared" si="7"/>
        <v>8.7351457414459244</v>
      </c>
      <c r="E55" s="1362">
        <v>6.4250000000000002E-2</v>
      </c>
      <c r="F55" s="1363">
        <v>0.10166</v>
      </c>
      <c r="G55" s="983">
        <f t="shared" si="8"/>
        <v>1.08619</v>
      </c>
      <c r="H55" s="972"/>
      <c r="I55" s="990"/>
      <c r="J55" s="981"/>
      <c r="K55" s="974"/>
      <c r="L55" s="974"/>
      <c r="M55" s="972"/>
      <c r="N55" s="972"/>
      <c r="O55" s="987"/>
      <c r="P55" s="972"/>
      <c r="Q55" s="972"/>
    </row>
    <row r="56" spans="1:35">
      <c r="A56" s="980">
        <f>$A$20</f>
        <v>42125</v>
      </c>
      <c r="B56" s="981">
        <f>'Temp. Adjustments'!E15</f>
        <v>-5.9653730021514439</v>
      </c>
      <c r="C56" s="982">
        <f t="shared" si="6"/>
        <v>-1.5567493273779569</v>
      </c>
      <c r="D56" s="987">
        <f t="shared" si="7"/>
        <v>-4.4086236747734873</v>
      </c>
      <c r="E56" s="1362">
        <v>6.4250000000000002E-2</v>
      </c>
      <c r="F56" s="1363">
        <v>0.10166</v>
      </c>
      <c r="G56" s="983">
        <f t="shared" si="8"/>
        <v>-0.54820000000000002</v>
      </c>
      <c r="H56" s="972"/>
      <c r="I56" s="990"/>
      <c r="J56" s="981"/>
      <c r="K56" s="974"/>
      <c r="L56" s="974"/>
      <c r="M56" s="972"/>
      <c r="N56" s="972"/>
      <c r="O56" s="987"/>
      <c r="P56" s="972"/>
      <c r="Q56" s="972"/>
    </row>
    <row r="57" spans="1:35">
      <c r="A57" s="980">
        <f>$A$21</f>
        <v>42156</v>
      </c>
      <c r="B57" s="1011">
        <f>'Temp. Adjustments'!E16</f>
        <v>-61.491561017236485</v>
      </c>
      <c r="C57" s="994">
        <f t="shared" si="6"/>
        <v>-16.047101533882131</v>
      </c>
      <c r="D57" s="1002">
        <f t="shared" si="7"/>
        <v>-45.444459483354358</v>
      </c>
      <c r="E57" s="1364">
        <v>6.4250000000000002E-2</v>
      </c>
      <c r="F57" s="1365">
        <v>0.10166</v>
      </c>
      <c r="G57" s="1003">
        <f t="shared" si="8"/>
        <v>-5.6509099999999997</v>
      </c>
      <c r="H57" s="972"/>
      <c r="I57" s="990"/>
      <c r="J57" s="981"/>
      <c r="K57" s="974"/>
      <c r="L57" s="974"/>
      <c r="M57" s="972"/>
      <c r="N57" s="972"/>
      <c r="O57" s="972"/>
      <c r="P57" s="972"/>
      <c r="Q57" s="972"/>
    </row>
    <row r="58" spans="1:35">
      <c r="A58" s="972" t="s">
        <v>9</v>
      </c>
      <c r="B58" s="987">
        <f>SUM(B46:B57)</f>
        <v>37.785215800672397</v>
      </c>
      <c r="C58" s="982">
        <f>SUM(C46:C57)</f>
        <v>9.8605919967306583</v>
      </c>
      <c r="D58" s="1023">
        <f>SUM(D46:D57)</f>
        <v>27.924623803941707</v>
      </c>
      <c r="E58" s="996" t="s">
        <v>31</v>
      </c>
      <c r="F58" s="968" t="s">
        <v>31</v>
      </c>
      <c r="G58" s="997">
        <f>SUM(G46:G57)</f>
        <v>3.1762899999999998</v>
      </c>
      <c r="H58" s="998"/>
      <c r="I58" s="974"/>
      <c r="J58" s="981"/>
      <c r="K58" s="974"/>
      <c r="L58" s="999"/>
      <c r="M58" s="972"/>
      <c r="N58" s="972"/>
      <c r="O58" s="987"/>
      <c r="P58" s="972"/>
      <c r="Q58" s="1000"/>
    </row>
    <row r="59" spans="1:35">
      <c r="A59" s="972"/>
      <c r="B59" s="987"/>
      <c r="C59" s="987"/>
      <c r="D59" s="987"/>
      <c r="E59" s="987"/>
      <c r="F59" s="987"/>
      <c r="G59" s="987"/>
      <c r="H59" s="987"/>
      <c r="I59" s="987"/>
      <c r="J59" s="987"/>
      <c r="L59" s="1001"/>
      <c r="M59" s="972"/>
      <c r="N59" s="974"/>
      <c r="O59" s="981"/>
      <c r="P59" s="974"/>
      <c r="Q59" s="999"/>
      <c r="R59" s="972"/>
      <c r="S59" s="972"/>
      <c r="T59" s="987"/>
      <c r="U59" s="972"/>
      <c r="V59" s="1000"/>
    </row>
    <row r="60" spans="1:35">
      <c r="A60" s="966" t="s">
        <v>67</v>
      </c>
      <c r="B60" s="969" t="s">
        <v>12</v>
      </c>
      <c r="C60" s="1004" t="s">
        <v>199</v>
      </c>
      <c r="D60" s="969" t="s">
        <v>199</v>
      </c>
      <c r="E60" s="969" t="s">
        <v>199</v>
      </c>
      <c r="F60" s="1004"/>
      <c r="G60" s="969"/>
      <c r="H60" s="969"/>
      <c r="I60" s="970" t="s">
        <v>1</v>
      </c>
      <c r="J60" s="987"/>
      <c r="L60" s="1001"/>
      <c r="M60" s="1001"/>
      <c r="N60" s="966" t="s">
        <v>67</v>
      </c>
      <c r="O60" s="969" t="s">
        <v>12</v>
      </c>
      <c r="P60" s="1004" t="s">
        <v>199</v>
      </c>
      <c r="Q60" s="969" t="s">
        <v>199</v>
      </c>
      <c r="R60" s="969" t="s">
        <v>199</v>
      </c>
      <c r="S60" s="1004"/>
      <c r="T60" s="969"/>
      <c r="U60" s="969"/>
      <c r="V60" s="970" t="s">
        <v>1</v>
      </c>
      <c r="W60" s="987"/>
      <c r="Y60" s="1001"/>
      <c r="Z60" s="972"/>
      <c r="AA60" s="974"/>
      <c r="AB60" s="981"/>
      <c r="AC60" s="974"/>
      <c r="AD60" s="999"/>
      <c r="AE60" s="972"/>
      <c r="AF60" s="972"/>
      <c r="AG60" s="987"/>
      <c r="AH60" s="972"/>
      <c r="AI60" s="1000"/>
    </row>
    <row r="61" spans="1:35">
      <c r="A61" s="968" t="s">
        <v>18</v>
      </c>
      <c r="B61" s="969" t="s">
        <v>16</v>
      </c>
      <c r="C61" s="1004" t="s">
        <v>200</v>
      </c>
      <c r="D61" s="969" t="s">
        <v>201</v>
      </c>
      <c r="E61" s="969" t="s">
        <v>205</v>
      </c>
      <c r="F61" s="1004" t="s">
        <v>200</v>
      </c>
      <c r="G61" s="969" t="s">
        <v>201</v>
      </c>
      <c r="H61" s="969" t="s">
        <v>205</v>
      </c>
      <c r="I61" s="970" t="s">
        <v>26</v>
      </c>
      <c r="J61" s="987"/>
      <c r="K61" s="971" t="s">
        <v>202</v>
      </c>
      <c r="L61" s="971"/>
      <c r="M61" s="971"/>
      <c r="N61" s="968" t="s">
        <v>17</v>
      </c>
      <c r="O61" s="969" t="s">
        <v>16</v>
      </c>
      <c r="P61" s="1004" t="s">
        <v>200</v>
      </c>
      <c r="Q61" s="969" t="s">
        <v>201</v>
      </c>
      <c r="R61" s="969" t="s">
        <v>205</v>
      </c>
      <c r="S61" s="1004" t="s">
        <v>200</v>
      </c>
      <c r="T61" s="969" t="s">
        <v>201</v>
      </c>
      <c r="U61" s="969" t="s">
        <v>205</v>
      </c>
      <c r="V61" s="970" t="s">
        <v>26</v>
      </c>
      <c r="W61" s="987"/>
      <c r="X61" s="971" t="s">
        <v>202</v>
      </c>
      <c r="Y61" s="971"/>
      <c r="Z61" s="972"/>
      <c r="AA61" s="974"/>
      <c r="AB61" s="981"/>
      <c r="AC61" s="974"/>
      <c r="AD61" s="999"/>
      <c r="AE61" s="972"/>
      <c r="AF61" s="972"/>
      <c r="AG61" s="987"/>
      <c r="AH61" s="972"/>
      <c r="AI61" s="1000"/>
    </row>
    <row r="62" spans="1:35">
      <c r="A62" s="969" t="s">
        <v>24</v>
      </c>
      <c r="B62" s="1005" t="s">
        <v>23</v>
      </c>
      <c r="C62" s="1006" t="s">
        <v>23</v>
      </c>
      <c r="D62" s="1005" t="s">
        <v>23</v>
      </c>
      <c r="E62" s="1005" t="s">
        <v>23</v>
      </c>
      <c r="F62" s="1006" t="s">
        <v>38</v>
      </c>
      <c r="G62" s="1005" t="s">
        <v>38</v>
      </c>
      <c r="H62" s="1005" t="s">
        <v>38</v>
      </c>
      <c r="I62" s="978" t="s">
        <v>192</v>
      </c>
      <c r="J62" s="987"/>
      <c r="K62" s="979" t="str">
        <f>K45</f>
        <v>June 15 Blocking</v>
      </c>
      <c r="L62" s="979"/>
      <c r="M62" s="973"/>
      <c r="N62" s="969" t="s">
        <v>24</v>
      </c>
      <c r="O62" s="1005" t="s">
        <v>23</v>
      </c>
      <c r="P62" s="1006" t="s">
        <v>23</v>
      </c>
      <c r="Q62" s="1005" t="s">
        <v>23</v>
      </c>
      <c r="R62" s="1005" t="s">
        <v>23</v>
      </c>
      <c r="S62" s="1006" t="s">
        <v>38</v>
      </c>
      <c r="T62" s="1005" t="s">
        <v>38</v>
      </c>
      <c r="U62" s="1005" t="s">
        <v>38</v>
      </c>
      <c r="V62" s="978" t="s">
        <v>192</v>
      </c>
      <c r="W62" s="987"/>
      <c r="X62" s="979" t="str">
        <f>K62</f>
        <v>June 15 Blocking</v>
      </c>
      <c r="Y62" s="979"/>
      <c r="Z62" s="972"/>
      <c r="AA62" s="974"/>
      <c r="AB62" s="981"/>
      <c r="AC62" s="974"/>
      <c r="AD62" s="999"/>
      <c r="AE62" s="972"/>
      <c r="AF62" s="972"/>
      <c r="AG62" s="987"/>
      <c r="AH62" s="972"/>
      <c r="AI62" s="1000"/>
    </row>
    <row r="63" spans="1:35">
      <c r="A63" s="980">
        <f>$A$10</f>
        <v>41821</v>
      </c>
      <c r="B63" s="987">
        <f>'Temp. Adjustments'!F5*($L$66/($L$66+$Y$66))</f>
        <v>-3587.596016200494</v>
      </c>
      <c r="C63" s="1007">
        <f>$B63*$L$63/$L$66</f>
        <v>-828.49419160957791</v>
      </c>
      <c r="D63" s="987">
        <f>$B63*$L$64/$L$66</f>
        <v>-1931.4278572676678</v>
      </c>
      <c r="E63" s="987">
        <f>$B63*$L$65/$L$66</f>
        <v>-827.67396732324858</v>
      </c>
      <c r="F63" s="1362">
        <v>0.10359</v>
      </c>
      <c r="G63" s="1373">
        <v>7.1559999999999999E-2</v>
      </c>
      <c r="H63" s="1370">
        <v>6.166E-2</v>
      </c>
      <c r="I63" s="992">
        <f>ROUND((C63*F63+D63*G63+E63*H63)*1000,2)/1000</f>
        <v>-275.07107000000002</v>
      </c>
      <c r="J63" s="987"/>
      <c r="K63" s="985" t="s">
        <v>203</v>
      </c>
      <c r="L63" s="986">
        <v>116094504.66666427</v>
      </c>
      <c r="M63" s="981"/>
      <c r="N63" s="980">
        <f>$A$10</f>
        <v>41821</v>
      </c>
      <c r="O63" s="987">
        <f>'Temp. Adjustments'!F5*(Temperature!$Y$66/(Temperature!$L$66+Temperature!$Y$66))</f>
        <v>-153.16937265902686</v>
      </c>
      <c r="P63" s="1007">
        <f>$O63*$Y$63/$Y$66</f>
        <v>-93.794563383071193</v>
      </c>
      <c r="Q63" s="987">
        <f t="shared" ref="Q63:Q74" si="9">$O63*$Y$64/$Y$66</f>
        <v>-50.617796332300649</v>
      </c>
      <c r="R63" s="987">
        <f>$O63*$Y$65/$Y$66</f>
        <v>-8.7570129436550079</v>
      </c>
      <c r="S63" s="1362">
        <v>0.10359</v>
      </c>
      <c r="T63" s="1373">
        <v>7.1559999999999999E-2</v>
      </c>
      <c r="U63" s="1370">
        <v>6.166E-2</v>
      </c>
      <c r="V63" s="992">
        <f>ROUND((P63*S63+Q63*T63+R63*U63)*1000,2)/1000</f>
        <v>-13.878350000000001</v>
      </c>
      <c r="W63" s="987"/>
      <c r="X63" s="985" t="s">
        <v>203</v>
      </c>
      <c r="Y63" s="986">
        <v>13143161.99999997</v>
      </c>
      <c r="Z63" s="972"/>
      <c r="AA63" s="974"/>
      <c r="AB63" s="981"/>
      <c r="AC63" s="974"/>
      <c r="AD63" s="999"/>
      <c r="AE63" s="972"/>
      <c r="AF63" s="972"/>
      <c r="AG63" s="987"/>
      <c r="AH63" s="972"/>
      <c r="AI63" s="1000"/>
    </row>
    <row r="64" spans="1:35">
      <c r="A64" s="980">
        <f>$A$11</f>
        <v>41852</v>
      </c>
      <c r="B64" s="987">
        <f>'Temp. Adjustments'!F6*($L$66/($L$66+$Y$66))</f>
        <v>-2453.0973859243941</v>
      </c>
      <c r="C64" s="1007">
        <f t="shared" ref="C64:C74" si="10">$B64*$L$63/$L$66</f>
        <v>-566.50105711830497</v>
      </c>
      <c r="D64" s="987">
        <f t="shared" ref="D64:D74" si="11">$B64*$L$64/$L$66</f>
        <v>-1320.6561180159604</v>
      </c>
      <c r="E64" s="987">
        <f t="shared" ref="E64:E74" si="12">$B64*$L$65/$L$66</f>
        <v>-565.94021079012862</v>
      </c>
      <c r="F64" s="1362">
        <v>0.10359</v>
      </c>
      <c r="G64" s="1373">
        <v>7.1559999999999999E-2</v>
      </c>
      <c r="H64" s="1370">
        <v>6.166E-2</v>
      </c>
      <c r="I64" s="992">
        <f t="shared" ref="I64:I74" si="13">ROUND((C64*F64+D64*G64+E64*H64)*1000,2)/1000</f>
        <v>-188.08587</v>
      </c>
      <c r="J64" s="987"/>
      <c r="K64" s="985" t="s">
        <v>204</v>
      </c>
      <c r="L64" s="981">
        <v>270645422.33333194</v>
      </c>
      <c r="M64" s="981"/>
      <c r="N64" s="980">
        <f>$A$11</f>
        <v>41852</v>
      </c>
      <c r="O64" s="987">
        <f>'Temp. Adjustments'!F6*(Temperature!$Y$66/(Temperature!$L$66+Temperature!$Y$66))</f>
        <v>-104.73291473644559</v>
      </c>
      <c r="P64" s="1007">
        <f t="shared" ref="P64:P74" si="14">$O64*$Y$63/$Y$66</f>
        <v>-64.134087898951833</v>
      </c>
      <c r="Q64" s="987">
        <f t="shared" si="9"/>
        <v>-34.611027357401561</v>
      </c>
      <c r="R64" s="987">
        <f t="shared" ref="R64:R74" si="15">$O64*$Y$65/$Y$66</f>
        <v>-5.9877994800922067</v>
      </c>
      <c r="S64" s="1362">
        <v>0.10359</v>
      </c>
      <c r="T64" s="1373">
        <v>7.1559999999999999E-2</v>
      </c>
      <c r="U64" s="1370">
        <v>6.166E-2</v>
      </c>
      <c r="V64" s="992">
        <f t="shared" ref="V64:V74" si="16">ROUND((P64*S64+Q64*T64+R64*U64)*1000,2)/1000</f>
        <v>-9.4896200000000004</v>
      </c>
      <c r="W64" s="987"/>
      <c r="X64" s="985" t="s">
        <v>204</v>
      </c>
      <c r="Y64" s="981">
        <v>7092925.9999999804</v>
      </c>
      <c r="Z64" s="972"/>
      <c r="AA64" s="974"/>
      <c r="AB64" s="981"/>
      <c r="AC64" s="974"/>
      <c r="AD64" s="999"/>
      <c r="AE64" s="972"/>
      <c r="AF64" s="972"/>
      <c r="AG64" s="987"/>
      <c r="AH64" s="972"/>
      <c r="AI64" s="1000"/>
    </row>
    <row r="65" spans="1:35">
      <c r="A65" s="980">
        <f>$A$12</f>
        <v>41883</v>
      </c>
      <c r="B65" s="987">
        <f>'Temp. Adjustments'!F7*($L$66/($L$66+$Y$66))</f>
        <v>-1680.1796043879333</v>
      </c>
      <c r="C65" s="1007">
        <f t="shared" si="10"/>
        <v>-388.00886075532082</v>
      </c>
      <c r="D65" s="987">
        <f t="shared" si="11"/>
        <v>-904.54601869155044</v>
      </c>
      <c r="E65" s="987">
        <f t="shared" si="12"/>
        <v>-387.6247249410622</v>
      </c>
      <c r="F65" s="1362">
        <v>0.10359</v>
      </c>
      <c r="G65" s="1373">
        <v>7.1559999999999999E-2</v>
      </c>
      <c r="H65" s="1370">
        <v>6.166E-2</v>
      </c>
      <c r="I65" s="992">
        <f t="shared" si="13"/>
        <v>-128.82408999999998</v>
      </c>
      <c r="J65" s="987"/>
      <c r="K65" s="1008" t="s">
        <v>206</v>
      </c>
      <c r="L65" s="989">
        <v>115979569.00000381</v>
      </c>
      <c r="M65" s="981"/>
      <c r="N65" s="980">
        <f>$A$12</f>
        <v>41883</v>
      </c>
      <c r="O65" s="987">
        <f>'Temp. Adjustments'!F7*(Temperature!$Y$66/(Temperature!$L$66+Temperature!$Y$66))</f>
        <v>-71.733844835502097</v>
      </c>
      <c r="P65" s="1007">
        <f t="shared" si="14"/>
        <v>-43.92682779417504</v>
      </c>
      <c r="Q65" s="987">
        <f t="shared" si="9"/>
        <v>-23.705843309153966</v>
      </c>
      <c r="R65" s="987">
        <f t="shared" si="15"/>
        <v>-4.1011737321730886</v>
      </c>
      <c r="S65" s="1362">
        <v>0.10359</v>
      </c>
      <c r="T65" s="1373">
        <v>7.1559999999999999E-2</v>
      </c>
      <c r="U65" s="1370">
        <v>6.166E-2</v>
      </c>
      <c r="V65" s="992">
        <f t="shared" si="16"/>
        <v>-6.4996499999999999</v>
      </c>
      <c r="W65" s="987"/>
      <c r="X65" s="1008" t="s">
        <v>206</v>
      </c>
      <c r="Y65" s="989">
        <v>1227095.0000000494</v>
      </c>
      <c r="Z65" s="972"/>
      <c r="AA65" s="974"/>
      <c r="AB65" s="981"/>
      <c r="AC65" s="974"/>
      <c r="AD65" s="999"/>
      <c r="AE65" s="972"/>
      <c r="AF65" s="972"/>
      <c r="AG65" s="987"/>
      <c r="AH65" s="972"/>
      <c r="AI65" s="1000"/>
    </row>
    <row r="66" spans="1:35">
      <c r="A66" s="980">
        <f>$A$13</f>
        <v>41913</v>
      </c>
      <c r="B66" s="987">
        <f>'Temp. Adjustments'!F8*($L$66/($L$66+$Y$66))</f>
        <v>-695.10714510657124</v>
      </c>
      <c r="C66" s="1007">
        <f t="shared" si="10"/>
        <v>-160.52315524561735</v>
      </c>
      <c r="D66" s="987">
        <f t="shared" si="11"/>
        <v>-374.21975545242162</v>
      </c>
      <c r="E66" s="987">
        <f t="shared" si="12"/>
        <v>-160.36423440853235</v>
      </c>
      <c r="F66" s="1362">
        <v>0.10359</v>
      </c>
      <c r="G66" s="1373">
        <v>7.1559999999999999E-2</v>
      </c>
      <c r="H66" s="1370">
        <v>6.166E-2</v>
      </c>
      <c r="I66" s="992">
        <f t="shared" si="13"/>
        <v>-53.295819999999999</v>
      </c>
      <c r="J66" s="987"/>
      <c r="K66" s="990" t="s">
        <v>9</v>
      </c>
      <c r="L66" s="981">
        <f>SUM(L63:L65)</f>
        <v>502719496</v>
      </c>
      <c r="M66" s="981"/>
      <c r="N66" s="980">
        <f>$A$13</f>
        <v>41913</v>
      </c>
      <c r="O66" s="987">
        <f>'Temp. Adjustments'!F8*(Temperature!$Y$66/(Temperature!$L$66+Temperature!$Y$66))</f>
        <v>-29.677010696298701</v>
      </c>
      <c r="P66" s="1007">
        <f t="shared" si="14"/>
        <v>-18.17296899798999</v>
      </c>
      <c r="Q66" s="987">
        <f t="shared" si="9"/>
        <v>-9.8073450135543538</v>
      </c>
      <c r="R66" s="987">
        <f t="shared" si="15"/>
        <v>-1.696696684754359</v>
      </c>
      <c r="S66" s="1362">
        <v>0.10359</v>
      </c>
      <c r="T66" s="1373">
        <v>7.1559999999999999E-2</v>
      </c>
      <c r="U66" s="1370">
        <v>6.166E-2</v>
      </c>
      <c r="V66" s="992">
        <f t="shared" si="16"/>
        <v>-2.6889699999999999</v>
      </c>
      <c r="W66" s="987"/>
      <c r="X66" s="990" t="s">
        <v>9</v>
      </c>
      <c r="Y66" s="981">
        <f>SUM(Y63:Y65)</f>
        <v>21463183</v>
      </c>
      <c r="Z66" s="972"/>
      <c r="AA66" s="974"/>
      <c r="AB66" s="981"/>
      <c r="AC66" s="974"/>
      <c r="AD66" s="999"/>
      <c r="AE66" s="972"/>
      <c r="AF66" s="972"/>
      <c r="AG66" s="987"/>
      <c r="AH66" s="972"/>
      <c r="AI66" s="1000"/>
    </row>
    <row r="67" spans="1:35">
      <c r="A67" s="980">
        <f>$A$14</f>
        <v>41944</v>
      </c>
      <c r="B67" s="987">
        <f>'Temp. Adjustments'!F9*($L$66/($L$66+$Y$66))</f>
        <v>-358.12910532537273</v>
      </c>
      <c r="C67" s="1007">
        <f t="shared" si="10"/>
        <v>-82.703816781087767</v>
      </c>
      <c r="D67" s="987">
        <f t="shared" si="11"/>
        <v>-192.80335004283148</v>
      </c>
      <c r="E67" s="987">
        <f t="shared" si="12"/>
        <v>-82.621938501453499</v>
      </c>
      <c r="F67" s="1362">
        <v>0.10359</v>
      </c>
      <c r="G67" s="1373">
        <v>7.1559999999999999E-2</v>
      </c>
      <c r="H67" s="1370">
        <v>6.166E-2</v>
      </c>
      <c r="I67" s="992">
        <f t="shared" si="13"/>
        <v>-27.458759999999998</v>
      </c>
      <c r="J67" s="987"/>
      <c r="L67" s="1001"/>
      <c r="M67" s="1001"/>
      <c r="N67" s="980">
        <f>$A$14</f>
        <v>41944</v>
      </c>
      <c r="O67" s="987">
        <f>'Temp. Adjustments'!F9*(Temperature!$Y$66/(Temperature!$L$66+Temperature!$Y$66))</f>
        <v>-15.290018760730039</v>
      </c>
      <c r="P67" s="1007">
        <f t="shared" si="14"/>
        <v>-9.3629725635435186</v>
      </c>
      <c r="Q67" s="987">
        <f t="shared" si="9"/>
        <v>-5.052883889983586</v>
      </c>
      <c r="R67" s="987">
        <f t="shared" si="15"/>
        <v>-0.87416230720293353</v>
      </c>
      <c r="S67" s="1362">
        <v>0.10359</v>
      </c>
      <c r="T67" s="1373">
        <v>7.1559999999999999E-2</v>
      </c>
      <c r="U67" s="1370">
        <v>6.166E-2</v>
      </c>
      <c r="V67" s="992">
        <f t="shared" si="16"/>
        <v>-1.3854000000000002</v>
      </c>
      <c r="W67" s="987"/>
      <c r="Y67" s="1001"/>
      <c r="Z67" s="972"/>
      <c r="AA67" s="974"/>
      <c r="AB67" s="981"/>
      <c r="AC67" s="974"/>
      <c r="AD67" s="999"/>
      <c r="AE67" s="972"/>
      <c r="AF67" s="972"/>
      <c r="AG67" s="987"/>
      <c r="AH67" s="972"/>
      <c r="AI67" s="1000"/>
    </row>
    <row r="68" spans="1:35">
      <c r="A68" s="980">
        <f>$A$15</f>
        <v>41974</v>
      </c>
      <c r="B68" s="987">
        <f>'Temp. Adjustments'!F10*($L$66/($L$66+$Y$66))</f>
        <v>998.9096016360138</v>
      </c>
      <c r="C68" s="1007">
        <f t="shared" si="10"/>
        <v>230.68115784534433</v>
      </c>
      <c r="D68" s="987">
        <f t="shared" si="11"/>
        <v>537.77566447830645</v>
      </c>
      <c r="E68" s="987">
        <f t="shared" si="12"/>
        <v>230.45277931236308</v>
      </c>
      <c r="F68" s="1362">
        <v>0.10359</v>
      </c>
      <c r="G68" s="1373">
        <v>7.1559999999999999E-2</v>
      </c>
      <c r="H68" s="1370">
        <v>6.166E-2</v>
      </c>
      <c r="I68" s="998">
        <f t="shared" si="13"/>
        <v>76.589210000000008</v>
      </c>
      <c r="J68" s="987"/>
      <c r="K68" s="974"/>
      <c r="L68" s="981"/>
      <c r="M68" s="981"/>
      <c r="N68" s="980">
        <f>$A$15</f>
        <v>41974</v>
      </c>
      <c r="O68" s="987">
        <f>'Temp. Adjustments'!F10*(Temperature!$Y$66/(Temperature!$L$66+Temperature!$Y$66))</f>
        <v>42.647599209820314</v>
      </c>
      <c r="P68" s="1007">
        <f t="shared" si="14"/>
        <v>26.115618793621579</v>
      </c>
      <c r="Q68" s="987">
        <f t="shared" si="9"/>
        <v>14.09372809582405</v>
      </c>
      <c r="R68" s="987">
        <f t="shared" si="15"/>
        <v>2.4382523203746884</v>
      </c>
      <c r="S68" s="1362">
        <v>0.10359</v>
      </c>
      <c r="T68" s="1373">
        <v>7.1559999999999999E-2</v>
      </c>
      <c r="U68" s="1370">
        <v>6.166E-2</v>
      </c>
      <c r="V68" s="998">
        <f t="shared" si="16"/>
        <v>3.8642099999999999</v>
      </c>
      <c r="W68" s="987"/>
      <c r="X68" s="974"/>
      <c r="Y68" s="981"/>
      <c r="Z68" s="972"/>
      <c r="AA68" s="974"/>
      <c r="AB68" s="981"/>
      <c r="AC68" s="974"/>
      <c r="AD68" s="999"/>
      <c r="AE68" s="972"/>
      <c r="AF68" s="972"/>
      <c r="AG68" s="987"/>
      <c r="AH68" s="972"/>
      <c r="AI68" s="1000"/>
    </row>
    <row r="69" spans="1:35">
      <c r="A69" s="980">
        <f>$A$16</f>
        <v>42005</v>
      </c>
      <c r="B69" s="987">
        <f>'Temp. Adjustments'!F11*($L$66/($L$66+$Y$66))</f>
        <v>824.95014843861372</v>
      </c>
      <c r="C69" s="1007">
        <f t="shared" si="10"/>
        <v>190.50818521999796</v>
      </c>
      <c r="D69" s="987">
        <f t="shared" si="11"/>
        <v>444.12238455958646</v>
      </c>
      <c r="E69" s="987">
        <f t="shared" si="12"/>
        <v>190.31957865902936</v>
      </c>
      <c r="F69" s="1362">
        <v>0.10359</v>
      </c>
      <c r="G69" s="1373">
        <v>7.1559999999999999E-2</v>
      </c>
      <c r="H69" s="1370">
        <v>6.166E-2</v>
      </c>
      <c r="I69" s="992">
        <f t="shared" si="13"/>
        <v>63.251249999999999</v>
      </c>
      <c r="J69" s="987"/>
      <c r="K69" s="974"/>
      <c r="L69" s="981"/>
      <c r="M69" s="981"/>
      <c r="N69" s="980">
        <f>$A$16</f>
        <v>42005</v>
      </c>
      <c r="O69" s="987">
        <f>'Temp. Adjustments'!F11*(Temperature!$Y$66/(Temperature!$L$66+Temperature!$Y$66))</f>
        <v>35.220547726311239</v>
      </c>
      <c r="P69" s="1007">
        <f t="shared" si="14"/>
        <v>21.567600877075837</v>
      </c>
      <c r="Q69" s="987">
        <f t="shared" si="9"/>
        <v>11.639314574273218</v>
      </c>
      <c r="R69" s="987">
        <f t="shared" si="15"/>
        <v>2.0136322749621818</v>
      </c>
      <c r="S69" s="1362">
        <v>0.10359</v>
      </c>
      <c r="T69" s="1373">
        <v>7.1559999999999999E-2</v>
      </c>
      <c r="U69" s="1370">
        <v>6.166E-2</v>
      </c>
      <c r="V69" s="992">
        <f t="shared" si="16"/>
        <v>3.1912600000000002</v>
      </c>
      <c r="W69" s="987"/>
      <c r="X69" s="974"/>
      <c r="Y69" s="981"/>
      <c r="Z69" s="972"/>
      <c r="AA69" s="974"/>
      <c r="AB69" s="981"/>
      <c r="AC69" s="974"/>
      <c r="AD69" s="999"/>
      <c r="AE69" s="972"/>
      <c r="AF69" s="972"/>
      <c r="AG69" s="987"/>
      <c r="AH69" s="972"/>
      <c r="AI69" s="1000"/>
    </row>
    <row r="70" spans="1:35">
      <c r="A70" s="980">
        <f>$A$17</f>
        <v>42036</v>
      </c>
      <c r="B70" s="987">
        <f>'Temp. Adjustments'!F12*($L$66/($L$66+$Y$66))</f>
        <v>1078.9909609205727</v>
      </c>
      <c r="C70" s="1007">
        <f t="shared" si="10"/>
        <v>249.17458372826263</v>
      </c>
      <c r="D70" s="987">
        <f t="shared" si="11"/>
        <v>580.88848082429661</v>
      </c>
      <c r="E70" s="987">
        <f t="shared" si="12"/>
        <v>248.92789636801348</v>
      </c>
      <c r="F70" s="1362">
        <v>0.10359</v>
      </c>
      <c r="G70" s="1373">
        <v>7.1559999999999999E-2</v>
      </c>
      <c r="H70" s="1370">
        <v>6.166E-2</v>
      </c>
      <c r="I70" s="992">
        <f t="shared" si="13"/>
        <v>82.72927</v>
      </c>
      <c r="J70" s="987"/>
      <c r="L70" s="1001"/>
      <c r="M70" s="1001"/>
      <c r="N70" s="980">
        <f>$A$17</f>
        <v>42036</v>
      </c>
      <c r="O70" s="987">
        <f>'Temp. Adjustments'!F12*(Temperature!$Y$66/(Temperature!$L$66+Temperature!$Y$66))</f>
        <v>46.066605003089244</v>
      </c>
      <c r="P70" s="1007">
        <f t="shared" si="14"/>
        <v>28.209275965527159</v>
      </c>
      <c r="Q70" s="987">
        <f t="shared" si="9"/>
        <v>15.223605015068868</v>
      </c>
      <c r="R70" s="987">
        <f t="shared" si="15"/>
        <v>2.6337240224932184</v>
      </c>
      <c r="S70" s="1362">
        <v>0.10359</v>
      </c>
      <c r="T70" s="1373">
        <v>7.1559999999999999E-2</v>
      </c>
      <c r="U70" s="1370">
        <v>6.166E-2</v>
      </c>
      <c r="V70" s="992">
        <f t="shared" si="16"/>
        <v>4.1740000000000004</v>
      </c>
      <c r="W70" s="987"/>
      <c r="Y70" s="1001"/>
      <c r="Z70" s="972"/>
      <c r="AA70" s="974"/>
      <c r="AB70" s="981"/>
      <c r="AC70" s="974"/>
      <c r="AD70" s="999"/>
      <c r="AE70" s="972"/>
      <c r="AF70" s="972"/>
      <c r="AG70" s="987"/>
      <c r="AH70" s="972"/>
      <c r="AI70" s="1000"/>
    </row>
    <row r="71" spans="1:35">
      <c r="A71" s="980">
        <f>$A$18</f>
        <v>42064</v>
      </c>
      <c r="B71" s="987">
        <f>'Temp. Adjustments'!F13*($L$66/($L$66+$Y$66))</f>
        <v>444.77717715447852</v>
      </c>
      <c r="C71" s="1007">
        <f t="shared" si="10"/>
        <v>102.71371307387365</v>
      </c>
      <c r="D71" s="987">
        <f t="shared" si="11"/>
        <v>239.45143944686211</v>
      </c>
      <c r="E71" s="987">
        <f t="shared" si="12"/>
        <v>102.61202463374281</v>
      </c>
      <c r="F71" s="1362">
        <v>0.10359</v>
      </c>
      <c r="G71" s="1373">
        <v>7.1559999999999999E-2</v>
      </c>
      <c r="H71" s="1370">
        <v>6.166E-2</v>
      </c>
      <c r="I71" s="992">
        <f t="shared" si="13"/>
        <v>34.102319999999999</v>
      </c>
      <c r="J71" s="987"/>
      <c r="L71" s="1001"/>
      <c r="M71" s="1001"/>
      <c r="N71" s="980">
        <f>$A$18</f>
        <v>42064</v>
      </c>
      <c r="O71" s="987">
        <f>'Temp. Adjustments'!F13*(Temperature!$Y$66/(Temperature!$L$66+Temperature!$Y$66))</f>
        <v>18.98938478306</v>
      </c>
      <c r="P71" s="1007">
        <f t="shared" si="14"/>
        <v>11.62831069763007</v>
      </c>
      <c r="Q71" s="987">
        <f t="shared" si="9"/>
        <v>6.2754112962541608</v>
      </c>
      <c r="R71" s="987">
        <f t="shared" si="15"/>
        <v>1.0856627891757689</v>
      </c>
      <c r="S71" s="1362">
        <v>0.10359</v>
      </c>
      <c r="T71" s="1373">
        <v>7.1559999999999999E-2</v>
      </c>
      <c r="U71" s="1370">
        <v>6.166E-2</v>
      </c>
      <c r="V71" s="992">
        <f t="shared" si="16"/>
        <v>1.7205899999999998</v>
      </c>
      <c r="W71" s="987"/>
      <c r="Y71" s="1001"/>
      <c r="Z71" s="972"/>
      <c r="AA71" s="974"/>
      <c r="AB71" s="981"/>
      <c r="AC71" s="974"/>
      <c r="AD71" s="999"/>
      <c r="AE71" s="972"/>
      <c r="AF71" s="972"/>
      <c r="AG71" s="987"/>
      <c r="AH71" s="972"/>
      <c r="AI71" s="1000"/>
    </row>
    <row r="72" spans="1:35">
      <c r="A72" s="980">
        <f>$A$19</f>
        <v>42095</v>
      </c>
      <c r="B72" s="987">
        <f>'Temp. Adjustments'!F14*($L$66/($L$66+$Y$66))</f>
        <v>66.130897168317404</v>
      </c>
      <c r="C72" s="1007">
        <f t="shared" si="10"/>
        <v>15.2718042785393</v>
      </c>
      <c r="D72" s="987">
        <f t="shared" si="11"/>
        <v>35.602407974647974</v>
      </c>
      <c r="E72" s="987">
        <f t="shared" si="12"/>
        <v>15.256684915130135</v>
      </c>
      <c r="F72" s="1362">
        <v>0.10449</v>
      </c>
      <c r="G72" s="1373">
        <v>7.2179999999999994E-2</v>
      </c>
      <c r="H72" s="1370">
        <v>6.2179999999999999E-2</v>
      </c>
      <c r="I72" s="992">
        <f t="shared" si="13"/>
        <v>5.1141899999999998</v>
      </c>
      <c r="J72" s="987"/>
      <c r="L72" s="1001"/>
      <c r="M72" s="1001"/>
      <c r="N72" s="980">
        <f>$A$19</f>
        <v>42095</v>
      </c>
      <c r="O72" s="987">
        <f>'Temp. Adjustments'!F14*(Temperature!$Y$66/(Temperature!$L$66+Temperature!$Y$66))</f>
        <v>2.8234026314304272</v>
      </c>
      <c r="P72" s="1007">
        <f t="shared" si="14"/>
        <v>1.7289345283090729</v>
      </c>
      <c r="Q72" s="987">
        <f t="shared" si="9"/>
        <v>0.93304827773873233</v>
      </c>
      <c r="R72" s="987">
        <f t="shared" si="15"/>
        <v>0.16141982538262192</v>
      </c>
      <c r="S72" s="1362">
        <v>0.10449</v>
      </c>
      <c r="T72" s="1373">
        <v>7.2179999999999994E-2</v>
      </c>
      <c r="U72" s="1370">
        <v>6.2179999999999999E-2</v>
      </c>
      <c r="V72" s="992">
        <f t="shared" si="16"/>
        <v>0.25804000000000005</v>
      </c>
      <c r="W72" s="987"/>
      <c r="Y72" s="1001"/>
      <c r="Z72" s="972"/>
      <c r="AA72" s="974"/>
      <c r="AB72" s="981"/>
      <c r="AC72" s="974"/>
      <c r="AD72" s="999"/>
      <c r="AE72" s="972"/>
      <c r="AF72" s="972"/>
      <c r="AG72" s="987"/>
      <c r="AH72" s="972"/>
      <c r="AI72" s="1000"/>
    </row>
    <row r="73" spans="1:35">
      <c r="A73" s="980">
        <f>$A$20</f>
        <v>42125</v>
      </c>
      <c r="B73" s="987">
        <f>'Temp. Adjustments'!F15*($L$66/($L$66+$Y$66))</f>
        <v>-1908.2928387109221</v>
      </c>
      <c r="C73" s="1007">
        <f t="shared" si="10"/>
        <v>-440.68772671805664</v>
      </c>
      <c r="D73" s="987">
        <f t="shared" si="11"/>
        <v>-1027.3536741224582</v>
      </c>
      <c r="E73" s="987">
        <f t="shared" si="12"/>
        <v>-440.25143787040741</v>
      </c>
      <c r="F73" s="1362">
        <v>0.10449</v>
      </c>
      <c r="G73" s="1373">
        <v>7.2179999999999994E-2</v>
      </c>
      <c r="H73" s="1370">
        <v>6.2179999999999999E-2</v>
      </c>
      <c r="I73" s="992">
        <f t="shared" si="13"/>
        <v>-147.57667999999998</v>
      </c>
      <c r="J73" s="987"/>
      <c r="L73" s="1001"/>
      <c r="M73" s="1001"/>
      <c r="N73" s="980">
        <f>$A$20</f>
        <v>42125</v>
      </c>
      <c r="O73" s="987">
        <f>'Temp. Adjustments'!F15*(Temperature!$Y$66/(Temperature!$L$66+Temperature!$Y$66))</f>
        <v>-81.472946127480213</v>
      </c>
      <c r="P73" s="1007">
        <f t="shared" si="14"/>
        <v>-49.89064900442505</v>
      </c>
      <c r="Q73" s="987">
        <f t="shared" si="9"/>
        <v>-26.924318628984441</v>
      </c>
      <c r="R73" s="987">
        <f t="shared" si="15"/>
        <v>-4.657978494070723</v>
      </c>
      <c r="S73" s="1362">
        <v>0.10449</v>
      </c>
      <c r="T73" s="1373">
        <v>7.2179999999999994E-2</v>
      </c>
      <c r="U73" s="1370">
        <v>6.2179999999999999E-2</v>
      </c>
      <c r="V73" s="992">
        <f t="shared" si="16"/>
        <v>-7.4461000000000004</v>
      </c>
      <c r="W73" s="987"/>
      <c r="Y73" s="1001"/>
      <c r="Z73" s="972"/>
      <c r="AA73" s="974"/>
      <c r="AB73" s="981"/>
      <c r="AC73" s="974"/>
      <c r="AD73" s="999"/>
      <c r="AE73" s="972"/>
      <c r="AF73" s="972"/>
      <c r="AG73" s="987"/>
      <c r="AH73" s="972"/>
      <c r="AI73" s="1000"/>
    </row>
    <row r="74" spans="1:35">
      <c r="A74" s="980">
        <f>$A$21</f>
        <v>42156</v>
      </c>
      <c r="B74" s="1009">
        <f>'Temp. Adjustments'!F16*($L$66/($L$66+$Y$66))</f>
        <v>-4369.9064839285493</v>
      </c>
      <c r="C74" s="1010">
        <f t="shared" si="10"/>
        <v>-1009.1554688607688</v>
      </c>
      <c r="D74" s="989">
        <f t="shared" si="11"/>
        <v>-2352.5946284367055</v>
      </c>
      <c r="E74" s="1011">
        <f t="shared" si="12"/>
        <v>-1008.1563866310752</v>
      </c>
      <c r="F74" s="1364">
        <v>0.10449</v>
      </c>
      <c r="G74" s="1376">
        <v>7.2179999999999994E-2</v>
      </c>
      <c r="H74" s="1372">
        <v>6.2179999999999999E-2</v>
      </c>
      <c r="I74" s="1012">
        <f t="shared" si="13"/>
        <v>-337.94409999999999</v>
      </c>
      <c r="J74" s="987"/>
      <c r="L74" s="1001"/>
      <c r="M74" s="1001"/>
      <c r="N74" s="980">
        <f>$A$21</f>
        <v>42156</v>
      </c>
      <c r="O74" s="1009">
        <f>'Temp. Adjustments'!F16*(Temperature!$Y$66/(Temperature!$L$66+Temperature!$Y$66))</f>
        <v>-186.56945533985223</v>
      </c>
      <c r="P74" s="1010">
        <f t="shared" si="14"/>
        <v>-114.24738706199528</v>
      </c>
      <c r="Q74" s="989">
        <f t="shared" si="9"/>
        <v>-61.655502848103801</v>
      </c>
      <c r="R74" s="1011">
        <f t="shared" si="15"/>
        <v>-10.666565429753135</v>
      </c>
      <c r="S74" s="1364">
        <v>0.10449</v>
      </c>
      <c r="T74" s="1374">
        <v>7.2179999999999994E-2</v>
      </c>
      <c r="U74" s="1375">
        <v>6.2179999999999999E-2</v>
      </c>
      <c r="V74" s="1012">
        <f t="shared" si="16"/>
        <v>-17.05125</v>
      </c>
      <c r="W74" s="987"/>
      <c r="Y74" s="1001"/>
      <c r="Z74" s="972"/>
      <c r="AA74" s="974"/>
      <c r="AB74" s="981"/>
      <c r="AC74" s="974"/>
      <c r="AD74" s="999"/>
      <c r="AE74" s="972"/>
      <c r="AF74" s="972"/>
      <c r="AG74" s="987"/>
      <c r="AH74" s="972"/>
      <c r="AI74" s="1000"/>
    </row>
    <row r="75" spans="1:35">
      <c r="A75" s="972" t="s">
        <v>9</v>
      </c>
      <c r="B75" s="987">
        <f>SUM(B63:B74)</f>
        <v>-11638.549794266242</v>
      </c>
      <c r="C75" s="1007">
        <f>SUM(C63:C74)</f>
        <v>-2687.7248329427161</v>
      </c>
      <c r="D75" s="987">
        <f>SUM(D63:D74)</f>
        <v>-6265.761024745897</v>
      </c>
      <c r="E75" s="987">
        <f>SUM(E63:E74)</f>
        <v>-2685.0639365776292</v>
      </c>
      <c r="F75" s="1013" t="s">
        <v>31</v>
      </c>
      <c r="G75" s="1014" t="s">
        <v>31</v>
      </c>
      <c r="H75" s="1014" t="s">
        <v>31</v>
      </c>
      <c r="I75" s="1382">
        <f>SUM(I63:I74)</f>
        <v>-896.4701500000001</v>
      </c>
      <c r="J75" s="998"/>
      <c r="L75" s="1001"/>
      <c r="M75" s="1001"/>
      <c r="N75" s="972" t="s">
        <v>9</v>
      </c>
      <c r="O75" s="987">
        <f>SUM(O63:O74)</f>
        <v>-496.8980238016245</v>
      </c>
      <c r="P75" s="1007">
        <f>SUM(P63:P74)</f>
        <v>-304.27971584198815</v>
      </c>
      <c r="Q75" s="987">
        <f>SUM(Q63:Q74)</f>
        <v>-164.20961012032333</v>
      </c>
      <c r="R75" s="987">
        <f>SUM(R63:R74)</f>
        <v>-28.408697839312975</v>
      </c>
      <c r="S75" s="1013" t="s">
        <v>31</v>
      </c>
      <c r="T75" s="1014" t="s">
        <v>31</v>
      </c>
      <c r="U75" s="1014" t="s">
        <v>31</v>
      </c>
      <c r="V75" s="1015">
        <f>SUM(V63:V74)</f>
        <v>-45.23124</v>
      </c>
      <c r="W75" s="998"/>
      <c r="Y75" s="1001"/>
      <c r="Z75" s="972"/>
      <c r="AA75" s="974"/>
      <c r="AB75" s="981"/>
      <c r="AC75" s="974"/>
      <c r="AD75" s="999"/>
      <c r="AE75" s="972"/>
      <c r="AF75" s="972"/>
      <c r="AG75" s="987"/>
      <c r="AH75" s="972"/>
      <c r="AI75" s="1000"/>
    </row>
    <row r="76" spans="1:35">
      <c r="A76" s="972"/>
      <c r="B76" s="987"/>
      <c r="C76" s="987"/>
      <c r="D76" s="987"/>
      <c r="E76" s="987"/>
      <c r="F76" s="987"/>
      <c r="G76" s="987"/>
      <c r="H76" s="987"/>
      <c r="I76" s="987"/>
      <c r="J76" s="987"/>
      <c r="L76" s="1001"/>
      <c r="M76" s="972"/>
      <c r="N76" s="974"/>
      <c r="O76" s="981"/>
      <c r="P76" s="974"/>
      <c r="Q76" s="999"/>
      <c r="R76" s="972"/>
      <c r="S76" s="972"/>
      <c r="T76" s="987"/>
      <c r="U76" s="972"/>
      <c r="V76" s="1000"/>
    </row>
    <row r="77" spans="1:35">
      <c r="A77" s="966" t="s">
        <v>766</v>
      </c>
      <c r="B77" s="969" t="s">
        <v>12</v>
      </c>
      <c r="C77" s="970"/>
      <c r="D77" s="970" t="s">
        <v>1</v>
      </c>
      <c r="E77" s="987"/>
      <c r="F77" s="987"/>
      <c r="G77" s="987"/>
      <c r="H77" s="987"/>
      <c r="J77" s="1001"/>
      <c r="K77" s="972"/>
      <c r="L77" s="974"/>
      <c r="M77" s="981"/>
      <c r="N77" s="974"/>
      <c r="O77" s="999"/>
      <c r="P77" s="972"/>
      <c r="Q77" s="972"/>
      <c r="R77" s="987"/>
      <c r="S77" s="972"/>
      <c r="T77" s="1000"/>
      <c r="X77" s="968" t="s">
        <v>31</v>
      </c>
    </row>
    <row r="78" spans="1:35">
      <c r="A78" s="968" t="s">
        <v>18</v>
      </c>
      <c r="B78" s="969" t="s">
        <v>16</v>
      </c>
      <c r="C78" s="970" t="s">
        <v>200</v>
      </c>
      <c r="D78" s="970" t="s">
        <v>26</v>
      </c>
      <c r="H78" s="971"/>
      <c r="I78" s="971"/>
      <c r="V78" s="1001"/>
    </row>
    <row r="79" spans="1:35">
      <c r="A79" s="969" t="s">
        <v>24</v>
      </c>
      <c r="B79" s="976" t="s">
        <v>23</v>
      </c>
      <c r="C79" s="977" t="s">
        <v>38</v>
      </c>
      <c r="D79" s="978" t="s">
        <v>192</v>
      </c>
      <c r="E79" s="972"/>
      <c r="H79" s="971"/>
      <c r="I79" s="971"/>
      <c r="J79" s="972"/>
      <c r="K79" s="973"/>
      <c r="L79" s="973"/>
      <c r="M79" s="973"/>
      <c r="N79" s="973"/>
    </row>
    <row r="80" spans="1:35">
      <c r="A80" s="980">
        <f>$A$10</f>
        <v>41821</v>
      </c>
      <c r="B80" s="981">
        <f>'Temp. Adjustments'!I5</f>
        <v>-4455.7342614134604</v>
      </c>
      <c r="C80" s="1362">
        <v>6.8159999999999998E-2</v>
      </c>
      <c r="D80" s="983">
        <f>ROUND((B80*C80)*1000,2)/1000</f>
        <v>-303.70284999999996</v>
      </c>
      <c r="E80" s="987"/>
      <c r="H80" s="971"/>
      <c r="I80" s="971"/>
      <c r="J80" s="972"/>
      <c r="K80" s="974"/>
      <c r="L80" s="974"/>
      <c r="M80" s="974"/>
      <c r="N80" s="975"/>
    </row>
    <row r="81" spans="1:21">
      <c r="A81" s="980">
        <f>$A$11</f>
        <v>41852</v>
      </c>
      <c r="B81" s="981">
        <f>'Temp. Adjustments'!I6</f>
        <v>-2753.0345214337203</v>
      </c>
      <c r="C81" s="1362">
        <v>6.8159999999999998E-2</v>
      </c>
      <c r="D81" s="983">
        <f t="shared" ref="D81:D91" si="17">ROUND((B81*C81)*1000,2)/1000</f>
        <v>-187.64682999999999</v>
      </c>
      <c r="E81" s="987"/>
      <c r="H81" s="971"/>
      <c r="I81" s="971"/>
      <c r="J81" s="972"/>
      <c r="K81" s="975"/>
      <c r="L81" s="975"/>
      <c r="M81" s="975"/>
      <c r="N81" s="975"/>
    </row>
    <row r="82" spans="1:21">
      <c r="A82" s="980">
        <f>$A$12</f>
        <v>41883</v>
      </c>
      <c r="B82" s="981">
        <f>'Temp. Adjustments'!I7</f>
        <v>-902.60461422915091</v>
      </c>
      <c r="C82" s="1362">
        <v>6.8159999999999998E-2</v>
      </c>
      <c r="D82" s="983">
        <f t="shared" si="17"/>
        <v>-61.521529999999998</v>
      </c>
      <c r="E82" s="987"/>
      <c r="H82" s="971"/>
      <c r="I82" s="971"/>
      <c r="J82" s="972"/>
      <c r="K82" s="990"/>
      <c r="L82" s="981"/>
      <c r="M82" s="974"/>
      <c r="N82" s="974"/>
    </row>
    <row r="83" spans="1:21">
      <c r="A83" s="980">
        <f>$A$13</f>
        <v>41913</v>
      </c>
      <c r="B83" s="981">
        <f>'Temp. Adjustments'!I8</f>
        <v>-810.821707974677</v>
      </c>
      <c r="C83" s="1362">
        <v>6.8159999999999998E-2</v>
      </c>
      <c r="D83" s="983">
        <f t="shared" si="17"/>
        <v>-55.265610000000002</v>
      </c>
      <c r="E83" s="987"/>
      <c r="H83" s="971"/>
      <c r="I83" s="971"/>
      <c r="J83" s="972"/>
      <c r="K83" s="990"/>
      <c r="L83" s="981"/>
      <c r="M83" s="974"/>
      <c r="N83" s="974"/>
    </row>
    <row r="84" spans="1:21">
      <c r="A84" s="980">
        <f>$A$14</f>
        <v>41944</v>
      </c>
      <c r="B84" s="981">
        <f>'Temp. Adjustments'!I9</f>
        <v>0</v>
      </c>
      <c r="C84" s="1362">
        <v>6.8159999999999998E-2</v>
      </c>
      <c r="D84" s="983">
        <f t="shared" si="17"/>
        <v>0</v>
      </c>
      <c r="E84" s="987"/>
      <c r="G84" s="1016"/>
      <c r="H84" s="974"/>
      <c r="I84" s="981"/>
      <c r="J84" s="972"/>
      <c r="K84" s="990"/>
      <c r="L84" s="981"/>
      <c r="M84" s="974"/>
      <c r="N84" s="974"/>
    </row>
    <row r="85" spans="1:21">
      <c r="A85" s="980">
        <f>$A$15</f>
        <v>41974</v>
      </c>
      <c r="B85" s="981">
        <f>'Temp. Adjustments'!I10</f>
        <v>0</v>
      </c>
      <c r="C85" s="1362">
        <v>6.8159999999999998E-2</v>
      </c>
      <c r="D85" s="983">
        <f t="shared" si="17"/>
        <v>0</v>
      </c>
      <c r="E85" s="987"/>
      <c r="H85" s="974"/>
      <c r="I85" s="981"/>
      <c r="J85" s="972"/>
      <c r="K85" s="990"/>
      <c r="L85" s="981"/>
      <c r="M85" s="974"/>
      <c r="N85" s="974"/>
    </row>
    <row r="86" spans="1:21">
      <c r="A86" s="980">
        <f>$A$16</f>
        <v>42005</v>
      </c>
      <c r="B86" s="981">
        <f>'Temp. Adjustments'!I11</f>
        <v>0</v>
      </c>
      <c r="C86" s="1362">
        <v>6.8159999999999998E-2</v>
      </c>
      <c r="D86" s="983">
        <f t="shared" si="17"/>
        <v>0</v>
      </c>
      <c r="E86" s="987"/>
      <c r="J86" s="972"/>
      <c r="K86" s="990"/>
      <c r="L86" s="981"/>
      <c r="M86" s="974"/>
      <c r="N86" s="974"/>
    </row>
    <row r="87" spans="1:21">
      <c r="A87" s="980">
        <f>$A$17</f>
        <v>42036</v>
      </c>
      <c r="B87" s="981">
        <f>'Temp. Adjustments'!I12</f>
        <v>0</v>
      </c>
      <c r="C87" s="1362">
        <v>6.8159999999999998E-2</v>
      </c>
      <c r="D87" s="983">
        <f t="shared" si="17"/>
        <v>0</v>
      </c>
      <c r="E87" s="987"/>
      <c r="J87" s="972"/>
      <c r="K87" s="990"/>
      <c r="L87" s="981"/>
      <c r="M87" s="974"/>
      <c r="N87" s="974"/>
    </row>
    <row r="88" spans="1:21">
      <c r="A88" s="980">
        <f>$A$18</f>
        <v>42064</v>
      </c>
      <c r="B88" s="981">
        <f>'Temp. Adjustments'!I13</f>
        <v>0</v>
      </c>
      <c r="C88" s="1362">
        <v>6.8159999999999998E-2</v>
      </c>
      <c r="D88" s="983">
        <f t="shared" si="17"/>
        <v>0</v>
      </c>
      <c r="E88" s="987"/>
      <c r="J88" s="972"/>
      <c r="K88" s="990"/>
      <c r="L88" s="981"/>
      <c r="M88" s="974"/>
      <c r="N88" s="974"/>
    </row>
    <row r="89" spans="1:21">
      <c r="A89" s="980">
        <f>$A$19</f>
        <v>42095</v>
      </c>
      <c r="B89" s="981">
        <f>'Temp. Adjustments'!I14</f>
        <v>-756.56000000000006</v>
      </c>
      <c r="C89" s="1362">
        <v>6.9180000000000005E-2</v>
      </c>
      <c r="D89" s="983">
        <f t="shared" si="17"/>
        <v>-52.338819999999998</v>
      </c>
      <c r="E89" s="987"/>
      <c r="J89" s="972"/>
      <c r="K89" s="990"/>
      <c r="L89" s="981"/>
      <c r="M89" s="974"/>
      <c r="N89" s="974"/>
    </row>
    <row r="90" spans="1:21">
      <c r="A90" s="980">
        <f>$A$20</f>
        <v>42125</v>
      </c>
      <c r="B90" s="981">
        <f>'Temp. Adjustments'!I15</f>
        <v>-6848.87</v>
      </c>
      <c r="C90" s="1362">
        <v>6.9180000000000005E-2</v>
      </c>
      <c r="D90" s="983">
        <f t="shared" si="17"/>
        <v>-473.80483000000004</v>
      </c>
      <c r="E90" s="987"/>
      <c r="J90" s="972"/>
      <c r="K90" s="990"/>
      <c r="L90" s="981"/>
      <c r="M90" s="974"/>
      <c r="N90" s="974"/>
    </row>
    <row r="91" spans="1:21">
      <c r="A91" s="980">
        <f>$A$21</f>
        <v>42156</v>
      </c>
      <c r="B91" s="1011">
        <f>'Temp. Adjustments'!I16</f>
        <v>-9901.59</v>
      </c>
      <c r="C91" s="1377">
        <v>6.9180000000000005E-2</v>
      </c>
      <c r="D91" s="995">
        <f t="shared" si="17"/>
        <v>-684.99199999999996</v>
      </c>
      <c r="E91" s="987"/>
      <c r="J91" s="972"/>
      <c r="K91" s="990"/>
      <c r="L91" s="981"/>
      <c r="M91" s="974"/>
      <c r="N91" s="974"/>
    </row>
    <row r="92" spans="1:21">
      <c r="A92" s="972" t="s">
        <v>9</v>
      </c>
      <c r="B92" s="987">
        <f>SUM(B80:B91)</f>
        <v>-26429.215105051007</v>
      </c>
      <c r="C92" s="996" t="s">
        <v>31</v>
      </c>
      <c r="D92" s="997">
        <f>SUM(D80:D91)</f>
        <v>-1819.2724699999999</v>
      </c>
      <c r="E92" s="998"/>
      <c r="J92" s="972"/>
      <c r="K92" s="990"/>
      <c r="L92" s="981"/>
      <c r="M92" s="974"/>
      <c r="N92" s="974"/>
    </row>
    <row r="93" spans="1:21">
      <c r="A93" s="1017"/>
      <c r="K93" s="972"/>
      <c r="P93" s="972"/>
      <c r="Q93" s="990"/>
      <c r="R93" s="981"/>
      <c r="S93" s="974"/>
      <c r="T93" s="974"/>
    </row>
    <row r="95" spans="1:21">
      <c r="A95" s="966" t="s">
        <v>68</v>
      </c>
      <c r="B95" s="969" t="s">
        <v>12</v>
      </c>
      <c r="C95" s="970" t="s">
        <v>199</v>
      </c>
      <c r="D95" s="969" t="s">
        <v>199</v>
      </c>
      <c r="E95" s="970"/>
      <c r="F95" s="969"/>
      <c r="G95" s="970" t="s">
        <v>1</v>
      </c>
      <c r="H95" s="971"/>
      <c r="I95" s="971"/>
      <c r="J95" s="972"/>
      <c r="K95" s="973"/>
      <c r="L95" s="973"/>
      <c r="M95" s="973"/>
      <c r="N95" s="973"/>
      <c r="O95" s="972"/>
      <c r="P95" s="971"/>
      <c r="Q95" s="971"/>
      <c r="R95" s="971"/>
      <c r="S95" s="971"/>
    </row>
    <row r="96" spans="1:21">
      <c r="A96" s="968" t="s">
        <v>18</v>
      </c>
      <c r="B96" s="969" t="s">
        <v>16</v>
      </c>
      <c r="C96" s="970" t="s">
        <v>200</v>
      </c>
      <c r="D96" s="969" t="s">
        <v>201</v>
      </c>
      <c r="E96" s="970" t="s">
        <v>200</v>
      </c>
      <c r="F96" s="969" t="s">
        <v>201</v>
      </c>
      <c r="G96" s="970" t="s">
        <v>26</v>
      </c>
      <c r="H96" s="972"/>
      <c r="K96" s="971" t="s">
        <v>202</v>
      </c>
      <c r="L96" s="971"/>
      <c r="M96" s="974"/>
      <c r="N96" s="974"/>
      <c r="O96" s="974"/>
      <c r="P96" s="975"/>
      <c r="Q96" s="972"/>
      <c r="R96" s="972"/>
      <c r="S96" s="972"/>
      <c r="T96" s="972"/>
      <c r="U96" s="972"/>
    </row>
    <row r="97" spans="1:24">
      <c r="A97" s="969" t="s">
        <v>24</v>
      </c>
      <c r="B97" s="976" t="s">
        <v>23</v>
      </c>
      <c r="C97" s="977" t="s">
        <v>23</v>
      </c>
      <c r="D97" s="976" t="s">
        <v>23</v>
      </c>
      <c r="E97" s="977" t="s">
        <v>38</v>
      </c>
      <c r="F97" s="976" t="s">
        <v>38</v>
      </c>
      <c r="G97" s="978" t="s">
        <v>192</v>
      </c>
      <c r="H97" s="972"/>
      <c r="K97" s="979" t="s">
        <v>850</v>
      </c>
      <c r="L97" s="979"/>
      <c r="M97" s="972"/>
      <c r="N97" s="972"/>
      <c r="O97" s="972"/>
      <c r="P97" s="972"/>
      <c r="Q97" s="972"/>
    </row>
    <row r="98" spans="1:24">
      <c r="A98" s="980">
        <f>$A$10</f>
        <v>41821</v>
      </c>
      <c r="B98" s="981">
        <f>'Temp. Adjustments'!G5</f>
        <v>-5298.6487761017615</v>
      </c>
      <c r="C98" s="982">
        <f>$B98*$L$10/$L$12</f>
        <v>-2414.7137714229243</v>
      </c>
      <c r="D98" s="981">
        <f t="shared" ref="D98:D109" si="18">$B98*$L$11/$L$12</f>
        <v>-2883.9350046788372</v>
      </c>
      <c r="E98" s="1362">
        <v>5.629E-2</v>
      </c>
      <c r="F98" s="1363">
        <v>5.1569999999999998E-2</v>
      </c>
      <c r="G98" s="983">
        <f>ROUND((C98*E98+D98*F98)*1000,2)/1000</f>
        <v>-284.64877000000001</v>
      </c>
      <c r="H98" s="972"/>
      <c r="I98" s="984"/>
      <c r="K98" s="985" t="s">
        <v>203</v>
      </c>
      <c r="L98" s="986">
        <v>373814469.33333266</v>
      </c>
      <c r="M98" s="972"/>
      <c r="N98" s="972"/>
      <c r="O98" s="987"/>
      <c r="P98" s="972"/>
      <c r="Q98" s="972"/>
    </row>
    <row r="99" spans="1:24">
      <c r="A99" s="980">
        <f>$A$11</f>
        <v>41852</v>
      </c>
      <c r="B99" s="981">
        <f>'Temp. Adjustments'!G6</f>
        <v>-3800.5265934226018</v>
      </c>
      <c r="C99" s="982">
        <f t="shared" ref="C99:C109" si="19">$B99*$L$10/$L$12</f>
        <v>-1731.9856989178104</v>
      </c>
      <c r="D99" s="981">
        <f t="shared" si="18"/>
        <v>-2068.5408945047916</v>
      </c>
      <c r="E99" s="1362">
        <v>5.629E-2</v>
      </c>
      <c r="F99" s="1363">
        <v>5.1569999999999998E-2</v>
      </c>
      <c r="G99" s="983">
        <f t="shared" ref="G99:G102" si="20">ROUND((C99*E99+D99*F99)*1000,2)/1000</f>
        <v>-204.16812999999999</v>
      </c>
      <c r="H99" s="972"/>
      <c r="I99" s="984"/>
      <c r="K99" s="988" t="s">
        <v>204</v>
      </c>
      <c r="L99" s="989">
        <v>462890080.66666734</v>
      </c>
      <c r="M99" s="972"/>
      <c r="N99" s="972"/>
      <c r="O99" s="987"/>
      <c r="P99" s="972"/>
      <c r="Q99" s="972"/>
    </row>
    <row r="100" spans="1:24">
      <c r="A100" s="980">
        <f>$A$12</f>
        <v>41883</v>
      </c>
      <c r="B100" s="981">
        <f>'Temp. Adjustments'!G7</f>
        <v>-2952.7072178327358</v>
      </c>
      <c r="C100" s="982">
        <f>$B100*$L$10/$L$12</f>
        <v>-1345.6152847945707</v>
      </c>
      <c r="D100" s="981">
        <f t="shared" si="18"/>
        <v>-1607.0919330381651</v>
      </c>
      <c r="E100" s="1362">
        <v>5.629E-2</v>
      </c>
      <c r="F100" s="1363">
        <v>5.1569999999999998E-2</v>
      </c>
      <c r="G100" s="983">
        <f t="shared" si="20"/>
        <v>-158.62242000000001</v>
      </c>
      <c r="H100" s="972"/>
      <c r="I100" s="984"/>
      <c r="K100" s="990" t="s">
        <v>9</v>
      </c>
      <c r="L100" s="981">
        <f>SUM(L98:L99)</f>
        <v>836704550</v>
      </c>
      <c r="M100" s="972"/>
      <c r="N100" s="972"/>
      <c r="O100" s="987"/>
      <c r="P100" s="972"/>
      <c r="Q100" s="972"/>
    </row>
    <row r="101" spans="1:24">
      <c r="A101" s="980">
        <f>$A$13</f>
        <v>41913</v>
      </c>
      <c r="B101" s="981">
        <f>'Temp. Adjustments'!G8</f>
        <v>-1460.5038019675817</v>
      </c>
      <c r="C101" s="982">
        <f t="shared" si="19"/>
        <v>-665.58452783905147</v>
      </c>
      <c r="D101" s="981">
        <f t="shared" si="18"/>
        <v>-794.91927412853022</v>
      </c>
      <c r="E101" s="1362">
        <v>5.629E-2</v>
      </c>
      <c r="F101" s="1363">
        <v>5.1569999999999998E-2</v>
      </c>
      <c r="G101" s="983">
        <f t="shared" si="20"/>
        <v>-78.459740000000011</v>
      </c>
      <c r="H101" s="972"/>
      <c r="I101" s="991"/>
      <c r="J101" s="981"/>
      <c r="K101" s="974"/>
      <c r="L101" s="981"/>
      <c r="M101" s="972"/>
      <c r="N101" s="972"/>
      <c r="O101" s="987"/>
      <c r="P101" s="972"/>
      <c r="Q101" s="972"/>
    </row>
    <row r="102" spans="1:24">
      <c r="A102" s="980">
        <f>$A$14</f>
        <v>41944</v>
      </c>
      <c r="B102" s="981">
        <f>'Temp. Adjustments'!G9</f>
        <v>-742.6526412123211</v>
      </c>
      <c r="C102" s="982">
        <f t="shared" si="19"/>
        <v>-338.44356097109221</v>
      </c>
      <c r="D102" s="981">
        <f t="shared" si="18"/>
        <v>-404.20908024122895</v>
      </c>
      <c r="E102" s="1362">
        <v>5.629E-2</v>
      </c>
      <c r="F102" s="1363">
        <v>5.1569999999999998E-2</v>
      </c>
      <c r="G102" s="983">
        <f t="shared" si="20"/>
        <v>-39.896050000000002</v>
      </c>
      <c r="H102" s="972"/>
      <c r="I102" s="980"/>
      <c r="J102" s="981"/>
      <c r="K102" s="974"/>
      <c r="L102" s="981"/>
      <c r="M102" s="972"/>
      <c r="N102" s="972"/>
      <c r="O102" s="987"/>
      <c r="P102" s="972"/>
      <c r="Q102" s="972"/>
    </row>
    <row r="103" spans="1:24">
      <c r="A103" s="980">
        <f>$A$15</f>
        <v>41974</v>
      </c>
      <c r="B103" s="981">
        <f>'Temp. Adjustments'!G10</f>
        <v>1734.505854851029</v>
      </c>
      <c r="C103" s="982">
        <f t="shared" si="19"/>
        <v>790.45344413332623</v>
      </c>
      <c r="D103" s="981">
        <f t="shared" si="18"/>
        <v>944.05241071770274</v>
      </c>
      <c r="E103" s="1362">
        <v>5.629E-2</v>
      </c>
      <c r="F103" s="1363">
        <v>5.1569999999999998E-2</v>
      </c>
      <c r="G103" s="992">
        <f>ROUND((C103*E103+D103*F103)*1000,2)/1000</f>
        <v>93.179410000000004</v>
      </c>
      <c r="H103" s="972"/>
      <c r="I103" s="980"/>
      <c r="J103" s="981"/>
      <c r="K103" s="974"/>
      <c r="L103" s="981"/>
      <c r="M103" s="972"/>
      <c r="N103" s="972"/>
      <c r="O103" s="987"/>
      <c r="P103" s="972"/>
      <c r="Q103" s="972"/>
    </row>
    <row r="104" spans="1:24">
      <c r="A104" s="980">
        <f>$A$16</f>
        <v>42005</v>
      </c>
      <c r="B104" s="981">
        <f>'Temp. Adjustments'!G11</f>
        <v>1307.7603008446342</v>
      </c>
      <c r="C104" s="982">
        <f t="shared" si="19"/>
        <v>595.9758688691536</v>
      </c>
      <c r="D104" s="981">
        <f t="shared" si="18"/>
        <v>711.78443197548063</v>
      </c>
      <c r="E104" s="1362">
        <v>5.629E-2</v>
      </c>
      <c r="F104" s="1363">
        <v>5.1569999999999998E-2</v>
      </c>
      <c r="G104" s="983">
        <f>ROUND((C104*E104+D104*F104)*1000,2)/1000</f>
        <v>70.254199999999997</v>
      </c>
      <c r="H104" s="980"/>
      <c r="I104" s="980"/>
      <c r="J104" s="981"/>
      <c r="K104" s="974"/>
      <c r="L104" s="974"/>
      <c r="M104" s="972"/>
      <c r="N104" s="972"/>
      <c r="O104" s="987"/>
      <c r="P104" s="972"/>
      <c r="Q104" s="972"/>
    </row>
    <row r="105" spans="1:24">
      <c r="A105" s="980">
        <f>$A$17</f>
        <v>42036</v>
      </c>
      <c r="B105" s="981">
        <f>'Temp. Adjustments'!G12</f>
        <v>1779.1878772607918</v>
      </c>
      <c r="C105" s="982">
        <f t="shared" si="19"/>
        <v>810.81604965919394</v>
      </c>
      <c r="D105" s="981">
        <f t="shared" si="18"/>
        <v>968.37182760159783</v>
      </c>
      <c r="E105" s="1362">
        <v>5.629E-2</v>
      </c>
      <c r="F105" s="1363">
        <v>5.1569999999999998E-2</v>
      </c>
      <c r="G105" s="983">
        <f t="shared" ref="G105:G109" si="21">ROUND((C105*E105+D105*F105)*1000,2)/1000</f>
        <v>95.579770000000011</v>
      </c>
      <c r="H105" s="972" t="s">
        <v>31</v>
      </c>
      <c r="I105" s="980"/>
      <c r="J105" s="981"/>
      <c r="K105" s="974"/>
      <c r="L105" s="974"/>
      <c r="M105" s="972"/>
      <c r="N105" s="972"/>
      <c r="O105" s="987"/>
      <c r="P105" s="972"/>
      <c r="Q105" s="972"/>
    </row>
    <row r="106" spans="1:24">
      <c r="A106" s="980">
        <f>$A$18</f>
        <v>42064</v>
      </c>
      <c r="B106" s="981">
        <f>'Temp. Adjustments'!G13</f>
        <v>740.63324465333847</v>
      </c>
      <c r="C106" s="982">
        <f t="shared" si="19"/>
        <v>337.52327640667033</v>
      </c>
      <c r="D106" s="981">
        <f t="shared" si="18"/>
        <v>403.10996824666813</v>
      </c>
      <c r="E106" s="1362">
        <v>5.629E-2</v>
      </c>
      <c r="F106" s="1363">
        <v>5.1569999999999998E-2</v>
      </c>
      <c r="G106" s="983">
        <f t="shared" si="21"/>
        <v>39.787570000000002</v>
      </c>
      <c r="H106" s="972"/>
      <c r="I106" s="980"/>
      <c r="J106" s="981"/>
      <c r="K106" s="974"/>
      <c r="L106" s="974"/>
      <c r="M106" s="972"/>
      <c r="N106" s="972"/>
      <c r="O106" s="987"/>
      <c r="P106" s="972"/>
      <c r="Q106" s="972"/>
    </row>
    <row r="107" spans="1:24">
      <c r="A107" s="980">
        <f>$A$19</f>
        <v>42095</v>
      </c>
      <c r="B107" s="981">
        <f>'Temp. Adjustments'!G14</f>
        <v>114.31744993426116</v>
      </c>
      <c r="C107" s="982">
        <f t="shared" si="19"/>
        <v>52.097040648408054</v>
      </c>
      <c r="D107" s="981">
        <f t="shared" si="18"/>
        <v>62.220409285853101</v>
      </c>
      <c r="E107" s="1362">
        <v>5.679E-2</v>
      </c>
      <c r="F107" s="1378">
        <v>5.1999999999999998E-2</v>
      </c>
      <c r="G107" s="983">
        <f t="shared" si="21"/>
        <v>6.1940499999999998</v>
      </c>
      <c r="H107" s="980"/>
      <c r="I107" s="980"/>
      <c r="J107" s="981"/>
      <c r="K107" s="974"/>
      <c r="L107" s="974"/>
      <c r="M107" s="972"/>
      <c r="N107" s="972"/>
      <c r="O107" s="987"/>
      <c r="P107" s="972"/>
      <c r="Q107" s="972"/>
    </row>
    <row r="108" spans="1:24">
      <c r="A108" s="980">
        <f>$A$20</f>
        <v>42125</v>
      </c>
      <c r="B108" s="981">
        <f>'Temp. Adjustments'!G15</f>
        <v>-3362.5971632019364</v>
      </c>
      <c r="C108" s="982">
        <f t="shared" si="19"/>
        <v>-1532.4113789827525</v>
      </c>
      <c r="D108" s="981">
        <f t="shared" si="18"/>
        <v>-1830.1857842191839</v>
      </c>
      <c r="E108" s="1362">
        <v>5.679E-2</v>
      </c>
      <c r="F108" s="1378">
        <v>5.1999999999999998E-2</v>
      </c>
      <c r="G108" s="983">
        <f t="shared" si="21"/>
        <v>-182.19529999999997</v>
      </c>
      <c r="H108" s="980"/>
      <c r="I108" s="984"/>
      <c r="J108" s="981"/>
      <c r="K108" s="974"/>
      <c r="L108" s="974"/>
      <c r="M108" s="972"/>
      <c r="N108" s="972"/>
      <c r="O108" s="987"/>
      <c r="P108" s="972"/>
      <c r="Q108" s="972"/>
    </row>
    <row r="109" spans="1:24">
      <c r="A109" s="980">
        <f>$A$21</f>
        <v>42156</v>
      </c>
      <c r="B109" s="1011">
        <f>'Temp. Adjustments'!G16</f>
        <v>-7449.7547188991402</v>
      </c>
      <c r="C109" s="994">
        <f t="shared" si="19"/>
        <v>-3395.021273080733</v>
      </c>
      <c r="D109" s="993">
        <f t="shared" si="18"/>
        <v>-4054.7334458184073</v>
      </c>
      <c r="E109" s="1364">
        <v>5.679E-2</v>
      </c>
      <c r="F109" s="1379">
        <v>5.1999999999999998E-2</v>
      </c>
      <c r="G109" s="995">
        <f t="shared" si="21"/>
        <v>-403.64940000000001</v>
      </c>
      <c r="H109" s="972"/>
      <c r="I109" s="984"/>
      <c r="J109" s="981"/>
      <c r="K109" s="974"/>
      <c r="L109" s="974"/>
      <c r="M109" s="972"/>
      <c r="N109" s="972"/>
      <c r="O109" s="972"/>
      <c r="P109" s="972"/>
      <c r="Q109" s="972"/>
    </row>
    <row r="110" spans="1:24">
      <c r="A110" s="972" t="s">
        <v>9</v>
      </c>
      <c r="B110" s="987">
        <f>SUM(B98:B109)</f>
        <v>-19390.986185094025</v>
      </c>
      <c r="C110" s="982">
        <f>SUM(C98:C109)</f>
        <v>-8836.9098162921819</v>
      </c>
      <c r="D110" s="987">
        <f>SUM(D98:D109)</f>
        <v>-10554.076368801841</v>
      </c>
      <c r="E110" s="996" t="s">
        <v>31</v>
      </c>
      <c r="F110" s="968" t="s">
        <v>31</v>
      </c>
      <c r="G110" s="997">
        <f>SUM(G98:G109)</f>
        <v>-1046.64481</v>
      </c>
      <c r="H110" s="998"/>
      <c r="I110" s="974"/>
      <c r="J110" s="981"/>
      <c r="K110" s="974"/>
      <c r="L110" s="999"/>
      <c r="M110" s="972"/>
      <c r="N110" s="972"/>
      <c r="O110" s="987"/>
      <c r="P110" s="972"/>
      <c r="Q110" s="1000"/>
    </row>
    <row r="111" spans="1:24">
      <c r="A111" s="972"/>
      <c r="B111" s="987"/>
      <c r="C111" s="987"/>
      <c r="D111" s="987"/>
      <c r="E111" s="987"/>
      <c r="F111" s="987"/>
      <c r="G111" s="987"/>
      <c r="H111" s="987"/>
      <c r="I111" s="987"/>
      <c r="J111" s="987"/>
      <c r="L111" s="1001"/>
      <c r="M111" s="972"/>
      <c r="N111" s="974"/>
      <c r="O111" s="981"/>
      <c r="P111" s="974"/>
      <c r="Q111" s="999"/>
      <c r="R111" s="972"/>
      <c r="S111" s="972"/>
      <c r="T111" s="987"/>
      <c r="U111" s="972"/>
      <c r="V111" s="1000"/>
    </row>
    <row r="112" spans="1:24" ht="16.5" customHeight="1">
      <c r="A112" s="966" t="s">
        <v>853</v>
      </c>
      <c r="B112" s="969" t="s">
        <v>12</v>
      </c>
      <c r="C112" s="970"/>
      <c r="D112" s="970" t="s">
        <v>1</v>
      </c>
      <c r="E112" s="966" t="s">
        <v>853</v>
      </c>
      <c r="F112" s="969" t="s">
        <v>12</v>
      </c>
      <c r="G112" s="970"/>
      <c r="H112" s="970" t="s">
        <v>1</v>
      </c>
      <c r="J112" s="1001"/>
      <c r="K112" s="972"/>
      <c r="L112" s="974"/>
      <c r="M112" s="981"/>
      <c r="N112" s="974"/>
      <c r="O112" s="999"/>
      <c r="P112" s="972"/>
      <c r="Q112" s="972"/>
      <c r="R112" s="987"/>
      <c r="S112" s="972"/>
      <c r="T112" s="1000"/>
      <c r="X112" s="968" t="s">
        <v>31</v>
      </c>
    </row>
    <row r="113" spans="1:20">
      <c r="A113" s="968" t="s">
        <v>854</v>
      </c>
      <c r="B113" s="969" t="s">
        <v>16</v>
      </c>
      <c r="C113" s="970" t="s">
        <v>200</v>
      </c>
      <c r="D113" s="970" t="s">
        <v>26</v>
      </c>
      <c r="E113" s="968" t="s">
        <v>855</v>
      </c>
      <c r="F113" s="969" t="s">
        <v>16</v>
      </c>
      <c r="G113" s="970" t="s">
        <v>200</v>
      </c>
      <c r="H113" s="970" t="s">
        <v>26</v>
      </c>
      <c r="I113" s="971"/>
    </row>
    <row r="114" spans="1:20">
      <c r="A114" s="969" t="s">
        <v>24</v>
      </c>
      <c r="B114" s="976" t="s">
        <v>23</v>
      </c>
      <c r="C114" s="977" t="s">
        <v>38</v>
      </c>
      <c r="D114" s="978" t="s">
        <v>192</v>
      </c>
      <c r="E114" s="972"/>
      <c r="F114" s="976" t="s">
        <v>23</v>
      </c>
      <c r="G114" s="977" t="s">
        <v>38</v>
      </c>
      <c r="H114" s="978" t="s">
        <v>192</v>
      </c>
      <c r="I114" s="971"/>
      <c r="J114" s="972"/>
      <c r="K114" s="973"/>
      <c r="L114" s="973"/>
      <c r="M114" s="973"/>
      <c r="N114" s="973"/>
    </row>
    <row r="115" spans="1:20">
      <c r="A115" s="980">
        <f>$A$10</f>
        <v>41821</v>
      </c>
      <c r="B115" s="981">
        <f>'Temp. Adjustments'!H5*Temperature!$L$115/Temperature!$L$117</f>
        <v>-1043.8834938060304</v>
      </c>
      <c r="C115" s="1362">
        <v>4.514E-2</v>
      </c>
      <c r="D115" s="983">
        <f>ROUND((B115*C115)*1000,2)/1000</f>
        <v>-47.120899999999999</v>
      </c>
      <c r="E115" s="987"/>
      <c r="F115" s="981">
        <f>'Temp. Adjustments'!H5*Temperature!$L$116/Temperature!$L$117</f>
        <v>-237.785198036689</v>
      </c>
      <c r="G115" s="1362">
        <v>4.4589999999999998E-2</v>
      </c>
      <c r="H115" s="983">
        <f>ROUND((F115*G115)*1000,2)/1000</f>
        <v>-10.60284</v>
      </c>
      <c r="I115" s="971"/>
      <c r="J115" s="972"/>
      <c r="K115" s="974" t="s">
        <v>787</v>
      </c>
      <c r="L115" s="981">
        <v>338748110</v>
      </c>
      <c r="M115" s="974"/>
      <c r="N115" s="975"/>
    </row>
    <row r="116" spans="1:20">
      <c r="A116" s="980">
        <f>$A$11</f>
        <v>41852</v>
      </c>
      <c r="B116" s="981">
        <f>'Temp. Adjustments'!H6*Temperature!$L$115/Temperature!$L$117</f>
        <v>-737.1007097325346</v>
      </c>
      <c r="C116" s="1362">
        <v>4.514E-2</v>
      </c>
      <c r="D116" s="983">
        <f t="shared" ref="D116:D126" si="22">ROUND((B116*C116)*1000,2)/1000</f>
        <v>-33.272730000000003</v>
      </c>
      <c r="E116" s="987"/>
      <c r="F116" s="981">
        <f>'Temp. Adjustments'!H6*Temperature!$L$116/Temperature!$L$117</f>
        <v>-167.90344830311389</v>
      </c>
      <c r="G116" s="1362">
        <v>4.4589999999999998E-2</v>
      </c>
      <c r="H116" s="983">
        <f t="shared" ref="H116:H126" si="23">ROUND((F116*G116)*1000,2)/1000</f>
        <v>-7.4868100000000002</v>
      </c>
      <c r="I116" s="971"/>
      <c r="J116" s="972"/>
      <c r="K116" s="1254" t="s">
        <v>788</v>
      </c>
      <c r="L116" s="989">
        <v>77163100</v>
      </c>
      <c r="M116" s="975"/>
      <c r="N116" s="975"/>
    </row>
    <row r="117" spans="1:20">
      <c r="A117" s="980">
        <f>$A$12</f>
        <v>41883</v>
      </c>
      <c r="B117" s="981">
        <f>'Temp. Adjustments'!H7*Temperature!$L$115/Temperature!$L$117</f>
        <v>-582.67766624517697</v>
      </c>
      <c r="C117" s="1362">
        <v>4.514E-2</v>
      </c>
      <c r="D117" s="983">
        <f t="shared" si="22"/>
        <v>-26.302070000000001</v>
      </c>
      <c r="E117" s="987"/>
      <c r="F117" s="981">
        <f>'Temp. Adjustments'!H7*Temperature!$L$116/Temperature!$L$117</f>
        <v>-132.7275745634218</v>
      </c>
      <c r="G117" s="1362">
        <v>4.4589999999999998E-2</v>
      </c>
      <c r="H117" s="983">
        <f t="shared" si="23"/>
        <v>-5.9183199999999996</v>
      </c>
      <c r="I117" s="971"/>
      <c r="J117" s="972"/>
      <c r="K117" s="990"/>
      <c r="L117" s="981">
        <f>SUM(L115:L116)</f>
        <v>415911210</v>
      </c>
      <c r="M117" s="974"/>
      <c r="N117" s="974"/>
    </row>
    <row r="118" spans="1:20">
      <c r="A118" s="980">
        <f>$A$13</f>
        <v>41913</v>
      </c>
      <c r="B118" s="981">
        <f>'Temp. Adjustments'!H8*Temperature!$L$115/Temperature!$L$117</f>
        <v>-302.44296071136733</v>
      </c>
      <c r="C118" s="1362">
        <v>4.514E-2</v>
      </c>
      <c r="D118" s="983">
        <f t="shared" si="22"/>
        <v>-13.652280000000001</v>
      </c>
      <c r="E118" s="987"/>
      <c r="F118" s="981">
        <f>'Temp. Adjustments'!H8*Temperature!$L$116/Temperature!$L$117</f>
        <v>-68.893185622990813</v>
      </c>
      <c r="G118" s="1362">
        <v>4.4589999999999998E-2</v>
      </c>
      <c r="H118" s="983">
        <f t="shared" si="23"/>
        <v>-3.0719499999999997</v>
      </c>
      <c r="I118" s="971"/>
      <c r="J118" s="972"/>
      <c r="K118" s="990"/>
      <c r="L118" s="981"/>
      <c r="M118" s="974"/>
      <c r="N118" s="974"/>
    </row>
    <row r="119" spans="1:20">
      <c r="A119" s="980">
        <f>$A$14</f>
        <v>41944</v>
      </c>
      <c r="B119" s="981">
        <f>'Temp. Adjustments'!H9*Temperature!$L$115/Temperature!$L$117</f>
        <v>-132.23435816731018</v>
      </c>
      <c r="C119" s="1362">
        <v>4.514E-2</v>
      </c>
      <c r="D119" s="983">
        <f t="shared" si="22"/>
        <v>-5.9690600000000007</v>
      </c>
      <c r="E119" s="987"/>
      <c r="F119" s="981">
        <f>'Temp. Adjustments'!H9*Temperature!$L$116/Temperature!$L$117</f>
        <v>-30.121534855795861</v>
      </c>
      <c r="G119" s="1362">
        <v>4.4589999999999998E-2</v>
      </c>
      <c r="H119" s="983">
        <f t="shared" si="23"/>
        <v>-1.3431199999999999</v>
      </c>
      <c r="I119" s="981"/>
      <c r="J119" s="972"/>
      <c r="K119" s="990"/>
      <c r="L119" s="981"/>
      <c r="M119" s="974"/>
      <c r="N119" s="974"/>
    </row>
    <row r="120" spans="1:20">
      <c r="A120" s="980">
        <f>$A$15</f>
        <v>41974</v>
      </c>
      <c r="B120" s="981">
        <f>'Temp. Adjustments'!H10*Temperature!$L$115/Temperature!$L$117</f>
        <v>338.24840719297509</v>
      </c>
      <c r="C120" s="1362">
        <v>4.514E-2</v>
      </c>
      <c r="D120" s="983">
        <f t="shared" si="22"/>
        <v>15.26853</v>
      </c>
      <c r="E120" s="987"/>
      <c r="F120" s="981">
        <f>'Temp. Adjustments'!H10*Temperature!$L$116/Temperature!$L$117</f>
        <v>77.049273187302077</v>
      </c>
      <c r="G120" s="1362">
        <v>4.4589999999999998E-2</v>
      </c>
      <c r="H120" s="983">
        <f t="shared" si="23"/>
        <v>3.4356300000000002</v>
      </c>
      <c r="I120" s="981"/>
      <c r="J120" s="972"/>
      <c r="K120" s="990"/>
      <c r="L120" s="981"/>
      <c r="M120" s="974"/>
      <c r="N120" s="974"/>
    </row>
    <row r="121" spans="1:20">
      <c r="A121" s="980">
        <f>$A$16</f>
        <v>42005</v>
      </c>
      <c r="B121" s="981">
        <f>'Temp. Adjustments'!H11*Temperature!$L$115/Temperature!$L$117</f>
        <v>250.80775115029019</v>
      </c>
      <c r="C121" s="1362">
        <v>4.514E-2</v>
      </c>
      <c r="D121" s="983">
        <f t="shared" si="22"/>
        <v>11.321459999999998</v>
      </c>
      <c r="E121" s="987"/>
      <c r="F121" s="981">
        <f>'Temp. Adjustments'!H11*Temperature!$L$116/Temperature!$L$117</f>
        <v>57.131251840150355</v>
      </c>
      <c r="G121" s="1362">
        <v>4.4589999999999998E-2</v>
      </c>
      <c r="H121" s="983">
        <f t="shared" si="23"/>
        <v>2.5474800000000002</v>
      </c>
      <c r="J121" s="972"/>
      <c r="K121" s="990"/>
      <c r="L121" s="981"/>
      <c r="M121" s="974"/>
      <c r="N121" s="974"/>
    </row>
    <row r="122" spans="1:20">
      <c r="A122" s="980">
        <f>$A$17</f>
        <v>42036</v>
      </c>
      <c r="B122" s="981">
        <f>'Temp. Adjustments'!H12*Temperature!$L$115/Temperature!$L$117</f>
        <v>330.63054825104109</v>
      </c>
      <c r="C122" s="1362">
        <v>4.514E-2</v>
      </c>
      <c r="D122" s="983">
        <f t="shared" si="22"/>
        <v>14.924659999999999</v>
      </c>
      <c r="E122" s="987"/>
      <c r="F122" s="981">
        <f>'Temp. Adjustments'!H12*Temperature!$L$116/Temperature!$L$117</f>
        <v>75.314008564505087</v>
      </c>
      <c r="G122" s="1362">
        <v>4.4589999999999998E-2</v>
      </c>
      <c r="H122" s="983">
        <f t="shared" si="23"/>
        <v>3.35825</v>
      </c>
      <c r="J122" s="972"/>
      <c r="K122" s="990"/>
      <c r="L122" s="981"/>
      <c r="M122" s="974"/>
      <c r="N122" s="974"/>
    </row>
    <row r="123" spans="1:20">
      <c r="A123" s="980">
        <f>$A$18</f>
        <v>42064</v>
      </c>
      <c r="B123" s="981">
        <f>'Temp. Adjustments'!H13*Temperature!$L$115/Temperature!$L$117</f>
        <v>134.86860585429974</v>
      </c>
      <c r="C123" s="1362">
        <v>4.514E-2</v>
      </c>
      <c r="D123" s="983">
        <f t="shared" si="22"/>
        <v>6.0879700000000003</v>
      </c>
      <c r="E123" s="987"/>
      <c r="F123" s="981">
        <f>'Temp. Adjustments'!H13*Temperature!$L$116/Temperature!$L$117</f>
        <v>30.721587554823302</v>
      </c>
      <c r="G123" s="1362">
        <v>4.4589999999999998E-2</v>
      </c>
      <c r="H123" s="983">
        <f t="shared" si="23"/>
        <v>1.3698800000000002</v>
      </c>
      <c r="J123" s="972"/>
      <c r="K123" s="990"/>
      <c r="L123" s="981"/>
      <c r="M123" s="974"/>
      <c r="N123" s="974"/>
    </row>
    <row r="124" spans="1:20">
      <c r="A124" s="980">
        <f>$A$19</f>
        <v>42095</v>
      </c>
      <c r="B124" s="981">
        <f>'Temp. Adjustments'!H14*Temperature!$L$115/Temperature!$L$117</f>
        <v>23.821886162701528</v>
      </c>
      <c r="C124" s="1362">
        <v>4.6629999999999998E-2</v>
      </c>
      <c r="D124" s="983">
        <f t="shared" si="22"/>
        <v>1.1108099999999999</v>
      </c>
      <c r="E124" s="987"/>
      <c r="F124" s="981">
        <f>'Temp. Adjustments'!H14*Temperature!$L$116/Temperature!$L$117</f>
        <v>5.4263641032894734</v>
      </c>
      <c r="G124" s="1380">
        <v>4.6100000000000002E-2</v>
      </c>
      <c r="H124" s="983">
        <f t="shared" si="23"/>
        <v>0.25015999999999999</v>
      </c>
      <c r="J124" s="972"/>
      <c r="K124" s="990"/>
      <c r="L124" s="981"/>
      <c r="M124" s="974"/>
      <c r="N124" s="974"/>
    </row>
    <row r="125" spans="1:20">
      <c r="A125" s="980">
        <f>$A$20</f>
        <v>42125</v>
      </c>
      <c r="B125" s="981">
        <f>'Temp. Adjustments'!H15*Temperature!$L$115/Temperature!$L$117</f>
        <v>-649.75907014289692</v>
      </c>
      <c r="C125" s="1362">
        <v>4.6629999999999998E-2</v>
      </c>
      <c r="D125" s="983">
        <f t="shared" si="22"/>
        <v>-30.298269999999999</v>
      </c>
      <c r="E125" s="987"/>
      <c r="F125" s="981">
        <f>'Temp. Adjustments'!H15*Temperature!$L$116/Temperature!$L$117</f>
        <v>-148.00798181676456</v>
      </c>
      <c r="G125" s="1380">
        <v>4.6100000000000002E-2</v>
      </c>
      <c r="H125" s="983">
        <f t="shared" si="23"/>
        <v>-6.8231700000000002</v>
      </c>
      <c r="J125" s="972"/>
      <c r="K125" s="990"/>
      <c r="L125" s="981"/>
      <c r="M125" s="974"/>
      <c r="N125" s="974"/>
    </row>
    <row r="126" spans="1:20">
      <c r="A126" s="980">
        <f>$A$21</f>
        <v>42156</v>
      </c>
      <c r="B126" s="989">
        <f>'Temp. Adjustments'!H16*Temperature!$L$115/Temperature!$L$117</f>
        <v>-1432.9736731546366</v>
      </c>
      <c r="C126" s="1377">
        <v>4.6629999999999998E-2</v>
      </c>
      <c r="D126" s="995">
        <f t="shared" si="22"/>
        <v>-66.819559999999996</v>
      </c>
      <c r="E126" s="987"/>
      <c r="F126" s="989">
        <f>'Temp. Adjustments'!H16*Temperature!$L$116/Temperature!$L$117</f>
        <v>-326.4156686778224</v>
      </c>
      <c r="G126" s="1377">
        <v>4.6100000000000002E-2</v>
      </c>
      <c r="H126" s="995">
        <f t="shared" si="23"/>
        <v>-15.04776</v>
      </c>
      <c r="J126" s="972"/>
      <c r="K126" s="990"/>
      <c r="L126" s="981"/>
      <c r="M126" s="974"/>
      <c r="N126" s="974"/>
    </row>
    <row r="127" spans="1:20">
      <c r="A127" s="972" t="s">
        <v>9</v>
      </c>
      <c r="B127" s="987">
        <f>SUM(B115:B126)</f>
        <v>-3802.6947333486451</v>
      </c>
      <c r="C127" s="996" t="s">
        <v>31</v>
      </c>
      <c r="D127" s="997">
        <f>SUM(D115:D126)</f>
        <v>-174.72144</v>
      </c>
      <c r="E127" s="998"/>
      <c r="F127" s="987">
        <f>SUM(F115:F126)</f>
        <v>-866.212106626528</v>
      </c>
      <c r="G127" s="996" t="s">
        <v>31</v>
      </c>
      <c r="H127" s="997">
        <f>SUM(H115:H126)</f>
        <v>-39.332569999999997</v>
      </c>
      <c r="J127" s="972"/>
      <c r="K127" s="990"/>
      <c r="L127" s="981"/>
      <c r="M127" s="974"/>
      <c r="N127" s="974"/>
    </row>
    <row r="128" spans="1:20">
      <c r="A128" s="1017"/>
      <c r="K128" s="972"/>
      <c r="P128" s="972"/>
      <c r="Q128" s="990"/>
      <c r="R128" s="981"/>
      <c r="S128" s="974"/>
      <c r="T128" s="974"/>
    </row>
    <row r="129" spans="1:20">
      <c r="B129" s="1018"/>
      <c r="K129" s="972"/>
      <c r="P129" s="972"/>
      <c r="Q129" s="974"/>
      <c r="R129" s="981"/>
      <c r="S129" s="1019"/>
      <c r="T129" s="943"/>
    </row>
    <row r="130" spans="1:20">
      <c r="J130" s="944" t="s">
        <v>31</v>
      </c>
      <c r="Q130" s="1020"/>
      <c r="R130" s="1020"/>
      <c r="S130" s="1020"/>
      <c r="T130" s="1020"/>
    </row>
    <row r="131" spans="1:20">
      <c r="A131" s="972"/>
      <c r="B131" s="972" t="s">
        <v>25</v>
      </c>
      <c r="C131" s="972" t="s">
        <v>1</v>
      </c>
      <c r="D131" s="972"/>
      <c r="E131" s="972"/>
      <c r="G131" s="972"/>
      <c r="H131" s="972"/>
      <c r="J131" s="972"/>
      <c r="K131" s="972"/>
      <c r="L131" s="972"/>
      <c r="M131" s="972"/>
      <c r="N131" s="972"/>
      <c r="O131" s="972"/>
      <c r="P131" s="972"/>
      <c r="Q131" s="972"/>
      <c r="R131" s="972"/>
      <c r="S131" s="972"/>
    </row>
    <row r="132" spans="1:20">
      <c r="A132" s="972" t="s">
        <v>27</v>
      </c>
      <c r="B132" s="987">
        <f>(B22+B40+B58+O75)*1000</f>
        <v>38990012.661788769</v>
      </c>
      <c r="C132" s="1021">
        <f>(G22+G40+G58+V75)*1000</f>
        <v>3097176.2299999995</v>
      </c>
      <c r="D132" s="987">
        <f>B132+B134+B136</f>
        <v>-23137645.262597676</v>
      </c>
      <c r="E132" s="1021">
        <f>C132+C134+C136</f>
        <v>-879265.21000000066</v>
      </c>
      <c r="G132" s="987"/>
      <c r="H132" s="987"/>
      <c r="J132" s="972"/>
      <c r="K132" s="972" t="s">
        <v>31</v>
      </c>
      <c r="L132" s="972"/>
      <c r="M132" s="972"/>
      <c r="N132" s="972"/>
      <c r="O132" s="972"/>
      <c r="P132" s="972"/>
      <c r="Q132" s="972"/>
      <c r="R132" s="972"/>
      <c r="S132" s="972"/>
    </row>
    <row r="134" spans="1:20">
      <c r="A134" s="972" t="s">
        <v>28</v>
      </c>
      <c r="B134" s="987">
        <f>(B75+B110+B127+F127)*1000</f>
        <v>-35698442.819335438</v>
      </c>
      <c r="C134" s="1021">
        <f>(I75+G110+D127+H127)*1000</f>
        <v>-2157168.9700000002</v>
      </c>
      <c r="D134" s="972"/>
      <c r="E134" s="972"/>
      <c r="G134" s="987"/>
      <c r="H134" s="987"/>
      <c r="J134" s="972"/>
      <c r="K134" s="972"/>
      <c r="L134" s="972"/>
      <c r="M134" s="972"/>
      <c r="N134" s="972"/>
      <c r="O134" s="972"/>
      <c r="P134" s="972"/>
      <c r="Q134" s="972"/>
      <c r="R134" s="972"/>
      <c r="S134" s="972"/>
    </row>
    <row r="135" spans="1:20">
      <c r="A135" s="972"/>
      <c r="B135" s="987"/>
      <c r="C135" s="1021"/>
      <c r="D135" s="972"/>
      <c r="E135" s="972"/>
      <c r="G135" s="987"/>
      <c r="H135" s="987"/>
      <c r="J135" s="972"/>
      <c r="K135" s="972"/>
      <c r="L135" s="972"/>
      <c r="M135" s="972"/>
      <c r="N135" s="972"/>
      <c r="O135" s="972"/>
      <c r="P135" s="972"/>
      <c r="Q135" s="972"/>
      <c r="R135" s="972"/>
      <c r="S135" s="972"/>
    </row>
    <row r="136" spans="1:20">
      <c r="A136" s="972" t="s">
        <v>208</v>
      </c>
      <c r="B136" s="987">
        <f>(B92)*1000</f>
        <v>-26429215.105051007</v>
      </c>
      <c r="C136" s="1021">
        <f>(D92)*1000</f>
        <v>-1819272.47</v>
      </c>
      <c r="D136" s="972"/>
      <c r="E136" s="972"/>
      <c r="G136" s="987"/>
      <c r="H136" s="987"/>
      <c r="J136" s="972"/>
      <c r="K136" s="972"/>
      <c r="L136" s="972"/>
      <c r="M136" s="972"/>
      <c r="N136" s="972"/>
      <c r="O136" s="972"/>
      <c r="P136" s="972"/>
      <c r="Q136" s="972"/>
      <c r="R136" s="972"/>
      <c r="S136" s="972"/>
    </row>
    <row r="138" spans="1:20">
      <c r="A138" s="968" t="s">
        <v>207</v>
      </c>
      <c r="B138" s="972"/>
      <c r="C138" s="972"/>
      <c r="D138" s="972"/>
      <c r="E138" s="972"/>
      <c r="F138" s="972"/>
      <c r="G138" s="972"/>
      <c r="H138" s="972"/>
      <c r="I138" s="972"/>
      <c r="J138" s="972"/>
      <c r="K138" s="972"/>
      <c r="L138" s="972"/>
      <c r="M138" s="972"/>
      <c r="N138" s="972"/>
      <c r="O138" s="972"/>
      <c r="P138" s="972"/>
      <c r="Q138" s="972"/>
      <c r="R138" s="972"/>
      <c r="S138" s="972"/>
      <c r="T138" s="972"/>
    </row>
    <row r="139" spans="1:20">
      <c r="A139" s="972" t="s">
        <v>31</v>
      </c>
      <c r="B139" s="972"/>
      <c r="C139" s="972"/>
      <c r="D139" s="972"/>
      <c r="E139" s="972"/>
      <c r="F139" s="972"/>
      <c r="G139" s="972"/>
      <c r="H139" s="972"/>
      <c r="I139" s="972"/>
      <c r="J139" s="972"/>
      <c r="K139" s="972"/>
      <c r="L139" s="972"/>
      <c r="M139" s="972"/>
      <c r="N139" s="972"/>
      <c r="O139" s="972"/>
      <c r="P139" s="972"/>
      <c r="Q139" s="972"/>
      <c r="R139" s="972"/>
      <c r="S139" s="972"/>
      <c r="T139" s="972"/>
    </row>
  </sheetData>
  <printOptions horizontalCentered="1"/>
  <pageMargins left="1" right="0.5" top="0.25" bottom="0.2" header="0.5" footer="0.22"/>
  <pageSetup scale="31" fitToHeight="2" orientation="landscape" r:id="rId1"/>
  <headerFooter alignWithMargins="0">
    <oddFooter>&amp;CPrepared by Pricing&amp;R&amp;D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5"/>
  <sheetViews>
    <sheetView zoomScale="80" zoomScaleNormal="80" zoomScaleSheetLayoutView="70" workbookViewId="0">
      <pane xSplit="2" ySplit="1" topLeftCell="C2" activePane="bottomRight" state="frozen"/>
      <selection activeCell="F14" sqref="F14"/>
      <selection pane="topRight" activeCell="F14" sqref="F14"/>
      <selection pane="bottomLeft" activeCell="F14" sqref="F14"/>
      <selection pane="bottomRight" activeCell="C2" sqref="C2"/>
    </sheetView>
  </sheetViews>
  <sheetFormatPr defaultRowHeight="12.75"/>
  <cols>
    <col min="1" max="1" width="9" style="1231"/>
    <col min="2" max="2" width="6.375" style="1231" customWidth="1"/>
    <col min="3" max="3" width="11.75" style="1231" bestFit="1" customWidth="1"/>
    <col min="4" max="4" width="9.875" style="1231" customWidth="1"/>
    <col min="5" max="5" width="10.125" style="1231" customWidth="1"/>
    <col min="6" max="8" width="10.75" style="1231" bestFit="1" customWidth="1"/>
    <col min="9" max="11" width="9.5" style="1231" customWidth="1"/>
    <col min="12" max="12" width="5.125" style="1231" customWidth="1"/>
    <col min="13" max="21" width="9" style="1231"/>
    <col min="22" max="22" width="9.125" style="1231" customWidth="1"/>
    <col min="23" max="23" width="9" style="1231"/>
    <col min="24" max="24" width="4.25" style="1231" customWidth="1"/>
    <col min="25" max="257" width="9" style="1231"/>
    <col min="258" max="258" width="6.375" style="1231" customWidth="1"/>
    <col min="259" max="259" width="11.75" style="1231" bestFit="1" customWidth="1"/>
    <col min="260" max="260" width="9.875" style="1231" customWidth="1"/>
    <col min="261" max="261" width="10.125" style="1231" customWidth="1"/>
    <col min="262" max="264" width="10.75" style="1231" bestFit="1" customWidth="1"/>
    <col min="265" max="267" width="9.5" style="1231" customWidth="1"/>
    <col min="268" max="268" width="5.125" style="1231" customWidth="1"/>
    <col min="269" max="277" width="9" style="1231"/>
    <col min="278" max="278" width="9.125" style="1231" customWidth="1"/>
    <col min="279" max="279" width="9" style="1231"/>
    <col min="280" max="280" width="4.25" style="1231" customWidth="1"/>
    <col min="281" max="513" width="9" style="1231"/>
    <col min="514" max="514" width="6.375" style="1231" customWidth="1"/>
    <col min="515" max="515" width="11.75" style="1231" bestFit="1" customWidth="1"/>
    <col min="516" max="516" width="9.875" style="1231" customWidth="1"/>
    <col min="517" max="517" width="10.125" style="1231" customWidth="1"/>
    <col min="518" max="520" width="10.75" style="1231" bestFit="1" customWidth="1"/>
    <col min="521" max="523" width="9.5" style="1231" customWidth="1"/>
    <col min="524" max="524" width="5.125" style="1231" customWidth="1"/>
    <col min="525" max="533" width="9" style="1231"/>
    <col min="534" max="534" width="9.125" style="1231" customWidth="1"/>
    <col min="535" max="535" width="9" style="1231"/>
    <col min="536" max="536" width="4.25" style="1231" customWidth="1"/>
    <col min="537" max="769" width="9" style="1231"/>
    <col min="770" max="770" width="6.375" style="1231" customWidth="1"/>
    <col min="771" max="771" width="11.75" style="1231" bestFit="1" customWidth="1"/>
    <col min="772" max="772" width="9.875" style="1231" customWidth="1"/>
    <col min="773" max="773" width="10.125" style="1231" customWidth="1"/>
    <col min="774" max="776" width="10.75" style="1231" bestFit="1" customWidth="1"/>
    <col min="777" max="779" width="9.5" style="1231" customWidth="1"/>
    <col min="780" max="780" width="5.125" style="1231" customWidth="1"/>
    <col min="781" max="789" width="9" style="1231"/>
    <col min="790" max="790" width="9.125" style="1231" customWidth="1"/>
    <col min="791" max="791" width="9" style="1231"/>
    <col min="792" max="792" width="4.25" style="1231" customWidth="1"/>
    <col min="793" max="1025" width="9" style="1231"/>
    <col min="1026" max="1026" width="6.375" style="1231" customWidth="1"/>
    <col min="1027" max="1027" width="11.75" style="1231" bestFit="1" customWidth="1"/>
    <col min="1028" max="1028" width="9.875" style="1231" customWidth="1"/>
    <col min="1029" max="1029" width="10.125" style="1231" customWidth="1"/>
    <col min="1030" max="1032" width="10.75" style="1231" bestFit="1" customWidth="1"/>
    <col min="1033" max="1035" width="9.5" style="1231" customWidth="1"/>
    <col min="1036" max="1036" width="5.125" style="1231" customWidth="1"/>
    <col min="1037" max="1045" width="9" style="1231"/>
    <col min="1046" max="1046" width="9.125" style="1231" customWidth="1"/>
    <col min="1047" max="1047" width="9" style="1231"/>
    <col min="1048" max="1048" width="4.25" style="1231" customWidth="1"/>
    <col min="1049" max="1281" width="9" style="1231"/>
    <col min="1282" max="1282" width="6.375" style="1231" customWidth="1"/>
    <col min="1283" max="1283" width="11.75" style="1231" bestFit="1" customWidth="1"/>
    <col min="1284" max="1284" width="9.875" style="1231" customWidth="1"/>
    <col min="1285" max="1285" width="10.125" style="1231" customWidth="1"/>
    <col min="1286" max="1288" width="10.75" style="1231" bestFit="1" customWidth="1"/>
    <col min="1289" max="1291" width="9.5" style="1231" customWidth="1"/>
    <col min="1292" max="1292" width="5.125" style="1231" customWidth="1"/>
    <col min="1293" max="1301" width="9" style="1231"/>
    <col min="1302" max="1302" width="9.125" style="1231" customWidth="1"/>
    <col min="1303" max="1303" width="9" style="1231"/>
    <col min="1304" max="1304" width="4.25" style="1231" customWidth="1"/>
    <col min="1305" max="1537" width="9" style="1231"/>
    <col min="1538" max="1538" width="6.375" style="1231" customWidth="1"/>
    <col min="1539" max="1539" width="11.75" style="1231" bestFit="1" customWidth="1"/>
    <col min="1540" max="1540" width="9.875" style="1231" customWidth="1"/>
    <col min="1541" max="1541" width="10.125" style="1231" customWidth="1"/>
    <col min="1542" max="1544" width="10.75" style="1231" bestFit="1" customWidth="1"/>
    <col min="1545" max="1547" width="9.5" style="1231" customWidth="1"/>
    <col min="1548" max="1548" width="5.125" style="1231" customWidth="1"/>
    <col min="1549" max="1557" width="9" style="1231"/>
    <col min="1558" max="1558" width="9.125" style="1231" customWidth="1"/>
    <col min="1559" max="1559" width="9" style="1231"/>
    <col min="1560" max="1560" width="4.25" style="1231" customWidth="1"/>
    <col min="1561" max="1793" width="9" style="1231"/>
    <col min="1794" max="1794" width="6.375" style="1231" customWidth="1"/>
    <col min="1795" max="1795" width="11.75" style="1231" bestFit="1" customWidth="1"/>
    <col min="1796" max="1796" width="9.875" style="1231" customWidth="1"/>
    <col min="1797" max="1797" width="10.125" style="1231" customWidth="1"/>
    <col min="1798" max="1800" width="10.75" style="1231" bestFit="1" customWidth="1"/>
    <col min="1801" max="1803" width="9.5" style="1231" customWidth="1"/>
    <col min="1804" max="1804" width="5.125" style="1231" customWidth="1"/>
    <col min="1805" max="1813" width="9" style="1231"/>
    <col min="1814" max="1814" width="9.125" style="1231" customWidth="1"/>
    <col min="1815" max="1815" width="9" style="1231"/>
    <col min="1816" max="1816" width="4.25" style="1231" customWidth="1"/>
    <col min="1817" max="2049" width="9" style="1231"/>
    <col min="2050" max="2050" width="6.375" style="1231" customWidth="1"/>
    <col min="2051" max="2051" width="11.75" style="1231" bestFit="1" customWidth="1"/>
    <col min="2052" max="2052" width="9.875" style="1231" customWidth="1"/>
    <col min="2053" max="2053" width="10.125" style="1231" customWidth="1"/>
    <col min="2054" max="2056" width="10.75" style="1231" bestFit="1" customWidth="1"/>
    <col min="2057" max="2059" width="9.5" style="1231" customWidth="1"/>
    <col min="2060" max="2060" width="5.125" style="1231" customWidth="1"/>
    <col min="2061" max="2069" width="9" style="1231"/>
    <col min="2070" max="2070" width="9.125" style="1231" customWidth="1"/>
    <col min="2071" max="2071" width="9" style="1231"/>
    <col min="2072" max="2072" width="4.25" style="1231" customWidth="1"/>
    <col min="2073" max="2305" width="9" style="1231"/>
    <col min="2306" max="2306" width="6.375" style="1231" customWidth="1"/>
    <col min="2307" max="2307" width="11.75" style="1231" bestFit="1" customWidth="1"/>
    <col min="2308" max="2308" width="9.875" style="1231" customWidth="1"/>
    <col min="2309" max="2309" width="10.125" style="1231" customWidth="1"/>
    <col min="2310" max="2312" width="10.75" style="1231" bestFit="1" customWidth="1"/>
    <col min="2313" max="2315" width="9.5" style="1231" customWidth="1"/>
    <col min="2316" max="2316" width="5.125" style="1231" customWidth="1"/>
    <col min="2317" max="2325" width="9" style="1231"/>
    <col min="2326" max="2326" width="9.125" style="1231" customWidth="1"/>
    <col min="2327" max="2327" width="9" style="1231"/>
    <col min="2328" max="2328" width="4.25" style="1231" customWidth="1"/>
    <col min="2329" max="2561" width="9" style="1231"/>
    <col min="2562" max="2562" width="6.375" style="1231" customWidth="1"/>
    <col min="2563" max="2563" width="11.75" style="1231" bestFit="1" customWidth="1"/>
    <col min="2564" max="2564" width="9.875" style="1231" customWidth="1"/>
    <col min="2565" max="2565" width="10.125" style="1231" customWidth="1"/>
    <col min="2566" max="2568" width="10.75" style="1231" bestFit="1" customWidth="1"/>
    <col min="2569" max="2571" width="9.5" style="1231" customWidth="1"/>
    <col min="2572" max="2572" width="5.125" style="1231" customWidth="1"/>
    <col min="2573" max="2581" width="9" style="1231"/>
    <col min="2582" max="2582" width="9.125" style="1231" customWidth="1"/>
    <col min="2583" max="2583" width="9" style="1231"/>
    <col min="2584" max="2584" width="4.25" style="1231" customWidth="1"/>
    <col min="2585" max="2817" width="9" style="1231"/>
    <col min="2818" max="2818" width="6.375" style="1231" customWidth="1"/>
    <col min="2819" max="2819" width="11.75" style="1231" bestFit="1" customWidth="1"/>
    <col min="2820" max="2820" width="9.875" style="1231" customWidth="1"/>
    <col min="2821" max="2821" width="10.125" style="1231" customWidth="1"/>
    <col min="2822" max="2824" width="10.75" style="1231" bestFit="1" customWidth="1"/>
    <col min="2825" max="2827" width="9.5" style="1231" customWidth="1"/>
    <col min="2828" max="2828" width="5.125" style="1231" customWidth="1"/>
    <col min="2829" max="2837" width="9" style="1231"/>
    <col min="2838" max="2838" width="9.125" style="1231" customWidth="1"/>
    <col min="2839" max="2839" width="9" style="1231"/>
    <col min="2840" max="2840" width="4.25" style="1231" customWidth="1"/>
    <col min="2841" max="3073" width="9" style="1231"/>
    <col min="3074" max="3074" width="6.375" style="1231" customWidth="1"/>
    <col min="3075" max="3075" width="11.75" style="1231" bestFit="1" customWidth="1"/>
    <col min="3076" max="3076" width="9.875" style="1231" customWidth="1"/>
    <col min="3077" max="3077" width="10.125" style="1231" customWidth="1"/>
    <col min="3078" max="3080" width="10.75" style="1231" bestFit="1" customWidth="1"/>
    <col min="3081" max="3083" width="9.5" style="1231" customWidth="1"/>
    <col min="3084" max="3084" width="5.125" style="1231" customWidth="1"/>
    <col min="3085" max="3093" width="9" style="1231"/>
    <col min="3094" max="3094" width="9.125" style="1231" customWidth="1"/>
    <col min="3095" max="3095" width="9" style="1231"/>
    <col min="3096" max="3096" width="4.25" style="1231" customWidth="1"/>
    <col min="3097" max="3329" width="9" style="1231"/>
    <col min="3330" max="3330" width="6.375" style="1231" customWidth="1"/>
    <col min="3331" max="3331" width="11.75" style="1231" bestFit="1" customWidth="1"/>
    <col min="3332" max="3332" width="9.875" style="1231" customWidth="1"/>
    <col min="3333" max="3333" width="10.125" style="1231" customWidth="1"/>
    <col min="3334" max="3336" width="10.75" style="1231" bestFit="1" customWidth="1"/>
    <col min="3337" max="3339" width="9.5" style="1231" customWidth="1"/>
    <col min="3340" max="3340" width="5.125" style="1231" customWidth="1"/>
    <col min="3341" max="3349" width="9" style="1231"/>
    <col min="3350" max="3350" width="9.125" style="1231" customWidth="1"/>
    <col min="3351" max="3351" width="9" style="1231"/>
    <col min="3352" max="3352" width="4.25" style="1231" customWidth="1"/>
    <col min="3353" max="3585" width="9" style="1231"/>
    <col min="3586" max="3586" width="6.375" style="1231" customWidth="1"/>
    <col min="3587" max="3587" width="11.75" style="1231" bestFit="1" customWidth="1"/>
    <col min="3588" max="3588" width="9.875" style="1231" customWidth="1"/>
    <col min="3589" max="3589" width="10.125" style="1231" customWidth="1"/>
    <col min="3590" max="3592" width="10.75" style="1231" bestFit="1" customWidth="1"/>
    <col min="3593" max="3595" width="9.5" style="1231" customWidth="1"/>
    <col min="3596" max="3596" width="5.125" style="1231" customWidth="1"/>
    <col min="3597" max="3605" width="9" style="1231"/>
    <col min="3606" max="3606" width="9.125" style="1231" customWidth="1"/>
    <col min="3607" max="3607" width="9" style="1231"/>
    <col min="3608" max="3608" width="4.25" style="1231" customWidth="1"/>
    <col min="3609" max="3841" width="9" style="1231"/>
    <col min="3842" max="3842" width="6.375" style="1231" customWidth="1"/>
    <col min="3843" max="3843" width="11.75" style="1231" bestFit="1" customWidth="1"/>
    <col min="3844" max="3844" width="9.875" style="1231" customWidth="1"/>
    <col min="3845" max="3845" width="10.125" style="1231" customWidth="1"/>
    <col min="3846" max="3848" width="10.75" style="1231" bestFit="1" customWidth="1"/>
    <col min="3849" max="3851" width="9.5" style="1231" customWidth="1"/>
    <col min="3852" max="3852" width="5.125" style="1231" customWidth="1"/>
    <col min="3853" max="3861" width="9" style="1231"/>
    <col min="3862" max="3862" width="9.125" style="1231" customWidth="1"/>
    <col min="3863" max="3863" width="9" style="1231"/>
    <col min="3864" max="3864" width="4.25" style="1231" customWidth="1"/>
    <col min="3865" max="4097" width="9" style="1231"/>
    <col min="4098" max="4098" width="6.375" style="1231" customWidth="1"/>
    <col min="4099" max="4099" width="11.75" style="1231" bestFit="1" customWidth="1"/>
    <col min="4100" max="4100" width="9.875" style="1231" customWidth="1"/>
    <col min="4101" max="4101" width="10.125" style="1231" customWidth="1"/>
    <col min="4102" max="4104" width="10.75" style="1231" bestFit="1" customWidth="1"/>
    <col min="4105" max="4107" width="9.5" style="1231" customWidth="1"/>
    <col min="4108" max="4108" width="5.125" style="1231" customWidth="1"/>
    <col min="4109" max="4117" width="9" style="1231"/>
    <col min="4118" max="4118" width="9.125" style="1231" customWidth="1"/>
    <col min="4119" max="4119" width="9" style="1231"/>
    <col min="4120" max="4120" width="4.25" style="1231" customWidth="1"/>
    <col min="4121" max="4353" width="9" style="1231"/>
    <col min="4354" max="4354" width="6.375" style="1231" customWidth="1"/>
    <col min="4355" max="4355" width="11.75" style="1231" bestFit="1" customWidth="1"/>
    <col min="4356" max="4356" width="9.875" style="1231" customWidth="1"/>
    <col min="4357" max="4357" width="10.125" style="1231" customWidth="1"/>
    <col min="4358" max="4360" width="10.75" style="1231" bestFit="1" customWidth="1"/>
    <col min="4361" max="4363" width="9.5" style="1231" customWidth="1"/>
    <col min="4364" max="4364" width="5.125" style="1231" customWidth="1"/>
    <col min="4365" max="4373" width="9" style="1231"/>
    <col min="4374" max="4374" width="9.125" style="1231" customWidth="1"/>
    <col min="4375" max="4375" width="9" style="1231"/>
    <col min="4376" max="4376" width="4.25" style="1231" customWidth="1"/>
    <col min="4377" max="4609" width="9" style="1231"/>
    <col min="4610" max="4610" width="6.375" style="1231" customWidth="1"/>
    <col min="4611" max="4611" width="11.75" style="1231" bestFit="1" customWidth="1"/>
    <col min="4612" max="4612" width="9.875" style="1231" customWidth="1"/>
    <col min="4613" max="4613" width="10.125" style="1231" customWidth="1"/>
    <col min="4614" max="4616" width="10.75" style="1231" bestFit="1" customWidth="1"/>
    <col min="4617" max="4619" width="9.5" style="1231" customWidth="1"/>
    <col min="4620" max="4620" width="5.125" style="1231" customWidth="1"/>
    <col min="4621" max="4629" width="9" style="1231"/>
    <col min="4630" max="4630" width="9.125" style="1231" customWidth="1"/>
    <col min="4631" max="4631" width="9" style="1231"/>
    <col min="4632" max="4632" width="4.25" style="1231" customWidth="1"/>
    <col min="4633" max="4865" width="9" style="1231"/>
    <col min="4866" max="4866" width="6.375" style="1231" customWidth="1"/>
    <col min="4867" max="4867" width="11.75" style="1231" bestFit="1" customWidth="1"/>
    <col min="4868" max="4868" width="9.875" style="1231" customWidth="1"/>
    <col min="4869" max="4869" width="10.125" style="1231" customWidth="1"/>
    <col min="4870" max="4872" width="10.75" style="1231" bestFit="1" customWidth="1"/>
    <col min="4873" max="4875" width="9.5" style="1231" customWidth="1"/>
    <col min="4876" max="4876" width="5.125" style="1231" customWidth="1"/>
    <col min="4877" max="4885" width="9" style="1231"/>
    <col min="4886" max="4886" width="9.125" style="1231" customWidth="1"/>
    <col min="4887" max="4887" width="9" style="1231"/>
    <col min="4888" max="4888" width="4.25" style="1231" customWidth="1"/>
    <col min="4889" max="5121" width="9" style="1231"/>
    <col min="5122" max="5122" width="6.375" style="1231" customWidth="1"/>
    <col min="5123" max="5123" width="11.75" style="1231" bestFit="1" customWidth="1"/>
    <col min="5124" max="5124" width="9.875" style="1231" customWidth="1"/>
    <col min="5125" max="5125" width="10.125" style="1231" customWidth="1"/>
    <col min="5126" max="5128" width="10.75" style="1231" bestFit="1" customWidth="1"/>
    <col min="5129" max="5131" width="9.5" style="1231" customWidth="1"/>
    <col min="5132" max="5132" width="5.125" style="1231" customWidth="1"/>
    <col min="5133" max="5141" width="9" style="1231"/>
    <col min="5142" max="5142" width="9.125" style="1231" customWidth="1"/>
    <col min="5143" max="5143" width="9" style="1231"/>
    <col min="5144" max="5144" width="4.25" style="1231" customWidth="1"/>
    <col min="5145" max="5377" width="9" style="1231"/>
    <col min="5378" max="5378" width="6.375" style="1231" customWidth="1"/>
    <col min="5379" max="5379" width="11.75" style="1231" bestFit="1" customWidth="1"/>
    <col min="5380" max="5380" width="9.875" style="1231" customWidth="1"/>
    <col min="5381" max="5381" width="10.125" style="1231" customWidth="1"/>
    <col min="5382" max="5384" width="10.75" style="1231" bestFit="1" customWidth="1"/>
    <col min="5385" max="5387" width="9.5" style="1231" customWidth="1"/>
    <col min="5388" max="5388" width="5.125" style="1231" customWidth="1"/>
    <col min="5389" max="5397" width="9" style="1231"/>
    <col min="5398" max="5398" width="9.125" style="1231" customWidth="1"/>
    <col min="5399" max="5399" width="9" style="1231"/>
    <col min="5400" max="5400" width="4.25" style="1231" customWidth="1"/>
    <col min="5401" max="5633" width="9" style="1231"/>
    <col min="5634" max="5634" width="6.375" style="1231" customWidth="1"/>
    <col min="5635" max="5635" width="11.75" style="1231" bestFit="1" customWidth="1"/>
    <col min="5636" max="5636" width="9.875" style="1231" customWidth="1"/>
    <col min="5637" max="5637" width="10.125" style="1231" customWidth="1"/>
    <col min="5638" max="5640" width="10.75" style="1231" bestFit="1" customWidth="1"/>
    <col min="5641" max="5643" width="9.5" style="1231" customWidth="1"/>
    <col min="5644" max="5644" width="5.125" style="1231" customWidth="1"/>
    <col min="5645" max="5653" width="9" style="1231"/>
    <col min="5654" max="5654" width="9.125" style="1231" customWidth="1"/>
    <col min="5655" max="5655" width="9" style="1231"/>
    <col min="5656" max="5656" width="4.25" style="1231" customWidth="1"/>
    <col min="5657" max="5889" width="9" style="1231"/>
    <col min="5890" max="5890" width="6.375" style="1231" customWidth="1"/>
    <col min="5891" max="5891" width="11.75" style="1231" bestFit="1" customWidth="1"/>
    <col min="5892" max="5892" width="9.875" style="1231" customWidth="1"/>
    <col min="5893" max="5893" width="10.125" style="1231" customWidth="1"/>
    <col min="5894" max="5896" width="10.75" style="1231" bestFit="1" customWidth="1"/>
    <col min="5897" max="5899" width="9.5" style="1231" customWidth="1"/>
    <col min="5900" max="5900" width="5.125" style="1231" customWidth="1"/>
    <col min="5901" max="5909" width="9" style="1231"/>
    <col min="5910" max="5910" width="9.125" style="1231" customWidth="1"/>
    <col min="5911" max="5911" width="9" style="1231"/>
    <col min="5912" max="5912" width="4.25" style="1231" customWidth="1"/>
    <col min="5913" max="6145" width="9" style="1231"/>
    <col min="6146" max="6146" width="6.375" style="1231" customWidth="1"/>
    <col min="6147" max="6147" width="11.75" style="1231" bestFit="1" customWidth="1"/>
    <col min="6148" max="6148" width="9.875" style="1231" customWidth="1"/>
    <col min="6149" max="6149" width="10.125" style="1231" customWidth="1"/>
    <col min="6150" max="6152" width="10.75" style="1231" bestFit="1" customWidth="1"/>
    <col min="6153" max="6155" width="9.5" style="1231" customWidth="1"/>
    <col min="6156" max="6156" width="5.125" style="1231" customWidth="1"/>
    <col min="6157" max="6165" width="9" style="1231"/>
    <col min="6166" max="6166" width="9.125" style="1231" customWidth="1"/>
    <col min="6167" max="6167" width="9" style="1231"/>
    <col min="6168" max="6168" width="4.25" style="1231" customWidth="1"/>
    <col min="6169" max="6401" width="9" style="1231"/>
    <col min="6402" max="6402" width="6.375" style="1231" customWidth="1"/>
    <col min="6403" max="6403" width="11.75" style="1231" bestFit="1" customWidth="1"/>
    <col min="6404" max="6404" width="9.875" style="1231" customWidth="1"/>
    <col min="6405" max="6405" width="10.125" style="1231" customWidth="1"/>
    <col min="6406" max="6408" width="10.75" style="1231" bestFit="1" customWidth="1"/>
    <col min="6409" max="6411" width="9.5" style="1231" customWidth="1"/>
    <col min="6412" max="6412" width="5.125" style="1231" customWidth="1"/>
    <col min="6413" max="6421" width="9" style="1231"/>
    <col min="6422" max="6422" width="9.125" style="1231" customWidth="1"/>
    <col min="6423" max="6423" width="9" style="1231"/>
    <col min="6424" max="6424" width="4.25" style="1231" customWidth="1"/>
    <col min="6425" max="6657" width="9" style="1231"/>
    <col min="6658" max="6658" width="6.375" style="1231" customWidth="1"/>
    <col min="6659" max="6659" width="11.75" style="1231" bestFit="1" customWidth="1"/>
    <col min="6660" max="6660" width="9.875" style="1231" customWidth="1"/>
    <col min="6661" max="6661" width="10.125" style="1231" customWidth="1"/>
    <col min="6662" max="6664" width="10.75" style="1231" bestFit="1" customWidth="1"/>
    <col min="6665" max="6667" width="9.5" style="1231" customWidth="1"/>
    <col min="6668" max="6668" width="5.125" style="1231" customWidth="1"/>
    <col min="6669" max="6677" width="9" style="1231"/>
    <col min="6678" max="6678" width="9.125" style="1231" customWidth="1"/>
    <col min="6679" max="6679" width="9" style="1231"/>
    <col min="6680" max="6680" width="4.25" style="1231" customWidth="1"/>
    <col min="6681" max="6913" width="9" style="1231"/>
    <col min="6914" max="6914" width="6.375" style="1231" customWidth="1"/>
    <col min="6915" max="6915" width="11.75" style="1231" bestFit="1" customWidth="1"/>
    <col min="6916" max="6916" width="9.875" style="1231" customWidth="1"/>
    <col min="6917" max="6917" width="10.125" style="1231" customWidth="1"/>
    <col min="6918" max="6920" width="10.75" style="1231" bestFit="1" customWidth="1"/>
    <col min="6921" max="6923" width="9.5" style="1231" customWidth="1"/>
    <col min="6924" max="6924" width="5.125" style="1231" customWidth="1"/>
    <col min="6925" max="6933" width="9" style="1231"/>
    <col min="6934" max="6934" width="9.125" style="1231" customWidth="1"/>
    <col min="6935" max="6935" width="9" style="1231"/>
    <col min="6936" max="6936" width="4.25" style="1231" customWidth="1"/>
    <col min="6937" max="7169" width="9" style="1231"/>
    <col min="7170" max="7170" width="6.375" style="1231" customWidth="1"/>
    <col min="7171" max="7171" width="11.75" style="1231" bestFit="1" customWidth="1"/>
    <col min="7172" max="7172" width="9.875" style="1231" customWidth="1"/>
    <col min="7173" max="7173" width="10.125" style="1231" customWidth="1"/>
    <col min="7174" max="7176" width="10.75" style="1231" bestFit="1" customWidth="1"/>
    <col min="7177" max="7179" width="9.5" style="1231" customWidth="1"/>
    <col min="7180" max="7180" width="5.125" style="1231" customWidth="1"/>
    <col min="7181" max="7189" width="9" style="1231"/>
    <col min="7190" max="7190" width="9.125" style="1231" customWidth="1"/>
    <col min="7191" max="7191" width="9" style="1231"/>
    <col min="7192" max="7192" width="4.25" style="1231" customWidth="1"/>
    <col min="7193" max="7425" width="9" style="1231"/>
    <col min="7426" max="7426" width="6.375" style="1231" customWidth="1"/>
    <col min="7427" max="7427" width="11.75" style="1231" bestFit="1" customWidth="1"/>
    <col min="7428" max="7428" width="9.875" style="1231" customWidth="1"/>
    <col min="7429" max="7429" width="10.125" style="1231" customWidth="1"/>
    <col min="7430" max="7432" width="10.75" style="1231" bestFit="1" customWidth="1"/>
    <col min="7433" max="7435" width="9.5" style="1231" customWidth="1"/>
    <col min="7436" max="7436" width="5.125" style="1231" customWidth="1"/>
    <col min="7437" max="7445" width="9" style="1231"/>
    <col min="7446" max="7446" width="9.125" style="1231" customWidth="1"/>
    <col min="7447" max="7447" width="9" style="1231"/>
    <col min="7448" max="7448" width="4.25" style="1231" customWidth="1"/>
    <col min="7449" max="7681" width="9" style="1231"/>
    <col min="7682" max="7682" width="6.375" style="1231" customWidth="1"/>
    <col min="7683" max="7683" width="11.75" style="1231" bestFit="1" customWidth="1"/>
    <col min="7684" max="7684" width="9.875" style="1231" customWidth="1"/>
    <col min="7685" max="7685" width="10.125" style="1231" customWidth="1"/>
    <col min="7686" max="7688" width="10.75" style="1231" bestFit="1" customWidth="1"/>
    <col min="7689" max="7691" width="9.5" style="1231" customWidth="1"/>
    <col min="7692" max="7692" width="5.125" style="1231" customWidth="1"/>
    <col min="7693" max="7701" width="9" style="1231"/>
    <col min="7702" max="7702" width="9.125" style="1231" customWidth="1"/>
    <col min="7703" max="7703" width="9" style="1231"/>
    <col min="7704" max="7704" width="4.25" style="1231" customWidth="1"/>
    <col min="7705" max="7937" width="9" style="1231"/>
    <col min="7938" max="7938" width="6.375" style="1231" customWidth="1"/>
    <col min="7939" max="7939" width="11.75" style="1231" bestFit="1" customWidth="1"/>
    <col min="7940" max="7940" width="9.875" style="1231" customWidth="1"/>
    <col min="7941" max="7941" width="10.125" style="1231" customWidth="1"/>
    <col min="7942" max="7944" width="10.75" style="1231" bestFit="1" customWidth="1"/>
    <col min="7945" max="7947" width="9.5" style="1231" customWidth="1"/>
    <col min="7948" max="7948" width="5.125" style="1231" customWidth="1"/>
    <col min="7949" max="7957" width="9" style="1231"/>
    <col min="7958" max="7958" width="9.125" style="1231" customWidth="1"/>
    <col min="7959" max="7959" width="9" style="1231"/>
    <col min="7960" max="7960" width="4.25" style="1231" customWidth="1"/>
    <col min="7961" max="8193" width="9" style="1231"/>
    <col min="8194" max="8194" width="6.375" style="1231" customWidth="1"/>
    <col min="8195" max="8195" width="11.75" style="1231" bestFit="1" customWidth="1"/>
    <col min="8196" max="8196" width="9.875" style="1231" customWidth="1"/>
    <col min="8197" max="8197" width="10.125" style="1231" customWidth="1"/>
    <col min="8198" max="8200" width="10.75" style="1231" bestFit="1" customWidth="1"/>
    <col min="8201" max="8203" width="9.5" style="1231" customWidth="1"/>
    <col min="8204" max="8204" width="5.125" style="1231" customWidth="1"/>
    <col min="8205" max="8213" width="9" style="1231"/>
    <col min="8214" max="8214" width="9.125" style="1231" customWidth="1"/>
    <col min="8215" max="8215" width="9" style="1231"/>
    <col min="8216" max="8216" width="4.25" style="1231" customWidth="1"/>
    <col min="8217" max="8449" width="9" style="1231"/>
    <col min="8450" max="8450" width="6.375" style="1231" customWidth="1"/>
    <col min="8451" max="8451" width="11.75" style="1231" bestFit="1" customWidth="1"/>
    <col min="8452" max="8452" width="9.875" style="1231" customWidth="1"/>
    <col min="8453" max="8453" width="10.125" style="1231" customWidth="1"/>
    <col min="8454" max="8456" width="10.75" style="1231" bestFit="1" customWidth="1"/>
    <col min="8457" max="8459" width="9.5" style="1231" customWidth="1"/>
    <col min="8460" max="8460" width="5.125" style="1231" customWidth="1"/>
    <col min="8461" max="8469" width="9" style="1231"/>
    <col min="8470" max="8470" width="9.125" style="1231" customWidth="1"/>
    <col min="8471" max="8471" width="9" style="1231"/>
    <col min="8472" max="8472" width="4.25" style="1231" customWidth="1"/>
    <col min="8473" max="8705" width="9" style="1231"/>
    <col min="8706" max="8706" width="6.375" style="1231" customWidth="1"/>
    <col min="8707" max="8707" width="11.75" style="1231" bestFit="1" customWidth="1"/>
    <col min="8708" max="8708" width="9.875" style="1231" customWidth="1"/>
    <col min="8709" max="8709" width="10.125" style="1231" customWidth="1"/>
    <col min="8710" max="8712" width="10.75" style="1231" bestFit="1" customWidth="1"/>
    <col min="8713" max="8715" width="9.5" style="1231" customWidth="1"/>
    <col min="8716" max="8716" width="5.125" style="1231" customWidth="1"/>
    <col min="8717" max="8725" width="9" style="1231"/>
    <col min="8726" max="8726" width="9.125" style="1231" customWidth="1"/>
    <col min="8727" max="8727" width="9" style="1231"/>
    <col min="8728" max="8728" width="4.25" style="1231" customWidth="1"/>
    <col min="8729" max="8961" width="9" style="1231"/>
    <col min="8962" max="8962" width="6.375" style="1231" customWidth="1"/>
    <col min="8963" max="8963" width="11.75" style="1231" bestFit="1" customWidth="1"/>
    <col min="8964" max="8964" width="9.875" style="1231" customWidth="1"/>
    <col min="8965" max="8965" width="10.125" style="1231" customWidth="1"/>
    <col min="8966" max="8968" width="10.75" style="1231" bestFit="1" customWidth="1"/>
    <col min="8969" max="8971" width="9.5" style="1231" customWidth="1"/>
    <col min="8972" max="8972" width="5.125" style="1231" customWidth="1"/>
    <col min="8973" max="8981" width="9" style="1231"/>
    <col min="8982" max="8982" width="9.125" style="1231" customWidth="1"/>
    <col min="8983" max="8983" width="9" style="1231"/>
    <col min="8984" max="8984" width="4.25" style="1231" customWidth="1"/>
    <col min="8985" max="9217" width="9" style="1231"/>
    <col min="9218" max="9218" width="6.375" style="1231" customWidth="1"/>
    <col min="9219" max="9219" width="11.75" style="1231" bestFit="1" customWidth="1"/>
    <col min="9220" max="9220" width="9.875" style="1231" customWidth="1"/>
    <col min="9221" max="9221" width="10.125" style="1231" customWidth="1"/>
    <col min="9222" max="9224" width="10.75" style="1231" bestFit="1" customWidth="1"/>
    <col min="9225" max="9227" width="9.5" style="1231" customWidth="1"/>
    <col min="9228" max="9228" width="5.125" style="1231" customWidth="1"/>
    <col min="9229" max="9237" width="9" style="1231"/>
    <col min="9238" max="9238" width="9.125" style="1231" customWidth="1"/>
    <col min="9239" max="9239" width="9" style="1231"/>
    <col min="9240" max="9240" width="4.25" style="1231" customWidth="1"/>
    <col min="9241" max="9473" width="9" style="1231"/>
    <col min="9474" max="9474" width="6.375" style="1231" customWidth="1"/>
    <col min="9475" max="9475" width="11.75" style="1231" bestFit="1" customWidth="1"/>
    <col min="9476" max="9476" width="9.875" style="1231" customWidth="1"/>
    <col min="9477" max="9477" width="10.125" style="1231" customWidth="1"/>
    <col min="9478" max="9480" width="10.75" style="1231" bestFit="1" customWidth="1"/>
    <col min="9481" max="9483" width="9.5" style="1231" customWidth="1"/>
    <col min="9484" max="9484" width="5.125" style="1231" customWidth="1"/>
    <col min="9485" max="9493" width="9" style="1231"/>
    <col min="9494" max="9494" width="9.125" style="1231" customWidth="1"/>
    <col min="9495" max="9495" width="9" style="1231"/>
    <col min="9496" max="9496" width="4.25" style="1231" customWidth="1"/>
    <col min="9497" max="9729" width="9" style="1231"/>
    <col min="9730" max="9730" width="6.375" style="1231" customWidth="1"/>
    <col min="9731" max="9731" width="11.75" style="1231" bestFit="1" customWidth="1"/>
    <col min="9732" max="9732" width="9.875" style="1231" customWidth="1"/>
    <col min="9733" max="9733" width="10.125" style="1231" customWidth="1"/>
    <col min="9734" max="9736" width="10.75" style="1231" bestFit="1" customWidth="1"/>
    <col min="9737" max="9739" width="9.5" style="1231" customWidth="1"/>
    <col min="9740" max="9740" width="5.125" style="1231" customWidth="1"/>
    <col min="9741" max="9749" width="9" style="1231"/>
    <col min="9750" max="9750" width="9.125" style="1231" customWidth="1"/>
    <col min="9751" max="9751" width="9" style="1231"/>
    <col min="9752" max="9752" width="4.25" style="1231" customWidth="1"/>
    <col min="9753" max="9985" width="9" style="1231"/>
    <col min="9986" max="9986" width="6.375" style="1231" customWidth="1"/>
    <col min="9987" max="9987" width="11.75" style="1231" bestFit="1" customWidth="1"/>
    <col min="9988" max="9988" width="9.875" style="1231" customWidth="1"/>
    <col min="9989" max="9989" width="10.125" style="1231" customWidth="1"/>
    <col min="9990" max="9992" width="10.75" style="1231" bestFit="1" customWidth="1"/>
    <col min="9993" max="9995" width="9.5" style="1231" customWidth="1"/>
    <col min="9996" max="9996" width="5.125" style="1231" customWidth="1"/>
    <col min="9997" max="10005" width="9" style="1231"/>
    <col min="10006" max="10006" width="9.125" style="1231" customWidth="1"/>
    <col min="10007" max="10007" width="9" style="1231"/>
    <col min="10008" max="10008" width="4.25" style="1231" customWidth="1"/>
    <col min="10009" max="10241" width="9" style="1231"/>
    <col min="10242" max="10242" width="6.375" style="1231" customWidth="1"/>
    <col min="10243" max="10243" width="11.75" style="1231" bestFit="1" customWidth="1"/>
    <col min="10244" max="10244" width="9.875" style="1231" customWidth="1"/>
    <col min="10245" max="10245" width="10.125" style="1231" customWidth="1"/>
    <col min="10246" max="10248" width="10.75" style="1231" bestFit="1" customWidth="1"/>
    <col min="10249" max="10251" width="9.5" style="1231" customWidth="1"/>
    <col min="10252" max="10252" width="5.125" style="1231" customWidth="1"/>
    <col min="10253" max="10261" width="9" style="1231"/>
    <col min="10262" max="10262" width="9.125" style="1231" customWidth="1"/>
    <col min="10263" max="10263" width="9" style="1231"/>
    <col min="10264" max="10264" width="4.25" style="1231" customWidth="1"/>
    <col min="10265" max="10497" width="9" style="1231"/>
    <col min="10498" max="10498" width="6.375" style="1231" customWidth="1"/>
    <col min="10499" max="10499" width="11.75" style="1231" bestFit="1" customWidth="1"/>
    <col min="10500" max="10500" width="9.875" style="1231" customWidth="1"/>
    <col min="10501" max="10501" width="10.125" style="1231" customWidth="1"/>
    <col min="10502" max="10504" width="10.75" style="1231" bestFit="1" customWidth="1"/>
    <col min="10505" max="10507" width="9.5" style="1231" customWidth="1"/>
    <col min="10508" max="10508" width="5.125" style="1231" customWidth="1"/>
    <col min="10509" max="10517" width="9" style="1231"/>
    <col min="10518" max="10518" width="9.125" style="1231" customWidth="1"/>
    <col min="10519" max="10519" width="9" style="1231"/>
    <col min="10520" max="10520" width="4.25" style="1231" customWidth="1"/>
    <col min="10521" max="10753" width="9" style="1231"/>
    <col min="10754" max="10754" width="6.375" style="1231" customWidth="1"/>
    <col min="10755" max="10755" width="11.75" style="1231" bestFit="1" customWidth="1"/>
    <col min="10756" max="10756" width="9.875" style="1231" customWidth="1"/>
    <col min="10757" max="10757" width="10.125" style="1231" customWidth="1"/>
    <col min="10758" max="10760" width="10.75" style="1231" bestFit="1" customWidth="1"/>
    <col min="10761" max="10763" width="9.5" style="1231" customWidth="1"/>
    <col min="10764" max="10764" width="5.125" style="1231" customWidth="1"/>
    <col min="10765" max="10773" width="9" style="1231"/>
    <col min="10774" max="10774" width="9.125" style="1231" customWidth="1"/>
    <col min="10775" max="10775" width="9" style="1231"/>
    <col min="10776" max="10776" width="4.25" style="1231" customWidth="1"/>
    <col min="10777" max="11009" width="9" style="1231"/>
    <col min="11010" max="11010" width="6.375" style="1231" customWidth="1"/>
    <col min="11011" max="11011" width="11.75" style="1231" bestFit="1" customWidth="1"/>
    <col min="11012" max="11012" width="9.875" style="1231" customWidth="1"/>
    <col min="11013" max="11013" width="10.125" style="1231" customWidth="1"/>
    <col min="11014" max="11016" width="10.75" style="1231" bestFit="1" customWidth="1"/>
    <col min="11017" max="11019" width="9.5" style="1231" customWidth="1"/>
    <col min="11020" max="11020" width="5.125" style="1231" customWidth="1"/>
    <col min="11021" max="11029" width="9" style="1231"/>
    <col min="11030" max="11030" width="9.125" style="1231" customWidth="1"/>
    <col min="11031" max="11031" width="9" style="1231"/>
    <col min="11032" max="11032" width="4.25" style="1231" customWidth="1"/>
    <col min="11033" max="11265" width="9" style="1231"/>
    <col min="11266" max="11266" width="6.375" style="1231" customWidth="1"/>
    <col min="11267" max="11267" width="11.75" style="1231" bestFit="1" customWidth="1"/>
    <col min="11268" max="11268" width="9.875" style="1231" customWidth="1"/>
    <col min="11269" max="11269" width="10.125" style="1231" customWidth="1"/>
    <col min="11270" max="11272" width="10.75" style="1231" bestFit="1" customWidth="1"/>
    <col min="11273" max="11275" width="9.5" style="1231" customWidth="1"/>
    <col min="11276" max="11276" width="5.125" style="1231" customWidth="1"/>
    <col min="11277" max="11285" width="9" style="1231"/>
    <col min="11286" max="11286" width="9.125" style="1231" customWidth="1"/>
    <col min="11287" max="11287" width="9" style="1231"/>
    <col min="11288" max="11288" width="4.25" style="1231" customWidth="1"/>
    <col min="11289" max="11521" width="9" style="1231"/>
    <col min="11522" max="11522" width="6.375" style="1231" customWidth="1"/>
    <col min="11523" max="11523" width="11.75" style="1231" bestFit="1" customWidth="1"/>
    <col min="11524" max="11524" width="9.875" style="1231" customWidth="1"/>
    <col min="11525" max="11525" width="10.125" style="1231" customWidth="1"/>
    <col min="11526" max="11528" width="10.75" style="1231" bestFit="1" customWidth="1"/>
    <col min="11529" max="11531" width="9.5" style="1231" customWidth="1"/>
    <col min="11532" max="11532" width="5.125" style="1231" customWidth="1"/>
    <col min="11533" max="11541" width="9" style="1231"/>
    <col min="11542" max="11542" width="9.125" style="1231" customWidth="1"/>
    <col min="11543" max="11543" width="9" style="1231"/>
    <col min="11544" max="11544" width="4.25" style="1231" customWidth="1"/>
    <col min="11545" max="11777" width="9" style="1231"/>
    <col min="11778" max="11778" width="6.375" style="1231" customWidth="1"/>
    <col min="11779" max="11779" width="11.75" style="1231" bestFit="1" customWidth="1"/>
    <col min="11780" max="11780" width="9.875" style="1231" customWidth="1"/>
    <col min="11781" max="11781" width="10.125" style="1231" customWidth="1"/>
    <col min="11782" max="11784" width="10.75" style="1231" bestFit="1" customWidth="1"/>
    <col min="11785" max="11787" width="9.5" style="1231" customWidth="1"/>
    <col min="11788" max="11788" width="5.125" style="1231" customWidth="1"/>
    <col min="11789" max="11797" width="9" style="1231"/>
    <col min="11798" max="11798" width="9.125" style="1231" customWidth="1"/>
    <col min="11799" max="11799" width="9" style="1231"/>
    <col min="11800" max="11800" width="4.25" style="1231" customWidth="1"/>
    <col min="11801" max="12033" width="9" style="1231"/>
    <col min="12034" max="12034" width="6.375" style="1231" customWidth="1"/>
    <col min="12035" max="12035" width="11.75" style="1231" bestFit="1" customWidth="1"/>
    <col min="12036" max="12036" width="9.875" style="1231" customWidth="1"/>
    <col min="12037" max="12037" width="10.125" style="1231" customWidth="1"/>
    <col min="12038" max="12040" width="10.75" style="1231" bestFit="1" customWidth="1"/>
    <col min="12041" max="12043" width="9.5" style="1231" customWidth="1"/>
    <col min="12044" max="12044" width="5.125" style="1231" customWidth="1"/>
    <col min="12045" max="12053" width="9" style="1231"/>
    <col min="12054" max="12054" width="9.125" style="1231" customWidth="1"/>
    <col min="12055" max="12055" width="9" style="1231"/>
    <col min="12056" max="12056" width="4.25" style="1231" customWidth="1"/>
    <col min="12057" max="12289" width="9" style="1231"/>
    <col min="12290" max="12290" width="6.375" style="1231" customWidth="1"/>
    <col min="12291" max="12291" width="11.75" style="1231" bestFit="1" customWidth="1"/>
    <col min="12292" max="12292" width="9.875" style="1231" customWidth="1"/>
    <col min="12293" max="12293" width="10.125" style="1231" customWidth="1"/>
    <col min="12294" max="12296" width="10.75" style="1231" bestFit="1" customWidth="1"/>
    <col min="12297" max="12299" width="9.5" style="1231" customWidth="1"/>
    <col min="12300" max="12300" width="5.125" style="1231" customWidth="1"/>
    <col min="12301" max="12309" width="9" style="1231"/>
    <col min="12310" max="12310" width="9.125" style="1231" customWidth="1"/>
    <col min="12311" max="12311" width="9" style="1231"/>
    <col min="12312" max="12312" width="4.25" style="1231" customWidth="1"/>
    <col min="12313" max="12545" width="9" style="1231"/>
    <col min="12546" max="12546" width="6.375" style="1231" customWidth="1"/>
    <col min="12547" max="12547" width="11.75" style="1231" bestFit="1" customWidth="1"/>
    <col min="12548" max="12548" width="9.875" style="1231" customWidth="1"/>
    <col min="12549" max="12549" width="10.125" style="1231" customWidth="1"/>
    <col min="12550" max="12552" width="10.75" style="1231" bestFit="1" customWidth="1"/>
    <col min="12553" max="12555" width="9.5" style="1231" customWidth="1"/>
    <col min="12556" max="12556" width="5.125" style="1231" customWidth="1"/>
    <col min="12557" max="12565" width="9" style="1231"/>
    <col min="12566" max="12566" width="9.125" style="1231" customWidth="1"/>
    <col min="12567" max="12567" width="9" style="1231"/>
    <col min="12568" max="12568" width="4.25" style="1231" customWidth="1"/>
    <col min="12569" max="12801" width="9" style="1231"/>
    <col min="12802" max="12802" width="6.375" style="1231" customWidth="1"/>
    <col min="12803" max="12803" width="11.75" style="1231" bestFit="1" customWidth="1"/>
    <col min="12804" max="12804" width="9.875" style="1231" customWidth="1"/>
    <col min="12805" max="12805" width="10.125" style="1231" customWidth="1"/>
    <col min="12806" max="12808" width="10.75" style="1231" bestFit="1" customWidth="1"/>
    <col min="12809" max="12811" width="9.5" style="1231" customWidth="1"/>
    <col min="12812" max="12812" width="5.125" style="1231" customWidth="1"/>
    <col min="12813" max="12821" width="9" style="1231"/>
    <col min="12822" max="12822" width="9.125" style="1231" customWidth="1"/>
    <col min="12823" max="12823" width="9" style="1231"/>
    <col min="12824" max="12824" width="4.25" style="1231" customWidth="1"/>
    <col min="12825" max="13057" width="9" style="1231"/>
    <col min="13058" max="13058" width="6.375" style="1231" customWidth="1"/>
    <col min="13059" max="13059" width="11.75" style="1231" bestFit="1" customWidth="1"/>
    <col min="13060" max="13060" width="9.875" style="1231" customWidth="1"/>
    <col min="13061" max="13061" width="10.125" style="1231" customWidth="1"/>
    <col min="13062" max="13064" width="10.75" style="1231" bestFit="1" customWidth="1"/>
    <col min="13065" max="13067" width="9.5" style="1231" customWidth="1"/>
    <col min="13068" max="13068" width="5.125" style="1231" customWidth="1"/>
    <col min="13069" max="13077" width="9" style="1231"/>
    <col min="13078" max="13078" width="9.125" style="1231" customWidth="1"/>
    <col min="13079" max="13079" width="9" style="1231"/>
    <col min="13080" max="13080" width="4.25" style="1231" customWidth="1"/>
    <col min="13081" max="13313" width="9" style="1231"/>
    <col min="13314" max="13314" width="6.375" style="1231" customWidth="1"/>
    <col min="13315" max="13315" width="11.75" style="1231" bestFit="1" customWidth="1"/>
    <col min="13316" max="13316" width="9.875" style="1231" customWidth="1"/>
    <col min="13317" max="13317" width="10.125" style="1231" customWidth="1"/>
    <col min="13318" max="13320" width="10.75" style="1231" bestFit="1" customWidth="1"/>
    <col min="13321" max="13323" width="9.5" style="1231" customWidth="1"/>
    <col min="13324" max="13324" width="5.125" style="1231" customWidth="1"/>
    <col min="13325" max="13333" width="9" style="1231"/>
    <col min="13334" max="13334" width="9.125" style="1231" customWidth="1"/>
    <col min="13335" max="13335" width="9" style="1231"/>
    <col min="13336" max="13336" width="4.25" style="1231" customWidth="1"/>
    <col min="13337" max="13569" width="9" style="1231"/>
    <col min="13570" max="13570" width="6.375" style="1231" customWidth="1"/>
    <col min="13571" max="13571" width="11.75" style="1231" bestFit="1" customWidth="1"/>
    <col min="13572" max="13572" width="9.875" style="1231" customWidth="1"/>
    <col min="13573" max="13573" width="10.125" style="1231" customWidth="1"/>
    <col min="13574" max="13576" width="10.75" style="1231" bestFit="1" customWidth="1"/>
    <col min="13577" max="13579" width="9.5" style="1231" customWidth="1"/>
    <col min="13580" max="13580" width="5.125" style="1231" customWidth="1"/>
    <col min="13581" max="13589" width="9" style="1231"/>
    <col min="13590" max="13590" width="9.125" style="1231" customWidth="1"/>
    <col min="13591" max="13591" width="9" style="1231"/>
    <col min="13592" max="13592" width="4.25" style="1231" customWidth="1"/>
    <col min="13593" max="13825" width="9" style="1231"/>
    <col min="13826" max="13826" width="6.375" style="1231" customWidth="1"/>
    <col min="13827" max="13827" width="11.75" style="1231" bestFit="1" customWidth="1"/>
    <col min="13828" max="13828" width="9.875" style="1231" customWidth="1"/>
    <col min="13829" max="13829" width="10.125" style="1231" customWidth="1"/>
    <col min="13830" max="13832" width="10.75" style="1231" bestFit="1" customWidth="1"/>
    <col min="13833" max="13835" width="9.5" style="1231" customWidth="1"/>
    <col min="13836" max="13836" width="5.125" style="1231" customWidth="1"/>
    <col min="13837" max="13845" width="9" style="1231"/>
    <col min="13846" max="13846" width="9.125" style="1231" customWidth="1"/>
    <col min="13847" max="13847" width="9" style="1231"/>
    <col min="13848" max="13848" width="4.25" style="1231" customWidth="1"/>
    <col min="13849" max="14081" width="9" style="1231"/>
    <col min="14082" max="14082" width="6.375" style="1231" customWidth="1"/>
    <col min="14083" max="14083" width="11.75" style="1231" bestFit="1" customWidth="1"/>
    <col min="14084" max="14084" width="9.875" style="1231" customWidth="1"/>
    <col min="14085" max="14085" width="10.125" style="1231" customWidth="1"/>
    <col min="14086" max="14088" width="10.75" style="1231" bestFit="1" customWidth="1"/>
    <col min="14089" max="14091" width="9.5" style="1231" customWidth="1"/>
    <col min="14092" max="14092" width="5.125" style="1231" customWidth="1"/>
    <col min="14093" max="14101" width="9" style="1231"/>
    <col min="14102" max="14102" width="9.125" style="1231" customWidth="1"/>
    <col min="14103" max="14103" width="9" style="1231"/>
    <col min="14104" max="14104" width="4.25" style="1231" customWidth="1"/>
    <col min="14105" max="14337" width="9" style="1231"/>
    <col min="14338" max="14338" width="6.375" style="1231" customWidth="1"/>
    <col min="14339" max="14339" width="11.75" style="1231" bestFit="1" customWidth="1"/>
    <col min="14340" max="14340" width="9.875" style="1231" customWidth="1"/>
    <col min="14341" max="14341" width="10.125" style="1231" customWidth="1"/>
    <col min="14342" max="14344" width="10.75" style="1231" bestFit="1" customWidth="1"/>
    <col min="14345" max="14347" width="9.5" style="1231" customWidth="1"/>
    <col min="14348" max="14348" width="5.125" style="1231" customWidth="1"/>
    <col min="14349" max="14357" width="9" style="1231"/>
    <col min="14358" max="14358" width="9.125" style="1231" customWidth="1"/>
    <col min="14359" max="14359" width="9" style="1231"/>
    <col min="14360" max="14360" width="4.25" style="1231" customWidth="1"/>
    <col min="14361" max="14593" width="9" style="1231"/>
    <col min="14594" max="14594" width="6.375" style="1231" customWidth="1"/>
    <col min="14595" max="14595" width="11.75" style="1231" bestFit="1" customWidth="1"/>
    <col min="14596" max="14596" width="9.875" style="1231" customWidth="1"/>
    <col min="14597" max="14597" width="10.125" style="1231" customWidth="1"/>
    <col min="14598" max="14600" width="10.75" style="1231" bestFit="1" customWidth="1"/>
    <col min="14601" max="14603" width="9.5" style="1231" customWidth="1"/>
    <col min="14604" max="14604" width="5.125" style="1231" customWidth="1"/>
    <col min="14605" max="14613" width="9" style="1231"/>
    <col min="14614" max="14614" width="9.125" style="1231" customWidth="1"/>
    <col min="14615" max="14615" width="9" style="1231"/>
    <col min="14616" max="14616" width="4.25" style="1231" customWidth="1"/>
    <col min="14617" max="14849" width="9" style="1231"/>
    <col min="14850" max="14850" width="6.375" style="1231" customWidth="1"/>
    <col min="14851" max="14851" width="11.75" style="1231" bestFit="1" customWidth="1"/>
    <col min="14852" max="14852" width="9.875" style="1231" customWidth="1"/>
    <col min="14853" max="14853" width="10.125" style="1231" customWidth="1"/>
    <col min="14854" max="14856" width="10.75" style="1231" bestFit="1" customWidth="1"/>
    <col min="14857" max="14859" width="9.5" style="1231" customWidth="1"/>
    <col min="14860" max="14860" width="5.125" style="1231" customWidth="1"/>
    <col min="14861" max="14869" width="9" style="1231"/>
    <col min="14870" max="14870" width="9.125" style="1231" customWidth="1"/>
    <col min="14871" max="14871" width="9" style="1231"/>
    <col min="14872" max="14872" width="4.25" style="1231" customWidth="1"/>
    <col min="14873" max="15105" width="9" style="1231"/>
    <col min="15106" max="15106" width="6.375" style="1231" customWidth="1"/>
    <col min="15107" max="15107" width="11.75" style="1231" bestFit="1" customWidth="1"/>
    <col min="15108" max="15108" width="9.875" style="1231" customWidth="1"/>
    <col min="15109" max="15109" width="10.125" style="1231" customWidth="1"/>
    <col min="15110" max="15112" width="10.75" style="1231" bestFit="1" customWidth="1"/>
    <col min="15113" max="15115" width="9.5" style="1231" customWidth="1"/>
    <col min="15116" max="15116" width="5.125" style="1231" customWidth="1"/>
    <col min="15117" max="15125" width="9" style="1231"/>
    <col min="15126" max="15126" width="9.125" style="1231" customWidth="1"/>
    <col min="15127" max="15127" width="9" style="1231"/>
    <col min="15128" max="15128" width="4.25" style="1231" customWidth="1"/>
    <col min="15129" max="15361" width="9" style="1231"/>
    <col min="15362" max="15362" width="6.375" style="1231" customWidth="1"/>
    <col min="15363" max="15363" width="11.75" style="1231" bestFit="1" customWidth="1"/>
    <col min="15364" max="15364" width="9.875" style="1231" customWidth="1"/>
    <col min="15365" max="15365" width="10.125" style="1231" customWidth="1"/>
    <col min="15366" max="15368" width="10.75" style="1231" bestFit="1" customWidth="1"/>
    <col min="15369" max="15371" width="9.5" style="1231" customWidth="1"/>
    <col min="15372" max="15372" width="5.125" style="1231" customWidth="1"/>
    <col min="15373" max="15381" width="9" style="1231"/>
    <col min="15382" max="15382" width="9.125" style="1231" customWidth="1"/>
    <col min="15383" max="15383" width="9" style="1231"/>
    <col min="15384" max="15384" width="4.25" style="1231" customWidth="1"/>
    <col min="15385" max="15617" width="9" style="1231"/>
    <col min="15618" max="15618" width="6.375" style="1231" customWidth="1"/>
    <col min="15619" max="15619" width="11.75" style="1231" bestFit="1" customWidth="1"/>
    <col min="15620" max="15620" width="9.875" style="1231" customWidth="1"/>
    <col min="15621" max="15621" width="10.125" style="1231" customWidth="1"/>
    <col min="15622" max="15624" width="10.75" style="1231" bestFit="1" customWidth="1"/>
    <col min="15625" max="15627" width="9.5" style="1231" customWidth="1"/>
    <col min="15628" max="15628" width="5.125" style="1231" customWidth="1"/>
    <col min="15629" max="15637" width="9" style="1231"/>
    <col min="15638" max="15638" width="9.125" style="1231" customWidth="1"/>
    <col min="15639" max="15639" width="9" style="1231"/>
    <col min="15640" max="15640" width="4.25" style="1231" customWidth="1"/>
    <col min="15641" max="15873" width="9" style="1231"/>
    <col min="15874" max="15874" width="6.375" style="1231" customWidth="1"/>
    <col min="15875" max="15875" width="11.75" style="1231" bestFit="1" customWidth="1"/>
    <col min="15876" max="15876" width="9.875" style="1231" customWidth="1"/>
    <col min="15877" max="15877" width="10.125" style="1231" customWidth="1"/>
    <col min="15878" max="15880" width="10.75" style="1231" bestFit="1" customWidth="1"/>
    <col min="15881" max="15883" width="9.5" style="1231" customWidth="1"/>
    <col min="15884" max="15884" width="5.125" style="1231" customWidth="1"/>
    <col min="15885" max="15893" width="9" style="1231"/>
    <col min="15894" max="15894" width="9.125" style="1231" customWidth="1"/>
    <col min="15895" max="15895" width="9" style="1231"/>
    <col min="15896" max="15896" width="4.25" style="1231" customWidth="1"/>
    <col min="15897" max="16129" width="9" style="1231"/>
    <col min="16130" max="16130" width="6.375" style="1231" customWidth="1"/>
    <col min="16131" max="16131" width="11.75" style="1231" bestFit="1" customWidth="1"/>
    <col min="16132" max="16132" width="9.875" style="1231" customWidth="1"/>
    <col min="16133" max="16133" width="10.125" style="1231" customWidth="1"/>
    <col min="16134" max="16136" width="10.75" style="1231" bestFit="1" customWidth="1"/>
    <col min="16137" max="16139" width="9.5" style="1231" customWidth="1"/>
    <col min="16140" max="16140" width="5.125" style="1231" customWidth="1"/>
    <col min="16141" max="16149" width="9" style="1231"/>
    <col min="16150" max="16150" width="9.125" style="1231" customWidth="1"/>
    <col min="16151" max="16151" width="9" style="1231"/>
    <col min="16152" max="16152" width="4.25" style="1231" customWidth="1"/>
    <col min="16153" max="16384" width="9" style="1231"/>
  </cols>
  <sheetData>
    <row r="1" spans="1:11" ht="12.75" customHeight="1">
      <c r="A1" s="1229"/>
      <c r="B1" s="1229"/>
      <c r="C1" s="1230"/>
      <c r="D1" s="1230"/>
      <c r="E1" s="1230"/>
      <c r="F1" s="1230"/>
      <c r="G1" s="1230"/>
      <c r="H1" s="1230"/>
      <c r="I1" s="1230"/>
      <c r="J1" s="1230"/>
      <c r="K1" s="1230"/>
    </row>
    <row r="2" spans="1:11" s="1234" customFormat="1">
      <c r="A2" s="1232" t="s">
        <v>643</v>
      </c>
      <c r="B2" s="1232"/>
      <c r="C2" s="1233"/>
      <c r="D2" s="1233"/>
      <c r="E2" s="1233"/>
      <c r="F2" s="1233"/>
      <c r="G2" s="1233"/>
      <c r="H2" s="1233"/>
      <c r="I2" s="1233"/>
      <c r="J2" s="1233"/>
      <c r="K2" s="1233"/>
    </row>
    <row r="3" spans="1:11">
      <c r="A3" s="1235" t="s">
        <v>681</v>
      </c>
      <c r="B3" s="1236"/>
      <c r="C3" s="1235" t="s">
        <v>682</v>
      </c>
      <c r="D3" s="1236"/>
      <c r="E3" s="1237"/>
      <c r="F3" s="1235" t="s">
        <v>683</v>
      </c>
      <c r="G3" s="1236"/>
      <c r="H3" s="1236"/>
      <c r="I3" s="1238" t="s">
        <v>761</v>
      </c>
      <c r="J3" s="1235" t="s">
        <v>762</v>
      </c>
      <c r="K3" s="1237"/>
    </row>
    <row r="4" spans="1:11">
      <c r="A4" s="1239" t="s">
        <v>644</v>
      </c>
      <c r="B4" s="1240" t="s">
        <v>24</v>
      </c>
      <c r="C4" s="1239" t="s">
        <v>684</v>
      </c>
      <c r="D4" s="1240" t="s">
        <v>763</v>
      </c>
      <c r="E4" s="1241" t="s">
        <v>685</v>
      </c>
      <c r="F4" s="1239" t="s">
        <v>686</v>
      </c>
      <c r="G4" s="1240" t="s">
        <v>687</v>
      </c>
      <c r="H4" s="1240" t="s">
        <v>764</v>
      </c>
      <c r="I4" s="1242" t="s">
        <v>765</v>
      </c>
      <c r="J4" s="1239" t="s">
        <v>686</v>
      </c>
      <c r="K4" s="1241" t="s">
        <v>687</v>
      </c>
    </row>
    <row r="5" spans="1:11" ht="12.75" customHeight="1">
      <c r="A5" s="1243">
        <v>2014</v>
      </c>
      <c r="B5" s="1244">
        <v>7</v>
      </c>
      <c r="C5" s="1245">
        <v>-23901.805001120443</v>
      </c>
      <c r="D5" s="1246">
        <v>-1140.1415820779757</v>
      </c>
      <c r="E5" s="1247">
        <v>-50.271543324483602</v>
      </c>
      <c r="F5" s="1245">
        <v>-3740.765388859521</v>
      </c>
      <c r="G5" s="1246">
        <v>-5298.6487761017615</v>
      </c>
      <c r="H5" s="1247">
        <v>-1281.6686918427195</v>
      </c>
      <c r="I5" s="1245">
        <v>-4455.7342614134604</v>
      </c>
      <c r="J5" s="1245">
        <v>0</v>
      </c>
      <c r="K5" s="1247">
        <v>0</v>
      </c>
    </row>
    <row r="6" spans="1:11" ht="12.75" customHeight="1">
      <c r="A6" s="1243">
        <v>2014</v>
      </c>
      <c r="B6" s="1244">
        <v>8</v>
      </c>
      <c r="C6" s="1245">
        <v>-12989.404275644814</v>
      </c>
      <c r="D6" s="1246">
        <v>-595.74691979906197</v>
      </c>
      <c r="E6" s="1247">
        <v>-26.446870167825281</v>
      </c>
      <c r="F6" s="1245">
        <v>-2557.8303006608398</v>
      </c>
      <c r="G6" s="1246">
        <v>-3800.5265934226018</v>
      </c>
      <c r="H6" s="1247">
        <v>-905.0041580356484</v>
      </c>
      <c r="I6" s="1245">
        <v>-2753.0345214337203</v>
      </c>
      <c r="J6" s="1245">
        <v>0</v>
      </c>
      <c r="K6" s="1247">
        <v>0</v>
      </c>
    </row>
    <row r="7" spans="1:11" ht="12.75" customHeight="1">
      <c r="A7" s="1243">
        <v>2014</v>
      </c>
      <c r="B7" s="1244">
        <v>9</v>
      </c>
      <c r="C7" s="1245">
        <v>4243.5598398463835</v>
      </c>
      <c r="D7" s="1246">
        <v>211.39767771511231</v>
      </c>
      <c r="E7" s="1247">
        <v>8.5775622116236363</v>
      </c>
      <c r="F7" s="1245">
        <v>-1751.9134492234355</v>
      </c>
      <c r="G7" s="1246">
        <v>-2952.7072178327358</v>
      </c>
      <c r="H7" s="1247">
        <v>-715.40524080859871</v>
      </c>
      <c r="I7" s="1245">
        <v>-902.60461422915091</v>
      </c>
      <c r="J7" s="1245">
        <v>0</v>
      </c>
      <c r="K7" s="1247">
        <v>0</v>
      </c>
    </row>
    <row r="8" spans="1:11" ht="12.75" customHeight="1">
      <c r="A8" s="1243">
        <v>2014</v>
      </c>
      <c r="B8" s="1244">
        <v>10</v>
      </c>
      <c r="C8" s="1245">
        <v>18113.359698625663</v>
      </c>
      <c r="D8" s="1246">
        <v>966.29272869971066</v>
      </c>
      <c r="E8" s="1247">
        <v>37.349784367027219</v>
      </c>
      <c r="F8" s="1245">
        <v>-724.78415580286992</v>
      </c>
      <c r="G8" s="1246">
        <v>-1460.5038019675817</v>
      </c>
      <c r="H8" s="1247">
        <v>-371.33614633435815</v>
      </c>
      <c r="I8" s="1245">
        <v>-810.821707974677</v>
      </c>
      <c r="J8" s="1245">
        <v>0</v>
      </c>
      <c r="K8" s="1247">
        <v>0</v>
      </c>
    </row>
    <row r="9" spans="1:11" ht="12.75" customHeight="1">
      <c r="A9" s="1243">
        <v>2014</v>
      </c>
      <c r="B9" s="1244">
        <v>11</v>
      </c>
      <c r="C9" s="1245">
        <v>-1046.3865817444027</v>
      </c>
      <c r="D9" s="1246">
        <v>-61.945897833417327</v>
      </c>
      <c r="E9" s="1247">
        <v>-1.8251826600198007</v>
      </c>
      <c r="F9" s="1245">
        <v>-373.41912408610278</v>
      </c>
      <c r="G9" s="1246">
        <v>-742.6526412123211</v>
      </c>
      <c r="H9" s="1247">
        <v>-162.35589302310603</v>
      </c>
      <c r="I9" s="1245">
        <v>0</v>
      </c>
      <c r="J9" s="1245">
        <v>0</v>
      </c>
      <c r="K9" s="1247">
        <v>0</v>
      </c>
    </row>
    <row r="10" spans="1:11" ht="12.75" customHeight="1">
      <c r="A10" s="1243">
        <v>2014</v>
      </c>
      <c r="B10" s="1248">
        <v>12</v>
      </c>
      <c r="C10" s="1249">
        <v>20827.514636843549</v>
      </c>
      <c r="D10" s="1250">
        <v>1329.4397025666606</v>
      </c>
      <c r="E10" s="1251">
        <v>33.412909087090505</v>
      </c>
      <c r="F10" s="1249">
        <v>1041.5572008458341</v>
      </c>
      <c r="G10" s="1250">
        <v>1734.505854851029</v>
      </c>
      <c r="H10" s="1251">
        <v>415.2976803802772</v>
      </c>
      <c r="I10" s="1249">
        <v>0</v>
      </c>
      <c r="J10" s="1249">
        <v>0</v>
      </c>
      <c r="K10" s="1251">
        <v>0</v>
      </c>
    </row>
    <row r="11" spans="1:11">
      <c r="A11" s="1243">
        <v>2015</v>
      </c>
      <c r="B11" s="1244">
        <v>1</v>
      </c>
      <c r="C11" s="1245">
        <v>12940.341661022328</v>
      </c>
      <c r="D11" s="1246">
        <v>843.31787436034222</v>
      </c>
      <c r="E11" s="1247">
        <v>20.630464617329437</v>
      </c>
      <c r="F11" s="1245">
        <v>860.17069616492495</v>
      </c>
      <c r="G11" s="1246">
        <v>1307.7603008446342</v>
      </c>
      <c r="H11" s="1247">
        <v>307.93900299044054</v>
      </c>
      <c r="I11" s="1245">
        <v>0</v>
      </c>
      <c r="J11" s="1245">
        <v>0</v>
      </c>
      <c r="K11" s="1247">
        <v>0</v>
      </c>
    </row>
    <row r="12" spans="1:11">
      <c r="A12" s="1243">
        <v>2015</v>
      </c>
      <c r="B12" s="1244">
        <v>2</v>
      </c>
      <c r="C12" s="1245">
        <v>24024.924720344683</v>
      </c>
      <c r="D12" s="1246">
        <v>1648.682961627844</v>
      </c>
      <c r="E12" s="1247">
        <v>35.242318027474383</v>
      </c>
      <c r="F12" s="1245">
        <v>1125.057565923662</v>
      </c>
      <c r="G12" s="1246">
        <v>1779.1878772607918</v>
      </c>
      <c r="H12" s="1247">
        <v>405.94455681554621</v>
      </c>
      <c r="I12" s="1245">
        <v>0</v>
      </c>
      <c r="J12" s="1245">
        <v>0</v>
      </c>
      <c r="K12" s="1247">
        <v>0</v>
      </c>
    </row>
    <row r="13" spans="1:11">
      <c r="A13" s="1243">
        <v>2015</v>
      </c>
      <c r="B13" s="1244">
        <v>3</v>
      </c>
      <c r="C13" s="1245">
        <v>20420.301639696532</v>
      </c>
      <c r="D13" s="1246">
        <v>1416.2753057624025</v>
      </c>
      <c r="E13" s="1247">
        <v>36.753054541064117</v>
      </c>
      <c r="F13" s="1245">
        <v>463.76656193753854</v>
      </c>
      <c r="G13" s="1246">
        <v>740.63324465333847</v>
      </c>
      <c r="H13" s="1247">
        <v>165.59019340912303</v>
      </c>
      <c r="I13" s="1245">
        <v>0</v>
      </c>
      <c r="J13" s="1245">
        <v>0</v>
      </c>
      <c r="K13" s="1247">
        <v>0</v>
      </c>
    </row>
    <row r="14" spans="1:11">
      <c r="A14" s="1243">
        <v>2015</v>
      </c>
      <c r="B14" s="1244">
        <v>4</v>
      </c>
      <c r="C14" s="1245">
        <v>6748.2372429005227</v>
      </c>
      <c r="D14" s="1246">
        <v>459.5431039786971</v>
      </c>
      <c r="E14" s="1247">
        <v>11.819653120779691</v>
      </c>
      <c r="F14" s="1245">
        <v>68.95429979974783</v>
      </c>
      <c r="G14" s="1246">
        <v>114.31744993426116</v>
      </c>
      <c r="H14" s="1247">
        <v>29.248250265991</v>
      </c>
      <c r="I14" s="1245">
        <v>-756.56000000000006</v>
      </c>
      <c r="J14" s="1245">
        <v>0</v>
      </c>
      <c r="K14" s="1247">
        <v>0</v>
      </c>
    </row>
    <row r="15" spans="1:11">
      <c r="A15" s="1243">
        <v>2015</v>
      </c>
      <c r="B15" s="1244">
        <v>5</v>
      </c>
      <c r="C15" s="1245">
        <v>-2842.3621784595375</v>
      </c>
      <c r="D15" s="1246">
        <v>-188.55244853831087</v>
      </c>
      <c r="E15" s="1247">
        <v>-5.9653730021514439</v>
      </c>
      <c r="F15" s="1245">
        <v>-1989.7657848384024</v>
      </c>
      <c r="G15" s="1246">
        <v>-3362.5971632019364</v>
      </c>
      <c r="H15" s="1247">
        <v>-797.76705195966144</v>
      </c>
      <c r="I15" s="1245">
        <v>-6848.87</v>
      </c>
      <c r="J15" s="1245">
        <v>0</v>
      </c>
      <c r="K15" s="1247">
        <v>0</v>
      </c>
    </row>
    <row r="16" spans="1:11">
      <c r="A16" s="1243">
        <v>2015</v>
      </c>
      <c r="B16" s="1244">
        <v>6</v>
      </c>
      <c r="C16" s="1249">
        <v>-30179.879712620248</v>
      </c>
      <c r="D16" s="1250">
        <v>-1797.8387263625123</v>
      </c>
      <c r="E16" s="1251">
        <v>-61.491561017236485</v>
      </c>
      <c r="F16" s="1249">
        <v>-4556.4759392684018</v>
      </c>
      <c r="G16" s="1250">
        <v>-7449.7547188991402</v>
      </c>
      <c r="H16" s="1251">
        <v>-1759.389341832459</v>
      </c>
      <c r="I16" s="1249">
        <v>-9901.59</v>
      </c>
      <c r="J16" s="1249">
        <v>0</v>
      </c>
      <c r="K16" s="1251">
        <v>0</v>
      </c>
    </row>
    <row r="17" spans="3:6">
      <c r="E17" s="1252"/>
    </row>
    <row r="18" spans="3:6">
      <c r="E18" s="1252"/>
    </row>
    <row r="19" spans="3:6">
      <c r="E19" s="1252"/>
    </row>
    <row r="20" spans="3:6">
      <c r="E20" s="1252"/>
    </row>
    <row r="22" spans="3:6">
      <c r="C22" s="1253"/>
      <c r="D22" s="1253"/>
      <c r="F22" s="1253"/>
    </row>
    <row r="23" spans="3:6">
      <c r="E23" s="1252"/>
    </row>
    <row r="24" spans="3:6">
      <c r="E24" s="1252"/>
    </row>
    <row r="25" spans="3:6">
      <c r="E25" s="1252"/>
    </row>
    <row r="26" spans="3:6">
      <c r="E26" s="1252"/>
    </row>
    <row r="27" spans="3:6">
      <c r="E27" s="1252"/>
    </row>
    <row r="28" spans="3:6">
      <c r="E28" s="1252"/>
    </row>
    <row r="29" spans="3:6">
      <c r="E29" s="1252"/>
    </row>
    <row r="30" spans="3:6">
      <c r="E30" s="1252"/>
    </row>
    <row r="31" spans="3:6">
      <c r="E31" s="1252"/>
    </row>
    <row r="32" spans="3:6">
      <c r="E32" s="1252"/>
    </row>
    <row r="33" spans="3:11">
      <c r="E33" s="1252"/>
    </row>
    <row r="35" spans="3:11">
      <c r="C35" s="1253"/>
      <c r="D35" s="1253"/>
      <c r="F35" s="1253"/>
      <c r="I35" s="1253"/>
      <c r="J35" s="1253"/>
      <c r="K35" s="1253"/>
    </row>
  </sheetData>
  <conditionalFormatting sqref="C1:H1">
    <cfRule type="cellIs" dxfId="0" priority="1" stopIfTrue="1" operator="lessThan">
      <formula>0</formula>
    </cfRule>
  </conditionalFormatting>
  <pageMargins left="0.75" right="0.75" top="1" bottom="1" header="0.5" footer="0.5"/>
  <pageSetup orientation="landscape" r:id="rId1"/>
  <headerFooter alignWithMargins="0">
    <oddFooter>&amp;L&amp;F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465" customWidth="1"/>
    <col min="2" max="2" width="8.5" style="465"/>
    <col min="3" max="3" width="2.75" style="465" customWidth="1"/>
    <col min="4" max="4" width="9.125" style="465" bestFit="1" customWidth="1"/>
    <col min="5" max="5" width="2.875" style="465" customWidth="1"/>
    <col min="6" max="6" width="9.125" style="465" bestFit="1" customWidth="1"/>
    <col min="7" max="7" width="2.875" style="465" customWidth="1"/>
    <col min="8" max="8" width="6.75" style="465" bestFit="1" customWidth="1"/>
    <col min="9" max="9" width="2.875" style="465" customWidth="1"/>
    <col min="10" max="10" width="9.125" style="465" bestFit="1" customWidth="1"/>
    <col min="11" max="11" width="2.625" style="465" customWidth="1"/>
    <col min="12" max="12" width="9.125" style="465" bestFit="1" customWidth="1"/>
    <col min="13" max="13" width="2.625" style="465" customWidth="1"/>
    <col min="14" max="14" width="9" style="465" bestFit="1" customWidth="1"/>
    <col min="15" max="15" width="2.875" style="465" customWidth="1"/>
    <col min="16" max="16" width="7.75" style="465" bestFit="1" customWidth="1"/>
    <col min="17" max="17" width="2.875" style="465" customWidth="1"/>
    <col min="18" max="18" width="7.75" style="465" customWidth="1"/>
    <col min="19" max="19" width="3.125" style="465" customWidth="1"/>
    <col min="20" max="20" width="7.25" style="465" customWidth="1"/>
    <col min="21" max="21" width="2.25" style="465" customWidth="1"/>
    <col min="22" max="22" width="15.125" style="465" customWidth="1"/>
    <col min="23" max="23" width="15.25" style="465" customWidth="1"/>
    <col min="24" max="24" width="9.125" style="465" customWidth="1"/>
    <col min="25" max="25" width="8.25" style="465" customWidth="1"/>
    <col min="26" max="26" width="1.625" style="465" customWidth="1"/>
    <col min="27" max="16384" width="8.5" style="465"/>
  </cols>
  <sheetData>
    <row r="1" spans="1:29" ht="18.75">
      <c r="B1" s="1477" t="s">
        <v>72</v>
      </c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</row>
    <row r="2" spans="1:29" ht="18.75">
      <c r="A2" s="470"/>
      <c r="B2" s="1477" t="s">
        <v>510</v>
      </c>
      <c r="C2" s="1477"/>
      <c r="D2" s="1477"/>
      <c r="E2" s="1477"/>
      <c r="F2" s="1477"/>
      <c r="G2" s="1477"/>
      <c r="H2" s="1477"/>
      <c r="I2" s="1477"/>
      <c r="J2" s="1477"/>
      <c r="K2" s="1477"/>
      <c r="L2" s="1477"/>
      <c r="M2" s="1477"/>
      <c r="N2" s="1477"/>
      <c r="O2" s="1477"/>
      <c r="P2" s="1477"/>
      <c r="Q2" s="1477"/>
      <c r="R2" s="1477"/>
      <c r="S2" s="1477"/>
      <c r="T2" s="1477"/>
    </row>
    <row r="3" spans="1:29" ht="18.75">
      <c r="A3" s="470"/>
      <c r="B3" s="1477" t="s">
        <v>511</v>
      </c>
      <c r="C3" s="1477"/>
      <c r="D3" s="1477"/>
      <c r="E3" s="1477"/>
      <c r="F3" s="1477"/>
      <c r="G3" s="1477"/>
      <c r="H3" s="1477"/>
      <c r="I3" s="1477"/>
      <c r="J3" s="1477"/>
      <c r="K3" s="1477"/>
      <c r="L3" s="1477"/>
      <c r="M3" s="1477"/>
      <c r="N3" s="1477"/>
      <c r="O3" s="1477"/>
      <c r="P3" s="1477"/>
      <c r="Q3" s="1477"/>
      <c r="R3" s="1477"/>
      <c r="S3" s="1477"/>
      <c r="T3" s="1477"/>
    </row>
    <row r="4" spans="1:29" ht="18.75">
      <c r="B4" s="469" t="s">
        <v>1029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  <c r="R4" s="469"/>
      <c r="S4" s="469"/>
      <c r="T4" s="469"/>
    </row>
    <row r="6" spans="1:29" ht="18.75" thickBot="1">
      <c r="J6" s="1478" t="s">
        <v>807</v>
      </c>
      <c r="K6" s="1478"/>
      <c r="L6" s="1478"/>
      <c r="M6" s="1478"/>
      <c r="N6" s="1478"/>
      <c r="O6" s="1478"/>
      <c r="P6" s="1478"/>
      <c r="Q6" s="1094"/>
      <c r="R6" s="1094"/>
      <c r="S6" s="1094"/>
      <c r="T6" s="472"/>
      <c r="U6" s="470"/>
      <c r="V6" s="472"/>
    </row>
    <row r="7" spans="1:29" ht="15.75" customHeight="1">
      <c r="D7" s="1478" t="s">
        <v>805</v>
      </c>
      <c r="E7" s="1478"/>
      <c r="F7" s="1478"/>
      <c r="G7" s="1478"/>
      <c r="H7" s="1478"/>
      <c r="I7" s="1094"/>
      <c r="J7" s="1094" t="s">
        <v>31</v>
      </c>
      <c r="K7" s="474"/>
      <c r="L7" s="1095" t="s">
        <v>31</v>
      </c>
      <c r="N7" s="1478" t="s">
        <v>165</v>
      </c>
      <c r="O7" s="1478"/>
      <c r="P7" s="1478"/>
      <c r="Q7" s="1094"/>
      <c r="R7" s="1478" t="s">
        <v>918</v>
      </c>
      <c r="S7" s="1478"/>
      <c r="T7" s="1478"/>
      <c r="U7" s="474"/>
      <c r="V7" s="1475" t="s">
        <v>361</v>
      </c>
      <c r="W7" s="1476"/>
      <c r="X7" s="1475" t="s">
        <v>296</v>
      </c>
      <c r="Y7" s="1476"/>
    </row>
    <row r="8" spans="1:29" ht="18">
      <c r="B8" s="1436" t="s">
        <v>25</v>
      </c>
      <c r="D8" s="798" t="s">
        <v>361</v>
      </c>
      <c r="E8" s="476" t="s">
        <v>31</v>
      </c>
      <c r="F8" s="798" t="s">
        <v>296</v>
      </c>
      <c r="G8" s="476" t="s">
        <v>31</v>
      </c>
      <c r="H8" s="1435" t="s">
        <v>165</v>
      </c>
      <c r="I8" s="1094"/>
      <c r="J8" s="798" t="s">
        <v>361</v>
      </c>
      <c r="K8" s="476" t="s">
        <v>31</v>
      </c>
      <c r="L8" s="798" t="s">
        <v>296</v>
      </c>
      <c r="M8" s="476" t="s">
        <v>31</v>
      </c>
      <c r="N8" s="1435" t="s">
        <v>70</v>
      </c>
      <c r="P8" s="1332" t="s">
        <v>305</v>
      </c>
      <c r="Q8" s="1095"/>
      <c r="R8" s="1295" t="s">
        <v>70</v>
      </c>
      <c r="S8" s="1095"/>
      <c r="T8" s="1435" t="s">
        <v>305</v>
      </c>
      <c r="V8" s="478" t="s">
        <v>513</v>
      </c>
      <c r="W8" s="479">
        <f>'Exhibit No.__(JRS-11) p1-8'!G89</f>
        <v>7.75</v>
      </c>
      <c r="X8" s="478"/>
      <c r="Y8" s="479">
        <f>'Billing Determinants'!G89</f>
        <v>7.75</v>
      </c>
    </row>
    <row r="9" spans="1:29">
      <c r="B9" s="480"/>
      <c r="D9" s="480"/>
      <c r="E9" s="480"/>
      <c r="F9" s="480"/>
      <c r="J9" s="480"/>
      <c r="K9" s="480"/>
      <c r="L9" s="480"/>
      <c r="T9" s="753"/>
      <c r="V9" s="478" t="s">
        <v>514</v>
      </c>
      <c r="W9" s="481">
        <f>'Exhibit No.__(JRS-11) p1-8'!G90+Y11+Y19</f>
        <v>6.93</v>
      </c>
      <c r="X9" s="478"/>
      <c r="Y9" s="482">
        <f>'Billing Determinants'!G90+'Billing Determinants'!G95+Y12+Y19</f>
        <v>7.0990000000000002</v>
      </c>
      <c r="Z9" s="483"/>
      <c r="AA9" s="1088">
        <f>(Y9-W9)/W9</f>
        <v>2.4386724386724457E-2</v>
      </c>
    </row>
    <row r="10" spans="1:29" ht="15.75" thickBot="1">
      <c r="B10" s="484">
        <v>50</v>
      </c>
      <c r="D10" s="485">
        <f>$W$8</f>
        <v>7.75</v>
      </c>
      <c r="F10" s="485">
        <f>$Y$8</f>
        <v>7.75</v>
      </c>
      <c r="H10" s="485">
        <f>F10-D10</f>
        <v>0</v>
      </c>
      <c r="I10" s="485"/>
      <c r="J10" s="485">
        <f>ROUND((($B10*W$9/100))+((B10*$Y$14)/100),2)+Y16</f>
        <v>3.83</v>
      </c>
      <c r="L10" s="485">
        <f>ROUND((($B10*Y$9/100))+((B10*$Y$15)/100),2)+Y17</f>
        <v>3.92</v>
      </c>
      <c r="N10" s="486">
        <f>L10-J10</f>
        <v>8.9999999999999858E-2</v>
      </c>
      <c r="P10" s="487">
        <f>(L10-J10)/J10</f>
        <v>2.3498694516971241E-2</v>
      </c>
      <c r="Q10" s="487"/>
      <c r="R10" s="1292">
        <f>F10+L10-D10-J10</f>
        <v>8.9999999999999858E-2</v>
      </c>
      <c r="S10" s="487"/>
      <c r="T10" s="1290">
        <f>(F10+L10-D10-J10)/(D10+J10)</f>
        <v>7.7720207253885887E-3</v>
      </c>
      <c r="V10" s="488" t="s">
        <v>366</v>
      </c>
      <c r="W10" s="489">
        <f>'Exhibit No.__(JRS-11) p1-8'!G91+Y11+Y19</f>
        <v>10.731999999999999</v>
      </c>
      <c r="X10" s="488"/>
      <c r="Y10" s="489">
        <f>'Billing Determinants'!G91+'Billing Determinants'!G96+Y12+Y19</f>
        <v>10.994999999999999</v>
      </c>
      <c r="AA10" s="1088">
        <f>(Y10-W10)/W10</f>
        <v>2.4506149832277294E-2</v>
      </c>
    </row>
    <row r="11" spans="1:29">
      <c r="B11" s="484">
        <v>100</v>
      </c>
      <c r="D11" s="485">
        <f>$W$8</f>
        <v>7.75</v>
      </c>
      <c r="F11" s="485">
        <f>$Y$8</f>
        <v>7.75</v>
      </c>
      <c r="H11" s="485">
        <f t="shared" ref="H11:H33" si="0">F11-D11</f>
        <v>0</v>
      </c>
      <c r="I11" s="485"/>
      <c r="J11" s="485">
        <f>ROUND((($B11*W$9/100))+((B11*$Y$14)/100),2)+Y16</f>
        <v>6.92</v>
      </c>
      <c r="L11" s="485">
        <f>ROUND((($B11*Y$9/100))+((B11*$Y$15)/100),2)+Y17</f>
        <v>7.09</v>
      </c>
      <c r="N11" s="486">
        <f>L11-J11</f>
        <v>0.16999999999999993</v>
      </c>
      <c r="P11" s="487">
        <f>(L11-J11)/J11</f>
        <v>2.4566473988439298E-2</v>
      </c>
      <c r="Q11" s="487"/>
      <c r="R11" s="1292">
        <f t="shared" ref="R11:R33" si="1">F11+L11-D11-J11</f>
        <v>0.16999999999999993</v>
      </c>
      <c r="S11" s="487"/>
      <c r="T11" s="1290">
        <f t="shared" ref="T11:T33" si="2">(F11+L11-D11-J11)/(D11+J11)</f>
        <v>1.1588275391956369E-2</v>
      </c>
      <c r="V11" s="490"/>
      <c r="W11" s="490" t="s">
        <v>194</v>
      </c>
      <c r="X11" s="490"/>
      <c r="Y11" s="491">
        <v>0.378</v>
      </c>
      <c r="AC11" s="486"/>
    </row>
    <row r="12" spans="1:29">
      <c r="B12" s="484">
        <v>150</v>
      </c>
      <c r="D12" s="485">
        <f>$W$8</f>
        <v>7.75</v>
      </c>
      <c r="F12" s="485">
        <f>$Y$8</f>
        <v>7.75</v>
      </c>
      <c r="H12" s="485">
        <f t="shared" si="0"/>
        <v>0</v>
      </c>
      <c r="I12" s="485"/>
      <c r="J12" s="485">
        <f>ROUND((($B12*W$9/100))+((B12*$Y$14)/100),2)+Y16</f>
        <v>10.01</v>
      </c>
      <c r="L12" s="485">
        <f>ROUND((($B12*Y$9/100))+((B12*$Y$15)/100),2)+Y17</f>
        <v>10.27</v>
      </c>
      <c r="N12" s="486">
        <f>L12-J12</f>
        <v>0.25999999999999979</v>
      </c>
      <c r="P12" s="487">
        <f>(L12-J12)/J12</f>
        <v>2.5974025974025955E-2</v>
      </c>
      <c r="Q12" s="487"/>
      <c r="R12" s="1292">
        <f t="shared" si="1"/>
        <v>0.25999999999999979</v>
      </c>
      <c r="S12" s="487"/>
      <c r="T12" s="1290">
        <f t="shared" si="2"/>
        <v>1.4639639639639629E-2</v>
      </c>
      <c r="V12" s="490"/>
      <c r="W12" s="490"/>
      <c r="X12" s="490"/>
      <c r="Y12" s="491">
        <v>0.378</v>
      </c>
      <c r="Z12" s="492"/>
      <c r="AC12" s="486"/>
    </row>
    <row r="13" spans="1:29">
      <c r="D13" s="493"/>
      <c r="F13" s="493"/>
      <c r="J13" s="493"/>
      <c r="L13" s="493"/>
      <c r="R13" s="753"/>
      <c r="T13" s="753"/>
      <c r="V13" s="490"/>
      <c r="W13" s="490"/>
      <c r="X13" s="490"/>
      <c r="Y13" s="494"/>
      <c r="AC13" s="486"/>
    </row>
    <row r="14" spans="1:29">
      <c r="B14" s="484">
        <v>200</v>
      </c>
      <c r="D14" s="485">
        <f>$W$8</f>
        <v>7.75</v>
      </c>
      <c r="F14" s="485">
        <f>$Y$8</f>
        <v>7.75</v>
      </c>
      <c r="H14" s="485">
        <f t="shared" si="0"/>
        <v>0</v>
      </c>
      <c r="I14" s="485"/>
      <c r="J14" s="485">
        <f>ROUND((($B14*W$9/100))+((B14*$Y$14)/100),2)+Y16</f>
        <v>13.11</v>
      </c>
      <c r="L14" s="485">
        <f>ROUND((($B14*Y$9/100))+((B14*$Y$15)/100),2)+Y17</f>
        <v>13.44</v>
      </c>
      <c r="N14" s="486">
        <f>L14-J14</f>
        <v>0.33000000000000007</v>
      </c>
      <c r="P14" s="487">
        <f>(L14-J14)/J14</f>
        <v>2.5171624713958816E-2</v>
      </c>
      <c r="Q14" s="487"/>
      <c r="R14" s="1292">
        <f t="shared" si="1"/>
        <v>0.32999999999999829</v>
      </c>
      <c r="S14" s="487"/>
      <c r="T14" s="1290">
        <f t="shared" si="2"/>
        <v>1.5819750719079498E-2</v>
      </c>
      <c r="V14" s="490"/>
      <c r="W14" s="490" t="s">
        <v>515</v>
      </c>
      <c r="X14" s="490"/>
      <c r="Y14" s="491">
        <v>-0.747</v>
      </c>
      <c r="AA14" s="465" t="s">
        <v>31</v>
      </c>
      <c r="AC14" s="486"/>
    </row>
    <row r="15" spans="1:29">
      <c r="B15" s="484">
        <v>300</v>
      </c>
      <c r="D15" s="485">
        <f>$W$8</f>
        <v>7.75</v>
      </c>
      <c r="F15" s="485">
        <f>$Y$8</f>
        <v>7.75</v>
      </c>
      <c r="H15" s="485">
        <f t="shared" si="0"/>
        <v>0</v>
      </c>
      <c r="I15" s="485"/>
      <c r="J15" s="485">
        <f>ROUND((($B15*W$9/100))+((B15*$Y$14)/100),2)+Y16</f>
        <v>19.29</v>
      </c>
      <c r="L15" s="485">
        <f>ROUND((($B15*Y$9/100))+((B15*$Y$15)/100),2)+Y17</f>
        <v>19.799999999999997</v>
      </c>
      <c r="N15" s="486">
        <f>L15-J15</f>
        <v>0.50999999999999801</v>
      </c>
      <c r="P15" s="487">
        <f>(L15-J15)/J15</f>
        <v>2.6438569206842823E-2</v>
      </c>
      <c r="Q15" s="487"/>
      <c r="R15" s="1292">
        <f t="shared" si="1"/>
        <v>0.50999999999999801</v>
      </c>
      <c r="S15" s="487"/>
      <c r="T15" s="1290">
        <f t="shared" si="2"/>
        <v>1.8860946745562056E-2</v>
      </c>
      <c r="V15" s="490"/>
      <c r="W15" s="465" t="s">
        <v>31</v>
      </c>
      <c r="X15" s="465" t="s">
        <v>31</v>
      </c>
      <c r="Y15" s="491">
        <v>-0.747</v>
      </c>
      <c r="AC15" s="486"/>
    </row>
    <row r="16" spans="1:29">
      <c r="B16" s="484">
        <v>400</v>
      </c>
      <c r="D16" s="485">
        <f>$W$8</f>
        <v>7.75</v>
      </c>
      <c r="F16" s="485">
        <f>$Y$8</f>
        <v>7.75</v>
      </c>
      <c r="H16" s="485">
        <f t="shared" si="0"/>
        <v>0</v>
      </c>
      <c r="I16" s="485"/>
      <c r="J16" s="485">
        <f>ROUND((($B16*W$9/100))+((B16*$Y$14)/100),2)+Y16</f>
        <v>25.47</v>
      </c>
      <c r="L16" s="485">
        <f>ROUND((($B16*Y$9/100))+((B16*$Y$15)/100),2)+Y17</f>
        <v>26.15</v>
      </c>
      <c r="N16" s="486">
        <f>L16-J16</f>
        <v>0.67999999999999972</v>
      </c>
      <c r="P16" s="487">
        <f>(L16-J16)/J16</f>
        <v>2.6698076168040822E-2</v>
      </c>
      <c r="Q16" s="487"/>
      <c r="R16" s="1292">
        <f t="shared" si="1"/>
        <v>0.67999999999999972</v>
      </c>
      <c r="S16" s="487"/>
      <c r="T16" s="1290">
        <f t="shared" si="2"/>
        <v>2.0469596628537017E-2</v>
      </c>
      <c r="W16" s="465" t="s">
        <v>648</v>
      </c>
      <c r="Y16" s="486">
        <f>'Low Income Prog YR 1'!D15</f>
        <v>0.74</v>
      </c>
      <c r="Z16" s="465" t="s">
        <v>31</v>
      </c>
      <c r="AC16" s="486"/>
    </row>
    <row r="17" spans="2:29">
      <c r="B17" s="484">
        <v>500</v>
      </c>
      <c r="D17" s="485">
        <f>$W$8</f>
        <v>7.75</v>
      </c>
      <c r="F17" s="485">
        <f>$Y$8</f>
        <v>7.75</v>
      </c>
      <c r="H17" s="485">
        <f t="shared" si="0"/>
        <v>0</v>
      </c>
      <c r="I17" s="485"/>
      <c r="J17" s="485">
        <f>ROUND((($B17*W$9/100))+((B17*$Y$14)/100),2)+Y16</f>
        <v>31.66</v>
      </c>
      <c r="L17" s="485">
        <f>ROUND((($B17*Y$9/100))+((B17*$Y$15)/100),2)+Y17</f>
        <v>32.5</v>
      </c>
      <c r="N17" s="486">
        <f>L17-J17</f>
        <v>0.83999999999999986</v>
      </c>
      <c r="P17" s="487">
        <f>(L17-J17)/J17</f>
        <v>2.6531901452937455E-2</v>
      </c>
      <c r="Q17" s="487"/>
      <c r="R17" s="1292">
        <f t="shared" si="1"/>
        <v>0.83999999999999986</v>
      </c>
      <c r="S17" s="487"/>
      <c r="T17" s="1290">
        <f t="shared" si="2"/>
        <v>2.1314387211367671E-2</v>
      </c>
      <c r="W17" s="465" t="s">
        <v>649</v>
      </c>
      <c r="Y17" s="486">
        <f>Y16</f>
        <v>0.74</v>
      </c>
      <c r="AC17" s="486"/>
    </row>
    <row r="18" spans="2:29">
      <c r="D18" s="493"/>
      <c r="F18" s="493"/>
      <c r="J18" s="493"/>
      <c r="L18" s="493"/>
      <c r="R18" s="753"/>
      <c r="T18" s="753"/>
      <c r="AC18" s="486"/>
    </row>
    <row r="19" spans="2:29">
      <c r="B19" s="484">
        <v>600</v>
      </c>
      <c r="D19" s="485">
        <f>$W$8</f>
        <v>7.75</v>
      </c>
      <c r="F19" s="485">
        <f>$Y$8</f>
        <v>7.75</v>
      </c>
      <c r="H19" s="485">
        <f t="shared" si="0"/>
        <v>0</v>
      </c>
      <c r="I19" s="485"/>
      <c r="J19" s="485">
        <f>ROUND((($B19*W$9/100))+((B19*$Y$14)/100),2)+Y16</f>
        <v>37.840000000000003</v>
      </c>
      <c r="L19" s="485">
        <f>ROUND((($B19*Y$9/100))+((B19*$Y$15)/100),2)+Y17</f>
        <v>38.85</v>
      </c>
      <c r="N19" s="486">
        <f>L19-J19</f>
        <v>1.009999999999998</v>
      </c>
      <c r="P19" s="487">
        <f>(L19-J19)/J19</f>
        <v>2.6691331923890008E-2</v>
      </c>
      <c r="Q19" s="487"/>
      <c r="R19" s="1292">
        <f t="shared" si="1"/>
        <v>1.009999999999998</v>
      </c>
      <c r="S19" s="487"/>
      <c r="T19" s="1290">
        <f t="shared" si="2"/>
        <v>2.2153981136214036E-2</v>
      </c>
      <c r="W19" s="753" t="s">
        <v>1039</v>
      </c>
      <c r="Y19" s="547">
        <v>4.0000000000000001E-3</v>
      </c>
      <c r="AC19" s="486"/>
    </row>
    <row r="20" spans="2:29">
      <c r="B20" s="484">
        <v>700</v>
      </c>
      <c r="D20" s="485">
        <f>$W$8</f>
        <v>7.75</v>
      </c>
      <c r="F20" s="485">
        <f>$Y$8</f>
        <v>7.75</v>
      </c>
      <c r="H20" s="485">
        <f t="shared" si="0"/>
        <v>0</v>
      </c>
      <c r="I20" s="485"/>
      <c r="J20" s="485">
        <f>ROUND((((600*W$9/100)+(($B20-600)*W$10/100)))+((B20*$Y$14)/100),2)+Y16</f>
        <v>47.82</v>
      </c>
      <c r="L20" s="485">
        <f>ROUND((((600*Y$9/100)+(($B20-600)*Y$10/100)))+((B20*$Y$15)/100),2)+Y17</f>
        <v>49.1</v>
      </c>
      <c r="N20" s="486">
        <f>L20-J20</f>
        <v>1.2800000000000011</v>
      </c>
      <c r="P20" s="487">
        <f>(L20-J20)/J20</f>
        <v>2.6767043078209977E-2</v>
      </c>
      <c r="Q20" s="487"/>
      <c r="R20" s="1292">
        <f t="shared" si="1"/>
        <v>1.2800000000000011</v>
      </c>
      <c r="S20" s="487"/>
      <c r="T20" s="1290">
        <f t="shared" si="2"/>
        <v>2.3034011157099174E-2</v>
      </c>
      <c r="W20" s="753"/>
      <c r="AC20" s="486"/>
    </row>
    <row r="21" spans="2:29">
      <c r="B21" s="484">
        <v>800</v>
      </c>
      <c r="D21" s="485">
        <f>$W$8</f>
        <v>7.75</v>
      </c>
      <c r="F21" s="485">
        <f>$Y$8</f>
        <v>7.75</v>
      </c>
      <c r="H21" s="485">
        <f t="shared" si="0"/>
        <v>0</v>
      </c>
      <c r="I21" s="485"/>
      <c r="J21" s="485">
        <f>ROUND((((600*W$9/100)+(($B21-600)*W$10/100)))+((B21*$Y$14)/100),2)+Y16</f>
        <v>57.81</v>
      </c>
      <c r="L21" s="485">
        <f>ROUND((((600*Y$9/100)+(($B21-600)*Y$10/100)))+((B21*$Y$15)/100),2)+Y17</f>
        <v>59.35</v>
      </c>
      <c r="N21" s="486">
        <f>L21-J21</f>
        <v>1.5399999999999991</v>
      </c>
      <c r="P21" s="487">
        <f>(L21-J21)/J21</f>
        <v>2.6638989794153245E-2</v>
      </c>
      <c r="Q21" s="487"/>
      <c r="R21" s="1292">
        <f t="shared" si="1"/>
        <v>1.539999999999992</v>
      </c>
      <c r="S21" s="487"/>
      <c r="T21" s="1290">
        <f t="shared" si="2"/>
        <v>2.348993288590592E-2</v>
      </c>
      <c r="AC21" s="486"/>
    </row>
    <row r="22" spans="2:29">
      <c r="B22" s="484">
        <v>900</v>
      </c>
      <c r="D22" s="485">
        <f>$W$8</f>
        <v>7.75</v>
      </c>
      <c r="F22" s="485">
        <f>$Y$8</f>
        <v>7.75</v>
      </c>
      <c r="H22" s="485">
        <f t="shared" si="0"/>
        <v>0</v>
      </c>
      <c r="I22" s="485"/>
      <c r="J22" s="485">
        <f>ROUND((((600*W$9/100)+(($B22-600)*W$10/100)))+((B22*$Y$14)/100),2)+Y16</f>
        <v>67.789999999999992</v>
      </c>
      <c r="L22" s="485">
        <f>ROUND((((600*Y$9/100)+(($B22-600)*Y$10/100)))+((B22*$Y$15)/100),2)+Y17</f>
        <v>69.599999999999994</v>
      </c>
      <c r="N22" s="486">
        <f>L22-J22</f>
        <v>1.8100000000000023</v>
      </c>
      <c r="P22" s="487">
        <f>(L22-J22)/J22</f>
        <v>2.6700103260067894E-2</v>
      </c>
      <c r="Q22" s="487"/>
      <c r="R22" s="1292">
        <f t="shared" si="1"/>
        <v>1.8100000000000023</v>
      </c>
      <c r="S22" s="487"/>
      <c r="T22" s="1290">
        <f t="shared" si="2"/>
        <v>2.3960815462006915E-2</v>
      </c>
      <c r="V22" s="1293" t="s">
        <v>916</v>
      </c>
      <c r="W22" s="1330">
        <f ca="1">'Est Effect of Base Rate Inc'!V17</f>
        <v>2.3478878361945933E-2</v>
      </c>
      <c r="AC22" s="486"/>
    </row>
    <row r="23" spans="2:29">
      <c r="B23" s="484">
        <v>1000</v>
      </c>
      <c r="D23" s="485">
        <f>$W$8</f>
        <v>7.75</v>
      </c>
      <c r="F23" s="485">
        <f>$Y$8</f>
        <v>7.75</v>
      </c>
      <c r="H23" s="485">
        <f t="shared" si="0"/>
        <v>0</v>
      </c>
      <c r="I23" s="485"/>
      <c r="J23" s="485">
        <f>ROUND((((600*W$9/100)+(($B23-600)*W$10/100)))+((B23*$Y$14)/100),2)+Y16</f>
        <v>77.78</v>
      </c>
      <c r="L23" s="485">
        <f>ROUND((((600*Y$9/100)+(($B23-600)*Y$10/100)))+((B23*$Y$15)/100),2)+Y17</f>
        <v>79.839999999999989</v>
      </c>
      <c r="N23" s="486">
        <f>L23-J23</f>
        <v>2.0599999999999881</v>
      </c>
      <c r="P23" s="487">
        <f>(L23-J23)/J23</f>
        <v>2.6484957572640629E-2</v>
      </c>
      <c r="Q23" s="487"/>
      <c r="R23" s="1292">
        <f t="shared" si="1"/>
        <v>2.0599999999999881</v>
      </c>
      <c r="S23" s="487"/>
      <c r="T23" s="1290">
        <f t="shared" si="2"/>
        <v>2.4085116333450111E-2</v>
      </c>
      <c r="W23" s="1294" t="s">
        <v>31</v>
      </c>
      <c r="AC23" s="486"/>
    </row>
    <row r="24" spans="2:29">
      <c r="D24" s="493"/>
      <c r="F24" s="493"/>
      <c r="J24" s="493"/>
      <c r="L24" s="493"/>
      <c r="P24" s="495"/>
      <c r="Q24" s="495"/>
      <c r="R24" s="1291"/>
      <c r="S24" s="495"/>
      <c r="T24" s="1291"/>
      <c r="AC24" s="486"/>
    </row>
    <row r="25" spans="2:29">
      <c r="B25" s="484">
        <v>1100</v>
      </c>
      <c r="D25" s="485">
        <f t="shared" ref="D25:D29" si="3">$W$8</f>
        <v>7.75</v>
      </c>
      <c r="F25" s="485">
        <f t="shared" ref="F25:F29" si="4">$Y$8</f>
        <v>7.75</v>
      </c>
      <c r="H25" s="485">
        <f t="shared" si="0"/>
        <v>0</v>
      </c>
      <c r="I25" s="485"/>
      <c r="J25" s="485">
        <f>ROUND((((600*W$9/100)+(($B25-600)*W$10/100)))+((B25*$Y$14)/100),2)+Y16</f>
        <v>87.759999999999991</v>
      </c>
      <c r="L25" s="485">
        <f>ROUND((((600*Y$9/100)+(($B25-600)*Y$10/100)))+((B25*$Y$15)/100),2)+Y17</f>
        <v>90.089999999999989</v>
      </c>
      <c r="N25" s="486">
        <f t="shared" ref="N25:N29" si="5">L25-J25</f>
        <v>2.3299999999999983</v>
      </c>
      <c r="P25" s="487">
        <f t="shared" ref="P25:P29" si="6">(L25-J25)/J25</f>
        <v>2.6549680948040093E-2</v>
      </c>
      <c r="Q25" s="487"/>
      <c r="R25" s="1292">
        <f t="shared" si="1"/>
        <v>2.3299999999999983</v>
      </c>
      <c r="S25" s="487"/>
      <c r="T25" s="1290">
        <f t="shared" si="2"/>
        <v>2.4395351272118088E-2</v>
      </c>
      <c r="AC25" s="486"/>
    </row>
    <row r="26" spans="2:29">
      <c r="B26" s="484">
        <v>1200</v>
      </c>
      <c r="C26" s="753" t="s">
        <v>688</v>
      </c>
      <c r="D26" s="485">
        <f t="shared" si="3"/>
        <v>7.75</v>
      </c>
      <c r="F26" s="485">
        <f t="shared" si="4"/>
        <v>7.75</v>
      </c>
      <c r="H26" s="485">
        <f t="shared" si="0"/>
        <v>0</v>
      </c>
      <c r="I26" s="485"/>
      <c r="J26" s="485">
        <f>ROUND((((600*W$9/100)+(($B26-600)*W$10/100)))+((B26*$Y$14)/100),2)+Y16</f>
        <v>97.75</v>
      </c>
      <c r="L26" s="485">
        <f>ROUND((((600*Y$9/100)+(($B26-600)*Y$10/100)))+((B26*$Y$15)/100),2)+Y17</f>
        <v>100.33999999999999</v>
      </c>
      <c r="N26" s="486">
        <f t="shared" si="5"/>
        <v>2.5899999999999892</v>
      </c>
      <c r="P26" s="487">
        <f t="shared" si="6"/>
        <v>2.6496163682864341E-2</v>
      </c>
      <c r="Q26" s="487"/>
      <c r="R26" s="1292">
        <f t="shared" si="1"/>
        <v>2.5899999999999892</v>
      </c>
      <c r="S26" s="487"/>
      <c r="T26" s="1290">
        <f t="shared" si="2"/>
        <v>2.4549763033175253E-2</v>
      </c>
      <c r="AC26" s="486"/>
    </row>
    <row r="27" spans="2:29">
      <c r="B27" s="484">
        <v>1300</v>
      </c>
      <c r="C27" s="753" t="s">
        <v>31</v>
      </c>
      <c r="D27" s="485">
        <f t="shared" si="3"/>
        <v>7.75</v>
      </c>
      <c r="F27" s="485">
        <f t="shared" si="4"/>
        <v>7.75</v>
      </c>
      <c r="H27" s="485">
        <f t="shared" si="0"/>
        <v>0</v>
      </c>
      <c r="I27" s="485"/>
      <c r="J27" s="485">
        <f>ROUND((((600*W$9/100)+(($B27-600)*W$10/100)))+((B27*$Y$14)/100),2)+Y16</f>
        <v>107.72999999999999</v>
      </c>
      <c r="L27" s="485">
        <f>ROUND((((600*Y$9/100)+(($B27-600)*Y$10/100)))+((B27*$Y$15)/100),2)+Y17</f>
        <v>110.58999999999999</v>
      </c>
      <c r="N27" s="486">
        <f t="shared" si="5"/>
        <v>2.8599999999999994</v>
      </c>
      <c r="P27" s="487">
        <f t="shared" si="6"/>
        <v>2.6547851109254617E-2</v>
      </c>
      <c r="Q27" s="487"/>
      <c r="R27" s="1292">
        <f t="shared" si="1"/>
        <v>2.8599999999999994</v>
      </c>
      <c r="S27" s="487"/>
      <c r="T27" s="1290">
        <f t="shared" si="2"/>
        <v>2.4766193280221682E-2</v>
      </c>
      <c r="V27" s="486"/>
      <c r="AC27" s="486"/>
    </row>
    <row r="28" spans="2:29">
      <c r="B28" s="484">
        <v>1400</v>
      </c>
      <c r="D28" s="485">
        <f t="shared" si="3"/>
        <v>7.75</v>
      </c>
      <c r="F28" s="485">
        <f t="shared" si="4"/>
        <v>7.75</v>
      </c>
      <c r="H28" s="485">
        <f t="shared" si="0"/>
        <v>0</v>
      </c>
      <c r="I28" s="485"/>
      <c r="J28" s="485">
        <f>ROUND((((600*W$9/100)+(($B28-600)*W$10/100)))+((B28*$Y$14)/100),2)+Y16</f>
        <v>117.72</v>
      </c>
      <c r="L28" s="485">
        <f>ROUND((((600*Y$9/100)+(($B28-600)*Y$10/100)))+((B28*$Y$15)/100),2)+Y17</f>
        <v>120.83999999999999</v>
      </c>
      <c r="N28" s="486">
        <f t="shared" si="5"/>
        <v>3.1199999999999903</v>
      </c>
      <c r="P28" s="487">
        <f t="shared" si="6"/>
        <v>2.6503567787971374E-2</v>
      </c>
      <c r="Q28" s="487"/>
      <c r="R28" s="1292">
        <f t="shared" si="1"/>
        <v>3.1199999999999761</v>
      </c>
      <c r="S28" s="487"/>
      <c r="T28" s="1290">
        <f t="shared" si="2"/>
        <v>2.4866501952657816E-2</v>
      </c>
      <c r="AC28" s="486"/>
    </row>
    <row r="29" spans="2:29">
      <c r="B29" s="484">
        <v>1500</v>
      </c>
      <c r="D29" s="485">
        <f t="shared" si="3"/>
        <v>7.75</v>
      </c>
      <c r="F29" s="485">
        <f t="shared" si="4"/>
        <v>7.75</v>
      </c>
      <c r="H29" s="485">
        <f t="shared" si="0"/>
        <v>0</v>
      </c>
      <c r="I29" s="485"/>
      <c r="J29" s="485">
        <f>ROUND((((600*W$9/100)+(($B29-600)*W$10/100)))+((B29*$Y$14)/100),2)+Y16</f>
        <v>127.69999999999999</v>
      </c>
      <c r="L29" s="485">
        <f>ROUND((((600*Y$9/100)+(($B29-600)*Y$10/100)))+((B29*$Y$15)/100),2)+Y17</f>
        <v>131.08000000000001</v>
      </c>
      <c r="N29" s="486">
        <f t="shared" si="5"/>
        <v>3.3800000000000239</v>
      </c>
      <c r="P29" s="487">
        <f t="shared" si="6"/>
        <v>2.6468285043069886E-2</v>
      </c>
      <c r="Q29" s="487"/>
      <c r="R29" s="1292">
        <f t="shared" si="1"/>
        <v>3.3800000000000239</v>
      </c>
      <c r="S29" s="487"/>
      <c r="T29" s="1290">
        <f t="shared" si="2"/>
        <v>2.4953857511997225E-2</v>
      </c>
      <c r="AC29" s="486"/>
    </row>
    <row r="30" spans="2:29">
      <c r="D30" s="493"/>
      <c r="F30" s="493"/>
      <c r="J30" s="493"/>
      <c r="L30" s="493"/>
      <c r="R30" s="753"/>
      <c r="T30" s="753"/>
      <c r="AC30" s="486"/>
    </row>
    <row r="31" spans="2:29">
      <c r="B31" s="484">
        <v>1600</v>
      </c>
      <c r="D31" s="485">
        <f>$W$8</f>
        <v>7.75</v>
      </c>
      <c r="F31" s="485">
        <f>$Y$8</f>
        <v>7.75</v>
      </c>
      <c r="H31" s="485">
        <f t="shared" si="0"/>
        <v>0</v>
      </c>
      <c r="I31" s="485"/>
      <c r="J31" s="485">
        <f>ROUND((((600*W$9/100)+(($B31-600)*W$10/100)))+((B31*$Y$14)/100),2)+Y16</f>
        <v>137.69</v>
      </c>
      <c r="L31" s="485">
        <f>ROUND((((600*Y$9/100)+(($B31-600)*Y$10/100)))+((B31*$Y$15)/100),2)+Y17</f>
        <v>141.33000000000001</v>
      </c>
      <c r="N31" s="486">
        <f>L31-J31</f>
        <v>3.6400000000000148</v>
      </c>
      <c r="P31" s="487">
        <f>(L31-J31)/J31</f>
        <v>2.6436197254702701E-2</v>
      </c>
      <c r="Q31" s="487"/>
      <c r="R31" s="1292">
        <f t="shared" si="1"/>
        <v>3.6400000000000148</v>
      </c>
      <c r="S31" s="487"/>
      <c r="T31" s="1290">
        <f t="shared" si="2"/>
        <v>2.502750275027513E-2</v>
      </c>
      <c r="AC31" s="486"/>
    </row>
    <row r="32" spans="2:29">
      <c r="B32" s="484">
        <v>2000</v>
      </c>
      <c r="D32" s="485">
        <f>$W$8</f>
        <v>7.75</v>
      </c>
      <c r="F32" s="485">
        <f>$Y$8</f>
        <v>7.75</v>
      </c>
      <c r="H32" s="485">
        <f t="shared" si="0"/>
        <v>0</v>
      </c>
      <c r="I32" s="485"/>
      <c r="J32" s="485">
        <f>ROUND((((600*W$9/100)+(($B32-600)*W$10/100)))+((B32*$Y$14)/100),2)+Y16</f>
        <v>177.63</v>
      </c>
      <c r="L32" s="485">
        <f>ROUND((((600*Y$9/100)+(($B32-600)*Y$10/100)))+((B32*$Y$15)/100),2)+Y17</f>
        <v>182.32000000000002</v>
      </c>
      <c r="N32" s="486">
        <f>L32-J32</f>
        <v>4.6900000000000261</v>
      </c>
      <c r="P32" s="487">
        <f>(L32-J32)/J32</f>
        <v>2.6403197658053403E-2</v>
      </c>
      <c r="Q32" s="487"/>
      <c r="R32" s="1292">
        <f t="shared" si="1"/>
        <v>4.6900000000000261</v>
      </c>
      <c r="S32" s="487"/>
      <c r="T32" s="1290">
        <f t="shared" si="2"/>
        <v>2.5299385046930769E-2</v>
      </c>
      <c r="AC32" s="486"/>
    </row>
    <row r="33" spans="2:29">
      <c r="B33" s="484">
        <v>2600</v>
      </c>
      <c r="D33" s="485">
        <f>$W$8</f>
        <v>7.75</v>
      </c>
      <c r="F33" s="485">
        <f>$Y$8</f>
        <v>7.75</v>
      </c>
      <c r="H33" s="485">
        <f t="shared" si="0"/>
        <v>0</v>
      </c>
      <c r="I33" s="485"/>
      <c r="J33" s="485">
        <f>ROUND((((600*W$9/100)+(($B33-600)*W$10/100)))+((B33*$Y$14)/100),2)+Y16</f>
        <v>237.54000000000002</v>
      </c>
      <c r="L33" s="485">
        <f>ROUND((((600*Y$9/100)+(($B33-600)*Y$10/100)))+((B33*$Y$15)/100),2)+Y17</f>
        <v>243.81</v>
      </c>
      <c r="N33" s="486">
        <f>L33-J33</f>
        <v>6.2699999999999818</v>
      </c>
      <c r="P33" s="487">
        <f>(L33-J33)/J33</f>
        <v>2.6395554432937531E-2</v>
      </c>
      <c r="Q33" s="487"/>
      <c r="R33" s="1292">
        <f t="shared" si="1"/>
        <v>6.2699999999999818</v>
      </c>
      <c r="S33" s="487"/>
      <c r="T33" s="1290">
        <f t="shared" si="2"/>
        <v>2.5561580170410457E-2</v>
      </c>
      <c r="AC33" s="486"/>
    </row>
    <row r="34" spans="2:29">
      <c r="B34" s="496"/>
      <c r="C34" s="477"/>
      <c r="D34" s="497"/>
      <c r="E34" s="477"/>
      <c r="F34" s="497"/>
      <c r="G34" s="477"/>
      <c r="H34" s="477"/>
      <c r="I34" s="477"/>
      <c r="J34" s="497"/>
      <c r="K34" s="477"/>
      <c r="L34" s="497"/>
      <c r="M34" s="477"/>
      <c r="N34" s="477"/>
      <c r="O34" s="477"/>
      <c r="P34" s="498"/>
      <c r="Q34" s="498"/>
      <c r="R34" s="498"/>
      <c r="S34" s="498"/>
      <c r="T34" s="477"/>
      <c r="AC34" s="486"/>
    </row>
    <row r="35" spans="2:29">
      <c r="B35" s="499"/>
      <c r="T35" s="492"/>
    </row>
    <row r="36" spans="2:29">
      <c r="B36" s="465" t="s">
        <v>516</v>
      </c>
    </row>
    <row r="37" spans="2:29">
      <c r="B37" s="753" t="s">
        <v>689</v>
      </c>
    </row>
    <row r="38" spans="2:29" ht="16.5">
      <c r="B38" s="500" t="s">
        <v>896</v>
      </c>
    </row>
    <row r="39" spans="2:29">
      <c r="B39" s="500" t="s">
        <v>31</v>
      </c>
    </row>
    <row r="47" spans="2:29">
      <c r="Y47" s="501"/>
    </row>
  </sheetData>
  <mergeCells count="9">
    <mergeCell ref="V7:W7"/>
    <mergeCell ref="X7:Y7"/>
    <mergeCell ref="B1:T1"/>
    <mergeCell ref="B2:T2"/>
    <mergeCell ref="B3:T3"/>
    <mergeCell ref="J6:P6"/>
    <mergeCell ref="D7:H7"/>
    <mergeCell ref="N7:P7"/>
    <mergeCell ref="R7:T7"/>
  </mergeCells>
  <printOptions horizontalCentered="1"/>
  <pageMargins left="0.75" right="0.75" top="1" bottom="1" header="0.5" footer="0.5"/>
  <pageSetup scale="7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69"/>
  <sheetViews>
    <sheetView zoomScale="70" zoomScaleNormal="70" workbookViewId="0">
      <pane xSplit="2" ySplit="6" topLeftCell="C7" activePane="bottomRight" state="frozen"/>
      <selection pane="topRight"/>
      <selection pane="bottomLeft"/>
      <selection pane="bottomRight" activeCell="C7" sqref="C7"/>
    </sheetView>
  </sheetViews>
  <sheetFormatPr defaultRowHeight="15.75"/>
  <cols>
    <col min="1" max="1" width="8.875" style="4" bestFit="1" customWidth="1"/>
    <col min="2" max="2" width="18.625" style="724" customWidth="1"/>
    <col min="3" max="3" width="21.625" style="4" customWidth="1"/>
    <col min="4" max="4" width="55.125" style="4" customWidth="1"/>
    <col min="5" max="5" width="19" style="4" customWidth="1"/>
    <col min="6" max="6" width="15.875" style="4" customWidth="1"/>
    <col min="7" max="7" width="15.875" style="4" hidden="1" customWidth="1"/>
    <col min="8" max="8" width="17.625" style="4" customWidth="1"/>
    <col min="9" max="9" width="20.125" style="4" customWidth="1"/>
    <col min="10" max="10" width="16" style="4" customWidth="1"/>
    <col min="11" max="11" width="9" style="4"/>
    <col min="12" max="12" width="15.125" style="4" bestFit="1" customWidth="1"/>
    <col min="13" max="13" width="16.5" style="4" bestFit="1" customWidth="1"/>
    <col min="14" max="16384" width="9" style="4"/>
  </cols>
  <sheetData>
    <row r="2" spans="1:10">
      <c r="B2" s="4" t="s">
        <v>958</v>
      </c>
    </row>
    <row r="3" spans="1:10">
      <c r="B3" s="4" t="s">
        <v>740</v>
      </c>
    </row>
    <row r="4" spans="1:10">
      <c r="B4" s="4" t="s">
        <v>961</v>
      </c>
    </row>
    <row r="5" spans="1:10">
      <c r="A5" s="4" t="s">
        <v>227</v>
      </c>
      <c r="B5" s="724" t="s">
        <v>228</v>
      </c>
      <c r="C5" s="919" t="s">
        <v>959</v>
      </c>
      <c r="D5" s="103"/>
      <c r="E5" s="103"/>
      <c r="F5" s="103"/>
      <c r="G5" s="103"/>
      <c r="H5" s="103"/>
      <c r="I5" s="103"/>
      <c r="J5" s="104"/>
    </row>
    <row r="6" spans="1:10">
      <c r="A6" s="4" t="s">
        <v>172</v>
      </c>
      <c r="B6" s="724" t="s">
        <v>32</v>
      </c>
      <c r="C6" s="906" t="s">
        <v>99</v>
      </c>
      <c r="D6" s="7" t="s">
        <v>100</v>
      </c>
      <c r="E6" s="7"/>
      <c r="F6" s="7" t="s">
        <v>101</v>
      </c>
      <c r="G6" s="7"/>
      <c r="H6" s="7" t="s">
        <v>25</v>
      </c>
      <c r="I6" s="7" t="s">
        <v>1</v>
      </c>
      <c r="J6" s="7" t="s">
        <v>103</v>
      </c>
    </row>
    <row r="7" spans="1:10">
      <c r="A7" s="920" t="s">
        <v>147</v>
      </c>
      <c r="B7" s="920" t="s">
        <v>147</v>
      </c>
      <c r="C7" s="906" t="s">
        <v>105</v>
      </c>
      <c r="D7" s="921" t="s">
        <v>919</v>
      </c>
      <c r="E7" s="149" t="s">
        <v>31</v>
      </c>
      <c r="F7" s="7" t="s">
        <v>693</v>
      </c>
      <c r="G7" s="7"/>
      <c r="H7" s="922">
        <v>10651000</v>
      </c>
      <c r="I7" s="1100">
        <v>969000</v>
      </c>
      <c r="J7" s="922">
        <v>0</v>
      </c>
    </row>
    <row r="8" spans="1:10">
      <c r="A8" s="920" t="s">
        <v>146</v>
      </c>
      <c r="B8" s="920" t="s">
        <v>146</v>
      </c>
      <c r="C8" s="906"/>
      <c r="D8" s="921" t="s">
        <v>920</v>
      </c>
      <c r="E8" s="149" t="s">
        <v>31</v>
      </c>
      <c r="F8" s="7" t="s">
        <v>4</v>
      </c>
      <c r="G8" s="7"/>
      <c r="H8" s="922">
        <v>0</v>
      </c>
      <c r="I8" s="1100">
        <v>2680.38</v>
      </c>
      <c r="J8" s="922">
        <v>0</v>
      </c>
    </row>
    <row r="9" spans="1:10">
      <c r="A9" s="920" t="s">
        <v>666</v>
      </c>
      <c r="B9" s="920" t="s">
        <v>666</v>
      </c>
      <c r="C9" s="906"/>
      <c r="D9" s="921" t="s">
        <v>663</v>
      </c>
      <c r="E9" s="149" t="str">
        <f t="shared" ref="E9:E14" si="0">LEFT(D9,10)</f>
        <v>SMUD REVEN</v>
      </c>
      <c r="F9" s="7" t="s">
        <v>694</v>
      </c>
      <c r="G9" s="7"/>
      <c r="H9" s="922">
        <v>0</v>
      </c>
      <c r="I9" s="1100">
        <v>75892.78</v>
      </c>
      <c r="J9" s="922">
        <v>0</v>
      </c>
    </row>
    <row r="10" spans="1:10">
      <c r="A10" s="924" t="s">
        <v>228</v>
      </c>
      <c r="B10" s="924" t="s">
        <v>228</v>
      </c>
      <c r="C10" s="906"/>
      <c r="D10" s="921" t="s">
        <v>741</v>
      </c>
      <c r="E10" s="149" t="str">
        <f t="shared" si="0"/>
        <v>REVENUE AD</v>
      </c>
      <c r="F10" s="7" t="s">
        <v>694</v>
      </c>
      <c r="G10" s="7"/>
      <c r="H10" s="922">
        <v>0</v>
      </c>
      <c r="I10" s="1100">
        <v>27049.02</v>
      </c>
      <c r="J10" s="922">
        <v>0</v>
      </c>
    </row>
    <row r="11" spans="1:10">
      <c r="A11" s="924" t="s">
        <v>742</v>
      </c>
      <c r="B11" s="924" t="s">
        <v>742</v>
      </c>
      <c r="C11" s="906"/>
      <c r="D11" s="921" t="s">
        <v>664</v>
      </c>
      <c r="E11" s="149" t="str">
        <f t="shared" si="0"/>
        <v>WASHINGTON</v>
      </c>
      <c r="F11" s="7" t="s">
        <v>694</v>
      </c>
      <c r="G11" s="7"/>
      <c r="H11" s="922">
        <v>0</v>
      </c>
      <c r="I11" s="1100">
        <v>-1020000</v>
      </c>
      <c r="J11" s="922">
        <v>0</v>
      </c>
    </row>
    <row r="12" spans="1:10">
      <c r="A12" s="924" t="s">
        <v>228</v>
      </c>
      <c r="B12" s="924" t="s">
        <v>228</v>
      </c>
      <c r="C12" s="906"/>
      <c r="D12" s="921" t="s">
        <v>691</v>
      </c>
      <c r="E12" s="149" t="str">
        <f t="shared" si="0"/>
        <v>REVENUE_AC</v>
      </c>
      <c r="F12" s="7" t="s">
        <v>694</v>
      </c>
      <c r="G12" s="7"/>
      <c r="H12" s="922">
        <v>0</v>
      </c>
      <c r="I12" s="1100">
        <v>-3754322.98</v>
      </c>
      <c r="J12" s="922">
        <v>0</v>
      </c>
    </row>
    <row r="13" spans="1:10">
      <c r="A13" s="920" t="s">
        <v>743</v>
      </c>
      <c r="B13" s="920" t="s">
        <v>743</v>
      </c>
      <c r="C13" s="906"/>
      <c r="D13" s="921" t="s">
        <v>744</v>
      </c>
      <c r="E13" s="149" t="str">
        <f t="shared" si="0"/>
        <v>301270-DSM</v>
      </c>
      <c r="F13" s="7" t="s">
        <v>694</v>
      </c>
      <c r="G13" s="7"/>
      <c r="H13" s="922">
        <v>0</v>
      </c>
      <c r="I13" s="1100">
        <v>4353907.04</v>
      </c>
      <c r="J13" s="922">
        <v>0</v>
      </c>
    </row>
    <row r="14" spans="1:10">
      <c r="A14" s="920" t="s">
        <v>745</v>
      </c>
      <c r="B14" s="920" t="s">
        <v>745</v>
      </c>
      <c r="C14" s="906"/>
      <c r="D14" s="921" t="s">
        <v>746</v>
      </c>
      <c r="E14" s="149" t="str">
        <f t="shared" si="0"/>
        <v>301280-BLU</v>
      </c>
      <c r="F14" s="7" t="s">
        <v>694</v>
      </c>
      <c r="G14" s="7"/>
      <c r="H14" s="922">
        <v>0</v>
      </c>
      <c r="I14" s="1100">
        <v>30640.87</v>
      </c>
      <c r="J14" s="922">
        <v>5</v>
      </c>
    </row>
    <row r="15" spans="1:10">
      <c r="A15" s="920">
        <v>24</v>
      </c>
      <c r="B15" s="920">
        <v>24</v>
      </c>
      <c r="C15" s="906"/>
      <c r="D15" s="921" t="s">
        <v>921</v>
      </c>
      <c r="E15" s="149" t="str">
        <f>LEFT(D15,10)</f>
        <v>02GNSV0024</v>
      </c>
      <c r="F15" s="7" t="s">
        <v>694</v>
      </c>
      <c r="G15" s="7"/>
      <c r="H15" s="922">
        <v>473338009</v>
      </c>
      <c r="I15" s="1100">
        <v>42881799.259999998</v>
      </c>
      <c r="J15" s="922">
        <v>13542.5</v>
      </c>
    </row>
    <row r="16" spans="1:10">
      <c r="A16" s="920" t="s">
        <v>143</v>
      </c>
      <c r="B16" s="920" t="s">
        <v>143</v>
      </c>
      <c r="C16" s="906"/>
      <c r="D16" s="921" t="s">
        <v>922</v>
      </c>
      <c r="E16" s="149" t="str">
        <f t="shared" ref="E16:E29" si="1">LEFT(D16,10)</f>
        <v>02GNSV024F</v>
      </c>
      <c r="F16" s="7" t="s">
        <v>694</v>
      </c>
      <c r="G16" s="7"/>
      <c r="H16" s="922">
        <v>1119336</v>
      </c>
      <c r="I16" s="1100">
        <v>149905.57</v>
      </c>
      <c r="J16" s="922">
        <v>110.75</v>
      </c>
    </row>
    <row r="17" spans="1:10">
      <c r="A17" s="920">
        <v>36</v>
      </c>
      <c r="B17" s="920">
        <v>36</v>
      </c>
      <c r="C17" s="906"/>
      <c r="D17" s="921" t="s">
        <v>923</v>
      </c>
      <c r="E17" s="149" t="str">
        <f t="shared" si="1"/>
        <v>02LGSV0036</v>
      </c>
      <c r="F17" s="7" t="s">
        <v>694</v>
      </c>
      <c r="G17" s="7"/>
      <c r="H17" s="922">
        <v>769909875</v>
      </c>
      <c r="I17" s="1100">
        <v>59204986.469999999</v>
      </c>
      <c r="J17" s="922">
        <v>865.25</v>
      </c>
    </row>
    <row r="18" spans="1:10">
      <c r="A18" s="920" t="s">
        <v>149</v>
      </c>
      <c r="B18" s="920" t="s">
        <v>149</v>
      </c>
      <c r="C18" s="906"/>
      <c r="D18" s="921" t="s">
        <v>924</v>
      </c>
      <c r="E18" s="149" t="str">
        <f t="shared" si="1"/>
        <v>02LGSV048T</v>
      </c>
      <c r="F18" s="7" t="s">
        <v>694</v>
      </c>
      <c r="G18" s="7"/>
      <c r="H18" s="922">
        <v>193205160</v>
      </c>
      <c r="I18" s="1100">
        <v>13523927.35</v>
      </c>
      <c r="J18" s="922">
        <v>35.083333333333336</v>
      </c>
    </row>
    <row r="19" spans="1:10">
      <c r="A19" s="920" t="s">
        <v>144</v>
      </c>
      <c r="B19" s="920" t="s">
        <v>144</v>
      </c>
      <c r="C19" s="906"/>
      <c r="D19" s="921" t="s">
        <v>925</v>
      </c>
      <c r="E19" s="149" t="str">
        <f t="shared" si="1"/>
        <v>02LNX00102</v>
      </c>
      <c r="F19" s="7" t="s">
        <v>694</v>
      </c>
      <c r="G19" s="7"/>
      <c r="H19" s="922">
        <v>0</v>
      </c>
      <c r="I19" s="1100">
        <v>27367.65</v>
      </c>
      <c r="J19" s="922">
        <v>0</v>
      </c>
    </row>
    <row r="20" spans="1:10">
      <c r="A20" s="920" t="s">
        <v>144</v>
      </c>
      <c r="B20" s="920" t="s">
        <v>144</v>
      </c>
      <c r="C20" s="906"/>
      <c r="D20" s="921" t="s">
        <v>926</v>
      </c>
      <c r="E20" s="149" t="str">
        <f t="shared" si="1"/>
        <v>02LNX00103</v>
      </c>
      <c r="F20" s="7" t="s">
        <v>694</v>
      </c>
      <c r="G20" s="7"/>
      <c r="H20" s="922">
        <v>0</v>
      </c>
      <c r="I20" s="1100">
        <v>20.11</v>
      </c>
      <c r="J20" s="922">
        <v>0</v>
      </c>
    </row>
    <row r="21" spans="1:10">
      <c r="A21" s="920" t="s">
        <v>144</v>
      </c>
      <c r="B21" s="920" t="s">
        <v>144</v>
      </c>
      <c r="C21" s="906"/>
      <c r="D21" s="921" t="s">
        <v>927</v>
      </c>
      <c r="E21" s="149" t="str">
        <f t="shared" si="1"/>
        <v>02LNX00105</v>
      </c>
      <c r="F21" s="7" t="s">
        <v>694</v>
      </c>
      <c r="G21" s="7"/>
      <c r="H21" s="922">
        <v>0</v>
      </c>
      <c r="I21" s="1100">
        <v>1751.52</v>
      </c>
      <c r="J21" s="922">
        <v>0</v>
      </c>
    </row>
    <row r="22" spans="1:10">
      <c r="A22" s="920" t="s">
        <v>144</v>
      </c>
      <c r="B22" s="920" t="s">
        <v>144</v>
      </c>
      <c r="C22" s="906"/>
      <c r="D22" s="921" t="s">
        <v>928</v>
      </c>
      <c r="E22" s="149" t="str">
        <f t="shared" si="1"/>
        <v>02LNX00109</v>
      </c>
      <c r="F22" s="7" t="s">
        <v>694</v>
      </c>
      <c r="G22" s="7"/>
      <c r="H22" s="922">
        <v>0</v>
      </c>
      <c r="I22" s="1100">
        <v>251013.98</v>
      </c>
      <c r="J22" s="922">
        <v>0</v>
      </c>
    </row>
    <row r="23" spans="1:10">
      <c r="A23" s="920" t="s">
        <v>144</v>
      </c>
      <c r="B23" s="920" t="s">
        <v>144</v>
      </c>
      <c r="C23" s="906"/>
      <c r="D23" s="921" t="s">
        <v>929</v>
      </c>
      <c r="E23" s="149" t="str">
        <f t="shared" si="1"/>
        <v>02LNX00110</v>
      </c>
      <c r="F23" s="7" t="s">
        <v>694</v>
      </c>
      <c r="G23" s="7"/>
      <c r="H23" s="922">
        <v>0</v>
      </c>
      <c r="I23" s="1100">
        <v>34703.730000000003</v>
      </c>
      <c r="J23" s="922">
        <v>0</v>
      </c>
    </row>
    <row r="24" spans="1:10">
      <c r="A24" s="920" t="s">
        <v>144</v>
      </c>
      <c r="B24" s="920" t="s">
        <v>144</v>
      </c>
      <c r="C24" s="906"/>
      <c r="D24" s="921" t="s">
        <v>930</v>
      </c>
      <c r="E24" s="149" t="str">
        <f t="shared" si="1"/>
        <v>02LNX00112</v>
      </c>
      <c r="F24" s="7" t="s">
        <v>694</v>
      </c>
      <c r="G24" s="7"/>
      <c r="H24" s="922">
        <v>0</v>
      </c>
      <c r="I24" s="1100">
        <v>668.76</v>
      </c>
      <c r="J24" s="922">
        <v>0</v>
      </c>
    </row>
    <row r="25" spans="1:10">
      <c r="A25" s="920" t="s">
        <v>145</v>
      </c>
      <c r="B25" s="920" t="s">
        <v>145</v>
      </c>
      <c r="C25" s="906"/>
      <c r="D25" s="921" t="s">
        <v>931</v>
      </c>
      <c r="E25" s="149" t="str">
        <f t="shared" si="1"/>
        <v>02OALT015N</v>
      </c>
      <c r="F25" s="7" t="s">
        <v>694</v>
      </c>
      <c r="G25" s="7"/>
      <c r="H25" s="922">
        <v>1511086</v>
      </c>
      <c r="I25" s="1100">
        <v>210398.92</v>
      </c>
      <c r="J25" s="922">
        <v>800.75</v>
      </c>
    </row>
    <row r="26" spans="1:10">
      <c r="A26" s="920">
        <v>54</v>
      </c>
      <c r="B26" s="920">
        <v>54</v>
      </c>
      <c r="C26" s="906"/>
      <c r="D26" s="921" t="s">
        <v>932</v>
      </c>
      <c r="E26" s="149" t="str">
        <f t="shared" si="1"/>
        <v>02RCFL0054</v>
      </c>
      <c r="F26" s="7" t="s">
        <v>694</v>
      </c>
      <c r="G26" s="7"/>
      <c r="H26" s="922">
        <v>269682</v>
      </c>
      <c r="I26" s="1100">
        <v>24562.3</v>
      </c>
      <c r="J26" s="922">
        <v>29.083333333333332</v>
      </c>
    </row>
    <row r="27" spans="1:10">
      <c r="A27" s="920" t="s">
        <v>144</v>
      </c>
      <c r="B27" s="920" t="s">
        <v>144</v>
      </c>
      <c r="C27" s="906"/>
      <c r="D27" s="921" t="s">
        <v>197</v>
      </c>
      <c r="E27" s="149" t="str">
        <f t="shared" si="1"/>
        <v>02LNX00300</v>
      </c>
      <c r="F27" s="7" t="s">
        <v>694</v>
      </c>
      <c r="G27" s="7"/>
      <c r="H27" s="922">
        <v>0</v>
      </c>
      <c r="I27" s="1100">
        <v>10027.219999999999</v>
      </c>
      <c r="J27" s="922">
        <v>0</v>
      </c>
    </row>
    <row r="28" spans="1:10">
      <c r="A28" s="920">
        <v>24</v>
      </c>
      <c r="B28" s="920">
        <v>24</v>
      </c>
      <c r="C28" s="906"/>
      <c r="D28" s="921" t="s">
        <v>209</v>
      </c>
      <c r="E28" s="149" t="str">
        <f t="shared" si="1"/>
        <v>02NMT24135</v>
      </c>
      <c r="F28" s="7" t="s">
        <v>694</v>
      </c>
      <c r="G28" s="7"/>
      <c r="H28" s="922">
        <v>1568941</v>
      </c>
      <c r="I28" s="1100">
        <v>136919.25</v>
      </c>
      <c r="J28" s="922">
        <v>33.5</v>
      </c>
    </row>
    <row r="29" spans="1:10">
      <c r="A29" s="924">
        <v>24</v>
      </c>
      <c r="B29" s="924">
        <v>24</v>
      </c>
      <c r="C29" s="906"/>
      <c r="D29" s="921" t="s">
        <v>214</v>
      </c>
      <c r="E29" s="149" t="str">
        <f t="shared" si="1"/>
        <v>02GNSB0024</v>
      </c>
      <c r="F29" s="7" t="s">
        <v>694</v>
      </c>
      <c r="G29" s="7"/>
      <c r="H29" s="922">
        <v>28699502</v>
      </c>
      <c r="I29" s="1100">
        <v>2718555.75</v>
      </c>
      <c r="J29" s="922">
        <v>1462.5833333333333</v>
      </c>
    </row>
    <row r="30" spans="1:10">
      <c r="A30" s="920" t="s">
        <v>234</v>
      </c>
      <c r="B30" s="920">
        <v>24</v>
      </c>
      <c r="C30" s="906"/>
      <c r="D30" s="921" t="s">
        <v>220</v>
      </c>
      <c r="E30" s="921"/>
      <c r="F30" s="7" t="s">
        <v>4</v>
      </c>
      <c r="G30" s="7"/>
      <c r="H30" s="922">
        <v>28699346</v>
      </c>
      <c r="I30" s="1100">
        <v>-121111.95</v>
      </c>
      <c r="J30" s="922">
        <v>1462.5833333333333</v>
      </c>
    </row>
    <row r="31" spans="1:10">
      <c r="A31" s="920" t="s">
        <v>150</v>
      </c>
      <c r="B31" s="920" t="s">
        <v>150</v>
      </c>
      <c r="C31" s="906"/>
      <c r="D31" s="921" t="s">
        <v>215</v>
      </c>
      <c r="E31" s="149" t="str">
        <f>LEFT(D31,10)</f>
        <v>02GNSB24FP</v>
      </c>
      <c r="F31" s="7" t="s">
        <v>694</v>
      </c>
      <c r="G31" s="7"/>
      <c r="H31" s="922">
        <v>300479</v>
      </c>
      <c r="I31" s="1100">
        <v>99841.600000000006</v>
      </c>
      <c r="J31" s="922">
        <v>81.333333333333329</v>
      </c>
    </row>
    <row r="32" spans="1:10">
      <c r="A32" s="920" t="s">
        <v>173</v>
      </c>
      <c r="B32" s="920" t="s">
        <v>150</v>
      </c>
      <c r="C32" s="906"/>
      <c r="D32" s="921" t="s">
        <v>221</v>
      </c>
      <c r="E32" s="921"/>
      <c r="F32" s="7" t="s">
        <v>4</v>
      </c>
      <c r="G32" s="7"/>
      <c r="H32" s="922">
        <v>300452</v>
      </c>
      <c r="I32" s="1100">
        <v>-1266.67</v>
      </c>
      <c r="J32" s="922">
        <v>81.333333333333329</v>
      </c>
    </row>
    <row r="33" spans="1:10">
      <c r="A33" s="920">
        <v>36</v>
      </c>
      <c r="B33" s="920">
        <v>36</v>
      </c>
      <c r="C33" s="906"/>
      <c r="D33" s="921" t="s">
        <v>224</v>
      </c>
      <c r="E33" s="149" t="str">
        <f>LEFT(D33,10)</f>
        <v>02LGSB0036</v>
      </c>
      <c r="F33" s="7" t="s">
        <v>694</v>
      </c>
      <c r="G33" s="7"/>
      <c r="H33" s="922">
        <v>61257615</v>
      </c>
      <c r="I33" s="1100">
        <v>4847535.8</v>
      </c>
      <c r="J33" s="922">
        <v>104.08333333333333</v>
      </c>
    </row>
    <row r="34" spans="1:10">
      <c r="A34" s="920" t="s">
        <v>230</v>
      </c>
      <c r="B34" s="920">
        <v>36</v>
      </c>
      <c r="C34" s="906"/>
      <c r="D34" s="921" t="s">
        <v>217</v>
      </c>
      <c r="E34" s="921"/>
      <c r="F34" s="7" t="s">
        <v>4</v>
      </c>
      <c r="G34" s="7"/>
      <c r="H34" s="922">
        <v>61257616</v>
      </c>
      <c r="I34" s="1100">
        <v>-258507.18</v>
      </c>
      <c r="J34" s="922">
        <v>104.08333333333333</v>
      </c>
    </row>
    <row r="35" spans="1:10">
      <c r="A35" s="920" t="s">
        <v>145</v>
      </c>
      <c r="B35" s="920" t="s">
        <v>145</v>
      </c>
      <c r="C35" s="906"/>
      <c r="D35" s="921" t="s">
        <v>222</v>
      </c>
      <c r="E35" s="149" t="str">
        <f>LEFT(D35,10)</f>
        <v>02OALTB15N</v>
      </c>
      <c r="F35" s="7" t="s">
        <v>694</v>
      </c>
      <c r="G35" s="7"/>
      <c r="H35" s="922">
        <v>549516</v>
      </c>
      <c r="I35" s="1100">
        <v>82959.66</v>
      </c>
      <c r="J35" s="922">
        <v>489.58333333333331</v>
      </c>
    </row>
    <row r="36" spans="1:10">
      <c r="A36" s="920" t="s">
        <v>231</v>
      </c>
      <c r="B36" s="920" t="s">
        <v>145</v>
      </c>
      <c r="C36" s="906"/>
      <c r="D36" s="921" t="s">
        <v>218</v>
      </c>
      <c r="E36" s="921"/>
      <c r="F36" s="7" t="s">
        <v>4</v>
      </c>
      <c r="G36" s="7"/>
      <c r="H36" s="922">
        <v>549511</v>
      </c>
      <c r="I36" s="1100">
        <v>-2315.04</v>
      </c>
      <c r="J36" s="922">
        <v>0</v>
      </c>
    </row>
    <row r="37" spans="1:10">
      <c r="A37" s="920" t="s">
        <v>143</v>
      </c>
      <c r="B37" s="920" t="s">
        <v>143</v>
      </c>
      <c r="C37" s="906"/>
      <c r="D37" s="921" t="s">
        <v>223</v>
      </c>
      <c r="E37" s="149" t="str">
        <f>LEFT(D37,10)</f>
        <v>02GNSB024F</v>
      </c>
      <c r="F37" s="7" t="s">
        <v>694</v>
      </c>
      <c r="G37" s="7"/>
      <c r="H37" s="922">
        <v>154284</v>
      </c>
      <c r="I37" s="1100">
        <v>19345.68</v>
      </c>
      <c r="J37" s="922">
        <v>6</v>
      </c>
    </row>
    <row r="38" spans="1:10">
      <c r="A38" s="920" t="s">
        <v>229</v>
      </c>
      <c r="B38" s="920" t="s">
        <v>143</v>
      </c>
      <c r="C38" s="906"/>
      <c r="D38" s="921" t="s">
        <v>213</v>
      </c>
      <c r="E38" s="921"/>
      <c r="F38" s="7" t="s">
        <v>4</v>
      </c>
      <c r="G38" s="7"/>
      <c r="H38" s="922">
        <v>864</v>
      </c>
      <c r="I38" s="1100">
        <v>-3.6</v>
      </c>
      <c r="J38" s="922">
        <v>1</v>
      </c>
    </row>
    <row r="39" spans="1:10">
      <c r="A39" s="920" t="s">
        <v>144</v>
      </c>
      <c r="B39" s="920" t="s">
        <v>144</v>
      </c>
      <c r="C39" s="906"/>
      <c r="D39" s="921" t="s">
        <v>237</v>
      </c>
      <c r="E39" s="149" t="str">
        <f t="shared" ref="E39:E42" si="2">LEFT(D39,10)</f>
        <v>02LNX00311</v>
      </c>
      <c r="F39" s="7" t="s">
        <v>694</v>
      </c>
      <c r="G39" s="7"/>
      <c r="H39" s="922">
        <v>0</v>
      </c>
      <c r="I39" s="1100">
        <v>72643.94</v>
      </c>
      <c r="J39" s="922">
        <v>0</v>
      </c>
    </row>
    <row r="40" spans="1:10">
      <c r="A40" s="920" t="s">
        <v>144</v>
      </c>
      <c r="B40" s="920" t="s">
        <v>144</v>
      </c>
      <c r="C40" s="906"/>
      <c r="D40" s="921" t="s">
        <v>238</v>
      </c>
      <c r="E40" s="149" t="str">
        <f t="shared" si="2"/>
        <v>02LNX00310</v>
      </c>
      <c r="F40" s="7" t="s">
        <v>694</v>
      </c>
      <c r="G40" s="7"/>
      <c r="H40" s="922">
        <v>0</v>
      </c>
      <c r="I40" s="1100">
        <v>982.75</v>
      </c>
      <c r="J40" s="922">
        <v>0</v>
      </c>
    </row>
    <row r="41" spans="1:10">
      <c r="A41" s="920" t="s">
        <v>144</v>
      </c>
      <c r="B41" s="920" t="s">
        <v>144</v>
      </c>
      <c r="C41" s="906"/>
      <c r="D41" s="921" t="s">
        <v>239</v>
      </c>
      <c r="E41" s="149" t="str">
        <f t="shared" si="2"/>
        <v>02LNX00312</v>
      </c>
      <c r="F41" s="7" t="s">
        <v>694</v>
      </c>
      <c r="G41" s="7"/>
      <c r="H41" s="922">
        <v>0</v>
      </c>
      <c r="I41" s="1100">
        <v>2773.36</v>
      </c>
      <c r="J41" s="922">
        <v>0</v>
      </c>
    </row>
    <row r="42" spans="1:10">
      <c r="A42" s="920">
        <v>36</v>
      </c>
      <c r="B42" s="920">
        <v>36</v>
      </c>
      <c r="C42" s="906"/>
      <c r="D42" s="921" t="s">
        <v>662</v>
      </c>
      <c r="E42" s="149" t="str">
        <f t="shared" si="2"/>
        <v>02NMT36135</v>
      </c>
      <c r="F42" s="7" t="s">
        <v>694</v>
      </c>
      <c r="G42" s="7"/>
      <c r="H42" s="922">
        <v>4261740</v>
      </c>
      <c r="I42" s="1100">
        <v>339705.44</v>
      </c>
      <c r="J42" s="922">
        <v>6</v>
      </c>
    </row>
    <row r="43" spans="1:10">
      <c r="A43" s="920" t="s">
        <v>234</v>
      </c>
      <c r="B43" s="920">
        <v>24</v>
      </c>
      <c r="C43" s="906"/>
      <c r="D43" s="921" t="s">
        <v>747</v>
      </c>
      <c r="E43" s="921"/>
      <c r="F43" s="7" t="s">
        <v>4</v>
      </c>
      <c r="G43" s="7"/>
      <c r="H43" s="922">
        <v>135582</v>
      </c>
      <c r="I43" s="1100">
        <v>-572.14</v>
      </c>
      <c r="J43" s="922">
        <v>9.3333333333333339</v>
      </c>
    </row>
    <row r="44" spans="1:10">
      <c r="A44" s="920" t="s">
        <v>149</v>
      </c>
      <c r="B44" s="920" t="s">
        <v>149</v>
      </c>
      <c r="C44" s="906"/>
      <c r="D44" s="921" t="s">
        <v>808</v>
      </c>
      <c r="E44" s="149" t="str">
        <f>LEFT(D44,10)</f>
        <v>02NMT48135</v>
      </c>
      <c r="F44" s="7" t="s">
        <v>694</v>
      </c>
      <c r="G44" s="7"/>
      <c r="H44" s="922">
        <v>5316000</v>
      </c>
      <c r="I44" s="1100">
        <v>350364.36</v>
      </c>
      <c r="J44" s="922">
        <v>1</v>
      </c>
    </row>
    <row r="45" spans="1:10">
      <c r="A45" s="920"/>
      <c r="B45" s="920"/>
      <c r="C45" s="906"/>
      <c r="D45" s="921" t="s">
        <v>933</v>
      </c>
      <c r="E45" s="149" t="str">
        <f>LEFT(D45,10)</f>
        <v>CUSTOMER C</v>
      </c>
      <c r="F45" s="7" t="s">
        <v>694</v>
      </c>
      <c r="G45" s="7"/>
      <c r="H45" s="922"/>
      <c r="I45" s="1100"/>
      <c r="J45" s="922">
        <v>0</v>
      </c>
    </row>
    <row r="46" spans="1:10">
      <c r="A46" s="724"/>
      <c r="C46" s="906"/>
      <c r="D46" s="921" t="s">
        <v>934</v>
      </c>
      <c r="E46" s="921"/>
      <c r="F46" s="7" t="s">
        <v>4</v>
      </c>
      <c r="G46" s="5"/>
      <c r="H46" s="922"/>
      <c r="I46" s="1100"/>
      <c r="J46" s="922">
        <v>0</v>
      </c>
    </row>
    <row r="47" spans="1:10">
      <c r="A47" s="724"/>
      <c r="C47" s="906" t="s">
        <v>105</v>
      </c>
      <c r="D47" s="920"/>
      <c r="E47" s="920"/>
      <c r="F47" s="111" t="s">
        <v>122</v>
      </c>
      <c r="G47" s="7"/>
      <c r="H47" s="925">
        <f>SUM(H7:H44)-H8-H30-H32-H34-H36-H38-H43</f>
        <v>1552112225</v>
      </c>
      <c r="I47" s="926">
        <f>SUM(I7:I45)</f>
        <v>125293830.95999998</v>
      </c>
      <c r="J47" s="925">
        <f>SUM(J7:J46)-J8-J30-J32-J34-J36-J38-J43-J14</f>
        <v>17567.499999999996</v>
      </c>
    </row>
    <row r="48" spans="1:10">
      <c r="A48" s="724"/>
      <c r="C48" s="906"/>
      <c r="D48" s="920"/>
      <c r="E48" s="920"/>
      <c r="F48" s="7"/>
      <c r="G48" s="7"/>
      <c r="H48" s="925"/>
      <c r="I48" s="926"/>
      <c r="J48" s="925"/>
    </row>
    <row r="49" spans="1:10">
      <c r="A49" s="724"/>
      <c r="C49" s="906"/>
      <c r="D49" s="7"/>
      <c r="E49" s="7"/>
      <c r="F49" s="7"/>
      <c r="G49" s="7"/>
      <c r="H49" s="784"/>
      <c r="I49" s="784"/>
      <c r="J49" s="109"/>
    </row>
    <row r="50" spans="1:10">
      <c r="A50" s="724"/>
      <c r="C50" s="906" t="s">
        <v>99</v>
      </c>
      <c r="D50" s="7" t="s">
        <v>100</v>
      </c>
      <c r="E50" s="7"/>
      <c r="F50" s="7" t="s">
        <v>101</v>
      </c>
      <c r="G50" s="7"/>
      <c r="H50" s="32" t="s">
        <v>102</v>
      </c>
      <c r="I50" s="110" t="s">
        <v>1</v>
      </c>
      <c r="J50" s="32" t="s">
        <v>103</v>
      </c>
    </row>
    <row r="51" spans="1:10">
      <c r="A51" s="724" t="s">
        <v>147</v>
      </c>
      <c r="B51" s="927" t="s">
        <v>147</v>
      </c>
      <c r="C51" s="906" t="s">
        <v>123</v>
      </c>
      <c r="D51" s="921" t="s">
        <v>919</v>
      </c>
      <c r="E51" s="921"/>
      <c r="F51" s="7" t="s">
        <v>693</v>
      </c>
      <c r="G51" s="7"/>
      <c r="H51" s="922">
        <v>2487000</v>
      </c>
      <c r="I51" s="1100">
        <v>164000</v>
      </c>
      <c r="J51" s="922">
        <v>0</v>
      </c>
    </row>
    <row r="52" spans="1:10">
      <c r="A52" s="724" t="s">
        <v>146</v>
      </c>
      <c r="B52" s="927" t="s">
        <v>146</v>
      </c>
      <c r="C52" s="906"/>
      <c r="D52" s="921" t="s">
        <v>920</v>
      </c>
      <c r="E52" s="921"/>
      <c r="F52" s="7" t="s">
        <v>4</v>
      </c>
      <c r="G52" s="7"/>
      <c r="H52" s="922">
        <v>0</v>
      </c>
      <c r="I52" s="1100">
        <v>-123.33</v>
      </c>
      <c r="J52" s="922">
        <v>0</v>
      </c>
    </row>
    <row r="53" spans="1:10">
      <c r="A53" s="724" t="s">
        <v>666</v>
      </c>
      <c r="B53" s="927" t="s">
        <v>666</v>
      </c>
      <c r="C53" s="906"/>
      <c r="D53" s="921" t="s">
        <v>663</v>
      </c>
      <c r="E53" s="149" t="str">
        <f t="shared" ref="E53:E64" si="3">LEFT(D53,10)</f>
        <v>SMUD REVEN</v>
      </c>
      <c r="F53" s="7" t="s">
        <v>694</v>
      </c>
      <c r="G53" s="7"/>
      <c r="H53" s="922">
        <v>0</v>
      </c>
      <c r="I53" s="1100">
        <v>39997.230000000003</v>
      </c>
      <c r="J53" s="922">
        <v>0</v>
      </c>
    </row>
    <row r="54" spans="1:10">
      <c r="A54" s="724" t="s">
        <v>228</v>
      </c>
      <c r="B54" s="927" t="s">
        <v>228</v>
      </c>
      <c r="C54" s="906"/>
      <c r="D54" s="921" t="s">
        <v>741</v>
      </c>
      <c r="E54" s="149" t="str">
        <f t="shared" si="3"/>
        <v>REVENUE AD</v>
      </c>
      <c r="F54" s="7" t="s">
        <v>694</v>
      </c>
      <c r="G54" s="7"/>
      <c r="H54" s="922">
        <v>0</v>
      </c>
      <c r="I54" s="1100">
        <v>28184.84</v>
      </c>
      <c r="J54" s="922">
        <v>0</v>
      </c>
    </row>
    <row r="55" spans="1:10">
      <c r="A55" s="724" t="s">
        <v>742</v>
      </c>
      <c r="B55" s="927" t="s">
        <v>742</v>
      </c>
      <c r="C55" s="906"/>
      <c r="D55" s="921" t="s">
        <v>664</v>
      </c>
      <c r="E55" s="149" t="str">
        <f t="shared" si="3"/>
        <v>WASHINGTON</v>
      </c>
      <c r="F55" s="7" t="s">
        <v>694</v>
      </c>
      <c r="G55" s="7"/>
      <c r="H55" s="922">
        <v>0</v>
      </c>
      <c r="I55" s="1100">
        <v>-510000</v>
      </c>
      <c r="J55" s="922">
        <v>0</v>
      </c>
    </row>
    <row r="56" spans="1:10">
      <c r="A56" s="724" t="s">
        <v>228</v>
      </c>
      <c r="B56" s="927" t="s">
        <v>228</v>
      </c>
      <c r="C56" s="906"/>
      <c r="D56" s="921" t="s">
        <v>691</v>
      </c>
      <c r="E56" s="149" t="str">
        <f t="shared" si="3"/>
        <v>REVENUE_AC</v>
      </c>
      <c r="F56" s="7" t="s">
        <v>694</v>
      </c>
      <c r="G56" s="7"/>
      <c r="H56" s="922">
        <v>0</v>
      </c>
      <c r="I56" s="1100">
        <v>-1578166.63</v>
      </c>
      <c r="J56" s="922">
        <v>0</v>
      </c>
    </row>
    <row r="57" spans="1:10">
      <c r="A57" s="724" t="s">
        <v>743</v>
      </c>
      <c r="B57" s="927" t="s">
        <v>743</v>
      </c>
      <c r="C57" s="906"/>
      <c r="D57" s="921" t="s">
        <v>748</v>
      </c>
      <c r="E57" s="149" t="str">
        <f t="shared" si="3"/>
        <v>301370-DSM</v>
      </c>
      <c r="F57" s="7" t="s">
        <v>694</v>
      </c>
      <c r="G57" s="7"/>
      <c r="H57" s="922">
        <v>0</v>
      </c>
      <c r="I57" s="1100">
        <v>1862570.43</v>
      </c>
      <c r="J57" s="922">
        <v>0</v>
      </c>
    </row>
    <row r="58" spans="1:10">
      <c r="A58" s="724">
        <v>24</v>
      </c>
      <c r="B58" s="927">
        <v>24</v>
      </c>
      <c r="C58" s="906"/>
      <c r="D58" s="921" t="s">
        <v>921</v>
      </c>
      <c r="E58" s="149" t="str">
        <f t="shared" si="3"/>
        <v>02GNSV0024</v>
      </c>
      <c r="F58" s="7" t="s">
        <v>694</v>
      </c>
      <c r="G58" s="7"/>
      <c r="H58" s="922">
        <v>16494946</v>
      </c>
      <c r="I58" s="1100">
        <v>1492526.45</v>
      </c>
      <c r="J58" s="922">
        <v>341.58333333333331</v>
      </c>
    </row>
    <row r="59" spans="1:10">
      <c r="A59" s="724" t="s">
        <v>143</v>
      </c>
      <c r="B59" s="927" t="s">
        <v>143</v>
      </c>
      <c r="C59" s="906"/>
      <c r="D59" s="921" t="s">
        <v>922</v>
      </c>
      <c r="E59" s="149" t="str">
        <f t="shared" si="3"/>
        <v>02GNSV024F</v>
      </c>
      <c r="F59" s="7" t="s">
        <v>694</v>
      </c>
      <c r="G59" s="7"/>
      <c r="H59" s="922">
        <v>33312</v>
      </c>
      <c r="I59" s="1100">
        <v>8155.79</v>
      </c>
      <c r="J59" s="922">
        <v>4</v>
      </c>
    </row>
    <row r="60" spans="1:10">
      <c r="A60" s="724">
        <v>36</v>
      </c>
      <c r="B60" s="927">
        <v>36</v>
      </c>
      <c r="C60" s="906"/>
      <c r="D60" s="921" t="s">
        <v>923</v>
      </c>
      <c r="E60" s="149" t="str">
        <f t="shared" si="3"/>
        <v>02LGSV0036</v>
      </c>
      <c r="F60" s="7" t="s">
        <v>694</v>
      </c>
      <c r="G60" s="7"/>
      <c r="H60" s="922">
        <v>101703152</v>
      </c>
      <c r="I60" s="1100">
        <v>8098658.7199999997</v>
      </c>
      <c r="J60" s="922">
        <v>103.5</v>
      </c>
    </row>
    <row r="61" spans="1:10">
      <c r="A61" s="724" t="s">
        <v>149</v>
      </c>
      <c r="B61" s="927" t="s">
        <v>149</v>
      </c>
      <c r="C61" s="906"/>
      <c r="D61" s="921" t="s">
        <v>924</v>
      </c>
      <c r="E61" s="149" t="str">
        <f t="shared" si="3"/>
        <v>02LGSV048T</v>
      </c>
      <c r="F61" s="7" t="s">
        <v>694</v>
      </c>
      <c r="G61" s="7"/>
      <c r="H61" s="922">
        <v>673423150</v>
      </c>
      <c r="I61" s="1100">
        <v>41686030.32</v>
      </c>
      <c r="J61" s="922">
        <v>31</v>
      </c>
    </row>
    <row r="62" spans="1:10">
      <c r="A62" s="724" t="s">
        <v>145</v>
      </c>
      <c r="B62" s="927" t="s">
        <v>145</v>
      </c>
      <c r="C62" s="906"/>
      <c r="D62" s="921" t="s">
        <v>931</v>
      </c>
      <c r="E62" s="149" t="str">
        <f t="shared" si="3"/>
        <v>02OALT015N</v>
      </c>
      <c r="F62" s="7" t="s">
        <v>694</v>
      </c>
      <c r="G62" s="7"/>
      <c r="H62" s="922">
        <v>111374</v>
      </c>
      <c r="I62" s="1100">
        <v>14417.04</v>
      </c>
      <c r="J62" s="922">
        <v>40.5</v>
      </c>
    </row>
    <row r="63" spans="1:10">
      <c r="A63" s="724">
        <v>47</v>
      </c>
      <c r="B63" s="927">
        <v>47</v>
      </c>
      <c r="C63" s="906"/>
      <c r="D63" s="921" t="s">
        <v>957</v>
      </c>
      <c r="E63" s="149" t="str">
        <f t="shared" si="3"/>
        <v>02PRSV47TM</v>
      </c>
      <c r="F63" s="7" t="s">
        <v>694</v>
      </c>
      <c r="G63" s="7"/>
      <c r="H63" s="922">
        <v>2148000</v>
      </c>
      <c r="I63" s="1100">
        <v>308414.28999999998</v>
      </c>
      <c r="J63" s="922">
        <v>1</v>
      </c>
    </row>
    <row r="64" spans="1:10">
      <c r="A64" s="724">
        <v>24</v>
      </c>
      <c r="B64" s="927">
        <v>24</v>
      </c>
      <c r="C64" s="906"/>
      <c r="D64" s="921" t="s">
        <v>214</v>
      </c>
      <c r="E64" s="149" t="str">
        <f t="shared" si="3"/>
        <v>02GNSB0024</v>
      </c>
      <c r="F64" s="7" t="s">
        <v>694</v>
      </c>
      <c r="G64" s="7"/>
      <c r="H64" s="922">
        <v>1106501</v>
      </c>
      <c r="I64" s="1100">
        <v>116071.41</v>
      </c>
      <c r="J64" s="922">
        <v>46.416666666666664</v>
      </c>
    </row>
    <row r="65" spans="1:10">
      <c r="A65" s="724" t="s">
        <v>234</v>
      </c>
      <c r="B65" s="927">
        <v>24</v>
      </c>
      <c r="C65" s="906"/>
      <c r="D65" s="921" t="s">
        <v>220</v>
      </c>
      <c r="E65" s="921"/>
      <c r="F65" s="7" t="s">
        <v>4</v>
      </c>
      <c r="G65" s="7"/>
      <c r="H65" s="922">
        <v>1106498</v>
      </c>
      <c r="I65" s="1100">
        <v>-4669.46</v>
      </c>
      <c r="J65" s="922">
        <v>46.416666666666664</v>
      </c>
    </row>
    <row r="66" spans="1:10">
      <c r="A66" s="724" t="s">
        <v>150</v>
      </c>
      <c r="B66" s="927" t="s">
        <v>150</v>
      </c>
      <c r="C66" s="906"/>
      <c r="D66" s="921" t="s">
        <v>215</v>
      </c>
      <c r="E66" s="149" t="str">
        <f>LEFT(D66,10)</f>
        <v>02GNSB24FP</v>
      </c>
      <c r="F66" s="7" t="s">
        <v>694</v>
      </c>
      <c r="G66" s="7"/>
      <c r="H66" s="922">
        <v>5786</v>
      </c>
      <c r="I66" s="1100">
        <v>2010.58</v>
      </c>
      <c r="J66" s="922">
        <v>1</v>
      </c>
    </row>
    <row r="67" spans="1:10">
      <c r="A67" s="724" t="s">
        <v>173</v>
      </c>
      <c r="B67" s="927" t="s">
        <v>150</v>
      </c>
      <c r="C67" s="906"/>
      <c r="D67" s="921" t="s">
        <v>221</v>
      </c>
      <c r="E67" s="921"/>
      <c r="F67" s="7" t="s">
        <v>4</v>
      </c>
      <c r="G67" s="7"/>
      <c r="H67" s="922">
        <v>5786</v>
      </c>
      <c r="I67" s="1100">
        <v>-24.41</v>
      </c>
      <c r="J67" s="922">
        <v>1</v>
      </c>
    </row>
    <row r="68" spans="1:10">
      <c r="A68" s="724">
        <v>36</v>
      </c>
      <c r="B68" s="927">
        <v>36</v>
      </c>
      <c r="C68" s="906"/>
      <c r="D68" s="921" t="s">
        <v>224</v>
      </c>
      <c r="E68" s="149" t="str">
        <f>LEFT(D68,10)</f>
        <v>02LGSB0036</v>
      </c>
      <c r="F68" s="7" t="s">
        <v>694</v>
      </c>
      <c r="G68" s="7"/>
      <c r="H68" s="922">
        <v>1901520</v>
      </c>
      <c r="I68" s="1100">
        <v>220348.26</v>
      </c>
      <c r="J68" s="922">
        <v>11.25</v>
      </c>
    </row>
    <row r="69" spans="1:10">
      <c r="A69" s="724" t="s">
        <v>230</v>
      </c>
      <c r="B69" s="927">
        <v>36</v>
      </c>
      <c r="C69" s="906"/>
      <c r="D69" s="921" t="s">
        <v>217</v>
      </c>
      <c r="E69" s="921"/>
      <c r="F69" s="7" t="s">
        <v>4</v>
      </c>
      <c r="G69" s="7"/>
      <c r="H69" s="922">
        <v>1901520</v>
      </c>
      <c r="I69" s="1100">
        <v>-8024.4</v>
      </c>
      <c r="J69" s="922">
        <v>11.25</v>
      </c>
    </row>
    <row r="70" spans="1:10">
      <c r="A70" s="724" t="s">
        <v>145</v>
      </c>
      <c r="B70" s="927" t="s">
        <v>145</v>
      </c>
      <c r="C70" s="906"/>
      <c r="D70" s="921" t="s">
        <v>222</v>
      </c>
      <c r="E70" s="149" t="str">
        <f>LEFT(D70,10)</f>
        <v>02OALTB15N</v>
      </c>
      <c r="F70" s="7" t="s">
        <v>694</v>
      </c>
      <c r="G70" s="7"/>
      <c r="H70" s="922">
        <v>26754</v>
      </c>
      <c r="I70" s="1100">
        <v>3977.62</v>
      </c>
      <c r="J70" s="922">
        <v>14.666666666666666</v>
      </c>
    </row>
    <row r="71" spans="1:10">
      <c r="A71" s="724" t="s">
        <v>231</v>
      </c>
      <c r="B71" s="927" t="s">
        <v>145</v>
      </c>
      <c r="C71" s="906"/>
      <c r="D71" s="921" t="s">
        <v>218</v>
      </c>
      <c r="E71" s="921"/>
      <c r="F71" s="7" t="s">
        <v>4</v>
      </c>
      <c r="G71" s="7"/>
      <c r="H71" s="922">
        <v>26754</v>
      </c>
      <c r="I71" s="1100">
        <v>-112.9</v>
      </c>
      <c r="J71" s="922">
        <v>0</v>
      </c>
    </row>
    <row r="72" spans="1:10">
      <c r="A72" s="724"/>
      <c r="B72" s="927"/>
      <c r="C72" s="906"/>
      <c r="D72" s="921" t="s">
        <v>933</v>
      </c>
      <c r="E72" s="149" t="str">
        <f>LEFT(D72,10)</f>
        <v>CUSTOMER C</v>
      </c>
      <c r="F72" s="7" t="s">
        <v>694</v>
      </c>
      <c r="G72" s="7"/>
      <c r="H72" s="922"/>
      <c r="I72" s="1100"/>
      <c r="J72" s="922">
        <v>0</v>
      </c>
    </row>
    <row r="73" spans="1:10">
      <c r="A73" s="724"/>
      <c r="B73" s="927"/>
      <c r="C73" s="906"/>
      <c r="D73" s="921" t="s">
        <v>934</v>
      </c>
      <c r="E73" s="928"/>
      <c r="F73" s="7" t="s">
        <v>4</v>
      </c>
      <c r="G73" s="7"/>
      <c r="H73" s="922"/>
      <c r="I73" s="1100"/>
      <c r="J73" s="922">
        <v>0</v>
      </c>
    </row>
    <row r="74" spans="1:10">
      <c r="A74" s="724"/>
      <c r="C74" s="906" t="s">
        <v>123</v>
      </c>
      <c r="F74" s="111" t="s">
        <v>122</v>
      </c>
      <c r="G74" s="111"/>
      <c r="H74" s="107">
        <f>SUM(H51:H71)-H52-H65-H67-H69-H71</f>
        <v>799441495</v>
      </c>
      <c r="I74" s="929">
        <f>SUM(I51:I71)</f>
        <v>51944241.849999994</v>
      </c>
      <c r="J74" s="107">
        <f>SUM(J51:J71)-J52-J65-J67-J69-J71</f>
        <v>594.91666666666652</v>
      </c>
    </row>
    <row r="75" spans="1:10">
      <c r="A75" s="724"/>
      <c r="C75" s="906"/>
      <c r="D75" s="7"/>
      <c r="E75" s="7"/>
      <c r="F75" s="111"/>
      <c r="G75" s="111"/>
      <c r="H75" s="107"/>
      <c r="I75" s="929"/>
      <c r="J75" s="107"/>
    </row>
    <row r="76" spans="1:10">
      <c r="A76" s="724"/>
      <c r="C76" s="906" t="s">
        <v>99</v>
      </c>
      <c r="D76" s="7" t="s">
        <v>100</v>
      </c>
      <c r="E76" s="7"/>
      <c r="F76" s="7" t="s">
        <v>101</v>
      </c>
      <c r="G76" s="7"/>
      <c r="H76" s="32" t="s">
        <v>102</v>
      </c>
      <c r="I76" s="110" t="s">
        <v>1</v>
      </c>
      <c r="J76" s="7" t="s">
        <v>103</v>
      </c>
    </row>
    <row r="77" spans="1:10">
      <c r="A77" s="724" t="s">
        <v>147</v>
      </c>
      <c r="B77" s="724" t="s">
        <v>147</v>
      </c>
      <c r="C77" s="906" t="s">
        <v>126</v>
      </c>
      <c r="D77" s="7" t="s">
        <v>950</v>
      </c>
      <c r="E77" s="921"/>
      <c r="F77" s="7" t="s">
        <v>693</v>
      </c>
      <c r="G77" s="7"/>
      <c r="H77" s="922">
        <v>2551000</v>
      </c>
      <c r="I77" s="1100">
        <v>193000</v>
      </c>
      <c r="J77" s="922">
        <v>0</v>
      </c>
    </row>
    <row r="78" spans="1:10">
      <c r="A78" s="724" t="s">
        <v>146</v>
      </c>
      <c r="B78" s="724" t="s">
        <v>146</v>
      </c>
      <c r="C78" s="906"/>
      <c r="D78" s="7" t="s">
        <v>951</v>
      </c>
      <c r="E78" s="921"/>
      <c r="F78" s="7" t="s">
        <v>4</v>
      </c>
      <c r="G78" s="7"/>
      <c r="H78" s="922">
        <v>0</v>
      </c>
      <c r="I78" s="1100">
        <v>19561.62</v>
      </c>
      <c r="J78" s="922">
        <v>0</v>
      </c>
    </row>
    <row r="79" spans="1:10">
      <c r="A79" s="724" t="s">
        <v>228</v>
      </c>
      <c r="B79" s="724" t="s">
        <v>228</v>
      </c>
      <c r="C79" s="906"/>
      <c r="D79" s="7" t="s">
        <v>741</v>
      </c>
      <c r="E79" s="149" t="str">
        <f t="shared" ref="E79:E84" si="4">LEFT(D79,10)</f>
        <v>REVENUE AD</v>
      </c>
      <c r="F79" s="7" t="s">
        <v>694</v>
      </c>
      <c r="G79" s="7"/>
      <c r="H79" s="922">
        <v>0</v>
      </c>
      <c r="I79" s="1100">
        <v>22616.799999999999</v>
      </c>
      <c r="J79" s="922">
        <v>0</v>
      </c>
    </row>
    <row r="80" spans="1:10">
      <c r="A80" s="724" t="s">
        <v>742</v>
      </c>
      <c r="B80" s="724" t="s">
        <v>742</v>
      </c>
      <c r="C80" s="906"/>
      <c r="D80" s="7" t="s">
        <v>664</v>
      </c>
      <c r="E80" s="149" t="str">
        <f t="shared" si="4"/>
        <v>WASHINGTON</v>
      </c>
      <c r="F80" s="7" t="s">
        <v>694</v>
      </c>
      <c r="G80" s="7"/>
      <c r="H80" s="922">
        <v>0</v>
      </c>
      <c r="I80" s="1100">
        <v>-120000</v>
      </c>
      <c r="J80" s="922">
        <v>0</v>
      </c>
    </row>
    <row r="81" spans="1:10">
      <c r="A81" s="724" t="s">
        <v>749</v>
      </c>
      <c r="B81" s="724" t="s">
        <v>749</v>
      </c>
      <c r="C81" s="906"/>
      <c r="D81" s="7" t="s">
        <v>692</v>
      </c>
      <c r="E81" s="149" t="str">
        <f t="shared" si="4"/>
        <v>301461-IRR</v>
      </c>
      <c r="F81" s="7" t="s">
        <v>694</v>
      </c>
      <c r="G81" s="7"/>
      <c r="H81" s="922">
        <v>0</v>
      </c>
      <c r="I81" s="1100">
        <v>64000</v>
      </c>
      <c r="J81" s="922">
        <v>0</v>
      </c>
    </row>
    <row r="82" spans="1:10">
      <c r="A82" s="724" t="s">
        <v>228</v>
      </c>
      <c r="B82" s="724" t="s">
        <v>228</v>
      </c>
      <c r="C82" s="906"/>
      <c r="D82" s="7" t="s">
        <v>691</v>
      </c>
      <c r="E82" s="149" t="str">
        <f t="shared" si="4"/>
        <v>REVENUE_AC</v>
      </c>
      <c r="F82" s="7" t="s">
        <v>694</v>
      </c>
      <c r="G82" s="7"/>
      <c r="H82" s="922">
        <v>0</v>
      </c>
      <c r="I82" s="1100">
        <v>-497113.84</v>
      </c>
      <c r="J82" s="922">
        <v>0</v>
      </c>
    </row>
    <row r="83" spans="1:10">
      <c r="A83" s="724" t="s">
        <v>743</v>
      </c>
      <c r="B83" s="724" t="s">
        <v>743</v>
      </c>
      <c r="C83" s="906"/>
      <c r="D83" s="7" t="s">
        <v>750</v>
      </c>
      <c r="E83" s="149" t="str">
        <f t="shared" si="4"/>
        <v>301470-DSM</v>
      </c>
      <c r="F83" s="7" t="s">
        <v>694</v>
      </c>
      <c r="G83" s="7"/>
      <c r="H83" s="922">
        <v>0</v>
      </c>
      <c r="I83" s="1100">
        <v>540165.32999999996</v>
      </c>
      <c r="J83" s="922">
        <v>0</v>
      </c>
    </row>
    <row r="84" spans="1:10">
      <c r="A84" s="724" t="s">
        <v>745</v>
      </c>
      <c r="B84" s="724" t="s">
        <v>745</v>
      </c>
      <c r="C84" s="906"/>
      <c r="D84" s="7" t="s">
        <v>751</v>
      </c>
      <c r="E84" s="149" t="str">
        <f t="shared" si="4"/>
        <v>301480-BLU</v>
      </c>
      <c r="F84" s="7" t="s">
        <v>694</v>
      </c>
      <c r="G84" s="7"/>
      <c r="H84" s="922">
        <v>0</v>
      </c>
      <c r="I84" s="1100">
        <v>130.54</v>
      </c>
      <c r="J84" s="922">
        <v>5.833333333333333</v>
      </c>
    </row>
    <row r="85" spans="1:10">
      <c r="A85" s="724">
        <v>40</v>
      </c>
      <c r="B85" s="724">
        <v>40</v>
      </c>
      <c r="C85" s="906"/>
      <c r="D85" s="7" t="s">
        <v>952</v>
      </c>
      <c r="E85" s="149" t="str">
        <f>LEFT(D85,10)</f>
        <v>02APSV0040</v>
      </c>
      <c r="F85" s="7" t="s">
        <v>694</v>
      </c>
      <c r="G85" s="7"/>
      <c r="H85" s="922">
        <v>132803266</v>
      </c>
      <c r="I85" s="1100">
        <v>11326942.41</v>
      </c>
      <c r="J85" s="922">
        <v>3471</v>
      </c>
    </row>
    <row r="86" spans="1:10">
      <c r="A86" s="724" t="s">
        <v>174</v>
      </c>
      <c r="B86" s="724">
        <v>40</v>
      </c>
      <c r="C86" s="906"/>
      <c r="D86" s="7" t="s">
        <v>952</v>
      </c>
      <c r="E86" s="149" t="str">
        <f>LEFT(D86,10)</f>
        <v>02APSV0040</v>
      </c>
      <c r="F86" s="7" t="s">
        <v>4</v>
      </c>
      <c r="G86" s="7"/>
      <c r="H86" s="922">
        <v>132802787</v>
      </c>
      <c r="I86" s="1100">
        <v>-560429.52</v>
      </c>
      <c r="J86" s="922">
        <v>3471</v>
      </c>
    </row>
    <row r="87" spans="1:10">
      <c r="A87" s="724" t="s">
        <v>151</v>
      </c>
      <c r="B87" s="724" t="s">
        <v>151</v>
      </c>
      <c r="C87" s="906"/>
      <c r="D87" s="7" t="s">
        <v>953</v>
      </c>
      <c r="E87" s="149" t="str">
        <f t="shared" ref="E87:E91" si="5">LEFT(D87,10)</f>
        <v>02APSV040X</v>
      </c>
      <c r="F87" s="7" t="s">
        <v>694</v>
      </c>
      <c r="G87" s="7"/>
      <c r="H87" s="922">
        <v>47343132</v>
      </c>
      <c r="I87" s="1100">
        <v>4076711.77</v>
      </c>
      <c r="J87" s="922">
        <v>1737.75</v>
      </c>
    </row>
    <row r="88" spans="1:10">
      <c r="A88" s="724" t="s">
        <v>144</v>
      </c>
      <c r="B88" s="724" t="s">
        <v>144</v>
      </c>
      <c r="C88" s="906"/>
      <c r="D88" s="7" t="s">
        <v>926</v>
      </c>
      <c r="E88" s="149" t="str">
        <f t="shared" si="5"/>
        <v>02LNX00103</v>
      </c>
      <c r="F88" s="7" t="s">
        <v>694</v>
      </c>
      <c r="G88" s="7"/>
      <c r="H88" s="922">
        <v>0</v>
      </c>
      <c r="I88" s="1100">
        <v>5221.5200000000004</v>
      </c>
      <c r="J88" s="922">
        <v>0</v>
      </c>
    </row>
    <row r="89" spans="1:10">
      <c r="A89" s="724" t="s">
        <v>144</v>
      </c>
      <c r="B89" s="724" t="s">
        <v>144</v>
      </c>
      <c r="C89" s="906"/>
      <c r="D89" s="7" t="s">
        <v>927</v>
      </c>
      <c r="E89" s="149" t="str">
        <f t="shared" si="5"/>
        <v>02LNX00105</v>
      </c>
      <c r="F89" s="7" t="s">
        <v>694</v>
      </c>
      <c r="G89" s="7"/>
      <c r="H89" s="922">
        <v>0</v>
      </c>
      <c r="I89" s="1100">
        <v>79.69</v>
      </c>
      <c r="J89" s="922">
        <v>0</v>
      </c>
    </row>
    <row r="90" spans="1:10">
      <c r="A90" s="724" t="s">
        <v>144</v>
      </c>
      <c r="B90" s="724" t="s">
        <v>144</v>
      </c>
      <c r="C90" s="906"/>
      <c r="D90" s="7" t="s">
        <v>928</v>
      </c>
      <c r="E90" s="149" t="str">
        <f t="shared" si="5"/>
        <v>02LNX00109</v>
      </c>
      <c r="F90" s="7" t="s">
        <v>694</v>
      </c>
      <c r="G90" s="7"/>
      <c r="H90" s="922">
        <v>0</v>
      </c>
      <c r="I90" s="1100">
        <v>8106.46</v>
      </c>
      <c r="J90" s="922">
        <v>0</v>
      </c>
    </row>
    <row r="91" spans="1:10">
      <c r="A91" s="724" t="s">
        <v>144</v>
      </c>
      <c r="B91" s="724" t="s">
        <v>144</v>
      </c>
      <c r="C91" s="906"/>
      <c r="D91" s="7" t="s">
        <v>929</v>
      </c>
      <c r="E91" s="149" t="str">
        <f t="shared" si="5"/>
        <v>02LNX00110</v>
      </c>
      <c r="F91" s="7" t="s">
        <v>694</v>
      </c>
      <c r="G91" s="7"/>
      <c r="H91" s="922">
        <v>0</v>
      </c>
      <c r="I91" s="1100">
        <v>136046.39000000001</v>
      </c>
      <c r="J91" s="922">
        <v>0</v>
      </c>
    </row>
    <row r="92" spans="1:10">
      <c r="A92" s="724" t="s">
        <v>752</v>
      </c>
      <c r="B92" s="724" t="s">
        <v>695</v>
      </c>
      <c r="C92" s="906"/>
      <c r="D92" s="7" t="s">
        <v>954</v>
      </c>
      <c r="E92" s="149"/>
      <c r="F92" s="7" t="s">
        <v>4</v>
      </c>
      <c r="G92" s="7"/>
      <c r="H92" s="922">
        <v>-17931619</v>
      </c>
      <c r="I92" s="1100">
        <v>75671.41</v>
      </c>
      <c r="J92" s="922">
        <v>0</v>
      </c>
    </row>
    <row r="93" spans="1:10">
      <c r="A93" s="724" t="s">
        <v>144</v>
      </c>
      <c r="B93" s="724" t="s">
        <v>144</v>
      </c>
      <c r="C93" s="906"/>
      <c r="D93" s="7" t="s">
        <v>237</v>
      </c>
      <c r="E93" s="149" t="str">
        <f t="shared" ref="E93:E98" si="6">LEFT(D93,10)</f>
        <v>02LNX00311</v>
      </c>
      <c r="F93" s="7" t="s">
        <v>694</v>
      </c>
      <c r="G93" s="7"/>
      <c r="H93" s="922">
        <v>0</v>
      </c>
      <c r="I93" s="1100">
        <v>179.86</v>
      </c>
      <c r="J93" s="922">
        <v>0</v>
      </c>
    </row>
    <row r="94" spans="1:10">
      <c r="A94" s="724" t="s">
        <v>144</v>
      </c>
      <c r="B94" s="724" t="s">
        <v>144</v>
      </c>
      <c r="C94" s="906"/>
      <c r="D94" s="7" t="s">
        <v>238</v>
      </c>
      <c r="E94" s="149" t="str">
        <f t="shared" si="6"/>
        <v>02LNX00310</v>
      </c>
      <c r="F94" s="7" t="s">
        <v>694</v>
      </c>
      <c r="G94" s="7"/>
      <c r="H94" s="922">
        <v>0</v>
      </c>
      <c r="I94" s="1100">
        <v>8644.0300000000007</v>
      </c>
      <c r="J94" s="922">
        <v>0</v>
      </c>
    </row>
    <row r="95" spans="1:10">
      <c r="A95" s="724" t="s">
        <v>144</v>
      </c>
      <c r="B95" s="724" t="s">
        <v>144</v>
      </c>
      <c r="D95" s="7" t="s">
        <v>239</v>
      </c>
      <c r="E95" s="149" t="str">
        <f t="shared" si="6"/>
        <v>02LNX00312</v>
      </c>
      <c r="F95" s="7" t="s">
        <v>694</v>
      </c>
      <c r="G95" s="7"/>
      <c r="H95" s="1101">
        <v>0</v>
      </c>
      <c r="I95" s="1102">
        <v>33255.83</v>
      </c>
      <c r="J95" s="1101">
        <v>0</v>
      </c>
    </row>
    <row r="96" spans="1:10">
      <c r="A96" s="724">
        <v>40</v>
      </c>
      <c r="B96" s="724">
        <v>40</v>
      </c>
      <c r="D96" s="7" t="s">
        <v>809</v>
      </c>
      <c r="E96" s="149" t="str">
        <f t="shared" si="6"/>
        <v>02NMT40135</v>
      </c>
      <c r="F96" s="7" t="s">
        <v>694</v>
      </c>
      <c r="G96" s="7"/>
      <c r="H96" s="1103">
        <v>75034</v>
      </c>
      <c r="I96" s="1104">
        <v>6609.04</v>
      </c>
      <c r="J96" s="1103">
        <v>3</v>
      </c>
    </row>
    <row r="97" spans="1:10">
      <c r="A97" s="724" t="s">
        <v>174</v>
      </c>
      <c r="B97" s="724">
        <v>40</v>
      </c>
      <c r="D97" s="7" t="s">
        <v>810</v>
      </c>
      <c r="E97" s="149" t="str">
        <f t="shared" si="6"/>
        <v>02NMT40135</v>
      </c>
      <c r="F97" s="7" t="s">
        <v>4</v>
      </c>
      <c r="G97" s="7"/>
      <c r="H97" s="1103">
        <v>75034</v>
      </c>
      <c r="I97" s="1104">
        <v>-316.64999999999998</v>
      </c>
      <c r="J97" s="1103">
        <v>3</v>
      </c>
    </row>
    <row r="98" spans="1:10">
      <c r="A98" s="724"/>
      <c r="D98" s="7" t="s">
        <v>955</v>
      </c>
      <c r="E98" s="149" t="str">
        <f t="shared" si="6"/>
        <v>CUSTOMER C</v>
      </c>
      <c r="F98" s="7" t="s">
        <v>694</v>
      </c>
      <c r="G98" s="7"/>
      <c r="H98" s="1103"/>
      <c r="I98" s="1104"/>
      <c r="J98" s="1103">
        <v>0</v>
      </c>
    </row>
    <row r="99" spans="1:10">
      <c r="A99" s="724"/>
      <c r="D99" s="7" t="s">
        <v>956</v>
      </c>
      <c r="E99" s="149"/>
      <c r="F99" s="7" t="s">
        <v>4</v>
      </c>
      <c r="G99" s="7"/>
      <c r="H99" s="107"/>
      <c r="I99" s="929"/>
      <c r="J99" s="107">
        <v>0</v>
      </c>
    </row>
    <row r="100" spans="1:10">
      <c r="A100" s="724"/>
      <c r="C100" s="906" t="s">
        <v>126</v>
      </c>
      <c r="D100" s="7" t="s">
        <v>31</v>
      </c>
      <c r="E100" s="928"/>
      <c r="F100" s="111" t="s">
        <v>122</v>
      </c>
      <c r="G100" s="111"/>
      <c r="H100" s="107">
        <f>SUM(H77:H97)-H78-H86-H92-H97</f>
        <v>182772432</v>
      </c>
      <c r="I100" s="929">
        <f>SUM(I77:I97)</f>
        <v>15339082.689999998</v>
      </c>
      <c r="J100" s="107">
        <f>SUM(J77:J97)-J78-J86-J92-J97-J84</f>
        <v>5211.7500000000009</v>
      </c>
    </row>
    <row r="101" spans="1:10">
      <c r="A101" s="724"/>
      <c r="D101" s="928"/>
      <c r="E101" s="928"/>
      <c r="F101" s="111"/>
      <c r="G101" s="111"/>
      <c r="H101" s="107"/>
      <c r="I101" s="929"/>
      <c r="J101" s="107"/>
    </row>
    <row r="102" spans="1:10">
      <c r="A102" s="724"/>
      <c r="C102" s="906" t="s">
        <v>99</v>
      </c>
      <c r="D102" s="7" t="s">
        <v>100</v>
      </c>
      <c r="E102" s="7"/>
      <c r="F102" s="7" t="s">
        <v>101</v>
      </c>
      <c r="G102" s="7"/>
      <c r="H102" s="32" t="s">
        <v>102</v>
      </c>
      <c r="I102" s="930" t="s">
        <v>1</v>
      </c>
      <c r="J102" s="931" t="s">
        <v>103</v>
      </c>
    </row>
    <row r="103" spans="1:10">
      <c r="A103" s="724" t="s">
        <v>147</v>
      </c>
      <c r="B103" s="724" t="s">
        <v>147</v>
      </c>
      <c r="C103" s="906" t="s">
        <v>130</v>
      </c>
      <c r="D103" s="921" t="s">
        <v>919</v>
      </c>
      <c r="E103" s="921"/>
      <c r="F103" s="7" t="s">
        <v>693</v>
      </c>
      <c r="G103" s="7"/>
      <c r="H103" s="922">
        <v>132000</v>
      </c>
      <c r="I103" s="1100">
        <v>21000</v>
      </c>
      <c r="J103" s="932">
        <v>0</v>
      </c>
    </row>
    <row r="104" spans="1:10">
      <c r="A104" s="724" t="s">
        <v>228</v>
      </c>
      <c r="B104" s="724" t="s">
        <v>228</v>
      </c>
      <c r="C104" s="906"/>
      <c r="D104" s="921" t="s">
        <v>741</v>
      </c>
      <c r="E104" s="149" t="str">
        <f t="shared" ref="E104:E114" si="7">LEFT(D104,10)</f>
        <v>REVENUE AD</v>
      </c>
      <c r="F104" s="7" t="s">
        <v>694</v>
      </c>
      <c r="G104" s="7"/>
      <c r="H104" s="922">
        <v>0</v>
      </c>
      <c r="I104" s="1100">
        <v>1405.9</v>
      </c>
      <c r="J104" s="932">
        <v>0</v>
      </c>
    </row>
    <row r="105" spans="1:10">
      <c r="A105" s="724" t="s">
        <v>742</v>
      </c>
      <c r="B105" s="724" t="s">
        <v>742</v>
      </c>
      <c r="C105" s="906"/>
      <c r="D105" s="921" t="s">
        <v>664</v>
      </c>
      <c r="E105" s="149" t="str">
        <f t="shared" si="7"/>
        <v>WASHINGTON</v>
      </c>
      <c r="F105" s="7" t="s">
        <v>694</v>
      </c>
      <c r="G105" s="7"/>
      <c r="H105" s="922">
        <v>0</v>
      </c>
      <c r="I105" s="1100">
        <v>-30000</v>
      </c>
      <c r="J105" s="932">
        <v>0</v>
      </c>
    </row>
    <row r="106" spans="1:10">
      <c r="A106" s="724" t="s">
        <v>228</v>
      </c>
      <c r="B106" s="724" t="s">
        <v>228</v>
      </c>
      <c r="C106" s="906"/>
      <c r="D106" s="921" t="s">
        <v>691</v>
      </c>
      <c r="E106" s="149" t="str">
        <f t="shared" si="7"/>
        <v>REVENUE_AC</v>
      </c>
      <c r="F106" s="7" t="s">
        <v>694</v>
      </c>
      <c r="G106" s="7"/>
      <c r="H106" s="922">
        <v>0</v>
      </c>
      <c r="I106" s="1100">
        <v>-25247.8</v>
      </c>
      <c r="J106" s="932">
        <v>0</v>
      </c>
    </row>
    <row r="107" spans="1:10">
      <c r="A107" s="724" t="s">
        <v>743</v>
      </c>
      <c r="B107" s="724" t="s">
        <v>743</v>
      </c>
      <c r="C107" s="906"/>
      <c r="D107" s="921" t="s">
        <v>753</v>
      </c>
      <c r="E107" s="149" t="str">
        <f t="shared" si="7"/>
        <v>301670-DSM</v>
      </c>
      <c r="F107" s="7" t="s">
        <v>694</v>
      </c>
      <c r="G107" s="7"/>
      <c r="H107" s="922">
        <v>0</v>
      </c>
      <c r="I107" s="1100">
        <v>30606.84</v>
      </c>
      <c r="J107" s="932">
        <v>0</v>
      </c>
    </row>
    <row r="108" spans="1:10">
      <c r="A108" s="724" t="s">
        <v>144</v>
      </c>
      <c r="B108" s="724" t="s">
        <v>144</v>
      </c>
      <c r="C108" s="906"/>
      <c r="D108" s="921" t="s">
        <v>944</v>
      </c>
      <c r="E108" s="947" t="str">
        <f t="shared" si="7"/>
        <v>02CFR00012</v>
      </c>
      <c r="F108" s="7" t="s">
        <v>694</v>
      </c>
      <c r="G108" s="7"/>
      <c r="H108" s="922">
        <v>0</v>
      </c>
      <c r="I108" s="1100">
        <v>90.84</v>
      </c>
      <c r="J108" s="932">
        <v>0</v>
      </c>
    </row>
    <row r="109" spans="1:10">
      <c r="A109" s="724">
        <v>52</v>
      </c>
      <c r="B109" s="724">
        <v>52</v>
      </c>
      <c r="C109" s="906"/>
      <c r="D109" s="921" t="s">
        <v>945</v>
      </c>
      <c r="E109" s="149" t="str">
        <f t="shared" si="7"/>
        <v>02COSL0052</v>
      </c>
      <c r="F109" s="7" t="s">
        <v>694</v>
      </c>
      <c r="G109" s="7"/>
      <c r="H109" s="922">
        <v>202401</v>
      </c>
      <c r="I109" s="1100">
        <v>34679.26</v>
      </c>
      <c r="J109" s="932">
        <v>14.166666666666666</v>
      </c>
    </row>
    <row r="110" spans="1:10">
      <c r="A110" s="724" t="s">
        <v>152</v>
      </c>
      <c r="B110" s="724" t="s">
        <v>152</v>
      </c>
      <c r="C110" s="906"/>
      <c r="D110" s="921" t="s">
        <v>946</v>
      </c>
      <c r="E110" s="149" t="str">
        <f t="shared" si="7"/>
        <v>02CUSL053F</v>
      </c>
      <c r="F110" s="7" t="s">
        <v>694</v>
      </c>
      <c r="G110" s="7"/>
      <c r="H110" s="922">
        <v>3447449</v>
      </c>
      <c r="I110" s="1100">
        <v>247377.26</v>
      </c>
      <c r="J110" s="932">
        <v>110.41666666666667</v>
      </c>
    </row>
    <row r="111" spans="1:10">
      <c r="A111" s="724" t="s">
        <v>153</v>
      </c>
      <c r="B111" s="724" t="s">
        <v>153</v>
      </c>
      <c r="C111" s="906"/>
      <c r="D111" s="921" t="s">
        <v>947</v>
      </c>
      <c r="E111" s="149" t="str">
        <f t="shared" si="7"/>
        <v>02CUSL053M</v>
      </c>
      <c r="F111" s="7" t="s">
        <v>694</v>
      </c>
      <c r="G111" s="7"/>
      <c r="H111" s="922">
        <v>1151385</v>
      </c>
      <c r="I111" s="1100">
        <v>81786.179999999993</v>
      </c>
      <c r="J111" s="932">
        <v>105</v>
      </c>
    </row>
    <row r="112" spans="1:10">
      <c r="A112" s="724">
        <v>51</v>
      </c>
      <c r="B112" s="724">
        <v>51</v>
      </c>
      <c r="C112" s="906"/>
      <c r="D112" s="921" t="s">
        <v>948</v>
      </c>
      <c r="E112" s="947" t="str">
        <f t="shared" si="7"/>
        <v>02SLCO0051</v>
      </c>
      <c r="F112" s="7" t="s">
        <v>694</v>
      </c>
      <c r="G112" s="7"/>
      <c r="H112" s="922">
        <v>3892466</v>
      </c>
      <c r="I112" s="1100">
        <v>760182.18</v>
      </c>
      <c r="J112" s="932">
        <v>163.58333333333334</v>
      </c>
    </row>
    <row r="113" spans="1:10">
      <c r="A113" s="724">
        <v>57</v>
      </c>
      <c r="B113" s="724">
        <v>57</v>
      </c>
      <c r="D113" s="7" t="s">
        <v>949</v>
      </c>
      <c r="E113" s="149" t="str">
        <f t="shared" si="7"/>
        <v>02MVSL0057</v>
      </c>
      <c r="F113" s="7" t="s">
        <v>694</v>
      </c>
      <c r="G113" s="7"/>
      <c r="H113" s="922">
        <v>1733378</v>
      </c>
      <c r="I113" s="1100">
        <v>218370.52</v>
      </c>
      <c r="J113" s="932">
        <v>40</v>
      </c>
    </row>
    <row r="114" spans="1:10">
      <c r="A114" s="724"/>
      <c r="D114" s="7" t="s">
        <v>933</v>
      </c>
      <c r="E114" s="149" t="str">
        <f t="shared" si="7"/>
        <v>CUSTOMER C</v>
      </c>
      <c r="F114" s="7" t="s">
        <v>694</v>
      </c>
      <c r="G114" s="7"/>
      <c r="H114" s="922"/>
      <c r="I114" s="1100"/>
      <c r="J114" s="932">
        <v>0</v>
      </c>
    </row>
    <row r="115" spans="1:10">
      <c r="C115" s="906" t="s">
        <v>130</v>
      </c>
      <c r="D115" s="7"/>
      <c r="E115" s="7"/>
      <c r="F115" s="111" t="s">
        <v>122</v>
      </c>
      <c r="G115" s="111"/>
      <c r="H115" s="107">
        <f>SUM(H103:H113)</f>
        <v>10559079</v>
      </c>
      <c r="I115" s="929">
        <f>SUM(I103:I113)</f>
        <v>1340251.1800000002</v>
      </c>
      <c r="J115" s="107">
        <f>SUM(J103:J113)</f>
        <v>433.16666666666669</v>
      </c>
    </row>
    <row r="116" spans="1:10">
      <c r="C116" s="906"/>
      <c r="D116" s="7"/>
      <c r="E116" s="7"/>
      <c r="F116" s="7"/>
      <c r="G116" s="7"/>
      <c r="H116" s="32"/>
      <c r="I116" s="110"/>
      <c r="J116" s="32"/>
    </row>
    <row r="117" spans="1:10">
      <c r="C117" s="906" t="s">
        <v>99</v>
      </c>
      <c r="D117" s="7" t="s">
        <v>100</v>
      </c>
      <c r="E117" s="7"/>
      <c r="F117" s="7" t="s">
        <v>101</v>
      </c>
      <c r="G117" s="7"/>
      <c r="H117" s="32" t="s">
        <v>102</v>
      </c>
      <c r="I117" s="110" t="s">
        <v>1</v>
      </c>
      <c r="J117" s="931" t="s">
        <v>103</v>
      </c>
    </row>
    <row r="118" spans="1:10">
      <c r="A118" s="724" t="s">
        <v>147</v>
      </c>
      <c r="B118" s="724" t="s">
        <v>147</v>
      </c>
      <c r="C118" s="906" t="s">
        <v>137</v>
      </c>
      <c r="D118" s="921" t="s">
        <v>919</v>
      </c>
      <c r="E118" s="921"/>
      <c r="F118" s="7" t="s">
        <v>693</v>
      </c>
      <c r="G118" s="7"/>
      <c r="H118" s="922">
        <v>19861000</v>
      </c>
      <c r="I118" s="1100">
        <v>2026000</v>
      </c>
      <c r="J118" s="922">
        <v>0</v>
      </c>
    </row>
    <row r="119" spans="1:10">
      <c r="A119" s="724" t="s">
        <v>146</v>
      </c>
      <c r="B119" s="724" t="s">
        <v>146</v>
      </c>
      <c r="C119" s="906"/>
      <c r="D119" s="921" t="s">
        <v>920</v>
      </c>
      <c r="E119" s="921"/>
      <c r="F119" s="7" t="s">
        <v>4</v>
      </c>
      <c r="G119" s="7"/>
      <c r="H119" s="922">
        <v>0</v>
      </c>
      <c r="I119" s="1100">
        <v>56582.47</v>
      </c>
      <c r="J119" s="922">
        <v>0</v>
      </c>
    </row>
    <row r="120" spans="1:10">
      <c r="A120" s="724" t="s">
        <v>666</v>
      </c>
      <c r="B120" s="724" t="s">
        <v>666</v>
      </c>
      <c r="C120" s="906"/>
      <c r="D120" s="921" t="s">
        <v>663</v>
      </c>
      <c r="E120" s="149" t="str">
        <f t="shared" ref="E120:E127" si="8">LEFT(D120,10)</f>
        <v>SMUD REVEN</v>
      </c>
      <c r="F120" s="7" t="s">
        <v>694</v>
      </c>
      <c r="G120" s="7"/>
      <c r="H120" s="922">
        <v>0</v>
      </c>
      <c r="I120" s="1100">
        <v>82078.77</v>
      </c>
      <c r="J120" s="922">
        <v>0</v>
      </c>
    </row>
    <row r="121" spans="1:10">
      <c r="A121" s="724" t="s">
        <v>228</v>
      </c>
      <c r="B121" s="724" t="s">
        <v>228</v>
      </c>
      <c r="C121" s="906"/>
      <c r="D121" s="921" t="s">
        <v>741</v>
      </c>
      <c r="E121" s="149" t="str">
        <f t="shared" si="8"/>
        <v>REVENUE AD</v>
      </c>
      <c r="F121" s="7" t="s">
        <v>694</v>
      </c>
      <c r="G121" s="7"/>
      <c r="H121" s="922">
        <v>0</v>
      </c>
      <c r="I121" s="1100">
        <v>-11787.95</v>
      </c>
      <c r="J121" s="922">
        <v>0</v>
      </c>
    </row>
    <row r="122" spans="1:10">
      <c r="A122" s="724" t="s">
        <v>742</v>
      </c>
      <c r="B122" s="724" t="s">
        <v>742</v>
      </c>
      <c r="C122" s="906"/>
      <c r="D122" s="921" t="s">
        <v>664</v>
      </c>
      <c r="E122" s="149" t="str">
        <f t="shared" si="8"/>
        <v>WASHINGTON</v>
      </c>
      <c r="F122" s="7" t="s">
        <v>694</v>
      </c>
      <c r="G122" s="7"/>
      <c r="H122" s="922">
        <v>0</v>
      </c>
      <c r="I122" s="1100">
        <v>-1320000</v>
      </c>
      <c r="J122" s="922">
        <v>0</v>
      </c>
    </row>
    <row r="123" spans="1:10">
      <c r="A123" s="724" t="s">
        <v>228</v>
      </c>
      <c r="B123" s="724" t="s">
        <v>228</v>
      </c>
      <c r="C123" s="906"/>
      <c r="D123" s="921" t="s">
        <v>691</v>
      </c>
      <c r="E123" s="149" t="str">
        <f t="shared" si="8"/>
        <v>REVENUE_AC</v>
      </c>
      <c r="F123" s="7" t="s">
        <v>694</v>
      </c>
      <c r="G123" s="7"/>
      <c r="H123" s="922">
        <v>0</v>
      </c>
      <c r="I123" s="1100">
        <v>-4051267.76</v>
      </c>
      <c r="J123" s="922">
        <v>0</v>
      </c>
    </row>
    <row r="124" spans="1:10">
      <c r="A124" s="724" t="s">
        <v>743</v>
      </c>
      <c r="B124" s="724" t="s">
        <v>743</v>
      </c>
      <c r="C124" s="906"/>
      <c r="D124" s="921" t="s">
        <v>754</v>
      </c>
      <c r="E124" s="149" t="str">
        <f t="shared" si="8"/>
        <v>301170-DSM</v>
      </c>
      <c r="F124" s="7" t="s">
        <v>694</v>
      </c>
      <c r="G124" s="7"/>
      <c r="H124" s="922">
        <v>0</v>
      </c>
      <c r="I124" s="1100">
        <v>4745733.83</v>
      </c>
      <c r="J124" s="922">
        <v>0</v>
      </c>
    </row>
    <row r="125" spans="1:10">
      <c r="A125" s="724" t="s">
        <v>745</v>
      </c>
      <c r="B125" s="724" t="s">
        <v>745</v>
      </c>
      <c r="C125" s="906"/>
      <c r="D125" s="921" t="s">
        <v>755</v>
      </c>
      <c r="E125" s="149" t="str">
        <f t="shared" si="8"/>
        <v>301180-BLU</v>
      </c>
      <c r="F125" s="7" t="s">
        <v>694</v>
      </c>
      <c r="G125" s="7"/>
      <c r="H125" s="922">
        <v>0</v>
      </c>
      <c r="I125" s="1100">
        <v>113307.88</v>
      </c>
      <c r="J125" s="922">
        <v>0</v>
      </c>
    </row>
    <row r="126" spans="1:10">
      <c r="A126" s="724" t="s">
        <v>144</v>
      </c>
      <c r="B126" s="724" t="s">
        <v>144</v>
      </c>
      <c r="C126" s="906"/>
      <c r="D126" s="921" t="s">
        <v>928</v>
      </c>
      <c r="E126" s="149" t="str">
        <f t="shared" si="8"/>
        <v>02LNX00109</v>
      </c>
      <c r="F126" s="7" t="s">
        <v>694</v>
      </c>
      <c r="G126" s="7"/>
      <c r="H126" s="922">
        <v>0</v>
      </c>
      <c r="I126" s="1100">
        <v>1361.59</v>
      </c>
      <c r="J126" s="922">
        <v>0</v>
      </c>
    </row>
    <row r="127" spans="1:10">
      <c r="A127" s="724">
        <v>16</v>
      </c>
      <c r="B127" s="724">
        <v>16</v>
      </c>
      <c r="C127" s="906"/>
      <c r="D127" s="921" t="s">
        <v>935</v>
      </c>
      <c r="E127" s="149" t="str">
        <f t="shared" si="8"/>
        <v>02RESD0016</v>
      </c>
      <c r="F127" s="7" t="s">
        <v>694</v>
      </c>
      <c r="G127" s="7"/>
      <c r="H127" s="922">
        <v>1419612497</v>
      </c>
      <c r="I127" s="1100">
        <v>129705719.7</v>
      </c>
      <c r="J127" s="922">
        <v>99032.333333333328</v>
      </c>
    </row>
    <row r="128" spans="1:10">
      <c r="A128" s="724" t="s">
        <v>175</v>
      </c>
      <c r="B128" s="724">
        <v>16</v>
      </c>
      <c r="C128" s="906"/>
      <c r="D128" s="921" t="s">
        <v>936</v>
      </c>
      <c r="E128" s="921"/>
      <c r="F128" s="7" t="s">
        <v>4</v>
      </c>
      <c r="G128" s="7"/>
      <c r="H128" s="922">
        <v>1418551267</v>
      </c>
      <c r="I128" s="1100">
        <v>-5986321.0899999999</v>
      </c>
      <c r="J128" s="922">
        <v>99032.333333333328</v>
      </c>
    </row>
    <row r="129" spans="1:12">
      <c r="A129" s="724">
        <v>18</v>
      </c>
      <c r="B129" s="724">
        <v>18</v>
      </c>
      <c r="C129" s="906"/>
      <c r="D129" s="921" t="s">
        <v>937</v>
      </c>
      <c r="E129" s="149" t="str">
        <f>LEFT(D129,10)</f>
        <v>02RESD0018</v>
      </c>
      <c r="F129" s="7" t="s">
        <v>694</v>
      </c>
      <c r="G129" s="7"/>
      <c r="H129" s="922">
        <v>2188990</v>
      </c>
      <c r="I129" s="1100">
        <v>219458.32</v>
      </c>
      <c r="J129" s="922">
        <v>83.333333333333329</v>
      </c>
    </row>
    <row r="130" spans="1:12">
      <c r="A130" s="724" t="s">
        <v>177</v>
      </c>
      <c r="B130" s="724">
        <v>18</v>
      </c>
      <c r="C130" s="906"/>
      <c r="D130" s="921" t="s">
        <v>938</v>
      </c>
      <c r="E130" s="921"/>
      <c r="F130" s="7" t="s">
        <v>4</v>
      </c>
      <c r="G130" s="7"/>
      <c r="H130" s="922">
        <v>2188990</v>
      </c>
      <c r="I130" s="1100">
        <v>-9237.4500000000007</v>
      </c>
      <c r="J130" s="922">
        <v>83.333333333333329</v>
      </c>
    </row>
    <row r="131" spans="1:12">
      <c r="A131" s="724" t="s">
        <v>155</v>
      </c>
      <c r="B131" s="724" t="s">
        <v>155</v>
      </c>
      <c r="C131" s="906"/>
      <c r="D131" s="921" t="s">
        <v>939</v>
      </c>
      <c r="E131" s="149" t="str">
        <f>LEFT(D131,10)</f>
        <v>02RESD018X</v>
      </c>
      <c r="F131" s="7" t="s">
        <v>694</v>
      </c>
      <c r="G131" s="7"/>
      <c r="H131" s="922">
        <v>397063</v>
      </c>
      <c r="I131" s="1100">
        <v>38953.69</v>
      </c>
      <c r="J131" s="922">
        <v>17</v>
      </c>
    </row>
    <row r="132" spans="1:12">
      <c r="A132" s="724" t="s">
        <v>178</v>
      </c>
      <c r="B132" s="724" t="s">
        <v>155</v>
      </c>
      <c r="C132" s="906"/>
      <c r="D132" s="921" t="s">
        <v>940</v>
      </c>
      <c r="E132" s="921"/>
      <c r="F132" s="7" t="s">
        <v>4</v>
      </c>
      <c r="G132" s="7"/>
      <c r="H132" s="922">
        <v>397063</v>
      </c>
      <c r="I132" s="1100">
        <v>-1675.58</v>
      </c>
      <c r="J132" s="922">
        <v>17</v>
      </c>
    </row>
    <row r="133" spans="1:12">
      <c r="A133" s="724" t="s">
        <v>144</v>
      </c>
      <c r="B133" s="724" t="s">
        <v>144</v>
      </c>
      <c r="C133" s="906"/>
      <c r="D133" s="921" t="s">
        <v>941</v>
      </c>
      <c r="E133" s="149" t="str">
        <f t="shared" ref="E133:E135" si="9">LEFT(D133,10)</f>
        <v>02UPPL000R</v>
      </c>
      <c r="F133" s="7" t="s">
        <v>694</v>
      </c>
      <c r="G133" s="7"/>
      <c r="H133" s="922"/>
      <c r="I133" s="1100"/>
      <c r="J133" s="922">
        <v>1.4166666666666667</v>
      </c>
    </row>
    <row r="134" spans="1:12">
      <c r="A134" s="724" t="s">
        <v>745</v>
      </c>
      <c r="B134" s="724" t="s">
        <v>745</v>
      </c>
      <c r="C134" s="906"/>
      <c r="D134" s="921" t="s">
        <v>942</v>
      </c>
      <c r="E134" s="149" t="str">
        <f t="shared" si="9"/>
        <v>02BLSKY01R</v>
      </c>
      <c r="F134" s="7" t="s">
        <v>694</v>
      </c>
      <c r="G134" s="7"/>
      <c r="H134" s="922">
        <v>0</v>
      </c>
      <c r="I134" s="1100">
        <v>-0.11</v>
      </c>
      <c r="J134" s="922">
        <v>0</v>
      </c>
    </row>
    <row r="135" spans="1:12">
      <c r="A135" s="724">
        <v>17</v>
      </c>
      <c r="B135" s="724">
        <v>17</v>
      </c>
      <c r="C135" s="906"/>
      <c r="D135" s="921" t="s">
        <v>943</v>
      </c>
      <c r="E135" s="149" t="str">
        <f t="shared" si="9"/>
        <v>02RESD0017</v>
      </c>
      <c r="F135" s="7" t="s">
        <v>694</v>
      </c>
      <c r="G135" s="7"/>
      <c r="H135" s="922">
        <v>85689625</v>
      </c>
      <c r="I135" s="1100">
        <v>7788978.2800000003</v>
      </c>
      <c r="J135" s="922">
        <v>5978.75</v>
      </c>
    </row>
    <row r="136" spans="1:12">
      <c r="A136" s="724" t="s">
        <v>176</v>
      </c>
      <c r="B136" s="724">
        <v>17</v>
      </c>
      <c r="C136" s="906"/>
      <c r="D136" s="921" t="s">
        <v>140</v>
      </c>
      <c r="E136" s="921"/>
      <c r="F136" s="7" t="s">
        <v>4</v>
      </c>
      <c r="G136" s="7"/>
      <c r="H136" s="922">
        <v>85689624</v>
      </c>
      <c r="I136" s="1100">
        <v>-361610.95</v>
      </c>
      <c r="J136" s="922">
        <v>5978.75</v>
      </c>
    </row>
    <row r="137" spans="1:12">
      <c r="A137" s="724" t="s">
        <v>147</v>
      </c>
      <c r="B137" s="724" t="s">
        <v>147</v>
      </c>
      <c r="C137" s="906"/>
      <c r="D137" s="921" t="s">
        <v>211</v>
      </c>
      <c r="E137" s="149" t="str">
        <f>LEFT(D137,10)</f>
        <v>301119 - U</v>
      </c>
      <c r="F137" s="7" t="s">
        <v>693</v>
      </c>
      <c r="G137" s="7"/>
      <c r="H137" s="922">
        <v>0</v>
      </c>
      <c r="I137" s="1100">
        <v>-1000</v>
      </c>
      <c r="J137" s="922">
        <v>0</v>
      </c>
    </row>
    <row r="138" spans="1:12">
      <c r="A138" s="724" t="s">
        <v>154</v>
      </c>
      <c r="B138" s="724" t="s">
        <v>154</v>
      </c>
      <c r="C138" s="906"/>
      <c r="D138" s="921" t="s">
        <v>225</v>
      </c>
      <c r="E138" s="149" t="str">
        <f>LEFT(D139,10)</f>
        <v>02OALTB15R</v>
      </c>
      <c r="F138" s="7" t="s">
        <v>694</v>
      </c>
      <c r="G138" s="7"/>
      <c r="H138" s="922">
        <v>1027136</v>
      </c>
      <c r="I138" s="1100">
        <v>153289.88</v>
      </c>
      <c r="J138" s="922">
        <v>1107.4166666666667</v>
      </c>
    </row>
    <row r="139" spans="1:12">
      <c r="A139" s="724" t="s">
        <v>235</v>
      </c>
      <c r="B139" s="724" t="s">
        <v>154</v>
      </c>
      <c r="C139" s="906"/>
      <c r="D139" s="921" t="s">
        <v>226</v>
      </c>
      <c r="F139" s="7" t="s">
        <v>4</v>
      </c>
      <c r="G139" s="7"/>
      <c r="H139" s="922">
        <v>1027131</v>
      </c>
      <c r="I139" s="1100">
        <v>-4337.41</v>
      </c>
      <c r="J139" s="922">
        <v>0</v>
      </c>
    </row>
    <row r="140" spans="1:12">
      <c r="A140" s="724">
        <v>135</v>
      </c>
      <c r="B140" s="724">
        <v>135</v>
      </c>
      <c r="C140" s="906"/>
      <c r="D140" s="921" t="s">
        <v>243</v>
      </c>
      <c r="E140" s="149" t="str">
        <f>LEFT(D141,10)</f>
        <v>02NETMT135</v>
      </c>
      <c r="F140" s="7" t="s">
        <v>694</v>
      </c>
      <c r="G140" s="7"/>
      <c r="H140" s="922">
        <v>2901054</v>
      </c>
      <c r="I140" s="1100">
        <v>276110.82</v>
      </c>
      <c r="J140" s="922">
        <v>213.33333333333334</v>
      </c>
    </row>
    <row r="141" spans="1:12">
      <c r="A141" s="724" t="s">
        <v>667</v>
      </c>
      <c r="B141" s="724">
        <v>135</v>
      </c>
      <c r="C141" s="906"/>
      <c r="D141" s="921" t="s">
        <v>665</v>
      </c>
      <c r="F141" s="7" t="s">
        <v>4</v>
      </c>
      <c r="G141" s="7"/>
      <c r="H141" s="922">
        <v>2851312</v>
      </c>
      <c r="I141" s="1100">
        <v>-12032.65</v>
      </c>
      <c r="J141" s="922">
        <v>213.33333333333334</v>
      </c>
    </row>
    <row r="142" spans="1:12">
      <c r="A142" s="724">
        <v>24</v>
      </c>
      <c r="B142" s="724">
        <v>24</v>
      </c>
      <c r="C142" s="906"/>
      <c r="D142" s="921" t="s">
        <v>756</v>
      </c>
      <c r="E142" s="149" t="str">
        <f>LEFT(D143,10)</f>
        <v>02RGNSB024</v>
      </c>
      <c r="F142" s="7" t="s">
        <v>694</v>
      </c>
      <c r="G142" s="7"/>
      <c r="H142" s="922">
        <v>21459037</v>
      </c>
      <c r="I142" s="1100">
        <v>2467279.9700000002</v>
      </c>
      <c r="J142" s="922">
        <v>3463.6666666666665</v>
      </c>
    </row>
    <row r="143" spans="1:12">
      <c r="A143" s="724" t="s">
        <v>234</v>
      </c>
      <c r="B143" s="724">
        <v>24</v>
      </c>
      <c r="C143" s="906"/>
      <c r="D143" s="921" t="s">
        <v>757</v>
      </c>
      <c r="E143" s="149"/>
      <c r="F143" s="7" t="s">
        <v>4</v>
      </c>
      <c r="G143" s="7"/>
      <c r="H143" s="922">
        <v>20754235</v>
      </c>
      <c r="I143" s="1100">
        <v>-87583.64</v>
      </c>
      <c r="J143" s="922">
        <v>3463.6666666666665</v>
      </c>
    </row>
    <row r="144" spans="1:12">
      <c r="C144" s="906"/>
      <c r="D144" s="921" t="s">
        <v>933</v>
      </c>
      <c r="E144" s="149" t="str">
        <f t="shared" ref="E144" si="10">LEFT(D145,10)</f>
        <v>CUSTOMER C</v>
      </c>
      <c r="F144" s="7" t="s">
        <v>694</v>
      </c>
      <c r="G144" s="7"/>
      <c r="H144" s="922"/>
      <c r="I144" s="923"/>
      <c r="J144" s="922">
        <v>0</v>
      </c>
      <c r="L144" s="784"/>
    </row>
    <row r="145" spans="1:13">
      <c r="A145" s="724"/>
      <c r="D145" s="7" t="s">
        <v>120</v>
      </c>
      <c r="E145" s="7"/>
      <c r="F145" s="7" t="s">
        <v>4</v>
      </c>
      <c r="G145" s="7"/>
      <c r="H145" s="922"/>
      <c r="I145" s="923"/>
      <c r="J145" s="922">
        <v>0</v>
      </c>
      <c r="L145" s="933"/>
    </row>
    <row r="146" spans="1:13">
      <c r="C146" s="906" t="s">
        <v>137</v>
      </c>
      <c r="D146" s="7"/>
      <c r="E146" s="7"/>
      <c r="F146" s="111" t="s">
        <v>122</v>
      </c>
      <c r="G146" s="7"/>
      <c r="H146" s="934">
        <f>SUM(H118:H144)-H119-H128-H130-H132-H136-H139-H141-H143</f>
        <v>1553136402</v>
      </c>
      <c r="I146" s="108">
        <f>SUM(I118:I144)</f>
        <v>135828000.60999998</v>
      </c>
      <c r="J146" s="934">
        <f>SUM(J118:J144)-J119-J128-J130-J132-J133-J136-J139-J141-J143</f>
        <v>109895.83333333333</v>
      </c>
    </row>
    <row r="147" spans="1:13">
      <c r="C147" s="906"/>
      <c r="D147" s="7"/>
      <c r="E147" s="7"/>
      <c r="F147" s="7"/>
      <c r="G147" s="7"/>
      <c r="H147" s="934"/>
      <c r="I147" s="108"/>
      <c r="J147" s="934"/>
    </row>
    <row r="148" spans="1:13">
      <c r="C148" s="906"/>
      <c r="D148" s="7"/>
      <c r="E148" s="7"/>
      <c r="F148" s="7"/>
      <c r="G148" s="7"/>
      <c r="H148" s="934"/>
      <c r="I148" s="108"/>
      <c r="J148" s="934"/>
    </row>
    <row r="149" spans="1:13">
      <c r="C149" s="906"/>
      <c r="D149" s="7"/>
      <c r="E149" s="7"/>
      <c r="F149" s="7"/>
      <c r="G149" s="7"/>
      <c r="H149" s="437"/>
      <c r="J149" s="7"/>
      <c r="M149" s="110"/>
    </row>
    <row r="150" spans="1:13">
      <c r="C150" s="906"/>
      <c r="D150" s="7"/>
      <c r="E150" s="7"/>
      <c r="F150" s="7"/>
      <c r="G150" s="7"/>
      <c r="H150" s="7"/>
      <c r="I150" s="110"/>
      <c r="J150" s="7"/>
    </row>
    <row r="151" spans="1:13">
      <c r="C151" s="906"/>
      <c r="D151" s="7"/>
      <c r="E151" s="7"/>
      <c r="F151" s="7"/>
      <c r="G151" s="7"/>
      <c r="H151" s="7"/>
      <c r="I151" s="110"/>
      <c r="J151" s="7"/>
    </row>
    <row r="152" spans="1:13">
      <c r="C152" s="935"/>
      <c r="D152" s="114"/>
      <c r="E152" s="114"/>
      <c r="F152" s="114" t="s">
        <v>122</v>
      </c>
      <c r="G152" s="114"/>
      <c r="H152" s="115">
        <f>H146+H115+H100+H74+H47</f>
        <v>4098021633</v>
      </c>
      <c r="I152" s="936">
        <f>I146+I115+I100+I74+I47</f>
        <v>329745407.28999996</v>
      </c>
      <c r="J152" s="115">
        <f>J146+J115+J100+J74+J47</f>
        <v>133703.16666666666</v>
      </c>
    </row>
    <row r="154" spans="1:13">
      <c r="F154" s="4" t="s">
        <v>162</v>
      </c>
    </row>
    <row r="155" spans="1:13">
      <c r="F155" s="4" t="s">
        <v>161</v>
      </c>
      <c r="H155" s="107">
        <f ca="1">SUMIF(F6:F148,"&lt;&gt;bpa",H6:H146)-H152</f>
        <v>5838411386</v>
      </c>
      <c r="I155" s="107">
        <f>SUMIF($F$7:$F$150,"&lt;&gt;bpa",I7:I150)-I152</f>
        <v>329745407.28999996</v>
      </c>
      <c r="J155" s="107">
        <f>SUMIF($F$7:$F$148,"&lt;&gt;bpa",J7:J149)-J152</f>
        <v>247694.83333333334</v>
      </c>
    </row>
    <row r="156" spans="1:13">
      <c r="F156" s="4" t="s">
        <v>97</v>
      </c>
      <c r="H156" s="115">
        <f ca="1">SUMIF(F6:F148,"=bpa",H6:H146)</f>
        <v>0</v>
      </c>
      <c r="I156" s="937">
        <f ca="1">SUMIF($F$7:$F$148,"=bpa",I$7:I$146)</f>
        <v>0</v>
      </c>
      <c r="J156" s="115">
        <v>0</v>
      </c>
    </row>
    <row r="157" spans="1:13">
      <c r="H157" s="88">
        <f ca="1">SUM(H155:H156)</f>
        <v>5838411386</v>
      </c>
      <c r="I157" s="938">
        <f ca="1">SUM(I155:I156)</f>
        <v>329745407.28999996</v>
      </c>
      <c r="J157" s="88">
        <f>SUM(J155:J156)</f>
        <v>247694.83333333334</v>
      </c>
    </row>
    <row r="159" spans="1:13">
      <c r="I159" s="639"/>
    </row>
    <row r="161" spans="6:11">
      <c r="F161" s="4" t="s">
        <v>169</v>
      </c>
      <c r="H161" s="32">
        <f ca="1">SUMIF($F$7:$F$145,"=regular",H$7:H$143)</f>
        <v>0</v>
      </c>
      <c r="I161" s="107">
        <f ca="1">SUMIF($F$7:$F$143,"=regular",I7:I142)</f>
        <v>0</v>
      </c>
      <c r="J161" s="32">
        <f ca="1">SUMIF($F$7:$F$148,"=regular",J$7:J$146)</f>
        <v>0</v>
      </c>
    </row>
    <row r="162" spans="6:11">
      <c r="F162" s="4" t="s">
        <v>193</v>
      </c>
      <c r="H162" s="32">
        <f ca="1">SUMIF($F$7:$F$148,"UNBILLED",H$7:H$146)</f>
        <v>0</v>
      </c>
      <c r="I162" s="939">
        <f ca="1">SUMIF(F7:F143,"=unbilled",I7:I142)</f>
        <v>0</v>
      </c>
      <c r="J162" s="5"/>
      <c r="K162" s="7"/>
    </row>
    <row r="163" spans="6:11">
      <c r="H163" s="107">
        <f ca="1">SUM(H161:H162)</f>
        <v>0</v>
      </c>
      <c r="I163" s="107">
        <f ca="1">SUM(I161:I162)</f>
        <v>0</v>
      </c>
      <c r="J163" s="59">
        <f ca="1">J161</f>
        <v>0</v>
      </c>
      <c r="K163" s="7"/>
    </row>
    <row r="164" spans="6:11">
      <c r="F164" s="7"/>
      <c r="G164" s="7"/>
      <c r="H164" s="7"/>
      <c r="I164" s="7"/>
      <c r="J164" s="7"/>
      <c r="K164" s="7"/>
    </row>
    <row r="165" spans="6:11">
      <c r="F165" s="7"/>
      <c r="G165" s="7"/>
      <c r="H165" s="922"/>
      <c r="I165" s="940"/>
      <c r="J165" s="922"/>
      <c r="K165" s="7"/>
    </row>
    <row r="166" spans="6:11">
      <c r="F166" s="7"/>
      <c r="G166" s="7"/>
      <c r="H166" s="7"/>
      <c r="I166" s="7"/>
      <c r="J166" s="7"/>
      <c r="K166" s="7"/>
    </row>
    <row r="167" spans="6:11">
      <c r="F167" s="7"/>
      <c r="G167" s="7"/>
      <c r="H167" s="437"/>
      <c r="I167" s="437"/>
      <c r="J167" s="7"/>
    </row>
    <row r="168" spans="6:11">
      <c r="F168" s="7"/>
      <c r="G168" s="7"/>
      <c r="H168" s="7"/>
      <c r="I168" s="941"/>
      <c r="J168" s="7"/>
    </row>
    <row r="169" spans="6:11">
      <c r="H169" s="88"/>
      <c r="I169" s="942"/>
    </row>
  </sheetData>
  <autoFilter ref="A6:J145"/>
  <pageMargins left="0.75" right="0.75" top="1" bottom="1" header="0.5" footer="0.5"/>
  <pageSetup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2:AJ93"/>
  <sheetViews>
    <sheetView view="pageBreakPreview" zoomScale="70" zoomScaleNormal="85" zoomScaleSheetLayoutView="70" workbookViewId="0">
      <pane xSplit="3" ySplit="4" topLeftCell="D5" activePane="bottomRight" state="frozen"/>
      <selection pane="topRight"/>
      <selection pane="bottomLeft"/>
      <selection pane="bottomRight" activeCell="D5" sqref="D5"/>
    </sheetView>
  </sheetViews>
  <sheetFormatPr defaultRowHeight="15.75"/>
  <cols>
    <col min="1" max="1" width="4.875" style="592" bestFit="1" customWidth="1"/>
    <col min="2" max="2" width="2.875" customWidth="1"/>
    <col min="3" max="3" width="16.125" customWidth="1"/>
    <col min="4" max="4" width="15" bestFit="1" customWidth="1"/>
    <col min="5" max="11" width="15.375" bestFit="1" customWidth="1"/>
    <col min="12" max="12" width="16" bestFit="1" customWidth="1"/>
    <col min="13" max="15" width="15.375" bestFit="1" customWidth="1"/>
    <col min="16" max="16" width="17" bestFit="1" customWidth="1"/>
    <col min="17" max="17" width="17.625" style="20" bestFit="1" customWidth="1"/>
    <col min="18" max="19" width="13.25" customWidth="1"/>
    <col min="20" max="20" width="13.25" style="593" customWidth="1"/>
    <col min="21" max="28" width="13.25" customWidth="1"/>
    <col min="29" max="29" width="15.125" style="3" bestFit="1" customWidth="1"/>
    <col min="30" max="30" width="13.875" bestFit="1" customWidth="1"/>
    <col min="31" max="31" width="16.5" customWidth="1"/>
    <col min="32" max="32" width="18.125" bestFit="1" customWidth="1"/>
    <col min="33" max="33" width="17.625" bestFit="1" customWidth="1"/>
    <col min="35" max="35" width="13.75" bestFit="1" customWidth="1"/>
    <col min="36" max="36" width="13.25" bestFit="1" customWidth="1"/>
  </cols>
  <sheetData>
    <row r="2" spans="1:36">
      <c r="C2" s="3" t="s">
        <v>559</v>
      </c>
      <c r="AE2" t="s">
        <v>560</v>
      </c>
    </row>
    <row r="3" spans="1:36">
      <c r="C3" s="594" t="s">
        <v>561</v>
      </c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5" t="s">
        <v>31</v>
      </c>
      <c r="AC3" s="3" t="s">
        <v>9</v>
      </c>
      <c r="AE3" s="746" t="s">
        <v>680</v>
      </c>
    </row>
    <row r="4" spans="1:36">
      <c r="C4" s="594"/>
      <c r="D4" s="594">
        <v>201407</v>
      </c>
      <c r="E4" s="594">
        <v>201408</v>
      </c>
      <c r="F4" s="594">
        <v>201409</v>
      </c>
      <c r="G4" s="594">
        <v>201410</v>
      </c>
      <c r="H4" s="594">
        <v>201411</v>
      </c>
      <c r="I4" s="594">
        <v>201412</v>
      </c>
      <c r="J4" s="594">
        <v>201501</v>
      </c>
      <c r="K4" s="594">
        <v>201502</v>
      </c>
      <c r="L4" s="594">
        <v>201503</v>
      </c>
      <c r="M4" s="594">
        <v>201504</v>
      </c>
      <c r="N4" s="594">
        <v>201505</v>
      </c>
      <c r="O4" s="594">
        <v>201506</v>
      </c>
      <c r="P4" s="594" t="s">
        <v>35</v>
      </c>
      <c r="Q4" s="594">
        <v>201407</v>
      </c>
      <c r="R4" s="594">
        <v>201408</v>
      </c>
      <c r="S4" s="594">
        <v>201409</v>
      </c>
      <c r="T4" s="594">
        <v>201410</v>
      </c>
      <c r="U4" s="594">
        <v>201411</v>
      </c>
      <c r="V4" s="594">
        <v>201412</v>
      </c>
      <c r="W4" s="594">
        <v>201501</v>
      </c>
      <c r="X4" s="594">
        <v>201502</v>
      </c>
      <c r="Y4" s="594">
        <v>201503</v>
      </c>
      <c r="Z4" s="594">
        <v>201504</v>
      </c>
      <c r="AA4" s="594">
        <v>201505</v>
      </c>
      <c r="AB4" s="594">
        <v>201506</v>
      </c>
      <c r="AC4" s="20" t="s">
        <v>193</v>
      </c>
      <c r="AD4" t="s">
        <v>12</v>
      </c>
      <c r="AE4" t="s">
        <v>9</v>
      </c>
      <c r="AF4" s="596" t="s">
        <v>162</v>
      </c>
      <c r="AI4" s="746"/>
      <c r="AJ4" s="746"/>
    </row>
    <row r="5" spans="1:36" s="3" customFormat="1" ht="17.25" customHeight="1">
      <c r="A5" s="53"/>
      <c r="B5" s="20" t="s">
        <v>259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F5" s="636"/>
    </row>
    <row r="6" spans="1:36" s="3" customFormat="1">
      <c r="A6" s="53">
        <v>16</v>
      </c>
      <c r="C6" s="4" t="s">
        <v>48</v>
      </c>
      <c r="D6" s="1361">
        <v>9607249.7820138205</v>
      </c>
      <c r="E6" s="1361">
        <v>11369613.7484909</v>
      </c>
      <c r="F6" s="1361">
        <v>8822172.1724304892</v>
      </c>
      <c r="G6" s="1361">
        <v>7016251.2551160799</v>
      </c>
      <c r="H6" s="1361">
        <v>9550460.6198889688</v>
      </c>
      <c r="I6" s="1361">
        <v>16225796.961186102</v>
      </c>
      <c r="J6" s="1361">
        <v>16311174.785631901</v>
      </c>
      <c r="K6" s="1361">
        <v>12826808.0049814</v>
      </c>
      <c r="L6" s="1361">
        <v>10033749.6573021</v>
      </c>
      <c r="M6" s="1361">
        <v>8215957.4179931497</v>
      </c>
      <c r="N6" s="1361">
        <v>7418815.1817716397</v>
      </c>
      <c r="O6" s="1361">
        <v>8663120.4011168797</v>
      </c>
      <c r="P6" s="748">
        <f t="shared" ref="P6:P12" si="0">SUM(D6:O6)</f>
        <v>126061169.98792341</v>
      </c>
      <c r="Q6" s="1333">
        <f>D6/$P$12*$AC$13</f>
        <v>142612.91405453518</v>
      </c>
      <c r="R6" s="624">
        <f t="shared" ref="Q6:AB10" si="1">E6/$P$12*$AC$13</f>
        <v>168773.97643833444</v>
      </c>
      <c r="S6" s="624">
        <f t="shared" si="1"/>
        <v>130958.9851776929</v>
      </c>
      <c r="T6" s="624">
        <f t="shared" si="1"/>
        <v>104151.35027551578</v>
      </c>
      <c r="U6" s="624">
        <f t="shared" si="1"/>
        <v>141769.91859994599</v>
      </c>
      <c r="V6" s="624">
        <f t="shared" si="1"/>
        <v>240860.62504840191</v>
      </c>
      <c r="W6" s="624">
        <f t="shared" si="1"/>
        <v>242127.99923103707</v>
      </c>
      <c r="X6" s="624">
        <f t="shared" si="1"/>
        <v>190405.00758428231</v>
      </c>
      <c r="Y6" s="624">
        <f t="shared" si="1"/>
        <v>148944.00686869619</v>
      </c>
      <c r="Z6" s="624">
        <f t="shared" si="1"/>
        <v>121960.15048152229</v>
      </c>
      <c r="AA6" s="624">
        <f t="shared" si="1"/>
        <v>110127.13064723746</v>
      </c>
      <c r="AB6" s="624">
        <f t="shared" si="1"/>
        <v>128597.97270198575</v>
      </c>
      <c r="AC6" s="458">
        <f>SUM(Q6:AB6)</f>
        <v>1871290.0371091876</v>
      </c>
      <c r="AD6" s="249">
        <f>Temperature!G22*1000</f>
        <v>2892856.76</v>
      </c>
      <c r="AE6" s="105">
        <f>P6+AC6+AD6</f>
        <v>130825316.7850326</v>
      </c>
      <c r="AF6" s="600">
        <f ca="1">'Table 3'!J13+'Table 3'!J17</f>
        <v>130825316.78502817</v>
      </c>
      <c r="AG6" s="69">
        <f ca="1">AF6-AE6</f>
        <v>-4.4256448745727539E-6</v>
      </c>
      <c r="AI6" s="637"/>
      <c r="AJ6" s="749"/>
    </row>
    <row r="7" spans="1:36" s="3" customFormat="1">
      <c r="A7" s="53">
        <v>17</v>
      </c>
      <c r="C7" s="4" t="s">
        <v>93</v>
      </c>
      <c r="D7" s="1361">
        <v>446503.72286354803</v>
      </c>
      <c r="E7" s="1361">
        <v>509485.49553483899</v>
      </c>
      <c r="F7" s="1361">
        <v>429225.01395935501</v>
      </c>
      <c r="G7" s="1361">
        <v>366562.09673193499</v>
      </c>
      <c r="H7" s="1361">
        <v>560578.965118711</v>
      </c>
      <c r="I7" s="1361">
        <v>1040040.2526332299</v>
      </c>
      <c r="J7" s="1361">
        <v>1066462.21709226</v>
      </c>
      <c r="K7" s="1361">
        <v>883909.30105935596</v>
      </c>
      <c r="L7" s="1361">
        <v>699988.61022806296</v>
      </c>
      <c r="M7" s="1361">
        <v>555956.70223000005</v>
      </c>
      <c r="N7" s="1361">
        <v>485107.65693677397</v>
      </c>
      <c r="O7" s="1361">
        <v>503648.80360645102</v>
      </c>
      <c r="P7" s="637">
        <f t="shared" si="0"/>
        <v>7547468.8379945215</v>
      </c>
      <c r="Q7" s="624">
        <f t="shared" si="1"/>
        <v>6628.0359622773849</v>
      </c>
      <c r="R7" s="624">
        <f t="shared" si="1"/>
        <v>7562.9563959886782</v>
      </c>
      <c r="S7" s="624">
        <f t="shared" si="1"/>
        <v>6371.5455947072305</v>
      </c>
      <c r="T7" s="624">
        <f t="shared" si="1"/>
        <v>5441.3583473962453</v>
      </c>
      <c r="U7" s="624">
        <f t="shared" si="1"/>
        <v>8321.4032722377269</v>
      </c>
      <c r="V7" s="624">
        <f t="shared" si="1"/>
        <v>15438.671266747178</v>
      </c>
      <c r="W7" s="624">
        <f t="shared" si="1"/>
        <v>15830.886878087078</v>
      </c>
      <c r="X7" s="624">
        <f t="shared" si="1"/>
        <v>13121.01632040203</v>
      </c>
      <c r="Y7" s="624">
        <f t="shared" si="1"/>
        <v>10390.842100982927</v>
      </c>
      <c r="Z7" s="624">
        <f t="shared" si="1"/>
        <v>8252.7890074853622</v>
      </c>
      <c r="AA7" s="624">
        <f t="shared" si="1"/>
        <v>7201.0844055955622</v>
      </c>
      <c r="AB7" s="624">
        <f t="shared" si="1"/>
        <v>7476.3147802055282</v>
      </c>
      <c r="AC7" s="458">
        <f t="shared" ref="AC7:AC11" si="2">SUM(Q7:AB7)</f>
        <v>112036.90433211296</v>
      </c>
      <c r="AD7" s="249">
        <f>Temperature!G40*1000</f>
        <v>246374.42</v>
      </c>
      <c r="AE7" s="105">
        <f t="shared" ref="AE7:AE11" si="3">P7+AC7+AD7</f>
        <v>7905880.1623266339</v>
      </c>
      <c r="AF7" s="600">
        <f>'Table 3'!J14</f>
        <v>7905880.1623266628</v>
      </c>
      <c r="AG7" s="69">
        <f t="shared" ref="AG7:AG12" si="4">AF7-AE7</f>
        <v>2.8870999813079834E-8</v>
      </c>
      <c r="AI7" s="637"/>
      <c r="AJ7" s="749"/>
    </row>
    <row r="8" spans="1:36" s="3" customFormat="1">
      <c r="A8" s="53">
        <v>18</v>
      </c>
      <c r="C8" s="4" t="s">
        <v>49</v>
      </c>
      <c r="D8" s="1361">
        <v>17912.02145</v>
      </c>
      <c r="E8" s="1361">
        <v>20935.408008387101</v>
      </c>
      <c r="F8" s="1361">
        <v>16988.68316</v>
      </c>
      <c r="G8" s="1361">
        <v>13904.3489983871</v>
      </c>
      <c r="H8" s="1361">
        <v>16337.0795583871</v>
      </c>
      <c r="I8" s="1361">
        <v>22873.349579999998</v>
      </c>
      <c r="J8" s="1361">
        <v>23957.7857448387</v>
      </c>
      <c r="K8" s="1361">
        <v>18265.2563467742</v>
      </c>
      <c r="L8" s="1361">
        <v>16039.5906483871</v>
      </c>
      <c r="M8" s="1361">
        <v>13928.96788</v>
      </c>
      <c r="N8" s="1361">
        <v>15136.89366</v>
      </c>
      <c r="O8" s="1361">
        <v>17035.0013870968</v>
      </c>
      <c r="P8" s="637">
        <f t="shared" si="0"/>
        <v>213314.3864222581</v>
      </c>
      <c r="Q8" s="624">
        <f t="shared" si="1"/>
        <v>265.89145005620776</v>
      </c>
      <c r="R8" s="624">
        <f t="shared" si="1"/>
        <v>310.77151221636075</v>
      </c>
      <c r="S8" s="624">
        <f t="shared" si="1"/>
        <v>252.18513792913518</v>
      </c>
      <c r="T8" s="624">
        <f t="shared" si="1"/>
        <v>206.40035116018277</v>
      </c>
      <c r="U8" s="624">
        <f t="shared" si="1"/>
        <v>242.51253749270026</v>
      </c>
      <c r="V8" s="624">
        <f t="shared" si="1"/>
        <v>339.53890153859487</v>
      </c>
      <c r="W8" s="624">
        <f t="shared" si="1"/>
        <v>355.63659911936435</v>
      </c>
      <c r="X8" s="624">
        <f t="shared" si="1"/>
        <v>271.13497542691613</v>
      </c>
      <c r="Y8" s="624">
        <f t="shared" si="1"/>
        <v>238.09652236697357</v>
      </c>
      <c r="Z8" s="624">
        <f t="shared" si="1"/>
        <v>206.76580126580529</v>
      </c>
      <c r="AA8" s="624">
        <f t="shared" si="1"/>
        <v>224.69661594805748</v>
      </c>
      <c r="AB8" s="624">
        <f t="shared" si="1"/>
        <v>252.8726996653233</v>
      </c>
      <c r="AC8" s="458">
        <f t="shared" si="2"/>
        <v>3166.5031041856219</v>
      </c>
      <c r="AD8" s="249">
        <f>Temperature!G58*1000</f>
        <v>3176.29</v>
      </c>
      <c r="AE8" s="105">
        <f t="shared" si="3"/>
        <v>219657.17952644374</v>
      </c>
      <c r="AF8" s="600">
        <f ca="1">'Table 3'!J15</f>
        <v>219657.17952644359</v>
      </c>
      <c r="AG8" s="69">
        <f t="shared" ca="1" si="4"/>
        <v>0</v>
      </c>
      <c r="AI8" s="637"/>
      <c r="AJ8" s="749"/>
    </row>
    <row r="9" spans="1:36" s="3" customFormat="1">
      <c r="A9" s="53" t="s">
        <v>155</v>
      </c>
      <c r="C9" s="7" t="s">
        <v>156</v>
      </c>
      <c r="D9" s="1361">
        <v>4354.6368700000003</v>
      </c>
      <c r="E9" s="1361">
        <v>4486.7819300000001</v>
      </c>
      <c r="F9" s="1361">
        <v>3092.2492099999999</v>
      </c>
      <c r="G9" s="1361">
        <v>2334.6866599999998</v>
      </c>
      <c r="H9" s="1361">
        <v>2764.6991400000002</v>
      </c>
      <c r="I9" s="1361">
        <v>4008.7112400000001</v>
      </c>
      <c r="J9" s="1361">
        <v>3965.2495899999999</v>
      </c>
      <c r="K9" s="1361">
        <v>3068.6040699999999</v>
      </c>
      <c r="L9" s="1361">
        <v>2446.8858399999999</v>
      </c>
      <c r="M9" s="1361">
        <v>2263.8265799999999</v>
      </c>
      <c r="N9" s="1361">
        <v>2294.7130000000002</v>
      </c>
      <c r="O9" s="1361">
        <v>2750.85932</v>
      </c>
      <c r="P9" s="637">
        <f t="shared" si="0"/>
        <v>37831.903450000005</v>
      </c>
      <c r="Q9" s="624">
        <f t="shared" si="1"/>
        <v>64.641543393893485</v>
      </c>
      <c r="R9" s="624">
        <f t="shared" si="1"/>
        <v>66.603144529714172</v>
      </c>
      <c r="S9" s="624">
        <f t="shared" si="1"/>
        <v>45.902280135001895</v>
      </c>
      <c r="T9" s="624">
        <f t="shared" si="1"/>
        <v>34.656793103286759</v>
      </c>
      <c r="U9" s="624">
        <f t="shared" si="1"/>
        <v>41.040028081462047</v>
      </c>
      <c r="V9" s="624">
        <f t="shared" si="1"/>
        <v>59.506518984222112</v>
      </c>
      <c r="W9" s="624">
        <f t="shared" si="1"/>
        <v>58.861361140223693</v>
      </c>
      <c r="X9" s="624">
        <f t="shared" si="1"/>
        <v>45.551284543637074</v>
      </c>
      <c r="Y9" s="624">
        <f t="shared" si="1"/>
        <v>36.322311579165842</v>
      </c>
      <c r="Z9" s="624">
        <f t="shared" si="1"/>
        <v>33.604924698880687</v>
      </c>
      <c r="AA9" s="624">
        <f t="shared" si="1"/>
        <v>34.063412035096164</v>
      </c>
      <c r="AB9" s="624">
        <f t="shared" si="1"/>
        <v>40.834585618220864</v>
      </c>
      <c r="AC9" s="458">
        <f t="shared" si="2"/>
        <v>561.58818784280481</v>
      </c>
      <c r="AE9" s="105">
        <f t="shared" si="3"/>
        <v>38393.49163784281</v>
      </c>
      <c r="AF9" s="600">
        <f ca="1">'Table 3'!J16</f>
        <v>38393.491637842795</v>
      </c>
      <c r="AG9" s="69">
        <f t="shared" ca="1" si="4"/>
        <v>0</v>
      </c>
      <c r="AI9" s="637"/>
      <c r="AJ9" s="749"/>
    </row>
    <row r="10" spans="1:36" s="3" customFormat="1">
      <c r="A10" s="53" t="s">
        <v>154</v>
      </c>
      <c r="C10" s="4" t="s">
        <v>50</v>
      </c>
      <c r="D10" s="1361">
        <v>12669.4878097278</v>
      </c>
      <c r="E10" s="1361">
        <v>12592.1686783733</v>
      </c>
      <c r="F10" s="1361">
        <v>12559.924999999899</v>
      </c>
      <c r="G10" s="1361">
        <v>12552.9155219329</v>
      </c>
      <c r="H10" s="1361">
        <v>12544.4196788688</v>
      </c>
      <c r="I10" s="1361">
        <v>12497.4426805399</v>
      </c>
      <c r="J10" s="1361">
        <v>12498.338606323699</v>
      </c>
      <c r="K10" s="1361">
        <v>12526.419308479401</v>
      </c>
      <c r="L10" s="1361">
        <v>12518.7082324112</v>
      </c>
      <c r="M10" s="1361">
        <v>12542.156739513701</v>
      </c>
      <c r="N10" s="1361">
        <v>12577.9745305381</v>
      </c>
      <c r="O10" s="1361">
        <v>12603.1643117596</v>
      </c>
      <c r="P10" s="637">
        <f t="shared" si="0"/>
        <v>150683.12109846828</v>
      </c>
      <c r="Q10" s="624">
        <f t="shared" si="1"/>
        <v>188.06969914598736</v>
      </c>
      <c r="R10" s="624">
        <f t="shared" si="1"/>
        <v>186.92195063472514</v>
      </c>
      <c r="S10" s="624">
        <f t="shared" si="1"/>
        <v>186.44331574576069</v>
      </c>
      <c r="T10" s="624">
        <f t="shared" si="1"/>
        <v>186.3392649387329</v>
      </c>
      <c r="U10" s="624">
        <f t="shared" si="1"/>
        <v>186.21315008128539</v>
      </c>
      <c r="V10" s="624">
        <f t="shared" si="1"/>
        <v>185.51580934619156</v>
      </c>
      <c r="W10" s="624">
        <f t="shared" si="1"/>
        <v>185.52910873880688</v>
      </c>
      <c r="X10" s="624">
        <f t="shared" si="1"/>
        <v>185.94594715291984</v>
      </c>
      <c r="Y10" s="624">
        <f t="shared" si="1"/>
        <v>185.83148161350596</v>
      </c>
      <c r="Z10" s="624">
        <f t="shared" si="1"/>
        <v>186.1795583268206</v>
      </c>
      <c r="AA10" s="624">
        <f t="shared" si="1"/>
        <v>186.71124842220556</v>
      </c>
      <c r="AB10" s="624">
        <f t="shared" si="1"/>
        <v>187.0851731338457</v>
      </c>
      <c r="AC10" s="458">
        <f t="shared" si="2"/>
        <v>2236.7857072807878</v>
      </c>
      <c r="AE10" s="105">
        <f t="shared" si="3"/>
        <v>152919.90680574908</v>
      </c>
      <c r="AF10" s="600">
        <f ca="1">'Table 3'!J21</f>
        <v>152919.90680574314</v>
      </c>
      <c r="AG10" s="69">
        <f t="shared" ca="1" si="4"/>
        <v>-5.9371814131736755E-9</v>
      </c>
      <c r="AI10" s="637"/>
      <c r="AJ10" s="749"/>
    </row>
    <row r="11" spans="1:36" s="3" customFormat="1">
      <c r="A11" s="53">
        <v>24</v>
      </c>
      <c r="C11" s="60" t="s">
        <v>51</v>
      </c>
      <c r="D11" s="1361">
        <v>205118.73991999999</v>
      </c>
      <c r="E11" s="1361">
        <v>219980.97951666702</v>
      </c>
      <c r="F11" s="1361">
        <v>199746.21057</v>
      </c>
      <c r="G11" s="1361">
        <v>173965.34204666698</v>
      </c>
      <c r="H11" s="1361">
        <v>178147.403196667</v>
      </c>
      <c r="I11" s="1361">
        <v>245659.01335333302</v>
      </c>
      <c r="J11" s="1361">
        <v>244680.816383333</v>
      </c>
      <c r="K11" s="1361">
        <v>210446.68794333367</v>
      </c>
      <c r="L11" s="1361">
        <v>181777.037703334</v>
      </c>
      <c r="M11" s="1361">
        <v>169903.54154666601</v>
      </c>
      <c r="N11" s="1361">
        <v>179327.706014667</v>
      </c>
      <c r="O11" s="1361">
        <v>196760.92964766701</v>
      </c>
      <c r="P11" s="637">
        <f t="shared" ref="P11" si="5">SUM(D11:O11)</f>
        <v>2405514.4078423348</v>
      </c>
      <c r="Q11" s="624">
        <f t="shared" ref="Q11" si="6">D11/$P$12*$AC$13</f>
        <v>3044.844455064615</v>
      </c>
      <c r="R11" s="624">
        <f t="shared" ref="R11" si="7">E11/$P$12*$AC$13</f>
        <v>3265.4640232396287</v>
      </c>
      <c r="S11" s="624">
        <f t="shared" ref="S11" si="8">F11/$P$12*$AC$13</f>
        <v>2965.0930086224248</v>
      </c>
      <c r="T11" s="624">
        <f t="shared" ref="T11" si="9">G11/$P$12*$AC$13</f>
        <v>2582.394018756183</v>
      </c>
      <c r="U11" s="624">
        <f t="shared" ref="U11" si="10">H11/$P$12*$AC$13</f>
        <v>2644.4737961001988</v>
      </c>
      <c r="V11" s="624">
        <f t="shared" ref="V11" si="11">I11/$P$12*$AC$13</f>
        <v>3646.6365039940824</v>
      </c>
      <c r="W11" s="624">
        <f t="shared" ref="W11" si="12">J11/$P$12*$AC$13</f>
        <v>3632.1158530714647</v>
      </c>
      <c r="X11" s="624">
        <f t="shared" ref="X11" si="13">K11/$P$12*$AC$13</f>
        <v>3123.9341228445905</v>
      </c>
      <c r="Y11" s="624">
        <f t="shared" ref="Y11" si="14">L11/$P$12*$AC$13</f>
        <v>2698.3531856959353</v>
      </c>
      <c r="Z11" s="624">
        <f t="shared" ref="Z11" si="15">M11/$P$12*$AC$13</f>
        <v>2522.0994267806755</v>
      </c>
      <c r="AA11" s="624">
        <f t="shared" ref="AA11" si="16">N11/$P$12*$AC$13</f>
        <v>2661.9945672012991</v>
      </c>
      <c r="AB11" s="624">
        <f t="shared" ref="AB11" si="17">O11/$P$12*$AC$13</f>
        <v>2920.7785980194694</v>
      </c>
      <c r="AC11" s="458">
        <f t="shared" si="2"/>
        <v>35708.181559390563</v>
      </c>
      <c r="AD11" s="249">
        <f>Temperature!V75*1000</f>
        <v>-45231.24</v>
      </c>
      <c r="AE11" s="105">
        <f t="shared" si="3"/>
        <v>2395991.349401725</v>
      </c>
      <c r="AF11" s="600">
        <f>'Table 3'!J18</f>
        <v>2395991.3494016891</v>
      </c>
      <c r="AG11" s="69">
        <f t="shared" ref="AG11" si="18">AF11-AE11</f>
        <v>-3.5855919122695923E-8</v>
      </c>
      <c r="AI11" s="637"/>
      <c r="AJ11" s="749"/>
    </row>
    <row r="12" spans="1:36" s="3" customFormat="1">
      <c r="A12" s="53"/>
      <c r="B12" s="20" t="s">
        <v>259</v>
      </c>
      <c r="C12" s="5"/>
      <c r="D12" s="637">
        <f>SUM(D6:D11)</f>
        <v>10293808.390927095</v>
      </c>
      <c r="E12" s="637">
        <f t="shared" ref="E12:O12" si="19">SUM(E6:E11)</f>
        <v>12137094.582159165</v>
      </c>
      <c r="F12" s="637">
        <f t="shared" si="19"/>
        <v>9483784.2543298453</v>
      </c>
      <c r="G12" s="637">
        <f t="shared" si="19"/>
        <v>7585570.6450750018</v>
      </c>
      <c r="H12" s="637">
        <f t="shared" si="19"/>
        <v>10320833.186581602</v>
      </c>
      <c r="I12" s="637">
        <f t="shared" si="19"/>
        <v>17550875.730673209</v>
      </c>
      <c r="J12" s="637">
        <f t="shared" si="19"/>
        <v>17662739.193048652</v>
      </c>
      <c r="K12" s="637">
        <f t="shared" si="19"/>
        <v>13955024.273709344</v>
      </c>
      <c r="L12" s="637">
        <f t="shared" si="19"/>
        <v>10946520.489954296</v>
      </c>
      <c r="M12" s="637">
        <f t="shared" si="19"/>
        <v>8970552.6129693277</v>
      </c>
      <c r="N12" s="637">
        <f t="shared" si="19"/>
        <v>8113260.1259136191</v>
      </c>
      <c r="O12" s="637">
        <f t="shared" si="19"/>
        <v>9395919.1593898535</v>
      </c>
      <c r="P12" s="637">
        <f t="shared" si="0"/>
        <v>136415982.64473101</v>
      </c>
      <c r="Q12" s="458">
        <f>SUM(Q6:Q11)</f>
        <v>152804.39716447328</v>
      </c>
      <c r="R12" s="458">
        <f t="shared" ref="R12:AB12" si="20">SUM(R6:R11)</f>
        <v>180166.69346494353</v>
      </c>
      <c r="S12" s="458">
        <f t="shared" si="20"/>
        <v>140780.15451483242</v>
      </c>
      <c r="T12" s="458">
        <f t="shared" si="20"/>
        <v>112602.49905087042</v>
      </c>
      <c r="U12" s="458">
        <f t="shared" si="20"/>
        <v>153205.56138393935</v>
      </c>
      <c r="V12" s="458">
        <f t="shared" si="20"/>
        <v>260530.49404901217</v>
      </c>
      <c r="W12" s="458">
        <f t="shared" si="20"/>
        <v>262191.02903119399</v>
      </c>
      <c r="X12" s="458">
        <f t="shared" si="20"/>
        <v>207152.59023465242</v>
      </c>
      <c r="Y12" s="458">
        <f t="shared" si="20"/>
        <v>162493.45247093472</v>
      </c>
      <c r="Z12" s="458">
        <f t="shared" si="20"/>
        <v>133161.58920007985</v>
      </c>
      <c r="AA12" s="458">
        <f t="shared" si="20"/>
        <v>120435.68089643968</v>
      </c>
      <c r="AB12" s="458">
        <f t="shared" si="20"/>
        <v>139475.85853862815</v>
      </c>
      <c r="AC12" s="602">
        <f>SUM(AC6:AC11)</f>
        <v>2025000.0000000005</v>
      </c>
      <c r="AD12" s="107">
        <f>SUM(AD6:AD11)</f>
        <v>3097176.2299999995</v>
      </c>
      <c r="AE12" s="107">
        <f>SUM(AE6:AE11)</f>
        <v>141538158.874731</v>
      </c>
      <c r="AF12" s="603">
        <f ca="1">SUM(AF6:AF11)</f>
        <v>141538158.87472656</v>
      </c>
      <c r="AG12" s="69">
        <f t="shared" ca="1" si="4"/>
        <v>-4.4405460357666016E-6</v>
      </c>
    </row>
    <row r="13" spans="1:36" s="3" customFormat="1">
      <c r="A13" s="53"/>
      <c r="B13" s="3" t="s">
        <v>266</v>
      </c>
      <c r="C13" s="5"/>
      <c r="D13" s="637"/>
      <c r="E13" s="637"/>
      <c r="F13" s="637"/>
      <c r="G13" s="637"/>
      <c r="H13" s="637"/>
      <c r="I13" s="637"/>
      <c r="J13" s="637"/>
      <c r="K13" s="637"/>
      <c r="L13" s="637"/>
      <c r="M13" s="637"/>
      <c r="N13" s="637"/>
      <c r="O13" s="637"/>
      <c r="P13" s="637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37">
        <f>'Table 3'!D36</f>
        <v>2025000</v>
      </c>
      <c r="AD13" s="107"/>
      <c r="AE13" s="107"/>
      <c r="AF13" s="603"/>
      <c r="AG13" s="69"/>
    </row>
    <row r="14" spans="1:36" s="3" customFormat="1">
      <c r="A14" s="53">
        <v>24</v>
      </c>
      <c r="C14" s="60" t="s">
        <v>51</v>
      </c>
      <c r="D14" s="1357">
        <v>3818178.5749228257</v>
      </c>
      <c r="E14" s="1357">
        <v>4199950.1693004603</v>
      </c>
      <c r="F14" s="1357">
        <v>3909737.0338779632</v>
      </c>
      <c r="G14" s="1357">
        <v>3524575.2479942134</v>
      </c>
      <c r="H14" s="1357">
        <v>3437097.8470900562</v>
      </c>
      <c r="I14" s="1357">
        <v>4116992.7615130637</v>
      </c>
      <c r="J14" s="1357">
        <v>4003302.018244117</v>
      </c>
      <c r="K14" s="1357">
        <v>3657061.1207616036</v>
      </c>
      <c r="L14" s="1357">
        <v>3404496.3094175803</v>
      </c>
      <c r="M14" s="1357">
        <v>3424994.9040503441</v>
      </c>
      <c r="N14" s="1357">
        <v>3217822.5860421136</v>
      </c>
      <c r="O14" s="1357">
        <v>3645892.3482644726</v>
      </c>
      <c r="P14" s="748">
        <f t="shared" ref="P14:P22" si="21">SUM(D14:O14)</f>
        <v>44360100.921478808</v>
      </c>
      <c r="Q14" s="624">
        <f t="shared" ref="Q14:AB21" si="22">D14/$P$22*$AC$23</f>
        <v>30586.407200213554</v>
      </c>
      <c r="R14" s="624">
        <f t="shared" si="22"/>
        <v>33644.677318798858</v>
      </c>
      <c r="S14" s="624">
        <f t="shared" si="22"/>
        <v>31319.857522998016</v>
      </c>
      <c r="T14" s="624">
        <f t="shared" si="22"/>
        <v>28234.429487134101</v>
      </c>
      <c r="U14" s="624">
        <f t="shared" si="22"/>
        <v>27533.671428712234</v>
      </c>
      <c r="V14" s="624">
        <f t="shared" si="22"/>
        <v>32980.127716136347</v>
      </c>
      <c r="W14" s="624">
        <f t="shared" si="22"/>
        <v>32069.381584104205</v>
      </c>
      <c r="X14" s="624">
        <f t="shared" si="22"/>
        <v>29295.738373877557</v>
      </c>
      <c r="Y14" s="624">
        <f t="shared" si="22"/>
        <v>27272.509231335542</v>
      </c>
      <c r="Z14" s="624">
        <f t="shared" si="22"/>
        <v>27436.717989560657</v>
      </c>
      <c r="AA14" s="624">
        <f t="shared" si="22"/>
        <v>25777.1159686311</v>
      </c>
      <c r="AB14" s="624">
        <f t="shared" si="22"/>
        <v>29206.268325051802</v>
      </c>
      <c r="AC14" s="458">
        <f t="shared" ref="AC14:AC21" si="23">SUM(Q14:AB14)</f>
        <v>355356.90214655403</v>
      </c>
      <c r="AD14" s="249">
        <f>Temperature!I75*1000</f>
        <v>-896470.15000000014</v>
      </c>
      <c r="AE14" s="105">
        <f t="shared" ref="AE14:AE21" si="24">P14+AC14+AD14</f>
        <v>43818987.673625365</v>
      </c>
      <c r="AF14" s="600">
        <f>'Table 3'!J41</f>
        <v>43818987.673627555</v>
      </c>
      <c r="AG14" s="69">
        <f t="shared" ref="AG14:AG22" si="25">AF14-AE14</f>
        <v>2.1904706954956055E-6</v>
      </c>
      <c r="AI14" s="637"/>
      <c r="AJ14" s="749"/>
    </row>
    <row r="15" spans="1:36" s="3" customFormat="1">
      <c r="A15" s="53" t="s">
        <v>143</v>
      </c>
      <c r="C15" s="60" t="s">
        <v>52</v>
      </c>
      <c r="D15" s="1357">
        <v>13684.781873983929</v>
      </c>
      <c r="E15" s="1357">
        <v>13684.781873983929</v>
      </c>
      <c r="F15" s="1357">
        <v>13684.781873983929</v>
      </c>
      <c r="G15" s="1357">
        <v>13684.781873983929</v>
      </c>
      <c r="H15" s="1357">
        <v>13684.781873983929</v>
      </c>
      <c r="I15" s="1357">
        <v>13812.186833983929</v>
      </c>
      <c r="J15" s="1357">
        <v>13684.781873983929</v>
      </c>
      <c r="K15" s="1357">
        <v>13684.781873983929</v>
      </c>
      <c r="L15" s="1357">
        <v>13685.410709713529</v>
      </c>
      <c r="M15" s="1357">
        <v>13754.9527652694</v>
      </c>
      <c r="N15" s="1357">
        <v>14074.830179756551</v>
      </c>
      <c r="O15" s="1357">
        <v>14074.830179756551</v>
      </c>
      <c r="P15" s="748">
        <f t="shared" si="21"/>
        <v>165195.68378636747</v>
      </c>
      <c r="Q15" s="624">
        <f t="shared" si="22"/>
        <v>109.62512691073759</v>
      </c>
      <c r="R15" s="624">
        <f t="shared" si="22"/>
        <v>109.62512691073759</v>
      </c>
      <c r="S15" s="624">
        <f t="shared" si="22"/>
        <v>109.62512691073759</v>
      </c>
      <c r="T15" s="624">
        <f t="shared" si="22"/>
        <v>109.62512691073759</v>
      </c>
      <c r="U15" s="624">
        <f t="shared" si="22"/>
        <v>109.62512691073759</v>
      </c>
      <c r="V15" s="624">
        <f t="shared" si="22"/>
        <v>110.64573396444662</v>
      </c>
      <c r="W15" s="624">
        <f t="shared" si="22"/>
        <v>109.62512691073759</v>
      </c>
      <c r="X15" s="624">
        <f t="shared" si="22"/>
        <v>109.62512691073759</v>
      </c>
      <c r="Y15" s="624">
        <f t="shared" si="22"/>
        <v>109.63016434555374</v>
      </c>
      <c r="Z15" s="624">
        <f t="shared" si="22"/>
        <v>110.18724715009877</v>
      </c>
      <c r="AA15" s="624">
        <f t="shared" si="22"/>
        <v>112.74969955028627</v>
      </c>
      <c r="AB15" s="624">
        <f t="shared" si="22"/>
        <v>112.74969955028627</v>
      </c>
      <c r="AC15" s="458">
        <f t="shared" si="23"/>
        <v>1323.3384329358348</v>
      </c>
      <c r="AE15" s="105">
        <f t="shared" si="24"/>
        <v>166519.0222193033</v>
      </c>
      <c r="AF15" s="600">
        <f>'Table 3'!J42</f>
        <v>166519.02221930263</v>
      </c>
      <c r="AG15" s="69">
        <f t="shared" si="25"/>
        <v>-6.6938810050487518E-10</v>
      </c>
      <c r="AI15" s="637"/>
      <c r="AJ15" s="749"/>
    </row>
    <row r="16" spans="1:36" s="3" customFormat="1">
      <c r="A16" s="53" t="s">
        <v>150</v>
      </c>
      <c r="C16" s="61" t="s">
        <v>57</v>
      </c>
      <c r="D16" s="1357">
        <v>2611.1971846575302</v>
      </c>
      <c r="E16" s="1357">
        <v>1881.39557013699</v>
      </c>
      <c r="F16" s="1357">
        <v>2082.3334185844801</v>
      </c>
      <c r="G16" s="1357">
        <v>3175.8017109589</v>
      </c>
      <c r="H16" s="1357">
        <v>41967.253923150703</v>
      </c>
      <c r="I16" s="1357">
        <v>2136.2100799999998</v>
      </c>
      <c r="J16" s="1357">
        <v>1234.49539013699</v>
      </c>
      <c r="K16" s="1357">
        <v>956.56455000000005</v>
      </c>
      <c r="L16" s="1357">
        <v>5710.4987175342403</v>
      </c>
      <c r="M16" s="1357">
        <v>20008.836283680899</v>
      </c>
      <c r="N16" s="1357">
        <v>13926.3761131507</v>
      </c>
      <c r="O16" s="1357">
        <v>2144.2225023287701</v>
      </c>
      <c r="P16" s="637">
        <f t="shared" si="21"/>
        <v>97835.185444320217</v>
      </c>
      <c r="Q16" s="624">
        <f t="shared" si="22"/>
        <v>20.917602150549161</v>
      </c>
      <c r="R16" s="624">
        <f t="shared" si="22"/>
        <v>15.071356638695464</v>
      </c>
      <c r="S16" s="624">
        <f t="shared" si="22"/>
        <v>16.681015991695723</v>
      </c>
      <c r="T16" s="624">
        <f t="shared" si="22"/>
        <v>25.440497978931528</v>
      </c>
      <c r="U16" s="624">
        <f t="shared" si="22"/>
        <v>336.18844492997351</v>
      </c>
      <c r="V16" s="624">
        <f t="shared" si="22"/>
        <v>17.112607514278302</v>
      </c>
      <c r="W16" s="624">
        <f t="shared" si="22"/>
        <v>9.8892123426363483</v>
      </c>
      <c r="X16" s="624">
        <f t="shared" si="22"/>
        <v>7.662782728851389</v>
      </c>
      <c r="Y16" s="624">
        <f t="shared" si="22"/>
        <v>45.745277666676422</v>
      </c>
      <c r="Z16" s="624">
        <f t="shared" si="22"/>
        <v>160.28543510106559</v>
      </c>
      <c r="AA16" s="624">
        <f t="shared" si="22"/>
        <v>111.56047373419777</v>
      </c>
      <c r="AB16" s="624">
        <f t="shared" si="22"/>
        <v>17.176792886229588</v>
      </c>
      <c r="AC16" s="458">
        <f t="shared" si="23"/>
        <v>783.73149966378082</v>
      </c>
      <c r="AE16" s="105">
        <f t="shared" si="24"/>
        <v>98618.916943984004</v>
      </c>
      <c r="AF16" s="600">
        <f>'Table 3'!J43</f>
        <v>98618.91694398399</v>
      </c>
      <c r="AG16" s="69">
        <f t="shared" si="25"/>
        <v>0</v>
      </c>
      <c r="AI16" s="637"/>
      <c r="AJ16" s="749"/>
    </row>
    <row r="17" spans="1:36" s="3" customFormat="1">
      <c r="A17" s="53">
        <v>33</v>
      </c>
      <c r="C17" s="60" t="s">
        <v>267</v>
      </c>
      <c r="D17" s="1357">
        <v>0</v>
      </c>
      <c r="E17" s="1357">
        <v>0</v>
      </c>
      <c r="F17" s="1357">
        <v>0</v>
      </c>
      <c r="G17" s="1357">
        <v>0</v>
      </c>
      <c r="H17" s="1357">
        <v>0</v>
      </c>
      <c r="I17" s="1357">
        <v>0</v>
      </c>
      <c r="J17" s="1357">
        <v>0</v>
      </c>
      <c r="K17" s="1357">
        <v>0</v>
      </c>
      <c r="L17" s="1357">
        <v>0</v>
      </c>
      <c r="M17" s="1357">
        <v>0</v>
      </c>
      <c r="N17" s="1357">
        <v>0</v>
      </c>
      <c r="O17" s="1357">
        <v>0</v>
      </c>
      <c r="P17" s="637">
        <f t="shared" si="21"/>
        <v>0</v>
      </c>
      <c r="Q17" s="624">
        <f t="shared" si="22"/>
        <v>0</v>
      </c>
      <c r="R17" s="624">
        <f t="shared" si="22"/>
        <v>0</v>
      </c>
      <c r="S17" s="624">
        <f t="shared" si="22"/>
        <v>0</v>
      </c>
      <c r="T17" s="624">
        <f t="shared" si="22"/>
        <v>0</v>
      </c>
      <c r="U17" s="624">
        <f t="shared" si="22"/>
        <v>0</v>
      </c>
      <c r="V17" s="624">
        <f t="shared" si="22"/>
        <v>0</v>
      </c>
      <c r="W17" s="624">
        <f t="shared" si="22"/>
        <v>0</v>
      </c>
      <c r="X17" s="624">
        <f t="shared" si="22"/>
        <v>0</v>
      </c>
      <c r="Y17" s="624">
        <f t="shared" si="22"/>
        <v>0</v>
      </c>
      <c r="Z17" s="624">
        <f t="shared" si="22"/>
        <v>0</v>
      </c>
      <c r="AA17" s="624">
        <f t="shared" si="22"/>
        <v>0</v>
      </c>
      <c r="AB17" s="624">
        <f t="shared" si="22"/>
        <v>0</v>
      </c>
      <c r="AC17" s="458">
        <f t="shared" si="23"/>
        <v>0</v>
      </c>
      <c r="AE17" s="105">
        <f t="shared" si="24"/>
        <v>0</v>
      </c>
      <c r="AF17" s="600">
        <v>0</v>
      </c>
      <c r="AG17" s="69">
        <f t="shared" si="25"/>
        <v>0</v>
      </c>
      <c r="AI17" s="637"/>
      <c r="AJ17" s="749"/>
    </row>
    <row r="18" spans="1:36" s="3" customFormat="1">
      <c r="A18" s="53">
        <v>36</v>
      </c>
      <c r="C18" s="60" t="s">
        <v>53</v>
      </c>
      <c r="D18" s="1357">
        <v>4919667.6796900071</v>
      </c>
      <c r="E18" s="1357">
        <v>5213211.3386433301</v>
      </c>
      <c r="F18" s="1357">
        <v>5695279.2160166642</v>
      </c>
      <c r="G18" s="1357">
        <v>5898357.1990833273</v>
      </c>
      <c r="H18" s="1357">
        <v>5595013.4295333307</v>
      </c>
      <c r="I18" s="1357">
        <v>5615166.6150933402</v>
      </c>
      <c r="J18" s="1357">
        <v>5219253.5384066701</v>
      </c>
      <c r="K18" s="1357">
        <v>4833397.7489500009</v>
      </c>
      <c r="L18" s="1357">
        <v>4723341.137336663</v>
      </c>
      <c r="M18" s="1357">
        <v>4550962.5515300035</v>
      </c>
      <c r="N18" s="1357">
        <v>4854423.9074879978</v>
      </c>
      <c r="O18" s="1357">
        <v>5354725.5626213336</v>
      </c>
      <c r="P18" s="748">
        <f t="shared" si="21"/>
        <v>62472799.924392678</v>
      </c>
      <c r="Q18" s="624">
        <f t="shared" si="22"/>
        <v>39410.141769958936</v>
      </c>
      <c r="R18" s="624">
        <f t="shared" si="22"/>
        <v>41761.641498849538</v>
      </c>
      <c r="S18" s="624">
        <f t="shared" si="22"/>
        <v>45623.358311238662</v>
      </c>
      <c r="T18" s="624">
        <f t="shared" si="22"/>
        <v>47250.161710186701</v>
      </c>
      <c r="U18" s="624">
        <f t="shared" si="22"/>
        <v>44820.155916837582</v>
      </c>
      <c r="V18" s="624">
        <f t="shared" si="22"/>
        <v>44981.597695377859</v>
      </c>
      <c r="W18" s="624">
        <f t="shared" si="22"/>
        <v>41810.043944864075</v>
      </c>
      <c r="X18" s="624">
        <f t="shared" si="22"/>
        <v>38719.056432023586</v>
      </c>
      <c r="Y18" s="624">
        <f t="shared" si="22"/>
        <v>37837.422356553623</v>
      </c>
      <c r="Z18" s="624">
        <f t="shared" si="22"/>
        <v>36456.54361696088</v>
      </c>
      <c r="AA18" s="624">
        <f t="shared" si="22"/>
        <v>38887.491363570087</v>
      </c>
      <c r="AB18" s="624">
        <f t="shared" si="22"/>
        <v>42895.274092055566</v>
      </c>
      <c r="AC18" s="458">
        <f t="shared" si="23"/>
        <v>500452.88870847702</v>
      </c>
      <c r="AD18" s="249">
        <f>Temperature!G110*1000</f>
        <v>-1046644.81</v>
      </c>
      <c r="AE18" s="105">
        <f t="shared" si="24"/>
        <v>61926608.003101155</v>
      </c>
      <c r="AF18" s="600">
        <f>'Table 3'!J46</f>
        <v>61926608.003101073</v>
      </c>
      <c r="AG18" s="69">
        <f t="shared" si="25"/>
        <v>-8.1956386566162109E-8</v>
      </c>
      <c r="AI18" s="637"/>
      <c r="AJ18" s="749"/>
    </row>
    <row r="19" spans="1:36" s="3" customFormat="1">
      <c r="A19" s="53" t="s">
        <v>149</v>
      </c>
      <c r="C19" s="60" t="s">
        <v>54</v>
      </c>
      <c r="D19" s="1357">
        <v>1107023.3418000001</v>
      </c>
      <c r="E19" s="1357">
        <v>1151787.0682000001</v>
      </c>
      <c r="F19" s="1357">
        <v>1272849.5149999999</v>
      </c>
      <c r="G19" s="1357">
        <v>1274316.20992414</v>
      </c>
      <c r="H19" s="1357">
        <v>1222690.20853103</v>
      </c>
      <c r="I19" s="1357">
        <v>1165978.7666</v>
      </c>
      <c r="J19" s="1357">
        <v>1086810.71176552</v>
      </c>
      <c r="K19" s="1357">
        <v>1022850.9057999999</v>
      </c>
      <c r="L19" s="1357">
        <v>995402.61617575702</v>
      </c>
      <c r="M19" s="1357">
        <v>1030851.73260669</v>
      </c>
      <c r="N19" s="1357">
        <v>1035277.0096896599</v>
      </c>
      <c r="O19" s="1357">
        <v>1187312.1631999998</v>
      </c>
      <c r="P19" s="748">
        <f t="shared" si="21"/>
        <v>13553150.249292798</v>
      </c>
      <c r="Q19" s="624">
        <f t="shared" si="22"/>
        <v>8868.0678622058367</v>
      </c>
      <c r="R19" s="624">
        <f t="shared" si="22"/>
        <v>9226.6581000909318</v>
      </c>
      <c r="S19" s="624">
        <f t="shared" si="22"/>
        <v>10196.456977178243</v>
      </c>
      <c r="T19" s="624">
        <f t="shared" si="22"/>
        <v>10208.20627787436</v>
      </c>
      <c r="U19" s="624">
        <f t="shared" si="22"/>
        <v>9794.6441906793225</v>
      </c>
      <c r="V19" s="624">
        <f t="shared" si="22"/>
        <v>9340.3439996913166</v>
      </c>
      <c r="W19" s="624">
        <f t="shared" si="22"/>
        <v>8706.1498898819864</v>
      </c>
      <c r="X19" s="624">
        <f t="shared" si="22"/>
        <v>8193.7849935524355</v>
      </c>
      <c r="Y19" s="624">
        <f t="shared" si="22"/>
        <v>7973.9040877953075</v>
      </c>
      <c r="Z19" s="624">
        <f t="shared" si="22"/>
        <v>8257.8774768781423</v>
      </c>
      <c r="AA19" s="624">
        <f t="shared" si="22"/>
        <v>8293.3271878273536</v>
      </c>
      <c r="AB19" s="624">
        <f t="shared" si="22"/>
        <v>9511.2401331662768</v>
      </c>
      <c r="AC19" s="458">
        <f t="shared" si="23"/>
        <v>108570.66117682151</v>
      </c>
      <c r="AD19" s="249">
        <f>(Temperature!D127+Temperature!H127)*1000</f>
        <v>-214054.01</v>
      </c>
      <c r="AE19" s="105">
        <f t="shared" si="24"/>
        <v>13447666.90046962</v>
      </c>
      <c r="AF19" s="600">
        <f>'Table 3'!J49</f>
        <v>13447666.90046961</v>
      </c>
      <c r="AG19" s="69">
        <f t="shared" si="25"/>
        <v>0</v>
      </c>
      <c r="AI19" s="637"/>
      <c r="AJ19" s="749"/>
    </row>
    <row r="20" spans="1:36" s="3" customFormat="1">
      <c r="A20" s="53" t="s">
        <v>145</v>
      </c>
      <c r="C20" s="60" t="s">
        <v>55</v>
      </c>
      <c r="D20" s="1394">
        <v>23982.507618928099</v>
      </c>
      <c r="E20" s="1394">
        <v>24006.6895000884</v>
      </c>
      <c r="F20" s="1394">
        <v>24067.672257675102</v>
      </c>
      <c r="G20" s="1394">
        <v>24063.187059798202</v>
      </c>
      <c r="H20" s="1394">
        <v>24104.893490891001</v>
      </c>
      <c r="I20" s="1394">
        <v>24178.007036501102</v>
      </c>
      <c r="J20" s="1394">
        <v>24202.116613658101</v>
      </c>
      <c r="K20" s="1394">
        <v>24182.069449304901</v>
      </c>
      <c r="L20" s="1394">
        <v>24070.033185668701</v>
      </c>
      <c r="M20" s="1394">
        <v>24257.799160976399</v>
      </c>
      <c r="N20" s="1394">
        <v>24429.475768472599</v>
      </c>
      <c r="O20" s="1394">
        <v>24467.116193903901</v>
      </c>
      <c r="P20" s="637">
        <f t="shared" si="21"/>
        <v>290011.56733586651</v>
      </c>
      <c r="Q20" s="624">
        <f t="shared" si="22"/>
        <v>192.11745320989479</v>
      </c>
      <c r="R20" s="624">
        <f t="shared" si="22"/>
        <v>192.3111677912122</v>
      </c>
      <c r="S20" s="624">
        <f t="shared" si="22"/>
        <v>192.79968434934003</v>
      </c>
      <c r="T20" s="624">
        <f t="shared" si="22"/>
        <v>192.76375462893947</v>
      </c>
      <c r="U20" s="624">
        <f t="shared" si="22"/>
        <v>193.09785369194566</v>
      </c>
      <c r="V20" s="624">
        <f t="shared" si="22"/>
        <v>193.68354674794085</v>
      </c>
      <c r="W20" s="624">
        <f t="shared" si="22"/>
        <v>193.87668212122912</v>
      </c>
      <c r="X20" s="624">
        <f t="shared" si="22"/>
        <v>193.71608965021588</v>
      </c>
      <c r="Y20" s="624">
        <f t="shared" si="22"/>
        <v>192.81859711194807</v>
      </c>
      <c r="Z20" s="624">
        <f t="shared" si="22"/>
        <v>194.32274011270403</v>
      </c>
      <c r="AA20" s="624">
        <f t="shared" si="22"/>
        <v>195.69799549183099</v>
      </c>
      <c r="AB20" s="624">
        <f t="shared" si="22"/>
        <v>195.99952287114021</v>
      </c>
      <c r="AC20" s="458">
        <f t="shared" si="23"/>
        <v>2323.2050877783413</v>
      </c>
      <c r="AE20" s="105">
        <f t="shared" si="24"/>
        <v>292334.77242364484</v>
      </c>
      <c r="AF20" s="600">
        <f>'Table 3'!J52</f>
        <v>292334.7724236591</v>
      </c>
      <c r="AG20" s="69">
        <f t="shared" si="25"/>
        <v>1.4260876923799515E-8</v>
      </c>
      <c r="AI20" s="637"/>
      <c r="AJ20" s="749"/>
    </row>
    <row r="21" spans="1:36" s="3" customFormat="1">
      <c r="A21" s="53">
        <v>54</v>
      </c>
      <c r="C21" s="60" t="s">
        <v>56</v>
      </c>
      <c r="D21" s="1357">
        <v>2839.7265900000002</v>
      </c>
      <c r="E21" s="1357">
        <v>1907.2326700000001</v>
      </c>
      <c r="F21" s="1357">
        <v>1634.4130500000001</v>
      </c>
      <c r="G21" s="1357">
        <v>2525.08196</v>
      </c>
      <c r="H21" s="1357">
        <v>2738.32015</v>
      </c>
      <c r="I21" s="1357">
        <v>1928.51791</v>
      </c>
      <c r="J21" s="1357">
        <v>1343.2281499999999</v>
      </c>
      <c r="K21" s="1357">
        <v>1670.66922</v>
      </c>
      <c r="L21" s="1357">
        <v>2196.9920099999999</v>
      </c>
      <c r="M21" s="1357">
        <v>1677.26584</v>
      </c>
      <c r="N21" s="1357">
        <v>1299.0841800000001</v>
      </c>
      <c r="O21" s="1357">
        <v>1866.8890799999999</v>
      </c>
      <c r="P21" s="637">
        <f t="shared" si="21"/>
        <v>23627.42081</v>
      </c>
      <c r="Q21" s="624">
        <f t="shared" si="22"/>
        <v>22.748290085088403</v>
      </c>
      <c r="R21" s="624">
        <f t="shared" si="22"/>
        <v>15.278330734268922</v>
      </c>
      <c r="S21" s="624">
        <f t="shared" si="22"/>
        <v>13.092845737749034</v>
      </c>
      <c r="T21" s="624">
        <f t="shared" si="22"/>
        <v>20.227756121656622</v>
      </c>
      <c r="U21" s="624">
        <f t="shared" si="22"/>
        <v>21.935950220490344</v>
      </c>
      <c r="V21" s="624">
        <f t="shared" si="22"/>
        <v>15.448841098103184</v>
      </c>
      <c r="W21" s="624">
        <f t="shared" si="22"/>
        <v>10.760241395865027</v>
      </c>
      <c r="X21" s="624">
        <f t="shared" si="22"/>
        <v>13.383284217086679</v>
      </c>
      <c r="Y21" s="624">
        <f t="shared" si="22"/>
        <v>17.599515296330495</v>
      </c>
      <c r="Z21" s="624">
        <f t="shared" si="22"/>
        <v>13.436127975309578</v>
      </c>
      <c r="AA21" s="624">
        <f t="shared" si="22"/>
        <v>10.406615860715378</v>
      </c>
      <c r="AB21" s="624">
        <f t="shared" si="22"/>
        <v>14.955149026696901</v>
      </c>
      <c r="AC21" s="458">
        <f t="shared" si="23"/>
        <v>189.2729477693606</v>
      </c>
      <c r="AE21" s="105">
        <f t="shared" si="24"/>
        <v>23816.693757769361</v>
      </c>
      <c r="AF21" s="600">
        <f>'Table 3'!J53</f>
        <v>23816.693757769361</v>
      </c>
      <c r="AG21" s="69">
        <f t="shared" si="25"/>
        <v>0</v>
      </c>
      <c r="AI21" s="637"/>
      <c r="AJ21" s="749"/>
    </row>
    <row r="22" spans="1:36" s="3" customFormat="1">
      <c r="A22" s="53"/>
      <c r="B22" s="3" t="s">
        <v>266</v>
      </c>
      <c r="C22" s="5"/>
      <c r="D22" s="637">
        <f t="shared" ref="D22:O22" si="26">SUM(D14:D21)</f>
        <v>9887987.8096804041</v>
      </c>
      <c r="E22" s="637">
        <f t="shared" si="26"/>
        <v>10606428.675757999</v>
      </c>
      <c r="F22" s="637">
        <f t="shared" si="26"/>
        <v>10919334.965494871</v>
      </c>
      <c r="G22" s="637">
        <f t="shared" si="26"/>
        <v>10740697.509606421</v>
      </c>
      <c r="H22" s="637">
        <f t="shared" si="26"/>
        <v>10337296.734592441</v>
      </c>
      <c r="I22" s="637">
        <f t="shared" si="26"/>
        <v>10940193.065066889</v>
      </c>
      <c r="J22" s="637">
        <f t="shared" si="26"/>
        <v>10349830.890444087</v>
      </c>
      <c r="K22" s="637">
        <f t="shared" si="26"/>
        <v>9553803.8606048934</v>
      </c>
      <c r="L22" s="637">
        <f t="shared" si="26"/>
        <v>9168902.9975529164</v>
      </c>
      <c r="M22" s="637">
        <f t="shared" si="26"/>
        <v>9066508.0422369633</v>
      </c>
      <c r="N22" s="637">
        <f t="shared" si="26"/>
        <v>9161253.2694611512</v>
      </c>
      <c r="O22" s="637">
        <f t="shared" si="26"/>
        <v>10230483.132041795</v>
      </c>
      <c r="P22" s="637">
        <f t="shared" si="21"/>
        <v>120962720.95254084</v>
      </c>
      <c r="Q22" s="458">
        <f t="shared" ref="Q22:AF22" si="27">SUM(Q14:Q21)</f>
        <v>79210.02530473459</v>
      </c>
      <c r="R22" s="458">
        <f t="shared" si="27"/>
        <v>84965.262899814246</v>
      </c>
      <c r="S22" s="458">
        <f t="shared" si="27"/>
        <v>87471.871484404444</v>
      </c>
      <c r="T22" s="458">
        <f t="shared" si="27"/>
        <v>86040.85461083542</v>
      </c>
      <c r="U22" s="458">
        <f t="shared" si="27"/>
        <v>82809.318911982278</v>
      </c>
      <c r="V22" s="458">
        <f t="shared" si="27"/>
        <v>87638.960140530296</v>
      </c>
      <c r="W22" s="458">
        <f t="shared" si="27"/>
        <v>82909.726681620741</v>
      </c>
      <c r="X22" s="458">
        <f t="shared" si="27"/>
        <v>76532.967082960473</v>
      </c>
      <c r="Y22" s="458">
        <f t="shared" si="27"/>
        <v>73449.629230104983</v>
      </c>
      <c r="Z22" s="458">
        <f t="shared" si="27"/>
        <v>72629.370633738858</v>
      </c>
      <c r="AA22" s="458">
        <f t="shared" si="27"/>
        <v>73388.349304665579</v>
      </c>
      <c r="AB22" s="458">
        <f t="shared" si="27"/>
        <v>81953.663714608003</v>
      </c>
      <c r="AC22" s="602">
        <f t="shared" si="27"/>
        <v>969000</v>
      </c>
      <c r="AD22" s="107">
        <f t="shared" si="27"/>
        <v>-2157168.9700000002</v>
      </c>
      <c r="AE22" s="107">
        <f t="shared" si="27"/>
        <v>119774551.98254083</v>
      </c>
      <c r="AF22" s="603">
        <f t="shared" si="27"/>
        <v>119774551.98254295</v>
      </c>
      <c r="AG22" s="69">
        <f t="shared" si="25"/>
        <v>2.1159648895263672E-6</v>
      </c>
    </row>
    <row r="23" spans="1:36" s="3" customFormat="1">
      <c r="A23" s="53"/>
      <c r="B23" s="3" t="s">
        <v>269</v>
      </c>
      <c r="C23" s="5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37">
        <f>'Table 3'!D66</f>
        <v>969000</v>
      </c>
      <c r="AD23" s="107"/>
      <c r="AE23" s="107"/>
      <c r="AF23" s="603"/>
      <c r="AG23" s="69"/>
    </row>
    <row r="24" spans="1:36" s="3" customFormat="1">
      <c r="A24" s="53">
        <v>24</v>
      </c>
      <c r="C24" s="60" t="s">
        <v>51</v>
      </c>
      <c r="D24" s="1357">
        <v>123017.33242999999</v>
      </c>
      <c r="E24" s="1357">
        <v>131169.68108000001</v>
      </c>
      <c r="F24" s="1357">
        <v>130701.62349999999</v>
      </c>
      <c r="G24" s="1357">
        <v>131507.51110666699</v>
      </c>
      <c r="H24" s="1357">
        <v>126310.103473333</v>
      </c>
      <c r="I24" s="1357">
        <v>148951.46709333299</v>
      </c>
      <c r="J24" s="1357">
        <v>141428.37197999997</v>
      </c>
      <c r="K24" s="1357">
        <v>130028.64703666633</v>
      </c>
      <c r="L24" s="1357">
        <v>124203.19926666701</v>
      </c>
      <c r="M24" s="1357">
        <v>121592.28837999966</v>
      </c>
      <c r="N24" s="1357">
        <v>108508.06168888901</v>
      </c>
      <c r="O24" s="1357">
        <v>115824.66403499966</v>
      </c>
      <c r="P24" s="748">
        <f t="shared" ref="P24:P32" si="28">SUM(D24:O24)</f>
        <v>1533242.9510705546</v>
      </c>
      <c r="Q24" s="624">
        <f t="shared" ref="Q24:AB31" ca="1" si="29">D24/$P$32*$AC$33</f>
        <v>399.25469311715671</v>
      </c>
      <c r="R24" s="624">
        <f t="shared" ca="1" si="29"/>
        <v>425.71326927179678</v>
      </c>
      <c r="S24" s="624">
        <f t="shared" ca="1" si="29"/>
        <v>424.19418101185249</v>
      </c>
      <c r="T24" s="624">
        <f t="shared" ca="1" si="29"/>
        <v>426.80970195293486</v>
      </c>
      <c r="U24" s="624">
        <f t="shared" ca="1" si="29"/>
        <v>409.94143348489354</v>
      </c>
      <c r="V24" s="624">
        <f t="shared" ca="1" si="29"/>
        <v>483.42433630268022</v>
      </c>
      <c r="W24" s="624">
        <f t="shared" ca="1" si="29"/>
        <v>459.00801242836684</v>
      </c>
      <c r="X24" s="624">
        <f t="shared" ca="1" si="29"/>
        <v>422.01002528325836</v>
      </c>
      <c r="Y24" s="624">
        <f t="shared" ca="1" si="29"/>
        <v>403.10344264373839</v>
      </c>
      <c r="Z24" s="624">
        <f t="shared" ca="1" si="29"/>
        <v>394.62969017145338</v>
      </c>
      <c r="AA24" s="624">
        <f t="shared" ca="1" si="29"/>
        <v>352.16462602931512</v>
      </c>
      <c r="AB24" s="624">
        <f t="shared" ca="1" si="29"/>
        <v>375.91077436998825</v>
      </c>
      <c r="AC24" s="458">
        <f t="shared" ref="AC24:AC31" ca="1" si="30">SUM(Q24:AB24)</f>
        <v>4976.1641860674354</v>
      </c>
      <c r="AE24" s="105">
        <f t="shared" ref="AE24:AE31" ca="1" si="31">P24+AC24+AD24</f>
        <v>1538219.115256622</v>
      </c>
      <c r="AF24" s="600">
        <f ca="1">'Table 3'!J71</f>
        <v>1538219.1152566243</v>
      </c>
      <c r="AG24" s="69">
        <f t="shared" ref="AG24:AG32" ca="1" si="32">AF24-AE24</f>
        <v>2.3283064365386963E-9</v>
      </c>
      <c r="AI24" s="637"/>
      <c r="AJ24" s="749"/>
    </row>
    <row r="25" spans="1:36" s="3" customFormat="1">
      <c r="A25" s="53" t="s">
        <v>143</v>
      </c>
      <c r="C25" s="60" t="s">
        <v>52</v>
      </c>
      <c r="D25" s="1357">
        <v>662.09583999999995</v>
      </c>
      <c r="E25" s="1357">
        <v>662.09583999999995</v>
      </c>
      <c r="F25" s="1357">
        <v>662.09583999999995</v>
      </c>
      <c r="G25" s="1357">
        <v>662.09583999999995</v>
      </c>
      <c r="H25" s="1357">
        <v>662.09583999999995</v>
      </c>
      <c r="I25" s="1357">
        <v>662.09583999999995</v>
      </c>
      <c r="J25" s="1357">
        <v>662.09583999999995</v>
      </c>
      <c r="K25" s="1357">
        <v>662.09583999999995</v>
      </c>
      <c r="L25" s="1357">
        <v>662.12584000000004</v>
      </c>
      <c r="M25" s="1357">
        <v>678.22677958333304</v>
      </c>
      <c r="N25" s="1357">
        <v>702.86424</v>
      </c>
      <c r="O25" s="1357">
        <v>702.86424</v>
      </c>
      <c r="P25" s="637">
        <f t="shared" si="28"/>
        <v>8042.8478195833322</v>
      </c>
      <c r="Q25" s="624">
        <f t="shared" ca="1" si="29"/>
        <v>2.1488424939125146</v>
      </c>
      <c r="R25" s="624">
        <f t="shared" ca="1" si="29"/>
        <v>2.1488424939125146</v>
      </c>
      <c r="S25" s="624">
        <f t="shared" ca="1" si="29"/>
        <v>2.1488424939125146</v>
      </c>
      <c r="T25" s="624">
        <f t="shared" ca="1" si="29"/>
        <v>2.1488424939125146</v>
      </c>
      <c r="U25" s="624">
        <f t="shared" ca="1" si="29"/>
        <v>2.1488424939125146</v>
      </c>
      <c r="V25" s="624">
        <f t="shared" ca="1" si="29"/>
        <v>2.1488424939125146</v>
      </c>
      <c r="W25" s="624">
        <f t="shared" ca="1" si="29"/>
        <v>2.1488424939125146</v>
      </c>
      <c r="X25" s="624">
        <f t="shared" ca="1" si="29"/>
        <v>2.1488424939125146</v>
      </c>
      <c r="Y25" s="624">
        <f t="shared" ca="1" si="29"/>
        <v>2.1489398593857936</v>
      </c>
      <c r="Z25" s="624">
        <f t="shared" ca="1" si="29"/>
        <v>2.2011957128111588</v>
      </c>
      <c r="AA25" s="624">
        <f t="shared" ca="1" si="29"/>
        <v>2.2811569792728563</v>
      </c>
      <c r="AB25" s="624">
        <f t="shared" ca="1" si="29"/>
        <v>2.2811569792728563</v>
      </c>
      <c r="AC25" s="458">
        <f t="shared" ca="1" si="30"/>
        <v>26.103189482042787</v>
      </c>
      <c r="AE25" s="105">
        <f t="shared" ca="1" si="31"/>
        <v>8068.9510090653748</v>
      </c>
      <c r="AF25" s="600">
        <f ca="1">'Table 3'!J72</f>
        <v>8068.9510090653839</v>
      </c>
      <c r="AG25" s="69">
        <f t="shared" ca="1" si="32"/>
        <v>9.0949470177292824E-12</v>
      </c>
      <c r="AI25" s="637"/>
      <c r="AJ25" s="749"/>
    </row>
    <row r="26" spans="1:36" s="3" customFormat="1">
      <c r="A26" s="53" t="s">
        <v>150</v>
      </c>
      <c r="C26" s="60" t="s">
        <v>57</v>
      </c>
      <c r="D26" s="1357">
        <v>344.22483999999997</v>
      </c>
      <c r="E26" s="1357">
        <v>106.88176</v>
      </c>
      <c r="F26" s="1357">
        <v>71.995050000000006</v>
      </c>
      <c r="G26" s="1357">
        <v>35.324190000000002</v>
      </c>
      <c r="H26" s="1357">
        <v>808.77743999999996</v>
      </c>
      <c r="I26" s="1357">
        <v>1.96821</v>
      </c>
      <c r="J26" s="1357">
        <v>1.7610300000000001</v>
      </c>
      <c r="K26" s="1357">
        <v>2.0718000000000001</v>
      </c>
      <c r="L26" s="1357">
        <v>239.50904</v>
      </c>
      <c r="M26" s="1357">
        <v>325.35798</v>
      </c>
      <c r="N26" s="1357">
        <v>25.80903</v>
      </c>
      <c r="O26" s="1357">
        <v>29.884139999999999</v>
      </c>
      <c r="P26" s="637">
        <f t="shared" si="28"/>
        <v>1993.5645099999995</v>
      </c>
      <c r="Q26" s="624">
        <f t="shared" ca="1" si="29"/>
        <v>1.1171871486947211</v>
      </c>
      <c r="R26" s="624">
        <f t="shared" ca="1" si="29"/>
        <v>0.34688643824156767</v>
      </c>
      <c r="S26" s="624">
        <f t="shared" ca="1" si="29"/>
        <v>0.23366107056548824</v>
      </c>
      <c r="T26" s="624">
        <f t="shared" ca="1" si="29"/>
        <v>0.11464521591774315</v>
      </c>
      <c r="U26" s="624">
        <f t="shared" ca="1" si="29"/>
        <v>2.6248999407544673</v>
      </c>
      <c r="V26" s="624">
        <f t="shared" ca="1" si="29"/>
        <v>6.3878566053874484E-3</v>
      </c>
      <c r="W26" s="624">
        <f t="shared" ca="1" si="29"/>
        <v>5.7154506469256116E-3</v>
      </c>
      <c r="X26" s="624">
        <f t="shared" ca="1" si="29"/>
        <v>6.7240595846183668E-3</v>
      </c>
      <c r="Y26" s="624">
        <f t="shared" ca="1" si="29"/>
        <v>0.77733036780323561</v>
      </c>
      <c r="Z26" s="624">
        <f t="shared" ca="1" si="29"/>
        <v>1.0559544569220343</v>
      </c>
      <c r="AA26" s="624">
        <f t="shared" ca="1" si="29"/>
        <v>8.3763614027031058E-2</v>
      </c>
      <c r="AB26" s="624">
        <f t="shared" ca="1" si="29"/>
        <v>9.6989447820772803E-2</v>
      </c>
      <c r="AC26" s="458">
        <f t="shared" ca="1" si="30"/>
        <v>6.4701450675839931</v>
      </c>
      <c r="AE26" s="105">
        <f t="shared" ca="1" si="31"/>
        <v>2000.0346550675836</v>
      </c>
      <c r="AF26" s="600">
        <f ca="1">'Table 3'!J73</f>
        <v>2000.0346550675836</v>
      </c>
      <c r="AG26" s="69">
        <f t="shared" ca="1" si="32"/>
        <v>0</v>
      </c>
      <c r="AI26" s="637"/>
      <c r="AJ26" s="749"/>
    </row>
    <row r="27" spans="1:36" s="3" customFormat="1">
      <c r="A27" s="53">
        <v>36</v>
      </c>
      <c r="C27" s="60" t="s">
        <v>53</v>
      </c>
      <c r="D27" s="1357">
        <v>648070.84260000009</v>
      </c>
      <c r="E27" s="1357">
        <v>691060.81473333307</v>
      </c>
      <c r="F27" s="1357">
        <v>748311.42700000003</v>
      </c>
      <c r="G27" s="1357">
        <v>798316.77913333301</v>
      </c>
      <c r="H27" s="1357">
        <v>761139.07166666689</v>
      </c>
      <c r="I27" s="1357">
        <v>696367.47145333292</v>
      </c>
      <c r="J27" s="1357">
        <v>642183.95660000003</v>
      </c>
      <c r="K27" s="1357">
        <v>627309.15740000003</v>
      </c>
      <c r="L27" s="1357">
        <v>641437.07285999996</v>
      </c>
      <c r="M27" s="1357">
        <v>613118.17265666672</v>
      </c>
      <c r="N27" s="1357">
        <v>631318.79197999998</v>
      </c>
      <c r="O27" s="1357">
        <v>676800.91706000001</v>
      </c>
      <c r="P27" s="748">
        <f t="shared" si="28"/>
        <v>8175434.475143332</v>
      </c>
      <c r="Q27" s="624">
        <f t="shared" ca="1" si="29"/>
        <v>2103.3241435931227</v>
      </c>
      <c r="R27" s="624">
        <f t="shared" ca="1" si="29"/>
        <v>2242.8487763596127</v>
      </c>
      <c r="S27" s="624">
        <f t="shared" ca="1" si="29"/>
        <v>2428.6565416540193</v>
      </c>
      <c r="T27" s="624">
        <f t="shared" ca="1" si="29"/>
        <v>2590.9497008848111</v>
      </c>
      <c r="U27" s="624">
        <f t="shared" ca="1" si="29"/>
        <v>2470.2888647879995</v>
      </c>
      <c r="V27" s="624">
        <f t="shared" ca="1" si="29"/>
        <v>2260.0716144619364</v>
      </c>
      <c r="W27" s="624">
        <f t="shared" ca="1" si="29"/>
        <v>2084.2181622088888</v>
      </c>
      <c r="X27" s="624">
        <f t="shared" ca="1" si="29"/>
        <v>2035.9417667411631</v>
      </c>
      <c r="Y27" s="624">
        <f t="shared" ca="1" si="29"/>
        <v>2081.7941392479161</v>
      </c>
      <c r="Z27" s="624">
        <f t="shared" ca="1" si="29"/>
        <v>1989.8847018803738</v>
      </c>
      <c r="AA27" s="624">
        <f t="shared" ca="1" si="29"/>
        <v>2048.9550990263574</v>
      </c>
      <c r="AB27" s="624">
        <f t="shared" ca="1" si="29"/>
        <v>2196.5680534973417</v>
      </c>
      <c r="AC27" s="458">
        <f t="shared" ca="1" si="30"/>
        <v>26533.50156434354</v>
      </c>
      <c r="AE27" s="105">
        <f t="shared" ca="1" si="31"/>
        <v>8201967.9767076755</v>
      </c>
      <c r="AF27" s="600">
        <f ca="1">'Table 3'!J76</f>
        <v>8201967.9767076746</v>
      </c>
      <c r="AG27" s="69">
        <f t="shared" ca="1" si="32"/>
        <v>0</v>
      </c>
      <c r="AI27" s="637"/>
      <c r="AJ27" s="749"/>
    </row>
    <row r="28" spans="1:36" s="3" customFormat="1">
      <c r="A28" s="53">
        <v>47</v>
      </c>
      <c r="C28" s="60" t="s">
        <v>159</v>
      </c>
      <c r="D28" s="1357">
        <v>24741.75</v>
      </c>
      <c r="E28" s="1357">
        <v>23372.97</v>
      </c>
      <c r="F28" s="1357">
        <v>23840.22</v>
      </c>
      <c r="G28" s="1357">
        <v>21879.75</v>
      </c>
      <c r="H28" s="1357">
        <v>32148.678500000002</v>
      </c>
      <c r="I28" s="1357">
        <v>28217.83</v>
      </c>
      <c r="J28" s="1357">
        <v>38051.51</v>
      </c>
      <c r="K28" s="1357">
        <v>23588.63</v>
      </c>
      <c r="L28" s="1357">
        <v>22711.919999999998</v>
      </c>
      <c r="M28" s="1357">
        <v>22741.91</v>
      </c>
      <c r="N28" s="1357">
        <v>23120.6</v>
      </c>
      <c r="O28" s="1357">
        <v>26753.7</v>
      </c>
      <c r="P28" s="637">
        <f t="shared" si="28"/>
        <v>311169.46850000002</v>
      </c>
      <c r="Q28" s="624">
        <f t="shared" ca="1" si="29"/>
        <v>80.299739949672485</v>
      </c>
      <c r="R28" s="624">
        <f t="shared" ca="1" si="29"/>
        <v>75.85734286586424</v>
      </c>
      <c r="S28" s="624">
        <f t="shared" ca="1" si="29"/>
        <v>77.373810112178049</v>
      </c>
      <c r="T28" s="624">
        <f t="shared" ca="1" si="29"/>
        <v>71.011073798896476</v>
      </c>
      <c r="U28" s="624">
        <f t="shared" ca="1" si="29"/>
        <v>104.3390432477746</v>
      </c>
      <c r="V28" s="624">
        <f t="shared" ca="1" si="29"/>
        <v>91.581412428145413</v>
      </c>
      <c r="W28" s="624">
        <f t="shared" ca="1" si="29"/>
        <v>123.49677600381391</v>
      </c>
      <c r="X28" s="624">
        <f t="shared" ca="1" si="29"/>
        <v>76.55727079810616</v>
      </c>
      <c r="Y28" s="624">
        <f t="shared" ca="1" si="29"/>
        <v>73.711894662170849</v>
      </c>
      <c r="Z28" s="624">
        <f t="shared" ca="1" si="29"/>
        <v>73.809227680291656</v>
      </c>
      <c r="AA28" s="624">
        <f t="shared" ca="1" si="29"/>
        <v>75.038272049487119</v>
      </c>
      <c r="AB28" s="624">
        <f t="shared" ca="1" si="29"/>
        <v>86.829555415100089</v>
      </c>
      <c r="AC28" s="458">
        <f t="shared" ca="1" si="30"/>
        <v>1009.9054190115011</v>
      </c>
      <c r="AD28" s="3">
        <v>0</v>
      </c>
      <c r="AE28" s="105">
        <f t="shared" ca="1" si="31"/>
        <v>312179.3739190115</v>
      </c>
      <c r="AF28" s="600">
        <f ca="1">'Table 3'!J79</f>
        <v>312179.3739190115</v>
      </c>
      <c r="AG28" s="69">
        <f t="shared" ca="1" si="32"/>
        <v>0</v>
      </c>
      <c r="AI28" s="637"/>
      <c r="AJ28" s="749"/>
    </row>
    <row r="29" spans="1:36" s="3" customFormat="1">
      <c r="A29" s="53" t="s">
        <v>570</v>
      </c>
      <c r="C29" s="60" t="s">
        <v>571</v>
      </c>
      <c r="D29" s="1357">
        <v>1861489.21</v>
      </c>
      <c r="E29" s="1357">
        <v>2178987.11</v>
      </c>
      <c r="F29" s="1357">
        <v>2183795.13</v>
      </c>
      <c r="G29" s="1357">
        <v>2153473.62</v>
      </c>
      <c r="H29" s="1357">
        <v>2222436.4500000002</v>
      </c>
      <c r="I29" s="1357">
        <v>2122785.19</v>
      </c>
      <c r="J29" s="1357">
        <v>2264635.21</v>
      </c>
      <c r="K29" s="1357">
        <v>2232783.71</v>
      </c>
      <c r="L29" s="1357">
        <v>2030657.79</v>
      </c>
      <c r="M29" s="1357">
        <v>2198666.8659999999</v>
      </c>
      <c r="N29" s="1357">
        <v>2199121.61</v>
      </c>
      <c r="O29" s="1357">
        <v>2119912</v>
      </c>
      <c r="P29" s="637">
        <f t="shared" si="28"/>
        <v>25768743.895999998</v>
      </c>
      <c r="Q29" s="624">
        <f t="shared" ca="1" si="29"/>
        <v>6041.4925978203355</v>
      </c>
      <c r="R29" s="624">
        <f t="shared" ca="1" si="29"/>
        <v>7071.9370411021209</v>
      </c>
      <c r="S29" s="624">
        <f t="shared" ca="1" si="29"/>
        <v>7087.5415458632151</v>
      </c>
      <c r="T29" s="624">
        <f t="shared" ca="1" si="29"/>
        <v>6989.1326068075159</v>
      </c>
      <c r="U29" s="624">
        <f t="shared" ca="1" si="29"/>
        <v>7212.952559526846</v>
      </c>
      <c r="V29" s="624">
        <f t="shared" ca="1" si="29"/>
        <v>6889.5328231033009</v>
      </c>
      <c r="W29" s="624">
        <f t="shared" ca="1" si="29"/>
        <v>7349.909300832478</v>
      </c>
      <c r="X29" s="624">
        <f t="shared" ca="1" si="29"/>
        <v>7246.5347550947272</v>
      </c>
      <c r="Y29" s="624">
        <f t="shared" ca="1" si="29"/>
        <v>6590.5318930058165</v>
      </c>
      <c r="Z29" s="624">
        <f t="shared" ca="1" si="29"/>
        <v>7135.8079996670167</v>
      </c>
      <c r="AA29" s="624">
        <f t="shared" ca="1" si="29"/>
        <v>7137.2838784930364</v>
      </c>
      <c r="AB29" s="624">
        <f t="shared" ca="1" si="29"/>
        <v>6880.2078396309926</v>
      </c>
      <c r="AC29" s="458">
        <f t="shared" ca="1" si="30"/>
        <v>83632.864840947397</v>
      </c>
      <c r="AE29" s="105">
        <f t="shared" ca="1" si="31"/>
        <v>25852376.760840945</v>
      </c>
      <c r="AF29" s="600">
        <f ca="1">'Table 3'!J81</f>
        <v>25852376.760840949</v>
      </c>
      <c r="AG29" s="69">
        <f t="shared" ca="1" si="32"/>
        <v>0</v>
      </c>
      <c r="AI29" s="637"/>
      <c r="AJ29" s="749"/>
    </row>
    <row r="30" spans="1:36" s="3" customFormat="1">
      <c r="A30" s="53" t="s">
        <v>149</v>
      </c>
      <c r="C30" s="60" t="s">
        <v>54</v>
      </c>
      <c r="D30" s="1357">
        <v>1256097.7660000001</v>
      </c>
      <c r="E30" s="1357">
        <v>1255489.9310000001</v>
      </c>
      <c r="F30" s="1357">
        <v>1271808.594</v>
      </c>
      <c r="G30" s="1357">
        <v>1270915.0723333301</v>
      </c>
      <c r="H30" s="1357">
        <v>1381213.00675862</v>
      </c>
      <c r="I30" s="1357">
        <v>1219628.794</v>
      </c>
      <c r="J30" s="1357">
        <v>1110534.4750000001</v>
      </c>
      <c r="K30" s="1357">
        <v>1133727.8060000001</v>
      </c>
      <c r="L30" s="1357">
        <v>1143717.16133333</v>
      </c>
      <c r="M30" s="1357">
        <v>1157056.9404166699</v>
      </c>
      <c r="N30" s="1357">
        <v>1225192.5015</v>
      </c>
      <c r="O30" s="1357">
        <v>1289048.9939999999</v>
      </c>
      <c r="P30" s="637">
        <f t="shared" si="28"/>
        <v>14714431.042341948</v>
      </c>
      <c r="Q30" s="624">
        <f t="shared" ca="1" si="29"/>
        <v>4076.6851156916782</v>
      </c>
      <c r="R30" s="624">
        <f t="shared" ca="1" si="29"/>
        <v>4074.712377610002</v>
      </c>
      <c r="S30" s="624">
        <f t="shared" ca="1" si="29"/>
        <v>4127.6748558189538</v>
      </c>
      <c r="T30" s="624">
        <f t="shared" ca="1" si="29"/>
        <v>4124.7749171536216</v>
      </c>
      <c r="U30" s="624">
        <f t="shared" ca="1" si="29"/>
        <v>4482.7486033858731</v>
      </c>
      <c r="V30" s="624">
        <f t="shared" ca="1" si="29"/>
        <v>3958.3244917329084</v>
      </c>
      <c r="W30" s="624">
        <f t="shared" ca="1" si="29"/>
        <v>3604.2571583516151</v>
      </c>
      <c r="X30" s="624">
        <f t="shared" ca="1" si="29"/>
        <v>3679.5314800090032</v>
      </c>
      <c r="Y30" s="624">
        <f t="shared" ca="1" si="29"/>
        <v>3711.9520903349203</v>
      </c>
      <c r="Z30" s="624">
        <f t="shared" ca="1" si="29"/>
        <v>3755.2465537976209</v>
      </c>
      <c r="AA30" s="624">
        <f t="shared" ca="1" si="29"/>
        <v>3976.3815921969435</v>
      </c>
      <c r="AB30" s="624">
        <f t="shared" ca="1" si="29"/>
        <v>4183.6288460026853</v>
      </c>
      <c r="AC30" s="458">
        <f t="shared" ca="1" si="30"/>
        <v>47755.918082085824</v>
      </c>
      <c r="AE30" s="105">
        <f t="shared" ca="1" si="31"/>
        <v>14762186.960424034</v>
      </c>
      <c r="AF30" s="600">
        <f ca="1">'Table 3'!J80</f>
        <v>14762186.960424086</v>
      </c>
      <c r="AG30" s="69">
        <f t="shared" ca="1" si="32"/>
        <v>5.2154064178466797E-8</v>
      </c>
      <c r="AI30" s="637"/>
      <c r="AJ30" s="749"/>
    </row>
    <row r="31" spans="1:36" s="3" customFormat="1">
      <c r="A31" s="53" t="s">
        <v>145</v>
      </c>
      <c r="C31" s="60" t="s">
        <v>55</v>
      </c>
      <c r="D31" s="1357">
        <v>1609.21</v>
      </c>
      <c r="E31" s="1357">
        <v>1513.37499784378</v>
      </c>
      <c r="F31" s="1357">
        <v>1510.07</v>
      </c>
      <c r="G31" s="1357">
        <v>1510.42367837338</v>
      </c>
      <c r="H31" s="1357">
        <v>1520.7</v>
      </c>
      <c r="I31" s="1357">
        <v>1511.9307305273301</v>
      </c>
      <c r="J31" s="1357">
        <v>1500.47</v>
      </c>
      <c r="K31" s="1357">
        <v>1500.11632162662</v>
      </c>
      <c r="L31" s="1357">
        <v>1500.4501251061499</v>
      </c>
      <c r="M31" s="1357">
        <v>1500.8238867821599</v>
      </c>
      <c r="N31" s="1357">
        <v>1511.86</v>
      </c>
      <c r="O31" s="1357">
        <v>1511.86</v>
      </c>
      <c r="P31" s="637">
        <f t="shared" si="28"/>
        <v>18201.289740259417</v>
      </c>
      <c r="Q31" s="624">
        <f t="shared" ca="1" si="29"/>
        <v>5.2227164418205048</v>
      </c>
      <c r="R31" s="624">
        <f t="shared" ca="1" si="29"/>
        <v>4.9116824304340518</v>
      </c>
      <c r="S31" s="624">
        <f t="shared" ca="1" si="29"/>
        <v>4.9009560077925745</v>
      </c>
      <c r="T31" s="624">
        <f t="shared" ca="1" si="29"/>
        <v>4.9021038765329932</v>
      </c>
      <c r="U31" s="624">
        <f t="shared" ca="1" si="29"/>
        <v>4.9354558404909499</v>
      </c>
      <c r="V31" s="624">
        <f t="shared" ca="1" si="29"/>
        <v>4.9069950380738208</v>
      </c>
      <c r="W31" s="624">
        <f t="shared" ca="1" si="29"/>
        <v>4.8697990563434308</v>
      </c>
      <c r="X31" s="624">
        <f t="shared" ca="1" si="29"/>
        <v>4.868651187603013</v>
      </c>
      <c r="Y31" s="624">
        <f t="shared" ca="1" si="29"/>
        <v>4.8697345520618951</v>
      </c>
      <c r="Z31" s="624">
        <f t="shared" ca="1" si="29"/>
        <v>4.8709476014778321</v>
      </c>
      <c r="AA31" s="624">
        <f t="shared" ca="1" si="29"/>
        <v>4.9067654810315293</v>
      </c>
      <c r="AB31" s="624">
        <f t="shared" ca="1" si="29"/>
        <v>4.9067654810315293</v>
      </c>
      <c r="AC31" s="458">
        <f t="shared" ca="1" si="30"/>
        <v>59.072572994694113</v>
      </c>
      <c r="AE31" s="105">
        <f t="shared" ca="1" si="31"/>
        <v>18260.362313254111</v>
      </c>
      <c r="AF31" s="600">
        <f ca="1">'Table 3'!J84</f>
        <v>18260.362313254114</v>
      </c>
      <c r="AG31" s="69">
        <f t="shared" ca="1" si="32"/>
        <v>0</v>
      </c>
      <c r="AI31" s="637"/>
      <c r="AJ31" s="749"/>
    </row>
    <row r="32" spans="1:36" s="3" customFormat="1">
      <c r="A32" s="53"/>
      <c r="B32" s="3" t="s">
        <v>269</v>
      </c>
      <c r="C32" s="60"/>
      <c r="D32" s="637">
        <f t="shared" ref="D32:O32" si="33">SUM(D24:D31)</f>
        <v>3916032.4317100001</v>
      </c>
      <c r="E32" s="637">
        <f t="shared" si="33"/>
        <v>4282362.8594111772</v>
      </c>
      <c r="F32" s="637">
        <f t="shared" si="33"/>
        <v>4360701.15539</v>
      </c>
      <c r="G32" s="637">
        <f t="shared" si="33"/>
        <v>4378300.5762817031</v>
      </c>
      <c r="H32" s="637">
        <f t="shared" si="33"/>
        <v>4526238.8836786197</v>
      </c>
      <c r="I32" s="637">
        <f t="shared" si="33"/>
        <v>4218126.7473271927</v>
      </c>
      <c r="J32" s="637">
        <f t="shared" si="33"/>
        <v>4198997.8504499998</v>
      </c>
      <c r="K32" s="637">
        <f t="shared" si="33"/>
        <v>4149602.2343982928</v>
      </c>
      <c r="L32" s="637">
        <f t="shared" si="33"/>
        <v>3965129.2284651031</v>
      </c>
      <c r="M32" s="637">
        <f t="shared" si="33"/>
        <v>4115680.5860997015</v>
      </c>
      <c r="N32" s="637">
        <f t="shared" si="33"/>
        <v>4189502.0984388883</v>
      </c>
      <c r="O32" s="637">
        <f t="shared" si="33"/>
        <v>4230584.883475</v>
      </c>
      <c r="P32" s="637">
        <f t="shared" si="28"/>
        <v>50531259.535125673</v>
      </c>
      <c r="Q32" s="458">
        <f t="shared" ref="Q32:AF32" ca="1" si="34">SUM(Q24:Q31)</f>
        <v>12709.545036256393</v>
      </c>
      <c r="R32" s="458">
        <f t="shared" ca="1" si="34"/>
        <v>13898.476218571985</v>
      </c>
      <c r="S32" s="458">
        <f t="shared" ca="1" si="34"/>
        <v>14152.72439403249</v>
      </c>
      <c r="T32" s="458">
        <f t="shared" ca="1" si="34"/>
        <v>14209.843592184143</v>
      </c>
      <c r="U32" s="458">
        <f t="shared" ca="1" si="34"/>
        <v>14689.979702708544</v>
      </c>
      <c r="V32" s="458">
        <f t="shared" ca="1" si="34"/>
        <v>13689.996903417563</v>
      </c>
      <c r="W32" s="458">
        <f t="shared" ca="1" si="34"/>
        <v>13627.913766826065</v>
      </c>
      <c r="X32" s="458">
        <f t="shared" ca="1" si="34"/>
        <v>13467.599515667358</v>
      </c>
      <c r="Y32" s="458">
        <f t="shared" ca="1" si="34"/>
        <v>12868.889464673812</v>
      </c>
      <c r="Z32" s="458">
        <f t="shared" ca="1" si="34"/>
        <v>13357.506270967966</v>
      </c>
      <c r="AA32" s="458">
        <f t="shared" ca="1" si="34"/>
        <v>13597.095153869472</v>
      </c>
      <c r="AB32" s="458">
        <f t="shared" ca="1" si="34"/>
        <v>13730.429980824232</v>
      </c>
      <c r="AC32" s="607">
        <f t="shared" ca="1" si="34"/>
        <v>164000</v>
      </c>
      <c r="AD32" s="107">
        <f t="shared" si="34"/>
        <v>0</v>
      </c>
      <c r="AE32" s="107">
        <f t="shared" ca="1" si="34"/>
        <v>50695259.53512568</v>
      </c>
      <c r="AF32" s="603">
        <f t="shared" ca="1" si="34"/>
        <v>50695259.53512574</v>
      </c>
      <c r="AG32" s="69">
        <f t="shared" ca="1" si="32"/>
        <v>5.9604644775390625E-8</v>
      </c>
    </row>
    <row r="33" spans="1:36" s="3" customFormat="1">
      <c r="A33" s="53"/>
      <c r="B33" s="60" t="s">
        <v>271</v>
      </c>
      <c r="D33" s="606"/>
      <c r="E33" s="606"/>
      <c r="F33" s="606"/>
      <c r="G33" s="606"/>
      <c r="H33" s="606"/>
      <c r="I33" s="606"/>
      <c r="J33" s="606"/>
      <c r="K33" s="606"/>
      <c r="L33" s="606"/>
      <c r="M33" s="606"/>
      <c r="N33" s="606"/>
      <c r="O33" s="606"/>
      <c r="P33" s="637"/>
      <c r="Q33" s="20"/>
      <c r="R33" s="624"/>
      <c r="S33" s="624"/>
      <c r="T33" s="624"/>
      <c r="U33" s="624"/>
      <c r="V33" s="624"/>
      <c r="W33" s="624"/>
      <c r="X33" s="624"/>
      <c r="Y33" s="624"/>
      <c r="Z33" s="624"/>
      <c r="AA33" s="624"/>
      <c r="AB33" s="624"/>
      <c r="AC33" s="458">
        <f ca="1">'Table 3'!D95</f>
        <v>164000</v>
      </c>
      <c r="AE33" s="105"/>
      <c r="AF33" s="600"/>
      <c r="AG33" s="69"/>
    </row>
    <row r="34" spans="1:36" s="3" customFormat="1">
      <c r="A34" s="53">
        <v>40</v>
      </c>
      <c r="C34" s="60" t="s">
        <v>58</v>
      </c>
      <c r="D34" s="1357">
        <v>1728674.3731104</v>
      </c>
      <c r="E34" s="1357">
        <v>1821818.4803321199</v>
      </c>
      <c r="F34" s="1357">
        <v>1404185.3306541101</v>
      </c>
      <c r="G34" s="1357">
        <v>862041.53238540003</v>
      </c>
      <c r="H34" s="1357">
        <v>2032700.6256777782</v>
      </c>
      <c r="I34" s="1357">
        <v>39368.980628072997</v>
      </c>
      <c r="J34" s="1357">
        <v>19871.3358019466</v>
      </c>
      <c r="K34" s="1357">
        <v>21145.063519951098</v>
      </c>
      <c r="L34" s="1357">
        <v>166594.89954853299</v>
      </c>
      <c r="M34" s="1357">
        <v>581928.90055051702</v>
      </c>
      <c r="N34" s="1357">
        <v>1143911.97081923</v>
      </c>
      <c r="O34" s="1357">
        <v>1416534.53728134</v>
      </c>
      <c r="P34" s="748">
        <f>SUM(D34:O34)</f>
        <v>11238776.0303094</v>
      </c>
      <c r="Q34" s="624">
        <f t="shared" ref="Q34:AB35" ca="1" si="35">D34/$P$36*$AC$37</f>
        <v>21882.603763385596</v>
      </c>
      <c r="R34" s="624">
        <f t="shared" ca="1" si="35"/>
        <v>23061.678100884914</v>
      </c>
      <c r="S34" s="624">
        <f t="shared" ca="1" si="35"/>
        <v>17775.025579730805</v>
      </c>
      <c r="T34" s="624">
        <f t="shared" ca="1" si="35"/>
        <v>10912.24210539432</v>
      </c>
      <c r="U34" s="624">
        <f t="shared" ca="1" si="35"/>
        <v>25731.151599857771</v>
      </c>
      <c r="V34" s="624">
        <f t="shared" ca="1" si="35"/>
        <v>498.35632265574526</v>
      </c>
      <c r="W34" s="624">
        <f t="shared" ca="1" si="35"/>
        <v>251.54336430682145</v>
      </c>
      <c r="X34" s="624">
        <f t="shared" ca="1" si="35"/>
        <v>267.66697867230943</v>
      </c>
      <c r="Y34" s="624">
        <f t="shared" ca="1" si="35"/>
        <v>2108.8588067989799</v>
      </c>
      <c r="Z34" s="624">
        <f t="shared" ca="1" si="35"/>
        <v>7366.4073160852795</v>
      </c>
      <c r="AA34" s="624">
        <f t="shared" ca="1" si="35"/>
        <v>14480.328271767632</v>
      </c>
      <c r="AB34" s="624">
        <f t="shared" ca="1" si="35"/>
        <v>17931.349292061666</v>
      </c>
      <c r="AC34" s="458">
        <f ca="1">SUM(Q34:AB34)</f>
        <v>142267.21150160185</v>
      </c>
      <c r="AD34" s="249">
        <f>Temperature!D92*1000</f>
        <v>-1819272.47</v>
      </c>
      <c r="AE34" s="105">
        <f ca="1">P34+AC34+AD34</f>
        <v>9561770.771811001</v>
      </c>
      <c r="AF34" s="600">
        <f ca="1">'Table 3'!J101</f>
        <v>9561770.7718110047</v>
      </c>
      <c r="AG34" s="69">
        <f ca="1">AF34-AE34</f>
        <v>0</v>
      </c>
      <c r="AI34" s="637"/>
      <c r="AJ34" s="749"/>
    </row>
    <row r="35" spans="1:36" s="3" customFormat="1">
      <c r="A35" s="53" t="s">
        <v>151</v>
      </c>
      <c r="C35" s="60" t="s">
        <v>59</v>
      </c>
      <c r="D35" s="1357">
        <v>570635.19183795096</v>
      </c>
      <c r="E35" s="1357">
        <v>623693.41940711497</v>
      </c>
      <c r="F35" s="1357">
        <v>511409.32922767202</v>
      </c>
      <c r="G35" s="1357">
        <v>304809.12152542302</v>
      </c>
      <c r="H35" s="1357">
        <v>764023.95041844901</v>
      </c>
      <c r="I35" s="1357">
        <v>11815.0976104115</v>
      </c>
      <c r="J35" s="1357">
        <v>9547.1849803335408</v>
      </c>
      <c r="K35" s="1357">
        <v>10439.174639999999</v>
      </c>
      <c r="L35" s="1357">
        <v>53818.173780270197</v>
      </c>
      <c r="M35" s="1357">
        <v>181457.78710036399</v>
      </c>
      <c r="N35" s="1357">
        <v>419475.81405386399</v>
      </c>
      <c r="O35" s="1357">
        <v>546647.05639801896</v>
      </c>
      <c r="P35" s="748">
        <f>SUM(D35:O35)</f>
        <v>4007771.3009798722</v>
      </c>
      <c r="Q35" s="624">
        <f t="shared" ca="1" si="35"/>
        <v>7223.4447335304694</v>
      </c>
      <c r="R35" s="624">
        <f t="shared" ca="1" si="35"/>
        <v>7895.0878077518337</v>
      </c>
      <c r="S35" s="624">
        <f t="shared" ca="1" si="35"/>
        <v>6473.7280117435148</v>
      </c>
      <c r="T35" s="624">
        <f t="shared" ca="1" si="35"/>
        <v>3858.4578643374757</v>
      </c>
      <c r="U35" s="624">
        <f t="shared" ca="1" si="35"/>
        <v>9671.4763826002236</v>
      </c>
      <c r="V35" s="624">
        <f t="shared" ca="1" si="35"/>
        <v>149.56263797048092</v>
      </c>
      <c r="W35" s="624">
        <f t="shared" ca="1" si="35"/>
        <v>120.85403082853642</v>
      </c>
      <c r="X35" s="624">
        <f t="shared" ca="1" si="35"/>
        <v>132.14537440783511</v>
      </c>
      <c r="Y35" s="624">
        <f t="shared" ca="1" si="35"/>
        <v>681.26293211814107</v>
      </c>
      <c r="Z35" s="624">
        <f t="shared" ca="1" si="35"/>
        <v>2297.0022097067658</v>
      </c>
      <c r="AA35" s="624">
        <f t="shared" ca="1" si="35"/>
        <v>5309.9780791845506</v>
      </c>
      <c r="AB35" s="624">
        <f t="shared" ca="1" si="35"/>
        <v>6919.788434218317</v>
      </c>
      <c r="AC35" s="458">
        <f ca="1">SUM(Q35:AB35)</f>
        <v>50732.788498398135</v>
      </c>
      <c r="AE35" s="105">
        <f ca="1">P35+AC35+AD35</f>
        <v>4058504.0894782702</v>
      </c>
      <c r="AF35" s="600">
        <f ca="1">'Table 3'!J102</f>
        <v>4058504.089478292</v>
      </c>
      <c r="AG35" s="69">
        <f ca="1">AF35-AE35</f>
        <v>2.1886080503463745E-8</v>
      </c>
      <c r="AI35" s="637"/>
      <c r="AJ35" s="749"/>
    </row>
    <row r="36" spans="1:36" s="3" customFormat="1">
      <c r="A36" s="53"/>
      <c r="B36" s="60" t="s">
        <v>271</v>
      </c>
      <c r="C36" s="60"/>
      <c r="D36" s="637">
        <f t="shared" ref="D36:O36" si="36">SUM(D34:D35)</f>
        <v>2299309.5649483511</v>
      </c>
      <c r="E36" s="637">
        <f t="shared" si="36"/>
        <v>2445511.8997392347</v>
      </c>
      <c r="F36" s="637">
        <f t="shared" si="36"/>
        <v>1915594.659881782</v>
      </c>
      <c r="G36" s="637">
        <f t="shared" si="36"/>
        <v>1166850.6539108232</v>
      </c>
      <c r="H36" s="637">
        <f t="shared" si="36"/>
        <v>2796724.5760962274</v>
      </c>
      <c r="I36" s="637">
        <f t="shared" si="36"/>
        <v>51184.078238484493</v>
      </c>
      <c r="J36" s="637">
        <f t="shared" si="36"/>
        <v>29418.520782280139</v>
      </c>
      <c r="K36" s="637">
        <f t="shared" si="36"/>
        <v>31584.238159951099</v>
      </c>
      <c r="L36" s="637">
        <f t="shared" si="36"/>
        <v>220413.07332880318</v>
      </c>
      <c r="M36" s="637">
        <f t="shared" si="36"/>
        <v>763386.68765088101</v>
      </c>
      <c r="N36" s="637">
        <f t="shared" si="36"/>
        <v>1563387.7848730939</v>
      </c>
      <c r="O36" s="637">
        <f t="shared" si="36"/>
        <v>1963181.5936793589</v>
      </c>
      <c r="P36" s="637">
        <f>SUM(D36:O36)</f>
        <v>15246547.331289273</v>
      </c>
      <c r="Q36" s="458">
        <f t="shared" ref="Q36:AC36" ca="1" si="37">SUM(Q34:Q35)</f>
        <v>29106.048496916064</v>
      </c>
      <c r="R36" s="458">
        <f t="shared" ca="1" si="37"/>
        <v>30956.765908636749</v>
      </c>
      <c r="S36" s="458">
        <f t="shared" ca="1" si="37"/>
        <v>24248.75359147432</v>
      </c>
      <c r="T36" s="458">
        <f t="shared" ca="1" si="37"/>
        <v>14770.699969731795</v>
      </c>
      <c r="U36" s="458">
        <f t="shared" ca="1" si="37"/>
        <v>35402.627982457998</v>
      </c>
      <c r="V36" s="458">
        <f t="shared" ca="1" si="37"/>
        <v>647.91896062622618</v>
      </c>
      <c r="W36" s="458">
        <f t="shared" ca="1" si="37"/>
        <v>372.3973951353579</v>
      </c>
      <c r="X36" s="458">
        <f t="shared" ca="1" si="37"/>
        <v>399.81235308014453</v>
      </c>
      <c r="Y36" s="458">
        <f t="shared" ca="1" si="37"/>
        <v>2790.1217389171211</v>
      </c>
      <c r="Z36" s="458">
        <f t="shared" ca="1" si="37"/>
        <v>9663.4095257920453</v>
      </c>
      <c r="AA36" s="458">
        <f t="shared" ca="1" si="37"/>
        <v>19790.306350952182</v>
      </c>
      <c r="AB36" s="458">
        <f t="shared" ca="1" si="37"/>
        <v>24851.137726279983</v>
      </c>
      <c r="AC36" s="602">
        <f t="shared" ca="1" si="37"/>
        <v>193000</v>
      </c>
      <c r="AD36" s="1024">
        <f>SUM(AD34:AD35)</f>
        <v>-1819272.47</v>
      </c>
      <c r="AE36" s="608">
        <f ca="1">SUM(AE34:AE35)</f>
        <v>13620274.86128927</v>
      </c>
      <c r="AF36" s="600">
        <f ca="1">SUM(AF34:AF35)</f>
        <v>13620274.861289296</v>
      </c>
      <c r="AG36" s="69"/>
    </row>
    <row r="37" spans="1:36" s="3" customFormat="1">
      <c r="A37" s="53"/>
      <c r="B37" s="3" t="s">
        <v>563</v>
      </c>
      <c r="C37" s="60"/>
      <c r="D37" s="606"/>
      <c r="E37" s="606"/>
      <c r="F37" s="606"/>
      <c r="G37" s="606"/>
      <c r="H37" s="606"/>
      <c r="I37" s="606"/>
      <c r="J37" s="606"/>
      <c r="K37" s="606"/>
      <c r="L37" s="606"/>
      <c r="M37" s="606"/>
      <c r="N37" s="606"/>
      <c r="O37" s="606"/>
      <c r="P37" s="637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458">
        <f ca="1">'Table 3'!D115</f>
        <v>193000</v>
      </c>
      <c r="AE37" s="105"/>
      <c r="AF37" s="600"/>
      <c r="AG37" s="69"/>
    </row>
    <row r="38" spans="1:36" s="3" customFormat="1">
      <c r="A38" s="53">
        <v>52</v>
      </c>
      <c r="C38" s="60" t="s">
        <v>61</v>
      </c>
      <c r="D38" s="1357">
        <v>2951.9931807442499</v>
      </c>
      <c r="E38" s="1357">
        <v>2951.9931807442499</v>
      </c>
      <c r="F38" s="1357">
        <v>2951.9931807442499</v>
      </c>
      <c r="G38" s="1357">
        <v>2951.9931807442499</v>
      </c>
      <c r="H38" s="1357">
        <v>2953.9050432567201</v>
      </c>
      <c r="I38" s="1357">
        <v>2963.8605967543199</v>
      </c>
      <c r="J38" s="1357">
        <v>2963.8605967543199</v>
      </c>
      <c r="K38" s="1357">
        <v>2963.8605967543199</v>
      </c>
      <c r="L38" s="1357">
        <v>2963.85742232555</v>
      </c>
      <c r="M38" s="1357">
        <v>2983.7318024660299</v>
      </c>
      <c r="N38" s="1357">
        <v>3003.6305868531099</v>
      </c>
      <c r="O38" s="1357">
        <v>2952.8038952112602</v>
      </c>
      <c r="P38" s="637">
        <f t="shared" ref="P38:P43" si="38">SUM(D38:O38)</f>
        <v>35557.483263352624</v>
      </c>
      <c r="Q38" s="624">
        <f t="shared" ref="Q38:AB42" si="39">D38/$P$43*$AC$44</f>
        <v>47.106996162913099</v>
      </c>
      <c r="R38" s="624">
        <f t="shared" si="39"/>
        <v>47.106996162913099</v>
      </c>
      <c r="S38" s="624">
        <f t="shared" si="39"/>
        <v>47.106996162913099</v>
      </c>
      <c r="T38" s="624">
        <f t="shared" si="39"/>
        <v>47.106996162913099</v>
      </c>
      <c r="U38" s="624">
        <f t="shared" si="39"/>
        <v>47.137505074866695</v>
      </c>
      <c r="V38" s="624">
        <f t="shared" si="39"/>
        <v>47.296372725195369</v>
      </c>
      <c r="W38" s="624">
        <f t="shared" si="39"/>
        <v>47.296372725195369</v>
      </c>
      <c r="X38" s="624">
        <f t="shared" si="39"/>
        <v>47.296372725195369</v>
      </c>
      <c r="Y38" s="624">
        <f t="shared" si="39"/>
        <v>47.29632206864072</v>
      </c>
      <c r="Z38" s="624">
        <f t="shared" si="39"/>
        <v>47.613471293484736</v>
      </c>
      <c r="AA38" s="624">
        <f t="shared" si="39"/>
        <v>47.931009953764594</v>
      </c>
      <c r="AB38" s="624">
        <f t="shared" si="39"/>
        <v>47.119933294182836</v>
      </c>
      <c r="AC38" s="458">
        <f>SUM(Q38:AB38)</f>
        <v>567.41534451217819</v>
      </c>
      <c r="AE38" s="105">
        <f>P38+AC38+AD38</f>
        <v>36124.898607864801</v>
      </c>
      <c r="AF38" s="600">
        <f ca="1">'Table 3'!J121</f>
        <v>36124.898607864779</v>
      </c>
      <c r="AG38" s="69">
        <f t="shared" ref="AG38:AG43" ca="1" si="40">AF38-AE38</f>
        <v>0</v>
      </c>
      <c r="AI38" s="749"/>
      <c r="AJ38" s="749"/>
    </row>
    <row r="39" spans="1:36" s="3" customFormat="1">
      <c r="A39" s="53" t="s">
        <v>152</v>
      </c>
      <c r="C39" s="60" t="s">
        <v>62</v>
      </c>
      <c r="D39" s="1357">
        <v>19817.628672380779</v>
      </c>
      <c r="E39" s="1357">
        <v>19819.74922535018</v>
      </c>
      <c r="F39" s="1357">
        <v>19820.703474186379</v>
      </c>
      <c r="G39" s="1357">
        <v>19814.891231274778</v>
      </c>
      <c r="H39" s="1357">
        <v>19816.375618353381</v>
      </c>
      <c r="I39" s="1357">
        <v>19817.966033080378</v>
      </c>
      <c r="J39" s="1357">
        <v>19817.966033080378</v>
      </c>
      <c r="K39" s="1357">
        <v>19814.48639843518</v>
      </c>
      <c r="L39" s="1357">
        <v>19817.960907389879</v>
      </c>
      <c r="M39" s="1357">
        <v>19952.402122386862</v>
      </c>
      <c r="N39" s="1357">
        <v>20090.94321877222</v>
      </c>
      <c r="O39" s="1357">
        <v>20090.94321877222</v>
      </c>
      <c r="P39" s="637">
        <f t="shared" si="38"/>
        <v>238492.01615346258</v>
      </c>
      <c r="Q39" s="624">
        <f t="shared" si="39"/>
        <v>316.24360243017685</v>
      </c>
      <c r="R39" s="624">
        <f t="shared" si="39"/>
        <v>316.27744156003814</v>
      </c>
      <c r="S39" s="624">
        <f t="shared" si="39"/>
        <v>316.29266916847524</v>
      </c>
      <c r="T39" s="624">
        <f t="shared" si="39"/>
        <v>316.19991918980975</v>
      </c>
      <c r="U39" s="624">
        <f t="shared" si="39"/>
        <v>316.22360658071301</v>
      </c>
      <c r="V39" s="624">
        <f t="shared" si="39"/>
        <v>316.24898592810808</v>
      </c>
      <c r="W39" s="624">
        <f t="shared" si="39"/>
        <v>316.24898592810808</v>
      </c>
      <c r="X39" s="624">
        <f t="shared" si="39"/>
        <v>316.19345899229097</v>
      </c>
      <c r="Y39" s="624">
        <f t="shared" si="39"/>
        <v>316.24890413392097</v>
      </c>
      <c r="Z39" s="624">
        <f t="shared" si="39"/>
        <v>318.39427555290354</v>
      </c>
      <c r="AA39" s="624">
        <f t="shared" si="39"/>
        <v>320.60507161381634</v>
      </c>
      <c r="AB39" s="624">
        <f t="shared" si="39"/>
        <v>320.60507161381634</v>
      </c>
      <c r="AC39" s="458">
        <f>SUM(Q39:AB39)</f>
        <v>3805.7819926921766</v>
      </c>
      <c r="AE39" s="105">
        <f>P39+AC39+AD39</f>
        <v>242297.79814615476</v>
      </c>
      <c r="AF39" s="600">
        <f ca="1">'Table 3'!J122</f>
        <v>242297.79814615479</v>
      </c>
      <c r="AG39" s="69">
        <f t="shared" ca="1" si="40"/>
        <v>0</v>
      </c>
      <c r="AI39" s="749"/>
      <c r="AJ39" s="749"/>
    </row>
    <row r="40" spans="1:36" s="3" customFormat="1">
      <c r="A40" s="53" t="s">
        <v>153</v>
      </c>
      <c r="C40" s="60" t="s">
        <v>63</v>
      </c>
      <c r="D40" s="1357">
        <v>4548.3181199999999</v>
      </c>
      <c r="E40" s="1357">
        <v>5002.2343099999998</v>
      </c>
      <c r="F40" s="1357">
        <v>5777.1648400000004</v>
      </c>
      <c r="G40" s="1357">
        <v>6394.4580599999999</v>
      </c>
      <c r="H40" s="1357">
        <v>7485.7564899999998</v>
      </c>
      <c r="I40" s="1357">
        <v>9087.1383700000006</v>
      </c>
      <c r="J40" s="1357">
        <v>9016.7584700000007</v>
      </c>
      <c r="K40" s="1357">
        <v>7990.5101999999997</v>
      </c>
      <c r="L40" s="1357">
        <v>7053.5009099999997</v>
      </c>
      <c r="M40" s="1357">
        <v>6219.0680000000002</v>
      </c>
      <c r="N40" s="1357">
        <v>5387.5276199999998</v>
      </c>
      <c r="O40" s="1357">
        <v>4879.5055199999997</v>
      </c>
      <c r="P40" s="637">
        <f t="shared" si="38"/>
        <v>78841.940910000005</v>
      </c>
      <c r="Q40" s="624">
        <f t="shared" si="39"/>
        <v>72.580656901290652</v>
      </c>
      <c r="R40" s="624">
        <f t="shared" si="39"/>
        <v>79.824111378114068</v>
      </c>
      <c r="S40" s="624">
        <f t="shared" si="39"/>
        <v>92.190213624336309</v>
      </c>
      <c r="T40" s="624">
        <f t="shared" si="39"/>
        <v>102.04078832607087</v>
      </c>
      <c r="U40" s="624">
        <f t="shared" si="39"/>
        <v>119.45539188611103</v>
      </c>
      <c r="V40" s="624">
        <f t="shared" si="39"/>
        <v>145.0097497242615</v>
      </c>
      <c r="W40" s="624">
        <f t="shared" si="39"/>
        <v>143.88664900002124</v>
      </c>
      <c r="X40" s="624">
        <f t="shared" si="39"/>
        <v>127.51009581811381</v>
      </c>
      <c r="Y40" s="624">
        <f t="shared" si="39"/>
        <v>112.55759073898099</v>
      </c>
      <c r="Z40" s="624">
        <f t="shared" si="39"/>
        <v>99.241967875764118</v>
      </c>
      <c r="AA40" s="624">
        <f t="shared" si="39"/>
        <v>85.972503113622793</v>
      </c>
      <c r="AB40" s="624">
        <f t="shared" si="39"/>
        <v>77.865643222658704</v>
      </c>
      <c r="AC40" s="458">
        <f>SUM(Q40:AB40)</f>
        <v>1258.1353616093459</v>
      </c>
      <c r="AE40" s="105">
        <f>P40+AC40+AD40</f>
        <v>80100.076271609345</v>
      </c>
      <c r="AF40" s="600">
        <f ca="1">'Table 3'!J123</f>
        <v>80100.076271609447</v>
      </c>
      <c r="AG40" s="69">
        <f t="shared" ca="1" si="40"/>
        <v>0</v>
      </c>
      <c r="AI40" s="749"/>
      <c r="AJ40" s="749"/>
    </row>
    <row r="41" spans="1:36" s="3" customFormat="1">
      <c r="A41" s="53">
        <v>51</v>
      </c>
      <c r="C41" s="60" t="s">
        <v>64</v>
      </c>
      <c r="D41" s="1357">
        <v>62137.523648123002</v>
      </c>
      <c r="E41" s="1357">
        <v>62156.510670952201</v>
      </c>
      <c r="F41" s="1357">
        <v>62166.875028164097</v>
      </c>
      <c r="G41" s="1357">
        <v>62193.672796303697</v>
      </c>
      <c r="H41" s="1357">
        <v>62209.152562603798</v>
      </c>
      <c r="I41" s="1357">
        <v>62273.516320338902</v>
      </c>
      <c r="J41" s="1357">
        <v>62311.335321928404</v>
      </c>
      <c r="K41" s="1357">
        <v>62232.986566866297</v>
      </c>
      <c r="L41" s="1357">
        <v>62267.619216466097</v>
      </c>
      <c r="M41" s="1357">
        <v>62703.443034025797</v>
      </c>
      <c r="N41" s="1357">
        <v>63158.977775652202</v>
      </c>
      <c r="O41" s="1357">
        <v>63244.4433658915</v>
      </c>
      <c r="P41" s="637">
        <f t="shared" si="38"/>
        <v>749056.05630731594</v>
      </c>
      <c r="Q41" s="624">
        <f t="shared" si="39"/>
        <v>991.57142609898392</v>
      </c>
      <c r="R41" s="624">
        <f t="shared" si="39"/>
        <v>991.87441514970226</v>
      </c>
      <c r="S41" s="624">
        <f t="shared" si="39"/>
        <v>992.03980636354254</v>
      </c>
      <c r="T41" s="624">
        <f t="shared" si="39"/>
        <v>992.46743687744788</v>
      </c>
      <c r="U41" s="624">
        <f t="shared" si="39"/>
        <v>992.71445821085013</v>
      </c>
      <c r="V41" s="624">
        <f t="shared" si="39"/>
        <v>993.7415551934705</v>
      </c>
      <c r="W41" s="624">
        <f t="shared" si="39"/>
        <v>994.34505914950353</v>
      </c>
      <c r="X41" s="624">
        <f t="shared" si="39"/>
        <v>993.09479389545265</v>
      </c>
      <c r="Y41" s="624">
        <f t="shared" si="39"/>
        <v>993.64745102977508</v>
      </c>
      <c r="Z41" s="624">
        <f t="shared" si="39"/>
        <v>1000.6021930106881</v>
      </c>
      <c r="AA41" s="624">
        <f t="shared" si="39"/>
        <v>1007.8714758348639</v>
      </c>
      <c r="AB41" s="624">
        <f t="shared" si="39"/>
        <v>1009.2353093483441</v>
      </c>
      <c r="AC41" s="458">
        <f>SUM(Q41:AB41)</f>
        <v>11953.205380162623</v>
      </c>
      <c r="AE41" s="105">
        <f>P41+AC41+AD41</f>
        <v>761009.26168747852</v>
      </c>
      <c r="AF41" s="600">
        <f ca="1">'Table 3'!J124</f>
        <v>761009.261687477</v>
      </c>
      <c r="AG41" s="69">
        <f t="shared" ca="1" si="40"/>
        <v>-1.5133991837501526E-9</v>
      </c>
      <c r="AI41" s="637"/>
      <c r="AJ41" s="749"/>
    </row>
    <row r="42" spans="1:36" s="3" customFormat="1">
      <c r="A42" s="53">
        <v>57</v>
      </c>
      <c r="C42" s="60" t="s">
        <v>65</v>
      </c>
      <c r="D42" s="1357">
        <v>17805.917184154201</v>
      </c>
      <c r="E42" s="1357">
        <v>17805.3</v>
      </c>
      <c r="F42" s="1357">
        <v>17800.283719912499</v>
      </c>
      <c r="G42" s="1357">
        <v>17787.46</v>
      </c>
      <c r="H42" s="1357">
        <v>17787.46</v>
      </c>
      <c r="I42" s="1357">
        <v>17787.46</v>
      </c>
      <c r="J42" s="1357">
        <v>17787.46</v>
      </c>
      <c r="K42" s="1357">
        <v>17787.46</v>
      </c>
      <c r="L42" s="1357">
        <v>17787.464686644998</v>
      </c>
      <c r="M42" s="1357">
        <v>17905.6268792345</v>
      </c>
      <c r="N42" s="1357">
        <v>17996.54</v>
      </c>
      <c r="O42" s="1357">
        <v>17993.900754717</v>
      </c>
      <c r="P42" s="637">
        <f t="shared" si="38"/>
        <v>214032.33322466319</v>
      </c>
      <c r="Q42" s="624">
        <f t="shared" si="39"/>
        <v>284.14133133587666</v>
      </c>
      <c r="R42" s="624">
        <f t="shared" si="39"/>
        <v>284.13148250161322</v>
      </c>
      <c r="S42" s="624">
        <f t="shared" si="39"/>
        <v>284.05143425205245</v>
      </c>
      <c r="T42" s="624">
        <f t="shared" si="39"/>
        <v>283.8467972872204</v>
      </c>
      <c r="U42" s="624">
        <f t="shared" si="39"/>
        <v>283.8467972872204</v>
      </c>
      <c r="V42" s="624">
        <f t="shared" si="39"/>
        <v>283.8467972872204</v>
      </c>
      <c r="W42" s="624">
        <f t="shared" si="39"/>
        <v>283.8467972872204</v>
      </c>
      <c r="X42" s="624">
        <f t="shared" si="39"/>
        <v>283.8467972872204</v>
      </c>
      <c r="Y42" s="624">
        <f t="shared" si="39"/>
        <v>283.84687207525496</v>
      </c>
      <c r="Z42" s="624">
        <f t="shared" si="39"/>
        <v>285.73246787853242</v>
      </c>
      <c r="AA42" s="624">
        <f t="shared" si="39"/>
        <v>287.18323140298583</v>
      </c>
      <c r="AB42" s="624">
        <f t="shared" si="39"/>
        <v>287.14111514125784</v>
      </c>
      <c r="AC42" s="458">
        <f>SUM(Q42:AB42)</f>
        <v>3415.4619210236751</v>
      </c>
      <c r="AD42" s="20"/>
      <c r="AE42" s="105">
        <f>P42+AC42+AD42</f>
        <v>217447.79514568686</v>
      </c>
      <c r="AF42" s="600">
        <f ca="1">'Table 3'!J125</f>
        <v>217447.79514568704</v>
      </c>
      <c r="AG42" s="69">
        <f t="shared" ca="1" si="40"/>
        <v>0</v>
      </c>
      <c r="AI42" s="637"/>
      <c r="AJ42" s="749"/>
    </row>
    <row r="43" spans="1:36" s="3" customFormat="1">
      <c r="A43" s="53"/>
      <c r="B43" s="3" t="s">
        <v>563</v>
      </c>
      <c r="C43" s="60"/>
      <c r="D43" s="614">
        <f t="shared" ref="D43:O43" si="41">SUM(D38:D42)</f>
        <v>107261.38080540222</v>
      </c>
      <c r="E43" s="614">
        <f t="shared" si="41"/>
        <v>107735.78738704663</v>
      </c>
      <c r="F43" s="614">
        <f t="shared" si="41"/>
        <v>108517.02024300722</v>
      </c>
      <c r="G43" s="614">
        <f t="shared" si="41"/>
        <v>109142.47526832271</v>
      </c>
      <c r="H43" s="614">
        <f t="shared" si="41"/>
        <v>110252.64971421388</v>
      </c>
      <c r="I43" s="614">
        <f t="shared" si="41"/>
        <v>111929.94132017359</v>
      </c>
      <c r="J43" s="614">
        <f t="shared" si="41"/>
        <v>111897.38042176311</v>
      </c>
      <c r="K43" s="614">
        <f t="shared" si="41"/>
        <v>110789.30376205579</v>
      </c>
      <c r="L43" s="614">
        <f t="shared" si="41"/>
        <v>109890.40314282652</v>
      </c>
      <c r="M43" s="614">
        <f t="shared" si="41"/>
        <v>109764.2718381132</v>
      </c>
      <c r="N43" s="614">
        <f t="shared" si="41"/>
        <v>109637.61920127753</v>
      </c>
      <c r="O43" s="614">
        <f t="shared" si="41"/>
        <v>109161.59675459198</v>
      </c>
      <c r="P43" s="614">
        <f t="shared" si="38"/>
        <v>1315979.8298587943</v>
      </c>
      <c r="Q43" s="625">
        <f t="shared" ref="Q43:AB43" si="42">SUM(Q38:Q42)</f>
        <v>1711.6440129292412</v>
      </c>
      <c r="R43" s="625">
        <f t="shared" si="42"/>
        <v>1719.2144467523808</v>
      </c>
      <c r="S43" s="625">
        <f t="shared" si="42"/>
        <v>1731.6811195713194</v>
      </c>
      <c r="T43" s="625">
        <f t="shared" si="42"/>
        <v>1741.6619378434621</v>
      </c>
      <c r="U43" s="625">
        <f t="shared" si="42"/>
        <v>1759.3777590397613</v>
      </c>
      <c r="V43" s="625">
        <f t="shared" si="42"/>
        <v>1786.1434608582558</v>
      </c>
      <c r="W43" s="625">
        <f t="shared" si="42"/>
        <v>1785.6238640900485</v>
      </c>
      <c r="X43" s="625">
        <f t="shared" si="42"/>
        <v>1767.9415187182733</v>
      </c>
      <c r="Y43" s="625">
        <f t="shared" si="42"/>
        <v>1753.5971400465728</v>
      </c>
      <c r="Z43" s="625">
        <f t="shared" si="42"/>
        <v>1751.5843756113729</v>
      </c>
      <c r="AA43" s="625">
        <f t="shared" si="42"/>
        <v>1749.5632919190534</v>
      </c>
      <c r="AB43" s="625">
        <f t="shared" si="42"/>
        <v>1741.9670726202598</v>
      </c>
      <c r="AC43" s="611">
        <v>6000</v>
      </c>
      <c r="AD43" s="612">
        <f>SUM(AD38:AD42)</f>
        <v>0</v>
      </c>
      <c r="AE43" s="612">
        <f>SUM(AE38:AE42)</f>
        <v>1336979.8298587943</v>
      </c>
      <c r="AF43" s="613">
        <f ca="1">SUM(AF38:AF42)</f>
        <v>1336979.8298587929</v>
      </c>
      <c r="AG43" s="69">
        <f t="shared" ca="1" si="40"/>
        <v>0</v>
      </c>
      <c r="AI43" s="637"/>
    </row>
    <row r="44" spans="1:36">
      <c r="C44" s="604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594"/>
      <c r="R44" s="594"/>
      <c r="S44" s="594"/>
      <c r="T44" s="594"/>
      <c r="U44" s="594"/>
      <c r="V44" s="594"/>
      <c r="W44" s="594"/>
      <c r="X44" s="594"/>
      <c r="Y44" s="594"/>
      <c r="Z44" s="594"/>
      <c r="AA44" s="594"/>
      <c r="AB44" s="594"/>
      <c r="AC44" s="458">
        <f>'Table 3'!D135</f>
        <v>21000</v>
      </c>
      <c r="AD44" s="107">
        <f>SUM(AD43,AD36,AD32,AD22,AD12)</f>
        <v>-879265.21000000089</v>
      </c>
      <c r="AE44" s="107">
        <f ca="1">SUM(AE43,AE36,AE32,AE22,AE12)</f>
        <v>326965225.08354557</v>
      </c>
      <c r="AF44" s="600">
        <f ca="1">SUM(AF43,AF36,AF32,AF22,AF12)</f>
        <v>326965225.0835433</v>
      </c>
      <c r="AG44" s="107">
        <f ca="1">SUM(AG43,AG36,AG32,AG22,AG12)</f>
        <v>-2.2649765014648438E-6</v>
      </c>
      <c r="AI44" t="s">
        <v>31</v>
      </c>
    </row>
    <row r="45" spans="1:36">
      <c r="C45" s="604" t="s">
        <v>9</v>
      </c>
      <c r="D45" s="609">
        <f t="shared" ref="D45:O45" si="43">D12+D22+D32+D36+D43</f>
        <v>26504399.578071255</v>
      </c>
      <c r="E45" s="609">
        <f t="shared" si="43"/>
        <v>29579133.804454625</v>
      </c>
      <c r="F45" s="609">
        <f t="shared" si="43"/>
        <v>26787932.055339508</v>
      </c>
      <c r="G45" s="609">
        <f t="shared" si="43"/>
        <v>23980561.860142272</v>
      </c>
      <c r="H45" s="609">
        <f t="shared" si="43"/>
        <v>28091346.030663099</v>
      </c>
      <c r="I45" s="609">
        <f t="shared" si="43"/>
        <v>32872309.562625948</v>
      </c>
      <c r="J45" s="609">
        <f t="shared" si="43"/>
        <v>32352883.835146785</v>
      </c>
      <c r="K45" s="609">
        <f t="shared" si="43"/>
        <v>27800803.91063454</v>
      </c>
      <c r="L45" s="609">
        <f t="shared" si="43"/>
        <v>24410856.192443945</v>
      </c>
      <c r="M45" s="609">
        <f t="shared" si="43"/>
        <v>23025892.200794991</v>
      </c>
      <c r="N45" s="609">
        <f t="shared" si="43"/>
        <v>23137040.897888031</v>
      </c>
      <c r="O45" s="609">
        <f t="shared" si="43"/>
        <v>25929330.365340598</v>
      </c>
      <c r="P45" s="609">
        <f>SUM(D45:O45)</f>
        <v>324472490.29354554</v>
      </c>
      <c r="Q45" s="597">
        <f t="shared" ref="Q45:AB45" ca="1" si="44">Q12+Q22+Q32+Q36+Q43</f>
        <v>275541.66001530958</v>
      </c>
      <c r="R45" s="597">
        <f t="shared" ca="1" si="44"/>
        <v>311706.41293871892</v>
      </c>
      <c r="S45" s="597">
        <f t="shared" ca="1" si="44"/>
        <v>268385.18510431499</v>
      </c>
      <c r="T45" s="597">
        <f t="shared" ca="1" si="44"/>
        <v>229365.55916146524</v>
      </c>
      <c r="U45" s="597">
        <f t="shared" ca="1" si="44"/>
        <v>287866.86574012792</v>
      </c>
      <c r="V45" s="597">
        <f t="shared" ca="1" si="44"/>
        <v>364293.51351444452</v>
      </c>
      <c r="W45" s="597">
        <f t="shared" ca="1" si="44"/>
        <v>360886.69073886622</v>
      </c>
      <c r="X45" s="597">
        <f t="shared" ca="1" si="44"/>
        <v>299320.91070507868</v>
      </c>
      <c r="Y45" s="597">
        <f t="shared" ca="1" si="44"/>
        <v>253355.69004467718</v>
      </c>
      <c r="Z45" s="597">
        <f t="shared" ca="1" si="44"/>
        <v>230563.46000619011</v>
      </c>
      <c r="AA45" s="597">
        <f t="shared" ca="1" si="44"/>
        <v>228960.99499784596</v>
      </c>
      <c r="AB45" s="597">
        <f t="shared" ca="1" si="44"/>
        <v>261753.05703296064</v>
      </c>
      <c r="AC45" s="614">
        <f ca="1">SUM(Q45:AB45)</f>
        <v>3372000</v>
      </c>
      <c r="AD45" s="600" t="s">
        <v>31</v>
      </c>
      <c r="AE45" s="600" t="s">
        <v>31</v>
      </c>
      <c r="AF45" s="600" t="s">
        <v>31</v>
      </c>
    </row>
    <row r="46" spans="1:36">
      <c r="B46" s="615"/>
      <c r="C46" s="616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17"/>
      <c r="P46" s="617"/>
      <c r="Q46" s="74"/>
      <c r="S46" s="618"/>
      <c r="AE46" s="618" t="s">
        <v>564</v>
      </c>
    </row>
    <row r="47" spans="1:36">
      <c r="C47" s="604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74"/>
      <c r="S47" s="619"/>
    </row>
    <row r="48" spans="1:36">
      <c r="C48" s="4" t="s">
        <v>559</v>
      </c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74"/>
      <c r="S48" s="619"/>
    </row>
    <row r="49" spans="1:33">
      <c r="C49" s="594" t="s">
        <v>565</v>
      </c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74"/>
      <c r="S49" s="619"/>
    </row>
    <row r="50" spans="1:33">
      <c r="C50" s="594"/>
      <c r="D50" s="594">
        <v>201407</v>
      </c>
      <c r="E50" s="594">
        <v>201408</v>
      </c>
      <c r="F50" s="594">
        <v>201409</v>
      </c>
      <c r="G50" s="594">
        <v>201410</v>
      </c>
      <c r="H50" s="594">
        <v>201411</v>
      </c>
      <c r="I50" s="594">
        <v>201412</v>
      </c>
      <c r="J50" s="594">
        <v>201501</v>
      </c>
      <c r="K50" s="594">
        <v>201502</v>
      </c>
      <c r="L50" s="594">
        <v>201503</v>
      </c>
      <c r="M50" s="594">
        <v>201504</v>
      </c>
      <c r="N50" s="594">
        <v>201505</v>
      </c>
      <c r="O50" s="594">
        <v>201506</v>
      </c>
      <c r="P50" s="609" t="s">
        <v>35</v>
      </c>
      <c r="Q50" s="600" t="s">
        <v>162</v>
      </c>
      <c r="S50" s="619"/>
    </row>
    <row r="51" spans="1:33">
      <c r="B51" s="594" t="s">
        <v>259</v>
      </c>
      <c r="D51" s="609"/>
      <c r="E51" s="609"/>
      <c r="F51" s="609"/>
      <c r="G51" s="609"/>
      <c r="H51" s="609"/>
      <c r="I51" s="609"/>
      <c r="J51" s="609"/>
      <c r="K51" s="609"/>
      <c r="L51" s="609"/>
      <c r="M51" s="609"/>
      <c r="N51" s="609"/>
      <c r="O51" s="609"/>
      <c r="P51" s="609"/>
      <c r="Q51" s="600"/>
      <c r="S51" s="619"/>
    </row>
    <row r="52" spans="1:33">
      <c r="C52" s="4" t="s">
        <v>48</v>
      </c>
      <c r="D52" s="609">
        <f>D6+Q6+Temperature!G10*1000</f>
        <v>7797516.4660683554</v>
      </c>
      <c r="E52" s="609">
        <f>E6+R6+Temperature!G11*1000</f>
        <v>10477387.754929233</v>
      </c>
      <c r="F52" s="609">
        <f>F6+S6+Temperature!G12*1000</f>
        <v>9299753.4376081806</v>
      </c>
      <c r="G52" s="609">
        <f>G6+T6+Temperature!G13*1000</f>
        <v>8599937.2853915952</v>
      </c>
      <c r="H52" s="609">
        <f>H6+U6+Temperature!G14*1000</f>
        <v>9606759.6384889148</v>
      </c>
      <c r="I52" s="609">
        <f>I6+V6+Temperature!G15*1000</f>
        <v>18167889.756234504</v>
      </c>
      <c r="J52" s="609">
        <f>J6+W6+Temperature!G16*1000</f>
        <v>17610295.224862937</v>
      </c>
      <c r="K52" s="609">
        <f>K6+X6+Temperature!G17*1000</f>
        <v>14979615.902565684</v>
      </c>
      <c r="L52" s="609">
        <f>L6+Y6+Temperature!G18*1000</f>
        <v>11850663.884170797</v>
      </c>
      <c r="M52" s="609">
        <f>M6+Z6+Temperature!G19*1000</f>
        <v>8908895.4984746724</v>
      </c>
      <c r="N52" s="609">
        <f>N6+AA6+Temperature!G20*1000</f>
        <v>7288446.0124188773</v>
      </c>
      <c r="O52" s="609">
        <f>O6+AB6+Temperature!G21*1000</f>
        <v>6238155.9238188649</v>
      </c>
      <c r="P52" s="609">
        <f t="shared" ref="P52:P57" si="45">SUM(D52:O52)</f>
        <v>130825316.78503264</v>
      </c>
      <c r="Q52" s="600">
        <f t="shared" ref="Q52:Q57" si="46">AE6</f>
        <v>130825316.7850326</v>
      </c>
      <c r="R52" s="620">
        <f t="shared" ref="R52:R58" si="47">Q52-P52</f>
        <v>0</v>
      </c>
      <c r="S52" s="619"/>
    </row>
    <row r="53" spans="1:33">
      <c r="C53" s="4" t="s">
        <v>93</v>
      </c>
      <c r="D53" s="609">
        <f>D7+Q7+Temperature!G28*1000</f>
        <v>360606.4988258254</v>
      </c>
      <c r="E53" s="609">
        <f>E7+R7+Temperature!G29*1000</f>
        <v>468702.1419308277</v>
      </c>
      <c r="F53" s="609">
        <f>F7+S7+Temperature!G30*1000</f>
        <v>452751.99955406226</v>
      </c>
      <c r="G53" s="609">
        <f>G7+T7+Temperature!G31*1000</f>
        <v>450420.46507933125</v>
      </c>
      <c r="H53" s="609">
        <f>H7+U7+Temperature!G32*1000</f>
        <v>563873.30839094869</v>
      </c>
      <c r="I53" s="609">
        <f>I7+V7+Temperature!G33*1000</f>
        <v>1163366.1938999773</v>
      </c>
      <c r="J53" s="609">
        <f>J7+W7+Temperature!G34*1000</f>
        <v>1150730.4039703473</v>
      </c>
      <c r="K53" s="609">
        <f>K7+X7+Temperature!G35*1000</f>
        <v>1030824.947379758</v>
      </c>
      <c r="L53" s="609">
        <f>L7+Y7+Temperature!G36*1000</f>
        <v>825313.6423290458</v>
      </c>
      <c r="M53" s="609">
        <f>M7+Z7+Temperature!G37*1000</f>
        <v>602840.47123748541</v>
      </c>
      <c r="N53" s="609">
        <f>N7+AA7+Temperature!G38*1000</f>
        <v>476458.29134236951</v>
      </c>
      <c r="O53" s="609">
        <f>O7+AB7+Temperature!G39*1000</f>
        <v>359991.79838665656</v>
      </c>
      <c r="P53" s="609">
        <f t="shared" si="45"/>
        <v>7905880.1623266349</v>
      </c>
      <c r="Q53" s="600">
        <f t="shared" si="46"/>
        <v>7905880.1623266339</v>
      </c>
      <c r="R53" s="620">
        <f t="shared" si="47"/>
        <v>0</v>
      </c>
      <c r="S53" s="619"/>
    </row>
    <row r="54" spans="1:33">
      <c r="C54" s="4" t="s">
        <v>49</v>
      </c>
      <c r="D54" s="1022">
        <f>D8+Q8+Temperature!G46*1000</f>
        <v>13717.40290005621</v>
      </c>
      <c r="E54" s="1022">
        <f>E8+R8+Temperature!G47*1000</f>
        <v>18899.589520603462</v>
      </c>
      <c r="F54" s="1022">
        <f>F8+S8+Temperature!G48*1000</f>
        <v>18001.938297929137</v>
      </c>
      <c r="G54" s="1022">
        <f>G8+T8+Temperature!G49*1000</f>
        <v>17424.729349547284</v>
      </c>
      <c r="H54" s="1022">
        <f>H8+U8+Temperature!G50*1000</f>
        <v>16417.642095879801</v>
      </c>
      <c r="I54" s="1022">
        <f>I8+V8+Temperature!G51*1000</f>
        <v>26177.558481538596</v>
      </c>
      <c r="J54" s="1022">
        <f>J8+W8+Temperature!G52*1000</f>
        <v>26143.932343958062</v>
      </c>
      <c r="K54" s="1022">
        <f>K8+X8+Temperature!G53*1000</f>
        <v>21663.381322201116</v>
      </c>
      <c r="L54" s="1022">
        <f>L8+Y8+Temperature!G54*1000</f>
        <v>19538.727170754075</v>
      </c>
      <c r="M54" s="1022">
        <f>M8+Z8+Temperature!G55*1000</f>
        <v>15221.923681265805</v>
      </c>
      <c r="N54" s="1022">
        <f>N8+AA8+Temperature!G56*1000</f>
        <v>14813.390275948057</v>
      </c>
      <c r="O54" s="1022">
        <f>O8+AB8+Temperature!G57*1000</f>
        <v>11636.964086762124</v>
      </c>
      <c r="P54" s="609">
        <f t="shared" si="45"/>
        <v>219657.17952644377</v>
      </c>
      <c r="Q54" s="600">
        <f t="shared" si="46"/>
        <v>219657.17952644374</v>
      </c>
      <c r="R54" s="620">
        <f t="shared" si="47"/>
        <v>0</v>
      </c>
      <c r="S54" s="619"/>
    </row>
    <row r="55" spans="1:33">
      <c r="C55" s="7" t="s">
        <v>156</v>
      </c>
      <c r="D55" s="609">
        <f t="shared" ref="D55:O55" si="48">D9+Q9</f>
        <v>4419.278413393894</v>
      </c>
      <c r="E55" s="609">
        <f t="shared" si="48"/>
        <v>4553.3850745297141</v>
      </c>
      <c r="F55" s="609">
        <f t="shared" si="48"/>
        <v>3138.1514901350019</v>
      </c>
      <c r="G55" s="609">
        <f t="shared" si="48"/>
        <v>2369.3434531032867</v>
      </c>
      <c r="H55" s="609">
        <f t="shared" si="48"/>
        <v>2805.7391680814621</v>
      </c>
      <c r="I55" s="609">
        <f t="shared" si="48"/>
        <v>4068.2177589842222</v>
      </c>
      <c r="J55" s="609">
        <f t="shared" si="48"/>
        <v>4024.1109511402237</v>
      </c>
      <c r="K55" s="609">
        <f t="shared" si="48"/>
        <v>3114.1553545436368</v>
      </c>
      <c r="L55" s="609">
        <f t="shared" si="48"/>
        <v>2483.2081515791656</v>
      </c>
      <c r="M55" s="609">
        <f t="shared" si="48"/>
        <v>2297.4315046988804</v>
      </c>
      <c r="N55" s="609">
        <f t="shared" si="48"/>
        <v>2328.7764120350962</v>
      </c>
      <c r="O55" s="609">
        <f t="shared" si="48"/>
        <v>2791.6939056182209</v>
      </c>
      <c r="P55" s="609">
        <f t="shared" si="45"/>
        <v>38393.49163784281</v>
      </c>
      <c r="Q55" s="600">
        <f t="shared" si="46"/>
        <v>38393.49163784281</v>
      </c>
      <c r="R55" s="620">
        <f t="shared" si="47"/>
        <v>0</v>
      </c>
      <c r="S55" s="619"/>
    </row>
    <row r="56" spans="1:33">
      <c r="C56" s="4" t="s">
        <v>50</v>
      </c>
      <c r="D56" s="609">
        <f t="shared" ref="D56:O56" si="49">D10+Q10</f>
        <v>12857.557508873788</v>
      </c>
      <c r="E56" s="609">
        <f t="shared" si="49"/>
        <v>12779.090629008026</v>
      </c>
      <c r="F56" s="609">
        <f t="shared" si="49"/>
        <v>12746.36831574566</v>
      </c>
      <c r="G56" s="609">
        <f t="shared" si="49"/>
        <v>12739.254786871634</v>
      </c>
      <c r="H56" s="609">
        <f t="shared" si="49"/>
        <v>12730.632828950085</v>
      </c>
      <c r="I56" s="609">
        <f t="shared" si="49"/>
        <v>12682.958489886092</v>
      </c>
      <c r="J56" s="609">
        <f t="shared" si="49"/>
        <v>12683.867715062506</v>
      </c>
      <c r="K56" s="609">
        <f t="shared" si="49"/>
        <v>12712.36525563232</v>
      </c>
      <c r="L56" s="609">
        <f t="shared" si="49"/>
        <v>12704.539714024706</v>
      </c>
      <c r="M56" s="609">
        <f t="shared" si="49"/>
        <v>12728.336297840522</v>
      </c>
      <c r="N56" s="609">
        <f t="shared" si="49"/>
        <v>12764.685778960305</v>
      </c>
      <c r="O56" s="609">
        <f t="shared" si="49"/>
        <v>12790.249484893446</v>
      </c>
      <c r="P56" s="609">
        <f t="shared" si="45"/>
        <v>152919.90680574911</v>
      </c>
      <c r="Q56" s="600">
        <f t="shared" si="46"/>
        <v>152919.90680574908</v>
      </c>
      <c r="R56" s="620">
        <f t="shared" si="47"/>
        <v>0</v>
      </c>
      <c r="S56" s="619"/>
    </row>
    <row r="57" spans="1:33">
      <c r="C57" s="604" t="s">
        <v>51</v>
      </c>
      <c r="D57" s="609">
        <f>D11+Q11+Temperature!V63*1000</f>
        <v>194285.23437506461</v>
      </c>
      <c r="E57" s="609">
        <f>E11+R11+Temperature!V64*1000</f>
        <v>213756.82353990665</v>
      </c>
      <c r="F57" s="609">
        <f>F11+S11+Temperature!V65*1000</f>
        <v>196211.65357862241</v>
      </c>
      <c r="G57" s="609">
        <f>G11+T11+Temperature!V66*1000</f>
        <v>173858.76606542317</v>
      </c>
      <c r="H57" s="609">
        <f>H11+U11+Temperature!V67*1000</f>
        <v>179406.47699276722</v>
      </c>
      <c r="I57" s="609">
        <f>I11+V11+Temperature!V68*1000</f>
        <v>253169.8598573271</v>
      </c>
      <c r="J57" s="609">
        <f>J11+W11+Temperature!V69*1000</f>
        <v>251504.19223640449</v>
      </c>
      <c r="K57" s="609">
        <f>K11+X11+Temperature!V70*1000</f>
        <v>217744.62206617827</v>
      </c>
      <c r="L57" s="609">
        <f>L11+Y11+Temperature!V71*1000</f>
        <v>186195.98088902995</v>
      </c>
      <c r="M57" s="609">
        <f>M11+Z11+Temperature!V72*1000</f>
        <v>172683.6809734467</v>
      </c>
      <c r="N57" s="609">
        <f>N11+AA11+Temperature!V73*1000</f>
        <v>174543.60058186829</v>
      </c>
      <c r="O57" s="609">
        <f>O11+AB11+Temperature!V74*1000</f>
        <v>182630.45824568649</v>
      </c>
      <c r="P57" s="609">
        <f t="shared" si="45"/>
        <v>2395991.3494017255</v>
      </c>
      <c r="Q57" s="600">
        <f t="shared" si="46"/>
        <v>2395991.349401725</v>
      </c>
      <c r="R57" s="620">
        <f t="shared" ref="R57" si="50">Q57-P57</f>
        <v>0</v>
      </c>
      <c r="S57" s="619"/>
    </row>
    <row r="58" spans="1:33">
      <c r="B58" s="594" t="s">
        <v>259</v>
      </c>
      <c r="C58" s="5"/>
      <c r="D58" s="621">
        <f>SUM(D52:D57)</f>
        <v>8383402.4380915686</v>
      </c>
      <c r="E58" s="621">
        <f t="shared" ref="E58:P58" si="51">SUM(E52:E57)</f>
        <v>11196078.785624109</v>
      </c>
      <c r="F58" s="621">
        <f t="shared" si="51"/>
        <v>9982603.5488446746</v>
      </c>
      <c r="G58" s="621">
        <f t="shared" si="51"/>
        <v>9256749.8441258725</v>
      </c>
      <c r="H58" s="621">
        <f t="shared" si="51"/>
        <v>10381993.437965544</v>
      </c>
      <c r="I58" s="621">
        <f t="shared" si="51"/>
        <v>19627354.544722218</v>
      </c>
      <c r="J58" s="621">
        <f t="shared" si="51"/>
        <v>19055381.732079849</v>
      </c>
      <c r="K58" s="621">
        <f t="shared" si="51"/>
        <v>16265675.373943998</v>
      </c>
      <c r="L58" s="621">
        <f t="shared" si="51"/>
        <v>12896899.982425231</v>
      </c>
      <c r="M58" s="621">
        <f t="shared" si="51"/>
        <v>9714667.3421694096</v>
      </c>
      <c r="N58" s="621">
        <f t="shared" si="51"/>
        <v>7969354.7568100588</v>
      </c>
      <c r="O58" s="621">
        <f t="shared" si="51"/>
        <v>6807997.0879284814</v>
      </c>
      <c r="P58" s="621">
        <f t="shared" si="51"/>
        <v>141538158.87473106</v>
      </c>
      <c r="Q58" s="600">
        <f>SUM(Q52:Q57)</f>
        <v>141538158.874731</v>
      </c>
      <c r="R58" s="620">
        <f t="shared" si="47"/>
        <v>0</v>
      </c>
      <c r="S58" s="619"/>
    </row>
    <row r="59" spans="1:33">
      <c r="B59" t="s">
        <v>266</v>
      </c>
      <c r="C59" s="5"/>
      <c r="D59" s="621"/>
      <c r="E59" s="621"/>
      <c r="F59" s="621"/>
      <c r="G59" s="621"/>
      <c r="H59" s="621"/>
      <c r="I59" s="621"/>
      <c r="J59" s="621"/>
      <c r="K59" s="621"/>
      <c r="L59" s="621"/>
      <c r="M59" s="621"/>
      <c r="N59" s="621"/>
      <c r="O59" s="621"/>
      <c r="P59" s="621"/>
      <c r="Q59" s="600"/>
      <c r="R59" s="620"/>
      <c r="S59" s="619"/>
    </row>
    <row r="60" spans="1:33">
      <c r="C60" s="604" t="s">
        <v>51</v>
      </c>
      <c r="D60" s="1022">
        <f>D14+Q14+Temperature!I63*1000</f>
        <v>3573693.9121230394</v>
      </c>
      <c r="E60" s="1022">
        <f>E14+R14+Temperature!I64*1000</f>
        <v>4045508.9766192595</v>
      </c>
      <c r="F60" s="1022">
        <f>F14+S14+Temperature!I65*1000</f>
        <v>3812232.8014009614</v>
      </c>
      <c r="G60" s="1022">
        <f>G14+T14+Temperature!I66*1000</f>
        <v>3499513.8574813479</v>
      </c>
      <c r="H60" s="1022">
        <f>H14+U14+Temperature!I67*1000</f>
        <v>3437172.7585187685</v>
      </c>
      <c r="I60" s="1022">
        <f>I14+V14+Temperature!I68*1000</f>
        <v>4226562.0992291998</v>
      </c>
      <c r="J60" s="1022">
        <f>J14+W14+Temperature!I69*1000</f>
        <v>4098622.6498282212</v>
      </c>
      <c r="K60" s="1022">
        <f>K14+X14+Temperature!I70*1000</f>
        <v>3769086.1291354811</v>
      </c>
      <c r="L60" s="1022">
        <f>L14+Y14+Temperature!I71*1000</f>
        <v>3465871.1386489156</v>
      </c>
      <c r="M60" s="1022">
        <f>M14+Z14+Temperature!I72*1000</f>
        <v>3457545.8120399048</v>
      </c>
      <c r="N60" s="1022">
        <f>N14+AA14+Temperature!I73*1000</f>
        <v>3096023.0220107445</v>
      </c>
      <c r="O60" s="1022">
        <f>O14+AB14+Temperature!I74*1000</f>
        <v>3337154.5165895242</v>
      </c>
      <c r="P60" s="609">
        <f t="shared" ref="P60:P67" si="52">SUM(D60:O60)</f>
        <v>43818987.673625365</v>
      </c>
      <c r="Q60" s="600">
        <f t="shared" ref="Q60:Q68" si="53">AE14</f>
        <v>43818987.673625365</v>
      </c>
      <c r="R60" s="620">
        <f>Q60-P60</f>
        <v>0</v>
      </c>
      <c r="S60" s="619"/>
    </row>
    <row r="61" spans="1:33">
      <c r="C61" s="604" t="s">
        <v>52</v>
      </c>
      <c r="D61" s="609">
        <f t="shared" ref="D61:O61" si="54">D15+Q15</f>
        <v>13794.407000894667</v>
      </c>
      <c r="E61" s="609">
        <f t="shared" si="54"/>
        <v>13794.407000894667</v>
      </c>
      <c r="F61" s="609">
        <f t="shared" si="54"/>
        <v>13794.407000894667</v>
      </c>
      <c r="G61" s="609">
        <f t="shared" si="54"/>
        <v>13794.407000894667</v>
      </c>
      <c r="H61" s="609">
        <f t="shared" si="54"/>
        <v>13794.407000894667</v>
      </c>
      <c r="I61" s="609">
        <f t="shared" si="54"/>
        <v>13922.832567948375</v>
      </c>
      <c r="J61" s="609">
        <f t="shared" si="54"/>
        <v>13794.407000894667</v>
      </c>
      <c r="K61" s="609">
        <f t="shared" si="54"/>
        <v>13794.407000894667</v>
      </c>
      <c r="L61" s="609">
        <f t="shared" si="54"/>
        <v>13795.040874059083</v>
      </c>
      <c r="M61" s="609">
        <f t="shared" si="54"/>
        <v>13865.140012419499</v>
      </c>
      <c r="N61" s="609">
        <f t="shared" si="54"/>
        <v>14187.579879306837</v>
      </c>
      <c r="O61" s="609">
        <f t="shared" si="54"/>
        <v>14187.579879306837</v>
      </c>
      <c r="P61" s="609">
        <f t="shared" si="52"/>
        <v>166519.0222193033</v>
      </c>
      <c r="Q61" s="600">
        <f t="shared" si="53"/>
        <v>166519.0222193033</v>
      </c>
      <c r="R61" s="620">
        <f>Q61-P61</f>
        <v>0</v>
      </c>
      <c r="S61" s="619"/>
    </row>
    <row r="62" spans="1:33">
      <c r="C62" s="605" t="s">
        <v>57</v>
      </c>
      <c r="D62" s="609">
        <f t="shared" ref="D62:O62" si="55">D16+Q16</f>
        <v>2632.1147868080793</v>
      </c>
      <c r="E62" s="609">
        <f t="shared" si="55"/>
        <v>1896.4669267756856</v>
      </c>
      <c r="F62" s="609">
        <f t="shared" si="55"/>
        <v>2099.014434576176</v>
      </c>
      <c r="G62" s="609">
        <f t="shared" si="55"/>
        <v>3201.2422089378315</v>
      </c>
      <c r="H62" s="609">
        <f t="shared" si="55"/>
        <v>42303.442368080679</v>
      </c>
      <c r="I62" s="609">
        <f t="shared" si="55"/>
        <v>2153.3226875142782</v>
      </c>
      <c r="J62" s="609">
        <f t="shared" si="55"/>
        <v>1244.3846024796262</v>
      </c>
      <c r="K62" s="609">
        <f t="shared" si="55"/>
        <v>964.22733272885148</v>
      </c>
      <c r="L62" s="609">
        <f t="shared" si="55"/>
        <v>5756.2439952009163</v>
      </c>
      <c r="M62" s="609">
        <f t="shared" si="55"/>
        <v>20169.121718781964</v>
      </c>
      <c r="N62" s="609">
        <f t="shared" si="55"/>
        <v>14037.936586884898</v>
      </c>
      <c r="O62" s="609">
        <f t="shared" si="55"/>
        <v>2161.3992952149997</v>
      </c>
      <c r="P62" s="609">
        <f t="shared" si="52"/>
        <v>98618.91694398399</v>
      </c>
      <c r="Q62" s="600">
        <f t="shared" si="53"/>
        <v>98618.916943984004</v>
      </c>
      <c r="R62" s="620">
        <f>Q62-P62</f>
        <v>0</v>
      </c>
      <c r="S62" s="619"/>
    </row>
    <row r="63" spans="1:33">
      <c r="A63" s="592" t="s">
        <v>31</v>
      </c>
      <c r="C63" s="604" t="s">
        <v>267</v>
      </c>
      <c r="D63" s="609">
        <f>D17+Q17</f>
        <v>0</v>
      </c>
      <c r="E63" s="609">
        <v>0</v>
      </c>
      <c r="F63" s="609">
        <v>0</v>
      </c>
      <c r="G63" s="609">
        <v>0</v>
      </c>
      <c r="H63" s="609">
        <v>0</v>
      </c>
      <c r="I63" s="609">
        <v>0</v>
      </c>
      <c r="J63" s="609">
        <v>0</v>
      </c>
      <c r="K63" s="609">
        <v>0</v>
      </c>
      <c r="L63" s="609">
        <v>0</v>
      </c>
      <c r="M63" s="609">
        <v>0</v>
      </c>
      <c r="N63" s="609">
        <v>0</v>
      </c>
      <c r="O63" s="609">
        <v>0</v>
      </c>
      <c r="P63" s="598">
        <f t="shared" si="52"/>
        <v>0</v>
      </c>
      <c r="Q63" s="600">
        <f t="shared" si="53"/>
        <v>0</v>
      </c>
      <c r="R63" s="599">
        <f t="shared" ref="R63:AB63" si="56">E63/$P$22*$AC$23</f>
        <v>0</v>
      </c>
      <c r="S63" s="599">
        <f t="shared" si="56"/>
        <v>0</v>
      </c>
      <c r="T63" s="599">
        <f t="shared" si="56"/>
        <v>0</v>
      </c>
      <c r="U63" s="599">
        <f t="shared" si="56"/>
        <v>0</v>
      </c>
      <c r="V63" s="599">
        <f t="shared" si="56"/>
        <v>0</v>
      </c>
      <c r="W63" s="599">
        <f t="shared" si="56"/>
        <v>0</v>
      </c>
      <c r="X63" s="599">
        <f t="shared" si="56"/>
        <v>0</v>
      </c>
      <c r="Y63" s="599">
        <f t="shared" si="56"/>
        <v>0</v>
      </c>
      <c r="Z63" s="599">
        <f t="shared" si="56"/>
        <v>0</v>
      </c>
      <c r="AA63" s="599">
        <f t="shared" si="56"/>
        <v>0</v>
      </c>
      <c r="AB63" s="599">
        <f t="shared" si="56"/>
        <v>0</v>
      </c>
      <c r="AC63" s="458">
        <f>SUM(Q63:AB63)</f>
        <v>0</v>
      </c>
      <c r="AE63" s="105">
        <f>P63+AC63+AD63</f>
        <v>0</v>
      </c>
      <c r="AF63" s="600">
        <v>0</v>
      </c>
      <c r="AG63" s="601">
        <f>AF63-AE63</f>
        <v>0</v>
      </c>
    </row>
    <row r="64" spans="1:33">
      <c r="C64" s="604" t="s">
        <v>53</v>
      </c>
      <c r="D64" s="609">
        <f>D18+Q18+Temperature!G98*1000</f>
        <v>4674429.0514599662</v>
      </c>
      <c r="E64" s="609">
        <f>E18+R18+Temperature!G99*1000</f>
        <v>5050804.85014218</v>
      </c>
      <c r="F64" s="609">
        <f>F18+S18+Temperature!G100*1000</f>
        <v>5582280.1543279029</v>
      </c>
      <c r="G64" s="609">
        <f>G18+T18+Temperature!G101*1000</f>
        <v>5867147.620793514</v>
      </c>
      <c r="H64" s="609">
        <f>H18+U18+Temperature!G102*1000</f>
        <v>5599937.5354501689</v>
      </c>
      <c r="I64" s="609">
        <f>I18+V18+Temperature!G103*1000</f>
        <v>5753327.622788718</v>
      </c>
      <c r="J64" s="609">
        <f>J18+W18+Temperature!G104*1000</f>
        <v>5331317.7823515348</v>
      </c>
      <c r="K64" s="609">
        <f>K18+X18+Temperature!G105*1000</f>
        <v>4967696.575382024</v>
      </c>
      <c r="L64" s="609">
        <f>L18+Y18+Temperature!G106*1000</f>
        <v>4800966.1296932166</v>
      </c>
      <c r="M64" s="609">
        <f>M18+Z18+Temperature!G107*1000</f>
        <v>4593613.1451469641</v>
      </c>
      <c r="N64" s="609">
        <f>N18+AA18+Temperature!G108*1000</f>
        <v>4711116.0988515681</v>
      </c>
      <c r="O64" s="609">
        <f>O18+AB18+Temperature!G109*1000</f>
        <v>4993971.4367133891</v>
      </c>
      <c r="P64" s="609">
        <f t="shared" si="52"/>
        <v>61926608.003101148</v>
      </c>
      <c r="Q64" s="600">
        <f t="shared" si="53"/>
        <v>61926608.003101155</v>
      </c>
      <c r="R64" s="620">
        <f>Q64-P64</f>
        <v>0</v>
      </c>
      <c r="S64" s="619"/>
    </row>
    <row r="65" spans="2:19">
      <c r="C65" s="604" t="s">
        <v>54</v>
      </c>
      <c r="D65" s="609">
        <f>D19+Q19+(Temperature!D115+Temperature!H115)*1000</f>
        <v>1058167.669662206</v>
      </c>
      <c r="E65" s="609">
        <f>E19+R19+(Temperature!D116+Temperature!H116)*1000</f>
        <v>1120254.186300091</v>
      </c>
      <c r="F65" s="609">
        <f>F19+S19+(Temperature!D117+Temperature!H117)*1000</f>
        <v>1250825.5819771783</v>
      </c>
      <c r="G65" s="609">
        <f>G19+T19+(Temperature!D118+Temperature!H118)*1000</f>
        <v>1267800.1862020143</v>
      </c>
      <c r="H65" s="609">
        <f>H19+U19+(Temperature!D119+Temperature!H119)*1000</f>
        <v>1225172.6727217094</v>
      </c>
      <c r="I65" s="609">
        <f>I19+V19+(Temperature!D120+Temperature!H120)*1000</f>
        <v>1194023.2705996912</v>
      </c>
      <c r="J65" s="609">
        <f>J19+W19+(Temperature!D121+Temperature!H121)*1000</f>
        <v>1109385.8016554019</v>
      </c>
      <c r="K65" s="609">
        <f>K19+X19+(Temperature!D122+Temperature!H122)*1000</f>
        <v>1049327.6007935524</v>
      </c>
      <c r="L65" s="609">
        <f>L19+Y19+(Temperature!D123+Temperature!H123)*1000</f>
        <v>1010834.3702635523</v>
      </c>
      <c r="M65" s="609">
        <f>M19+Z19+(Temperature!D124+Temperature!H124)*1000</f>
        <v>1040470.5800835681</v>
      </c>
      <c r="N65" s="609">
        <f>N19+AA19+(Temperature!D125+Temperature!H125)*1000</f>
        <v>1006448.8968774872</v>
      </c>
      <c r="O65" s="609">
        <f>O19+AB19+(Temperature!D126+Temperature!H126)*1000</f>
        <v>1114956.0833331661</v>
      </c>
      <c r="P65" s="609">
        <f t="shared" si="52"/>
        <v>13447666.900469618</v>
      </c>
      <c r="Q65" s="600">
        <f t="shared" si="53"/>
        <v>13447666.90046962</v>
      </c>
      <c r="R65" s="620">
        <f>Q65-P65</f>
        <v>0</v>
      </c>
      <c r="S65" s="619"/>
    </row>
    <row r="66" spans="2:19">
      <c r="C66" s="604" t="s">
        <v>55</v>
      </c>
      <c r="D66" s="609">
        <f t="shared" ref="D66:O67" si="57">D20+Q20</f>
        <v>24174.625072137995</v>
      </c>
      <c r="E66" s="609">
        <f t="shared" si="57"/>
        <v>24199.000667879613</v>
      </c>
      <c r="F66" s="609">
        <f t="shared" si="57"/>
        <v>24260.47194202444</v>
      </c>
      <c r="G66" s="609">
        <f t="shared" si="57"/>
        <v>24255.950814427142</v>
      </c>
      <c r="H66" s="609">
        <f t="shared" si="57"/>
        <v>24297.991344582948</v>
      </c>
      <c r="I66" s="609">
        <f t="shared" si="57"/>
        <v>24371.690583249041</v>
      </c>
      <c r="J66" s="609">
        <f t="shared" si="57"/>
        <v>24395.993295779332</v>
      </c>
      <c r="K66" s="609">
        <f t="shared" si="57"/>
        <v>24375.785538955119</v>
      </c>
      <c r="L66" s="609">
        <f t="shared" si="57"/>
        <v>24262.85178278065</v>
      </c>
      <c r="M66" s="609">
        <f t="shared" si="57"/>
        <v>24452.121901089104</v>
      </c>
      <c r="N66" s="609">
        <f t="shared" si="57"/>
        <v>24625.173763964431</v>
      </c>
      <c r="O66" s="609">
        <f t="shared" si="57"/>
        <v>24663.115716775043</v>
      </c>
      <c r="P66" s="609">
        <f t="shared" si="52"/>
        <v>292334.7724236449</v>
      </c>
      <c r="Q66" s="600">
        <f t="shared" si="53"/>
        <v>292334.77242364484</v>
      </c>
      <c r="R66" s="620">
        <f>Q66-P66</f>
        <v>0</v>
      </c>
      <c r="S66" s="619"/>
    </row>
    <row r="67" spans="2:19">
      <c r="C67" s="604" t="s">
        <v>56</v>
      </c>
      <c r="D67" s="609">
        <f t="shared" si="57"/>
        <v>2862.4748800850884</v>
      </c>
      <c r="E67" s="609">
        <f t="shared" si="57"/>
        <v>1922.5110007342689</v>
      </c>
      <c r="F67" s="609">
        <f t="shared" si="57"/>
        <v>1647.5058957377491</v>
      </c>
      <c r="G67" s="609">
        <f t="shared" si="57"/>
        <v>2545.3097161216565</v>
      </c>
      <c r="H67" s="609">
        <f t="shared" si="57"/>
        <v>2760.2561002204902</v>
      </c>
      <c r="I67" s="609">
        <f t="shared" si="57"/>
        <v>1943.9667510981033</v>
      </c>
      <c r="J67" s="609">
        <f t="shared" si="57"/>
        <v>1353.9883913958649</v>
      </c>
      <c r="K67" s="609">
        <f t="shared" si="57"/>
        <v>1684.0525042170866</v>
      </c>
      <c r="L67" s="609">
        <f t="shared" si="57"/>
        <v>2214.5915252963305</v>
      </c>
      <c r="M67" s="609">
        <f t="shared" si="57"/>
        <v>1690.7019679753096</v>
      </c>
      <c r="N67" s="609">
        <f t="shared" si="57"/>
        <v>1309.4907958607155</v>
      </c>
      <c r="O67" s="609">
        <f t="shared" si="57"/>
        <v>1881.8442290266969</v>
      </c>
      <c r="P67" s="609">
        <f t="shared" si="52"/>
        <v>23816.693757769361</v>
      </c>
      <c r="Q67" s="600">
        <f t="shared" si="53"/>
        <v>23816.693757769361</v>
      </c>
      <c r="R67" s="620">
        <f>Q67-P67</f>
        <v>0</v>
      </c>
      <c r="S67" s="619"/>
    </row>
    <row r="68" spans="2:19">
      <c r="B68" t="s">
        <v>266</v>
      </c>
      <c r="C68" s="5"/>
      <c r="D68" s="621">
        <f t="shared" ref="D68:P68" si="58">SUM(D60:D67)</f>
        <v>9349754.2549851369</v>
      </c>
      <c r="E68" s="621">
        <f t="shared" si="58"/>
        <v>10258380.398657816</v>
      </c>
      <c r="F68" s="621">
        <f t="shared" si="58"/>
        <v>10687139.936979273</v>
      </c>
      <c r="G68" s="621">
        <f t="shared" si="58"/>
        <v>10678258.574217258</v>
      </c>
      <c r="H68" s="621">
        <f t="shared" si="58"/>
        <v>10345439.063504426</v>
      </c>
      <c r="I68" s="621">
        <f t="shared" si="58"/>
        <v>11216304.80520742</v>
      </c>
      <c r="J68" s="621">
        <f t="shared" si="58"/>
        <v>10580115.007125707</v>
      </c>
      <c r="K68" s="621">
        <f t="shared" si="58"/>
        <v>9826928.7776878513</v>
      </c>
      <c r="L68" s="621">
        <f t="shared" si="58"/>
        <v>9323700.366783021</v>
      </c>
      <c r="M68" s="621">
        <f t="shared" si="58"/>
        <v>9151806.6228707023</v>
      </c>
      <c r="N68" s="621">
        <f t="shared" si="58"/>
        <v>8867748.1987658162</v>
      </c>
      <c r="O68" s="621">
        <f t="shared" si="58"/>
        <v>9488975.9757564031</v>
      </c>
      <c r="P68" s="621">
        <f t="shared" si="58"/>
        <v>119774551.98254082</v>
      </c>
      <c r="Q68" s="600">
        <f t="shared" si="53"/>
        <v>119774551.98254083</v>
      </c>
      <c r="R68" s="620">
        <f>Q68-P68</f>
        <v>0</v>
      </c>
      <c r="S68" s="619"/>
    </row>
    <row r="69" spans="2:19">
      <c r="B69" t="s">
        <v>269</v>
      </c>
      <c r="C69" s="5"/>
      <c r="D69" s="621"/>
      <c r="E69" s="621"/>
      <c r="F69" s="621"/>
      <c r="G69" s="621"/>
      <c r="H69" s="621"/>
      <c r="I69" s="621"/>
      <c r="J69" s="621"/>
      <c r="K69" s="621"/>
      <c r="L69" s="621"/>
      <c r="M69" s="621"/>
      <c r="N69" s="621"/>
      <c r="O69" s="621"/>
      <c r="P69" s="621"/>
      <c r="Q69" s="600"/>
      <c r="R69" s="620"/>
      <c r="S69" s="619"/>
    </row>
    <row r="70" spans="2:19">
      <c r="C70" s="604" t="s">
        <v>51</v>
      </c>
      <c r="D70" s="609">
        <f t="shared" ref="D70:O77" ca="1" si="59">D24+Q24</f>
        <v>123416.58712311715</v>
      </c>
      <c r="E70" s="609">
        <f t="shared" ca="1" si="59"/>
        <v>131595.39434927181</v>
      </c>
      <c r="F70" s="609">
        <f t="shared" ca="1" si="59"/>
        <v>131125.81768101183</v>
      </c>
      <c r="G70" s="609">
        <f t="shared" ca="1" si="59"/>
        <v>131934.32080861993</v>
      </c>
      <c r="H70" s="609">
        <f t="shared" ca="1" si="59"/>
        <v>126720.0449068179</v>
      </c>
      <c r="I70" s="609">
        <f t="shared" ca="1" si="59"/>
        <v>149434.89142963567</v>
      </c>
      <c r="J70" s="609">
        <f t="shared" ca="1" si="59"/>
        <v>141887.37999242832</v>
      </c>
      <c r="K70" s="609">
        <f t="shared" ca="1" si="59"/>
        <v>130450.65706194959</v>
      </c>
      <c r="L70" s="609">
        <f t="shared" ca="1" si="59"/>
        <v>124606.30270931075</v>
      </c>
      <c r="M70" s="609">
        <f t="shared" ca="1" si="59"/>
        <v>121986.91807017112</v>
      </c>
      <c r="N70" s="609">
        <f t="shared" ca="1" si="59"/>
        <v>108860.22631491833</v>
      </c>
      <c r="O70" s="609">
        <f t="shared" ca="1" si="59"/>
        <v>116200.57480936965</v>
      </c>
      <c r="P70" s="609">
        <f t="shared" ref="P70:P77" ca="1" si="60">SUM(D70:O70)</f>
        <v>1538219.115256622</v>
      </c>
      <c r="Q70" s="600">
        <f ca="1">AE24</f>
        <v>1538219.115256622</v>
      </c>
      <c r="R70" s="620">
        <f t="shared" ref="R70:R78" ca="1" si="61">Q70-P70</f>
        <v>0</v>
      </c>
      <c r="S70" s="619"/>
    </row>
    <row r="71" spans="2:19">
      <c r="C71" s="604" t="s">
        <v>52</v>
      </c>
      <c r="D71" s="609">
        <f t="shared" ca="1" si="59"/>
        <v>664.24468249391248</v>
      </c>
      <c r="E71" s="609">
        <f t="shared" ca="1" si="59"/>
        <v>664.24468249391248</v>
      </c>
      <c r="F71" s="609">
        <f t="shared" ca="1" si="59"/>
        <v>664.24468249391248</v>
      </c>
      <c r="G71" s="609">
        <f t="shared" ca="1" si="59"/>
        <v>664.24468249391248</v>
      </c>
      <c r="H71" s="609">
        <f t="shared" ca="1" si="59"/>
        <v>664.24468249391248</v>
      </c>
      <c r="I71" s="609">
        <f t="shared" ca="1" si="59"/>
        <v>664.24468249391248</v>
      </c>
      <c r="J71" s="609">
        <f t="shared" ca="1" si="59"/>
        <v>664.24468249391248</v>
      </c>
      <c r="K71" s="609">
        <f t="shared" ca="1" si="59"/>
        <v>664.24468249391248</v>
      </c>
      <c r="L71" s="609">
        <f t="shared" ca="1" si="59"/>
        <v>664.27477985938583</v>
      </c>
      <c r="M71" s="609">
        <f t="shared" ca="1" si="59"/>
        <v>680.42797529614415</v>
      </c>
      <c r="N71" s="609">
        <f t="shared" ca="1" si="59"/>
        <v>705.14539697927285</v>
      </c>
      <c r="O71" s="609">
        <f t="shared" ca="1" si="59"/>
        <v>705.14539697927285</v>
      </c>
      <c r="P71" s="609">
        <f t="shared" ca="1" si="60"/>
        <v>8068.9510090653748</v>
      </c>
      <c r="Q71" s="600">
        <f ca="1">AE25</f>
        <v>8068.9510090653748</v>
      </c>
      <c r="R71" s="620">
        <f t="shared" ca="1" si="61"/>
        <v>0</v>
      </c>
      <c r="S71" s="619"/>
    </row>
    <row r="72" spans="2:19">
      <c r="C72" s="604" t="s">
        <v>57</v>
      </c>
      <c r="D72" s="609">
        <f t="shared" ca="1" si="59"/>
        <v>345.34202714869468</v>
      </c>
      <c r="E72" s="609">
        <f t="shared" ca="1" si="59"/>
        <v>107.22864643824157</v>
      </c>
      <c r="F72" s="609">
        <f t="shared" ca="1" si="59"/>
        <v>72.228711070565495</v>
      </c>
      <c r="G72" s="609">
        <f t="shared" ca="1" si="59"/>
        <v>35.438835215917742</v>
      </c>
      <c r="H72" s="609">
        <f t="shared" ca="1" si="59"/>
        <v>811.40233994075447</v>
      </c>
      <c r="I72" s="609">
        <f t="shared" ca="1" si="59"/>
        <v>1.9745978566053874</v>
      </c>
      <c r="J72" s="609">
        <f t="shared" ca="1" si="59"/>
        <v>1.7667454506469258</v>
      </c>
      <c r="K72" s="609">
        <f t="shared" ca="1" si="59"/>
        <v>2.0785240595846184</v>
      </c>
      <c r="L72" s="609">
        <f t="shared" ca="1" si="59"/>
        <v>240.28637036780324</v>
      </c>
      <c r="M72" s="609">
        <f t="shared" ca="1" si="59"/>
        <v>326.41393445692205</v>
      </c>
      <c r="N72" s="609">
        <f t="shared" ca="1" si="59"/>
        <v>25.892793614027031</v>
      </c>
      <c r="O72" s="609">
        <f t="shared" ca="1" si="59"/>
        <v>29.98112944782077</v>
      </c>
      <c r="P72" s="609">
        <f t="shared" ca="1" si="60"/>
        <v>2000.0346550675845</v>
      </c>
      <c r="Q72" s="600">
        <f ca="1">AE26</f>
        <v>2000.0346550675836</v>
      </c>
      <c r="R72" s="620">
        <f t="shared" ca="1" si="61"/>
        <v>0</v>
      </c>
      <c r="S72" s="619"/>
    </row>
    <row r="73" spans="2:19">
      <c r="C73" s="604" t="s">
        <v>53</v>
      </c>
      <c r="D73" s="609">
        <f t="shared" ca="1" si="59"/>
        <v>650174.16674359317</v>
      </c>
      <c r="E73" s="609">
        <f t="shared" ca="1" si="59"/>
        <v>693303.66350969265</v>
      </c>
      <c r="F73" s="609">
        <f t="shared" ca="1" si="59"/>
        <v>750740.08354165405</v>
      </c>
      <c r="G73" s="609">
        <f t="shared" ca="1" si="59"/>
        <v>800907.72883421776</v>
      </c>
      <c r="H73" s="609">
        <f t="shared" ca="1" si="59"/>
        <v>763609.36053145491</v>
      </c>
      <c r="I73" s="609">
        <f t="shared" ca="1" si="59"/>
        <v>698627.54306779488</v>
      </c>
      <c r="J73" s="609">
        <f t="shared" ca="1" si="59"/>
        <v>644268.17476220895</v>
      </c>
      <c r="K73" s="609">
        <f t="shared" ca="1" si="59"/>
        <v>629345.09916674125</v>
      </c>
      <c r="L73" s="609">
        <f t="shared" ca="1" si="59"/>
        <v>643518.86699924793</v>
      </c>
      <c r="M73" s="609">
        <f t="shared" ca="1" si="59"/>
        <v>615108.05735854711</v>
      </c>
      <c r="N73" s="609">
        <f t="shared" ca="1" si="59"/>
        <v>633367.7470790263</v>
      </c>
      <c r="O73" s="609">
        <f t="shared" ca="1" si="59"/>
        <v>678997.48511349736</v>
      </c>
      <c r="P73" s="609">
        <f t="shared" ca="1" si="60"/>
        <v>8201967.9767076764</v>
      </c>
      <c r="Q73" s="600">
        <f t="shared" ref="Q73:Q78" ca="1" si="62">AE27</f>
        <v>8201967.9767076755</v>
      </c>
      <c r="R73" s="620">
        <f t="shared" ca="1" si="61"/>
        <v>0</v>
      </c>
      <c r="S73" s="619"/>
    </row>
    <row r="74" spans="2:19">
      <c r="C74" s="604" t="s">
        <v>159</v>
      </c>
      <c r="D74" s="609">
        <f t="shared" ca="1" si="59"/>
        <v>24822.049739949671</v>
      </c>
      <c r="E74" s="609">
        <f t="shared" ca="1" si="59"/>
        <v>23448.827342865865</v>
      </c>
      <c r="F74" s="609">
        <f t="shared" ca="1" si="59"/>
        <v>23917.593810112179</v>
      </c>
      <c r="G74" s="609">
        <f t="shared" ca="1" si="59"/>
        <v>21950.761073798898</v>
      </c>
      <c r="H74" s="609">
        <f t="shared" ca="1" si="59"/>
        <v>32253.017543247777</v>
      </c>
      <c r="I74" s="609">
        <f t="shared" ca="1" si="59"/>
        <v>28309.411412428148</v>
      </c>
      <c r="J74" s="609">
        <f t="shared" ca="1" si="59"/>
        <v>38175.006776003815</v>
      </c>
      <c r="K74" s="609">
        <f t="shared" ca="1" si="59"/>
        <v>23665.187270798106</v>
      </c>
      <c r="L74" s="609">
        <f t="shared" ca="1" si="59"/>
        <v>22785.631894662169</v>
      </c>
      <c r="M74" s="609">
        <f t="shared" ca="1" si="59"/>
        <v>22815.719227680293</v>
      </c>
      <c r="N74" s="609">
        <f t="shared" ca="1" si="59"/>
        <v>23195.638272049484</v>
      </c>
      <c r="O74" s="609">
        <f t="shared" ca="1" si="59"/>
        <v>26840.529555415102</v>
      </c>
      <c r="P74" s="609">
        <f t="shared" ca="1" si="60"/>
        <v>312179.3739190115</v>
      </c>
      <c r="Q74" s="600">
        <f t="shared" ca="1" si="62"/>
        <v>312179.3739190115</v>
      </c>
      <c r="R74" s="620">
        <f t="shared" ca="1" si="61"/>
        <v>0</v>
      </c>
      <c r="S74" s="619"/>
    </row>
    <row r="75" spans="2:19">
      <c r="C75" s="604" t="s">
        <v>569</v>
      </c>
      <c r="D75" s="609">
        <f t="shared" ca="1" si="59"/>
        <v>1867530.7025978202</v>
      </c>
      <c r="E75" s="609">
        <f t="shared" ca="1" si="59"/>
        <v>2186059.0470411018</v>
      </c>
      <c r="F75" s="609">
        <f t="shared" ca="1" si="59"/>
        <v>2190882.6715458632</v>
      </c>
      <c r="G75" s="609">
        <f t="shared" ca="1" si="59"/>
        <v>2160462.7526068077</v>
      </c>
      <c r="H75" s="609">
        <f t="shared" ca="1" si="59"/>
        <v>2229649.4025595272</v>
      </c>
      <c r="I75" s="609">
        <f t="shared" ca="1" si="59"/>
        <v>2129674.7228231034</v>
      </c>
      <c r="J75" s="609">
        <f t="shared" ca="1" si="59"/>
        <v>2271985.1193008325</v>
      </c>
      <c r="K75" s="609">
        <f t="shared" ca="1" si="59"/>
        <v>2240030.2447550949</v>
      </c>
      <c r="L75" s="609">
        <f t="shared" ca="1" si="59"/>
        <v>2037248.3218930059</v>
      </c>
      <c r="M75" s="609">
        <f t="shared" ca="1" si="59"/>
        <v>2205802.6739996672</v>
      </c>
      <c r="N75" s="609">
        <f t="shared" ca="1" si="59"/>
        <v>2206258.893878493</v>
      </c>
      <c r="O75" s="609">
        <f t="shared" ca="1" si="59"/>
        <v>2126792.207839631</v>
      </c>
      <c r="P75" s="609">
        <f t="shared" ca="1" si="60"/>
        <v>25852376.760840949</v>
      </c>
      <c r="Q75" s="600">
        <f t="shared" ca="1" si="62"/>
        <v>25852376.760840945</v>
      </c>
      <c r="R75" s="620">
        <f t="shared" ca="1" si="61"/>
        <v>0</v>
      </c>
      <c r="S75" s="619"/>
    </row>
    <row r="76" spans="2:19">
      <c r="C76" s="604" t="s">
        <v>54</v>
      </c>
      <c r="D76" s="609">
        <f t="shared" ca="1" si="59"/>
        <v>1260174.4511156918</v>
      </c>
      <c r="E76" s="609">
        <f t="shared" ca="1" si="59"/>
        <v>1259564.64337761</v>
      </c>
      <c r="F76" s="609">
        <f t="shared" ca="1" si="59"/>
        <v>1275936.268855819</v>
      </c>
      <c r="G76" s="609">
        <f t="shared" ca="1" si="59"/>
        <v>1275039.8472504837</v>
      </c>
      <c r="H76" s="609">
        <f t="shared" ca="1" si="59"/>
        <v>1385695.7553620059</v>
      </c>
      <c r="I76" s="609">
        <f t="shared" ca="1" si="59"/>
        <v>1223587.118491733</v>
      </c>
      <c r="J76" s="609">
        <f t="shared" ca="1" si="59"/>
        <v>1114138.7321583517</v>
      </c>
      <c r="K76" s="609">
        <f t="shared" ca="1" si="59"/>
        <v>1137407.3374800091</v>
      </c>
      <c r="L76" s="609">
        <f t="shared" ca="1" si="59"/>
        <v>1147429.1134236648</v>
      </c>
      <c r="M76" s="609">
        <f t="shared" ca="1" si="59"/>
        <v>1160812.1869704674</v>
      </c>
      <c r="N76" s="609">
        <f t="shared" ca="1" si="59"/>
        <v>1229168.8830921969</v>
      </c>
      <c r="O76" s="609">
        <f t="shared" ca="1" si="59"/>
        <v>1293232.6228460027</v>
      </c>
      <c r="P76" s="609">
        <f t="shared" ca="1" si="60"/>
        <v>14762186.960424032</v>
      </c>
      <c r="Q76" s="600">
        <f t="shared" ca="1" si="62"/>
        <v>14762186.960424034</v>
      </c>
      <c r="R76" s="620">
        <f t="shared" ca="1" si="61"/>
        <v>0</v>
      </c>
      <c r="S76" s="619"/>
    </row>
    <row r="77" spans="2:19">
      <c r="C77" s="604" t="s">
        <v>55</v>
      </c>
      <c r="D77" s="609">
        <f t="shared" ca="1" si="59"/>
        <v>1614.4327164418205</v>
      </c>
      <c r="E77" s="609">
        <f t="shared" ca="1" si="59"/>
        <v>1518.2866802742139</v>
      </c>
      <c r="F77" s="609">
        <f t="shared" ca="1" si="59"/>
        <v>1514.9709560077924</v>
      </c>
      <c r="G77" s="609">
        <f t="shared" ca="1" si="59"/>
        <v>1515.3257822499129</v>
      </c>
      <c r="H77" s="609">
        <f t="shared" ca="1" si="59"/>
        <v>1525.635455840491</v>
      </c>
      <c r="I77" s="609">
        <f t="shared" ca="1" si="59"/>
        <v>1516.8377255654038</v>
      </c>
      <c r="J77" s="609">
        <f t="shared" ca="1" si="59"/>
        <v>1505.3397990563435</v>
      </c>
      <c r="K77" s="609">
        <f t="shared" ca="1" si="59"/>
        <v>1504.9849728142231</v>
      </c>
      <c r="L77" s="609">
        <f t="shared" ca="1" si="59"/>
        <v>1505.3198596582117</v>
      </c>
      <c r="M77" s="609">
        <f t="shared" ca="1" si="59"/>
        <v>1505.6948343836377</v>
      </c>
      <c r="N77" s="609">
        <f t="shared" ca="1" si="59"/>
        <v>1516.7667654810314</v>
      </c>
      <c r="O77" s="609">
        <f t="shared" ca="1" si="59"/>
        <v>1516.7667654810314</v>
      </c>
      <c r="P77" s="609">
        <f t="shared" ca="1" si="60"/>
        <v>18260.362313254114</v>
      </c>
      <c r="Q77" s="600">
        <f t="shared" ca="1" si="62"/>
        <v>18260.362313254111</v>
      </c>
      <c r="R77" s="620">
        <f t="shared" ca="1" si="61"/>
        <v>0</v>
      </c>
      <c r="S77" s="619"/>
    </row>
    <row r="78" spans="2:19">
      <c r="B78" t="s">
        <v>269</v>
      </c>
      <c r="C78" s="604"/>
      <c r="D78" s="621">
        <f t="shared" ref="D78:P78" ca="1" si="63">SUM(D70:D77)</f>
        <v>3928741.976746256</v>
      </c>
      <c r="E78" s="621">
        <f t="shared" ca="1" si="63"/>
        <v>4296261.3356297491</v>
      </c>
      <c r="F78" s="621">
        <f t="shared" ca="1" si="63"/>
        <v>4374853.8797840327</v>
      </c>
      <c r="G78" s="621">
        <f t="shared" ca="1" si="63"/>
        <v>4392510.4198738877</v>
      </c>
      <c r="H78" s="621">
        <f t="shared" ca="1" si="63"/>
        <v>4540928.863381329</v>
      </c>
      <c r="I78" s="621">
        <f t="shared" ca="1" si="63"/>
        <v>4231816.7442306112</v>
      </c>
      <c r="J78" s="621">
        <f t="shared" ca="1" si="63"/>
        <v>4212625.7642168263</v>
      </c>
      <c r="K78" s="621">
        <f t="shared" ca="1" si="63"/>
        <v>4163069.8339139605</v>
      </c>
      <c r="L78" s="621">
        <f t="shared" ca="1" si="63"/>
        <v>3977998.1179297771</v>
      </c>
      <c r="M78" s="621">
        <f t="shared" ca="1" si="63"/>
        <v>4129038.0923706698</v>
      </c>
      <c r="N78" s="621">
        <f t="shared" ca="1" si="63"/>
        <v>4203099.1935927579</v>
      </c>
      <c r="O78" s="621">
        <f t="shared" ca="1" si="63"/>
        <v>4244315.3134558238</v>
      </c>
      <c r="P78" s="621">
        <f t="shared" ca="1" si="63"/>
        <v>50695259.535125688</v>
      </c>
      <c r="Q78" s="600">
        <f t="shared" ca="1" si="62"/>
        <v>50695259.53512568</v>
      </c>
      <c r="R78" s="620">
        <f t="shared" ca="1" si="61"/>
        <v>0</v>
      </c>
      <c r="S78" s="619"/>
    </row>
    <row r="79" spans="2:19">
      <c r="B79" t="s">
        <v>271</v>
      </c>
      <c r="C79" s="604"/>
      <c r="D79" s="621"/>
      <c r="E79" s="621"/>
      <c r="F79" s="621"/>
      <c r="G79" s="621"/>
      <c r="H79" s="621"/>
      <c r="I79" s="621"/>
      <c r="J79" s="621"/>
      <c r="K79" s="621"/>
      <c r="L79" s="621"/>
      <c r="M79" s="621"/>
      <c r="N79" s="621"/>
      <c r="O79" s="621"/>
      <c r="P79" s="621"/>
      <c r="Q79" s="600"/>
      <c r="R79" s="620"/>
      <c r="S79" s="619"/>
    </row>
    <row r="80" spans="2:19">
      <c r="C80" s="604" t="s">
        <v>58</v>
      </c>
      <c r="D80" s="609">
        <f ca="1">D34+Q34+Temperature!D80*1000</f>
        <v>1446854.1268737856</v>
      </c>
      <c r="E80" s="609">
        <f ca="1">E34+R34+Temperature!D81*1000</f>
        <v>1657233.3284330047</v>
      </c>
      <c r="F80" s="609">
        <f ca="1">F34+S34+Temperature!D82*1000</f>
        <v>1360438.8262338408</v>
      </c>
      <c r="G80" s="609">
        <f ca="1">G34+T34+Temperature!D83*1000</f>
        <v>817688.16449079441</v>
      </c>
      <c r="H80" s="609">
        <f ca="1">H34+U34+Temperature!D84*1000</f>
        <v>2058431.7772776359</v>
      </c>
      <c r="I80" s="609">
        <f ca="1">I34+V34+Temperature!D85*1000</f>
        <v>39867.336950728743</v>
      </c>
      <c r="J80" s="609">
        <f ca="1">J34+W34+Temperature!D86*1000</f>
        <v>20122.87916625342</v>
      </c>
      <c r="K80" s="609">
        <f ca="1">K34+X34+Temperature!D87*1000</f>
        <v>21412.730498623408</v>
      </c>
      <c r="L80" s="609">
        <f ca="1">L34+Y34+Temperature!D88*1000</f>
        <v>168703.75835533199</v>
      </c>
      <c r="M80" s="609">
        <f ca="1">M34+Z34+Temperature!D89*1000</f>
        <v>536956.48786660237</v>
      </c>
      <c r="N80" s="609">
        <f ca="1">N34+AA34+Temperature!D90*1000</f>
        <v>684587.46909099747</v>
      </c>
      <c r="O80" s="609">
        <f ca="1">O34+AB34+Temperature!D91*1000</f>
        <v>749473.88657340175</v>
      </c>
      <c r="P80" s="609">
        <f ca="1">SUM(D80:O80)</f>
        <v>9561770.7718110029</v>
      </c>
      <c r="Q80" s="600">
        <f ca="1">AE34</f>
        <v>9561770.771811001</v>
      </c>
      <c r="R80" s="620">
        <f ca="1">Q80-P80</f>
        <v>0</v>
      </c>
      <c r="S80" s="619"/>
    </row>
    <row r="81" spans="2:19">
      <c r="C81" s="604" t="s">
        <v>59</v>
      </c>
      <c r="D81" s="609">
        <f t="shared" ref="D81:O81" ca="1" si="64">D35+Q35</f>
        <v>577858.63657148147</v>
      </c>
      <c r="E81" s="609">
        <f t="shared" ca="1" si="64"/>
        <v>631588.50721486681</v>
      </c>
      <c r="F81" s="609">
        <f t="shared" ca="1" si="64"/>
        <v>517883.05723941553</v>
      </c>
      <c r="G81" s="609">
        <f t="shared" ca="1" si="64"/>
        <v>308667.5793897605</v>
      </c>
      <c r="H81" s="609">
        <f t="shared" ca="1" si="64"/>
        <v>773695.42680104927</v>
      </c>
      <c r="I81" s="609">
        <f t="shared" ca="1" si="64"/>
        <v>11964.660248381981</v>
      </c>
      <c r="J81" s="609">
        <f t="shared" ca="1" si="64"/>
        <v>9668.0390111620763</v>
      </c>
      <c r="K81" s="609">
        <f t="shared" ca="1" si="64"/>
        <v>10571.320014407835</v>
      </c>
      <c r="L81" s="609">
        <f t="shared" ca="1" si="64"/>
        <v>54499.436712388335</v>
      </c>
      <c r="M81" s="609">
        <f t="shared" ca="1" si="64"/>
        <v>183754.78931007074</v>
      </c>
      <c r="N81" s="609">
        <f t="shared" ca="1" si="64"/>
        <v>424785.79213304853</v>
      </c>
      <c r="O81" s="609">
        <f t="shared" ca="1" si="64"/>
        <v>553566.84483223723</v>
      </c>
      <c r="P81" s="609">
        <f ca="1">SUM(D81:O81)</f>
        <v>4058504.0894782711</v>
      </c>
      <c r="Q81" s="600">
        <f ca="1">AE35</f>
        <v>4058504.0894782702</v>
      </c>
      <c r="R81" s="620">
        <f ca="1">Q81-P81</f>
        <v>0</v>
      </c>
      <c r="S81" s="619"/>
    </row>
    <row r="82" spans="2:19">
      <c r="B82" t="s">
        <v>271</v>
      </c>
      <c r="C82" s="604"/>
      <c r="D82" s="621">
        <f t="shared" ref="D82:P82" ca="1" si="65">SUM(D80:D81)</f>
        <v>2024712.763445267</v>
      </c>
      <c r="E82" s="621">
        <f t="shared" ca="1" si="65"/>
        <v>2288821.8356478717</v>
      </c>
      <c r="F82" s="621">
        <f t="shared" ca="1" si="65"/>
        <v>1878321.8834732564</v>
      </c>
      <c r="G82" s="621">
        <f t="shared" ca="1" si="65"/>
        <v>1126355.743880555</v>
      </c>
      <c r="H82" s="621">
        <f t="shared" ca="1" si="65"/>
        <v>2832127.204078685</v>
      </c>
      <c r="I82" s="621">
        <f t="shared" ca="1" si="65"/>
        <v>51831.997199110723</v>
      </c>
      <c r="J82" s="621">
        <f t="shared" ca="1" si="65"/>
        <v>29790.918177415497</v>
      </c>
      <c r="K82" s="621">
        <f t="shared" ca="1" si="65"/>
        <v>31984.050513031245</v>
      </c>
      <c r="L82" s="621">
        <f t="shared" ca="1" si="65"/>
        <v>223203.19506772031</v>
      </c>
      <c r="M82" s="621">
        <f t="shared" ca="1" si="65"/>
        <v>720711.27717667306</v>
      </c>
      <c r="N82" s="621">
        <f t="shared" ca="1" si="65"/>
        <v>1109373.2612240459</v>
      </c>
      <c r="O82" s="621">
        <f t="shared" ca="1" si="65"/>
        <v>1303040.7314056391</v>
      </c>
      <c r="P82" s="621">
        <f t="shared" ca="1" si="65"/>
        <v>13620274.861289274</v>
      </c>
      <c r="Q82" s="600">
        <f ca="1">AE36</f>
        <v>13620274.86128927</v>
      </c>
      <c r="R82" s="620">
        <f ca="1">Q82-P82</f>
        <v>0</v>
      </c>
      <c r="S82" s="619"/>
    </row>
    <row r="83" spans="2:19">
      <c r="B83" t="s">
        <v>563</v>
      </c>
      <c r="C83" s="604"/>
      <c r="D83" s="621"/>
      <c r="E83" s="621"/>
      <c r="F83" s="621"/>
      <c r="G83" s="621"/>
      <c r="H83" s="621"/>
      <c r="I83" s="621"/>
      <c r="J83" s="621"/>
      <c r="K83" s="621"/>
      <c r="L83" s="621"/>
      <c r="M83" s="621"/>
      <c r="N83" s="621"/>
      <c r="O83" s="621"/>
      <c r="P83" s="621"/>
      <c r="Q83" s="600"/>
      <c r="R83" s="620"/>
      <c r="S83" s="619"/>
    </row>
    <row r="84" spans="2:19">
      <c r="C84" s="604" t="s">
        <v>61</v>
      </c>
      <c r="D84" s="609">
        <f t="shared" ref="D84:O88" si="66">D38+Q38</f>
        <v>2999.1001769071631</v>
      </c>
      <c r="E84" s="609">
        <f t="shared" si="66"/>
        <v>2999.1001769071631</v>
      </c>
      <c r="F84" s="609">
        <f t="shared" si="66"/>
        <v>2999.1001769071631</v>
      </c>
      <c r="G84" s="609">
        <f t="shared" si="66"/>
        <v>2999.1001769071631</v>
      </c>
      <c r="H84" s="609">
        <f t="shared" si="66"/>
        <v>3001.0425483315867</v>
      </c>
      <c r="I84" s="609">
        <f t="shared" si="66"/>
        <v>3011.1569694795153</v>
      </c>
      <c r="J84" s="609">
        <f t="shared" si="66"/>
        <v>3011.1569694795153</v>
      </c>
      <c r="K84" s="609">
        <f t="shared" si="66"/>
        <v>3011.1569694795153</v>
      </c>
      <c r="L84" s="609">
        <f t="shared" si="66"/>
        <v>3011.1537443941907</v>
      </c>
      <c r="M84" s="609">
        <f t="shared" si="66"/>
        <v>3031.3452737595144</v>
      </c>
      <c r="N84" s="609">
        <f t="shared" si="66"/>
        <v>3051.5615968068746</v>
      </c>
      <c r="O84" s="609">
        <f t="shared" si="66"/>
        <v>2999.923828505443</v>
      </c>
      <c r="P84" s="609">
        <f>SUM(D84:O84)</f>
        <v>36124.898607864809</v>
      </c>
      <c r="Q84" s="600">
        <f t="shared" ref="Q84:Q89" si="67">AE38</f>
        <v>36124.898607864801</v>
      </c>
      <c r="R84" s="620">
        <f t="shared" ref="R84:R89" si="68">Q84-P84</f>
        <v>0</v>
      </c>
      <c r="S84" s="619"/>
    </row>
    <row r="85" spans="2:19">
      <c r="C85" s="604" t="s">
        <v>62</v>
      </c>
      <c r="D85" s="609">
        <f t="shared" si="66"/>
        <v>20133.872274810954</v>
      </c>
      <c r="E85" s="609">
        <f t="shared" si="66"/>
        <v>20136.02666691022</v>
      </c>
      <c r="F85" s="609">
        <f t="shared" si="66"/>
        <v>20136.996143354856</v>
      </c>
      <c r="G85" s="609">
        <f t="shared" si="66"/>
        <v>20131.091150464588</v>
      </c>
      <c r="H85" s="609">
        <f t="shared" si="66"/>
        <v>20132.599224934092</v>
      </c>
      <c r="I85" s="609">
        <f t="shared" si="66"/>
        <v>20134.215019008487</v>
      </c>
      <c r="J85" s="609">
        <f t="shared" si="66"/>
        <v>20134.215019008487</v>
      </c>
      <c r="K85" s="609">
        <f t="shared" si="66"/>
        <v>20130.679857427469</v>
      </c>
      <c r="L85" s="609">
        <f t="shared" si="66"/>
        <v>20134.2098115238</v>
      </c>
      <c r="M85" s="609">
        <f t="shared" si="66"/>
        <v>20270.796397939765</v>
      </c>
      <c r="N85" s="609">
        <f t="shared" si="66"/>
        <v>20411.548290386036</v>
      </c>
      <c r="O85" s="609">
        <f t="shared" si="66"/>
        <v>20411.548290386036</v>
      </c>
      <c r="P85" s="609">
        <f>SUM(D85:O85)</f>
        <v>242297.79814615479</v>
      </c>
      <c r="Q85" s="600">
        <f t="shared" si="67"/>
        <v>242297.79814615476</v>
      </c>
      <c r="R85" s="620">
        <f t="shared" si="68"/>
        <v>0</v>
      </c>
      <c r="S85" s="619"/>
    </row>
    <row r="86" spans="2:19">
      <c r="C86" s="604" t="s">
        <v>63</v>
      </c>
      <c r="D86" s="609">
        <f t="shared" si="66"/>
        <v>4620.8987769012901</v>
      </c>
      <c r="E86" s="609">
        <f t="shared" si="66"/>
        <v>5082.058421378114</v>
      </c>
      <c r="F86" s="609">
        <f t="shared" si="66"/>
        <v>5869.3550536243365</v>
      </c>
      <c r="G86" s="609">
        <f t="shared" si="66"/>
        <v>6496.4988483260704</v>
      </c>
      <c r="H86" s="609">
        <f t="shared" si="66"/>
        <v>7605.2118818861109</v>
      </c>
      <c r="I86" s="609">
        <f t="shared" si="66"/>
        <v>9232.1481197242629</v>
      </c>
      <c r="J86" s="609">
        <f t="shared" si="66"/>
        <v>9160.6451190000225</v>
      </c>
      <c r="K86" s="609">
        <f t="shared" si="66"/>
        <v>8118.0202958181135</v>
      </c>
      <c r="L86" s="609">
        <f t="shared" si="66"/>
        <v>7166.0585007389809</v>
      </c>
      <c r="M86" s="609">
        <f t="shared" si="66"/>
        <v>6318.3099678757644</v>
      </c>
      <c r="N86" s="609">
        <f t="shared" si="66"/>
        <v>5473.500123113623</v>
      </c>
      <c r="O86" s="609">
        <f t="shared" si="66"/>
        <v>4957.3711632226587</v>
      </c>
      <c r="P86" s="609">
        <f>SUM(D86:O86)</f>
        <v>80100.07627160936</v>
      </c>
      <c r="Q86" s="600">
        <f t="shared" si="67"/>
        <v>80100.076271609345</v>
      </c>
      <c r="R86" s="620">
        <f t="shared" si="68"/>
        <v>0</v>
      </c>
      <c r="S86" s="619"/>
    </row>
    <row r="87" spans="2:19">
      <c r="C87" s="604" t="s">
        <v>64</v>
      </c>
      <c r="D87" s="609">
        <f t="shared" si="66"/>
        <v>63129.095074221987</v>
      </c>
      <c r="E87" s="609">
        <f t="shared" si="66"/>
        <v>63148.385086101902</v>
      </c>
      <c r="F87" s="609">
        <f t="shared" si="66"/>
        <v>63158.914834527641</v>
      </c>
      <c r="G87" s="609">
        <f t="shared" si="66"/>
        <v>63186.140233181148</v>
      </c>
      <c r="H87" s="609">
        <f t="shared" si="66"/>
        <v>63201.86702081465</v>
      </c>
      <c r="I87" s="609">
        <f t="shared" si="66"/>
        <v>63267.25787553237</v>
      </c>
      <c r="J87" s="609">
        <f t="shared" si="66"/>
        <v>63305.680381077909</v>
      </c>
      <c r="K87" s="609">
        <f t="shared" si="66"/>
        <v>63226.081360761753</v>
      </c>
      <c r="L87" s="609">
        <f t="shared" si="66"/>
        <v>63261.266667495875</v>
      </c>
      <c r="M87" s="609">
        <f t="shared" si="66"/>
        <v>63704.045227036484</v>
      </c>
      <c r="N87" s="609">
        <f t="shared" si="66"/>
        <v>64166.849251487067</v>
      </c>
      <c r="O87" s="609">
        <f t="shared" si="66"/>
        <v>64253.678675239848</v>
      </c>
      <c r="P87" s="609">
        <f>SUM(D87:O87)</f>
        <v>761009.26168747852</v>
      </c>
      <c r="Q87" s="600">
        <f t="shared" si="67"/>
        <v>761009.26168747852</v>
      </c>
      <c r="R87" s="620">
        <f t="shared" si="68"/>
        <v>0</v>
      </c>
      <c r="S87" s="619"/>
    </row>
    <row r="88" spans="2:19">
      <c r="C88" s="604" t="s">
        <v>65</v>
      </c>
      <c r="D88" s="609">
        <f t="shared" si="66"/>
        <v>18090.058515490076</v>
      </c>
      <c r="E88" s="609">
        <f t="shared" si="66"/>
        <v>18089.431482501612</v>
      </c>
      <c r="F88" s="609">
        <f t="shared" si="66"/>
        <v>18084.33515416455</v>
      </c>
      <c r="G88" s="609">
        <f t="shared" si="66"/>
        <v>18071.30679728722</v>
      </c>
      <c r="H88" s="609">
        <f t="shared" si="66"/>
        <v>18071.30679728722</v>
      </c>
      <c r="I88" s="609">
        <f t="shared" si="66"/>
        <v>18071.30679728722</v>
      </c>
      <c r="J88" s="609">
        <f t="shared" si="66"/>
        <v>18071.30679728722</v>
      </c>
      <c r="K88" s="609">
        <f t="shared" si="66"/>
        <v>18071.30679728722</v>
      </c>
      <c r="L88" s="609">
        <f t="shared" si="66"/>
        <v>18071.311558720252</v>
      </c>
      <c r="M88" s="609">
        <f t="shared" si="66"/>
        <v>18191.359347113033</v>
      </c>
      <c r="N88" s="609">
        <f t="shared" si="66"/>
        <v>18283.723231402986</v>
      </c>
      <c r="O88" s="609">
        <f t="shared" si="66"/>
        <v>18281.041869858258</v>
      </c>
      <c r="P88" s="609">
        <f>SUM(D88:O88)</f>
        <v>217447.79514568686</v>
      </c>
      <c r="Q88" s="600">
        <f t="shared" si="67"/>
        <v>217447.79514568686</v>
      </c>
      <c r="R88" s="620">
        <f t="shared" si="68"/>
        <v>0</v>
      </c>
      <c r="S88" s="619"/>
    </row>
    <row r="89" spans="2:19">
      <c r="B89" t="s">
        <v>563</v>
      </c>
      <c r="D89" s="621">
        <f t="shared" ref="D89:P89" si="69">SUM(D84:D88)</f>
        <v>108973.02481833147</v>
      </c>
      <c r="E89" s="621">
        <f t="shared" si="69"/>
        <v>109455.001833799</v>
      </c>
      <c r="F89" s="621">
        <f t="shared" si="69"/>
        <v>110248.70136257855</v>
      </c>
      <c r="G89" s="621">
        <f t="shared" si="69"/>
        <v>110884.1372061662</v>
      </c>
      <c r="H89" s="621">
        <f t="shared" si="69"/>
        <v>112012.02747325366</v>
      </c>
      <c r="I89" s="621">
        <f t="shared" si="69"/>
        <v>113716.08478103185</v>
      </c>
      <c r="J89" s="621">
        <f t="shared" si="69"/>
        <v>113683.00428585315</v>
      </c>
      <c r="K89" s="621">
        <f t="shared" si="69"/>
        <v>112557.24528077408</v>
      </c>
      <c r="L89" s="621">
        <f t="shared" si="69"/>
        <v>111644.00028287309</v>
      </c>
      <c r="M89" s="621">
        <f t="shared" si="69"/>
        <v>111515.85621372456</v>
      </c>
      <c r="N89" s="621">
        <f t="shared" si="69"/>
        <v>111387.18249319658</v>
      </c>
      <c r="O89" s="621">
        <f t="shared" si="69"/>
        <v>110903.56382721223</v>
      </c>
      <c r="P89" s="621">
        <f t="shared" si="69"/>
        <v>1336979.8298587943</v>
      </c>
      <c r="Q89" s="600">
        <f t="shared" si="67"/>
        <v>1336979.8298587943</v>
      </c>
      <c r="R89" s="620">
        <f t="shared" si="68"/>
        <v>0</v>
      </c>
      <c r="S89" s="619"/>
    </row>
    <row r="90" spans="2:19">
      <c r="D90" s="609"/>
      <c r="E90" s="609"/>
      <c r="F90" s="609"/>
      <c r="G90" s="609"/>
      <c r="H90" s="609"/>
      <c r="I90" s="609"/>
      <c r="J90" s="609"/>
      <c r="K90" s="609"/>
      <c r="L90" s="609"/>
      <c r="M90" s="609"/>
      <c r="N90" s="609"/>
      <c r="O90" s="609"/>
      <c r="P90" s="622" t="s">
        <v>31</v>
      </c>
      <c r="S90" s="619"/>
    </row>
    <row r="91" spans="2:19">
      <c r="C91" s="604" t="s">
        <v>9</v>
      </c>
      <c r="D91" s="609">
        <f t="shared" ref="D91:O91" ca="1" si="70">D58+D68+D78+D82+D89</f>
        <v>23795584.458086561</v>
      </c>
      <c r="E91" s="609">
        <f t="shared" ca="1" si="70"/>
        <v>28148997.357393343</v>
      </c>
      <c r="F91" s="609">
        <f t="shared" ca="1" si="70"/>
        <v>27033167.950443815</v>
      </c>
      <c r="G91" s="609">
        <f t="shared" ca="1" si="70"/>
        <v>25564758.719303742</v>
      </c>
      <c r="H91" s="609">
        <f t="shared" ca="1" si="70"/>
        <v>28212500.596403237</v>
      </c>
      <c r="I91" s="609">
        <f t="shared" ca="1" si="70"/>
        <v>35241024.17614039</v>
      </c>
      <c r="J91" s="609">
        <f t="shared" ca="1" si="70"/>
        <v>33991596.425885648</v>
      </c>
      <c r="K91" s="609">
        <f t="shared" ca="1" si="70"/>
        <v>30400215.281339612</v>
      </c>
      <c r="L91" s="609">
        <f t="shared" ca="1" si="70"/>
        <v>26533445.662488621</v>
      </c>
      <c r="M91" s="609">
        <f t="shared" ca="1" si="70"/>
        <v>23827739.190801181</v>
      </c>
      <c r="N91" s="609">
        <f t="shared" ca="1" si="70"/>
        <v>22260962.592885874</v>
      </c>
      <c r="O91" s="609">
        <f t="shared" ca="1" si="70"/>
        <v>21955232.672373559</v>
      </c>
      <c r="P91" s="609">
        <f ca="1">SUM(D91:O91)</f>
        <v>326965225.08354557</v>
      </c>
      <c r="Q91" s="603">
        <f ca="1">AE44</f>
        <v>326965225.08354557</v>
      </c>
      <c r="R91" s="620">
        <f ca="1">Q91-P91</f>
        <v>0</v>
      </c>
      <c r="S91" s="619"/>
    </row>
    <row r="92" spans="2:19">
      <c r="D92" s="609"/>
      <c r="E92" s="609"/>
      <c r="F92" s="609"/>
      <c r="G92" s="609"/>
      <c r="H92" s="609"/>
      <c r="I92" s="609"/>
      <c r="J92" s="609"/>
      <c r="K92" s="609"/>
      <c r="L92" s="609"/>
      <c r="M92" s="609"/>
      <c r="N92" s="609"/>
      <c r="O92" s="609"/>
      <c r="P92" s="609"/>
      <c r="Q92" s="618"/>
      <c r="S92" s="619"/>
    </row>
    <row r="93" spans="2:19">
      <c r="D93" s="623"/>
      <c r="E93" s="623"/>
      <c r="F93" s="623"/>
      <c r="G93" s="623"/>
      <c r="H93" s="623"/>
      <c r="I93" s="623"/>
      <c r="J93" s="623"/>
      <c r="K93" s="623"/>
      <c r="L93" s="623"/>
      <c r="M93" s="623"/>
      <c r="N93" s="623"/>
      <c r="O93" s="623"/>
      <c r="P93" s="623"/>
    </row>
  </sheetData>
  <phoneticPr fontId="26" type="noConversion"/>
  <pageMargins left="0.75" right="0.75" top="1" bottom="1" header="0.5" footer="0.5"/>
  <pageSetup scale="47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2:AG92"/>
  <sheetViews>
    <sheetView view="pageBreakPreview" zoomScale="70" zoomScaleNormal="85" zoomScaleSheetLayoutView="70" workbookViewId="0">
      <pane xSplit="3" ySplit="4" topLeftCell="D5" activePane="bottomRight" state="frozen"/>
      <selection activeCell="Q6" sqref="Q6"/>
      <selection pane="topRight" activeCell="Q6" sqref="Q6"/>
      <selection pane="bottomLeft" activeCell="Q6" sqref="Q6"/>
      <selection pane="bottomRight" activeCell="D5" sqref="D5"/>
    </sheetView>
  </sheetViews>
  <sheetFormatPr defaultRowHeight="15.75"/>
  <cols>
    <col min="1" max="1" width="5.25" style="592" customWidth="1"/>
    <col min="2" max="2" width="2.875" customWidth="1"/>
    <col min="3" max="3" width="33.125" bestFit="1" customWidth="1"/>
    <col min="4" max="7" width="15.125" bestFit="1" customWidth="1"/>
    <col min="8" max="8" width="15.375" bestFit="1" customWidth="1"/>
    <col min="9" max="9" width="14.625" bestFit="1" customWidth="1"/>
    <col min="10" max="10" width="15.375" bestFit="1" customWidth="1"/>
    <col min="11" max="11" width="14.625" bestFit="1" customWidth="1"/>
    <col min="12" max="15" width="14.875" bestFit="1" customWidth="1"/>
    <col min="16" max="16" width="17.125" bestFit="1" customWidth="1"/>
    <col min="17" max="17" width="17.625" style="20" bestFit="1" customWidth="1"/>
    <col min="18" max="19" width="13.25" customWidth="1"/>
    <col min="20" max="20" width="13.25" style="593" customWidth="1"/>
    <col min="21" max="28" width="13.25" customWidth="1"/>
    <col min="29" max="29" width="18.375" style="3" bestFit="1" customWidth="1"/>
    <col min="30" max="30" width="16.375" bestFit="1" customWidth="1"/>
    <col min="31" max="31" width="22.125" customWidth="1"/>
    <col min="32" max="32" width="21.375" customWidth="1"/>
    <col min="33" max="33" width="12.625" bestFit="1" customWidth="1"/>
  </cols>
  <sheetData>
    <row r="2" spans="1:33">
      <c r="C2" s="3" t="s">
        <v>168</v>
      </c>
      <c r="J2" t="s">
        <v>31</v>
      </c>
      <c r="AE2" t="s">
        <v>560</v>
      </c>
    </row>
    <row r="3" spans="1:33">
      <c r="C3" s="594" t="s">
        <v>561</v>
      </c>
      <c r="D3" s="594"/>
      <c r="E3" s="594"/>
      <c r="F3" s="594"/>
      <c r="G3" s="594"/>
      <c r="H3" s="594"/>
      <c r="I3" s="594"/>
      <c r="J3" s="594"/>
      <c r="K3" s="594"/>
      <c r="L3" s="594"/>
      <c r="M3" s="594" t="s">
        <v>31</v>
      </c>
      <c r="N3" s="594"/>
      <c r="O3" s="594"/>
      <c r="P3" s="594"/>
      <c r="Q3" s="595" t="s">
        <v>31</v>
      </c>
      <c r="AC3" s="3" t="s">
        <v>9</v>
      </c>
      <c r="AE3" t="s">
        <v>562</v>
      </c>
    </row>
    <row r="4" spans="1:33">
      <c r="C4" s="594"/>
      <c r="D4" s="594">
        <v>201407</v>
      </c>
      <c r="E4" s="594">
        <v>201408</v>
      </c>
      <c r="F4" s="594">
        <v>201409</v>
      </c>
      <c r="G4" s="594">
        <v>201410</v>
      </c>
      <c r="H4" s="594">
        <v>201411</v>
      </c>
      <c r="I4" s="594">
        <v>201412</v>
      </c>
      <c r="J4" s="594">
        <v>201501</v>
      </c>
      <c r="K4" s="594">
        <v>201502</v>
      </c>
      <c r="L4" s="594">
        <v>201503</v>
      </c>
      <c r="M4" s="594">
        <v>201504</v>
      </c>
      <c r="N4" s="594">
        <v>201505</v>
      </c>
      <c r="O4" s="594">
        <v>201506</v>
      </c>
      <c r="P4" s="594" t="s">
        <v>35</v>
      </c>
      <c r="Q4" s="594">
        <v>201407</v>
      </c>
      <c r="R4" s="594">
        <v>201408</v>
      </c>
      <c r="S4" s="594">
        <v>201409</v>
      </c>
      <c r="T4" s="594">
        <v>201410</v>
      </c>
      <c r="U4" s="594">
        <v>201411</v>
      </c>
      <c r="V4" s="594">
        <v>201412</v>
      </c>
      <c r="W4" s="594">
        <v>201501</v>
      </c>
      <c r="X4" s="594">
        <v>201502</v>
      </c>
      <c r="Y4" s="594">
        <v>201503</v>
      </c>
      <c r="Z4" s="594">
        <v>201504</v>
      </c>
      <c r="AA4" s="594">
        <v>201505</v>
      </c>
      <c r="AB4" s="594">
        <v>201506</v>
      </c>
      <c r="AC4" s="20" t="s">
        <v>193</v>
      </c>
      <c r="AD4" t="s">
        <v>12</v>
      </c>
      <c r="AE4" t="s">
        <v>9</v>
      </c>
      <c r="AF4" s="596" t="s">
        <v>162</v>
      </c>
    </row>
    <row r="5" spans="1:33">
      <c r="B5" s="594" t="s">
        <v>259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594"/>
      <c r="Y5" s="594"/>
      <c r="Z5" s="594"/>
      <c r="AA5" s="594"/>
      <c r="AB5" s="594"/>
      <c r="AC5" s="20"/>
      <c r="AF5" s="596"/>
    </row>
    <row r="6" spans="1:33" s="3" customFormat="1">
      <c r="A6" s="53">
        <v>16</v>
      </c>
      <c r="C6" s="4" t="s">
        <v>48</v>
      </c>
      <c r="D6" s="1358">
        <v>109796377</v>
      </c>
      <c r="E6" s="1358">
        <v>128280482</v>
      </c>
      <c r="F6" s="1358">
        <v>101696795</v>
      </c>
      <c r="G6" s="1358">
        <v>82549314</v>
      </c>
      <c r="H6" s="1358">
        <v>109292066</v>
      </c>
      <c r="I6" s="1358">
        <v>178438924</v>
      </c>
      <c r="J6" s="1358">
        <v>179255724</v>
      </c>
      <c r="K6" s="1358">
        <v>143368098</v>
      </c>
      <c r="L6" s="1358">
        <v>114443770</v>
      </c>
      <c r="M6" s="1358">
        <v>93973559</v>
      </c>
      <c r="N6" s="1358">
        <v>84307010</v>
      </c>
      <c r="O6" s="1358">
        <v>97058855</v>
      </c>
      <c r="P6" s="458">
        <f t="shared" ref="P6:P12" si="0">SUM(D6:O6)</f>
        <v>1422460974</v>
      </c>
      <c r="Q6" s="624">
        <f>D6/$P$12*$AC$13</f>
        <v>1422272.1450204551</v>
      </c>
      <c r="R6" s="624">
        <f>E6/$P$12*$AC$13</f>
        <v>1661710.1700759933</v>
      </c>
      <c r="S6" s="624">
        <f>F6/$P$12*$AC$13</f>
        <v>1317352.3819128885</v>
      </c>
      <c r="T6" s="624">
        <f>G6/$P$12*$AC$13</f>
        <v>1069321.1661505653</v>
      </c>
      <c r="U6" s="624">
        <f>H6/$P$12*$AC$13</f>
        <v>1415739.438684185</v>
      </c>
      <c r="V6" s="624">
        <f t="shared" ref="Q6:AB10" si="1">I6/$P$12*$AC$13</f>
        <v>2311448.8667747388</v>
      </c>
      <c r="W6" s="624">
        <f t="shared" si="1"/>
        <v>2322029.4698856473</v>
      </c>
      <c r="X6" s="624">
        <f t="shared" si="1"/>
        <v>1857151.0084523356</v>
      </c>
      <c r="Y6" s="624">
        <f t="shared" si="1"/>
        <v>1482473.1989301217</v>
      </c>
      <c r="Z6" s="624">
        <f t="shared" si="1"/>
        <v>1217307.7016387919</v>
      </c>
      <c r="AA6" s="624">
        <f t="shared" si="1"/>
        <v>1092089.8779106434</v>
      </c>
      <c r="AB6" s="624">
        <f>O6/$P$12*$AC$13</f>
        <v>1257273.7795717916</v>
      </c>
      <c r="AC6" s="458">
        <f>SUM(Q6:AB6)</f>
        <v>18426169.205008153</v>
      </c>
      <c r="AD6" s="249">
        <f>Temperature!B22*1000</f>
        <v>36358401.689690225</v>
      </c>
      <c r="AE6" s="105">
        <f>P6+AC6+AD6</f>
        <v>1477245544.8946984</v>
      </c>
      <c r="AF6" s="600">
        <f>'Rate Design Work eff 10-14-16'!C117</f>
        <v>1477245544.8946984</v>
      </c>
      <c r="AG6" s="69">
        <f t="shared" ref="AG6:AG10" si="2">AF6-AE6</f>
        <v>0</v>
      </c>
    </row>
    <row r="7" spans="1:33" s="3" customFormat="1">
      <c r="A7" s="53">
        <v>17</v>
      </c>
      <c r="C7" s="4" t="s">
        <v>93</v>
      </c>
      <c r="D7" s="1358">
        <v>5226995</v>
      </c>
      <c r="E7" s="1358">
        <v>5896396</v>
      </c>
      <c r="F7" s="1358">
        <v>5068062</v>
      </c>
      <c r="G7" s="1358">
        <v>4397329</v>
      </c>
      <c r="H7" s="1358">
        <v>6449256</v>
      </c>
      <c r="I7" s="1358">
        <v>11403661</v>
      </c>
      <c r="J7" s="1358">
        <v>11685152</v>
      </c>
      <c r="K7" s="1358">
        <v>9831706</v>
      </c>
      <c r="L7" s="1358">
        <v>7959009</v>
      </c>
      <c r="M7" s="1358">
        <v>6394456</v>
      </c>
      <c r="N7" s="1358">
        <v>5594402</v>
      </c>
      <c r="O7" s="1358">
        <v>5776692</v>
      </c>
      <c r="P7" s="458">
        <f t="shared" si="0"/>
        <v>85683116</v>
      </c>
      <c r="Q7" s="624">
        <f t="shared" si="1"/>
        <v>67709.05920384964</v>
      </c>
      <c r="R7" s="624">
        <f t="shared" si="1"/>
        <v>76380.296107676055</v>
      </c>
      <c r="S7" s="624">
        <f t="shared" si="1"/>
        <v>65650.284725120378</v>
      </c>
      <c r="T7" s="624">
        <f t="shared" si="1"/>
        <v>56961.793458728178</v>
      </c>
      <c r="U7" s="624">
        <f t="shared" si="1"/>
        <v>83541.89287052743</v>
      </c>
      <c r="V7" s="624">
        <f t="shared" si="1"/>
        <v>147719.8959994473</v>
      </c>
      <c r="W7" s="624">
        <f t="shared" si="1"/>
        <v>151366.25318638759</v>
      </c>
      <c r="X7" s="624">
        <f t="shared" si="1"/>
        <v>127357.22219532325</v>
      </c>
      <c r="Y7" s="624">
        <f t="shared" si="1"/>
        <v>103098.81903177104</v>
      </c>
      <c r="Z7" s="624">
        <f t="shared" si="1"/>
        <v>82832.028704908182</v>
      </c>
      <c r="AA7" s="624">
        <f t="shared" si="1"/>
        <v>72468.348683734119</v>
      </c>
      <c r="AB7" s="624">
        <f t="shared" si="1"/>
        <v>74829.6833324701</v>
      </c>
      <c r="AC7" s="458">
        <f t="shared" ref="AC7:AC11" si="3">SUM(Q7:AB7)</f>
        <v>1109915.5774999433</v>
      </c>
      <c r="AD7" s="249">
        <f>Temperature!B40*1000</f>
        <v>3090723.7800994902</v>
      </c>
      <c r="AE7" s="105">
        <f t="shared" ref="AE7:AE11" si="4">P7+AC7+AD7</f>
        <v>89883755.357599437</v>
      </c>
      <c r="AF7" s="600">
        <f>'Rate Design Work eff 10-14-16'!C132</f>
        <v>89883755.357599422</v>
      </c>
      <c r="AG7" s="69">
        <f t="shared" si="2"/>
        <v>0</v>
      </c>
    </row>
    <row r="8" spans="1:33" s="3" customFormat="1">
      <c r="A8" s="53">
        <v>18</v>
      </c>
      <c r="C8" s="4" t="s">
        <v>49</v>
      </c>
      <c r="D8" s="1358">
        <v>185061</v>
      </c>
      <c r="E8" s="1358">
        <v>215220</v>
      </c>
      <c r="F8" s="1358">
        <v>175360</v>
      </c>
      <c r="G8" s="1358">
        <v>143837</v>
      </c>
      <c r="H8" s="1358">
        <v>168813</v>
      </c>
      <c r="I8" s="1358">
        <v>236002</v>
      </c>
      <c r="J8" s="1358">
        <v>246895</v>
      </c>
      <c r="K8" s="1358">
        <v>189085</v>
      </c>
      <c r="L8" s="1358">
        <v>166114</v>
      </c>
      <c r="M8" s="1358">
        <v>141925</v>
      </c>
      <c r="N8" s="1358">
        <v>151170</v>
      </c>
      <c r="O8" s="1358">
        <v>169508</v>
      </c>
      <c r="P8" s="458">
        <f t="shared" si="0"/>
        <v>2188990</v>
      </c>
      <c r="Q8" s="624">
        <f t="shared" si="1"/>
        <v>2397.2294225120968</v>
      </c>
      <c r="R8" s="624">
        <f t="shared" si="1"/>
        <v>2787.9008343900305</v>
      </c>
      <c r="S8" s="624">
        <f t="shared" si="1"/>
        <v>2271.5653299815804</v>
      </c>
      <c r="T8" s="624">
        <f t="shared" si="1"/>
        <v>1863.2250363170656</v>
      </c>
      <c r="U8" s="624">
        <f t="shared" si="1"/>
        <v>2186.757288151121</v>
      </c>
      <c r="V8" s="624">
        <f t="shared" si="1"/>
        <v>3057.1051608480439</v>
      </c>
      <c r="W8" s="624">
        <f t="shared" si="1"/>
        <v>3198.2100943533433</v>
      </c>
      <c r="X8" s="624">
        <f t="shared" si="1"/>
        <v>2449.3552145276412</v>
      </c>
      <c r="Y8" s="624">
        <f t="shared" si="1"/>
        <v>2151.7951826218082</v>
      </c>
      <c r="Z8" s="624">
        <f t="shared" si="1"/>
        <v>1838.4575128742918</v>
      </c>
      <c r="AA8" s="624">
        <f t="shared" si="1"/>
        <v>1958.2147065084143</v>
      </c>
      <c r="AB8" s="624">
        <f t="shared" si="1"/>
        <v>2195.7601274778613</v>
      </c>
      <c r="AC8" s="458">
        <f t="shared" si="3"/>
        <v>28355.575910563297</v>
      </c>
      <c r="AD8" s="249">
        <f>Temperature!B58*1000</f>
        <v>37785.215800672398</v>
      </c>
      <c r="AE8" s="105">
        <f t="shared" si="4"/>
        <v>2255130.7917112354</v>
      </c>
      <c r="AF8" s="600">
        <f>'Rate Design Work eff 10-14-16'!C147</f>
        <v>2255130.7917112359</v>
      </c>
      <c r="AG8" s="69">
        <f t="shared" si="2"/>
        <v>0</v>
      </c>
    </row>
    <row r="9" spans="1:33" s="3" customFormat="1">
      <c r="A9" s="53" t="s">
        <v>155</v>
      </c>
      <c r="C9" s="7" t="s">
        <v>156</v>
      </c>
      <c r="D9" s="1358">
        <v>45311</v>
      </c>
      <c r="E9" s="1358">
        <v>46329</v>
      </c>
      <c r="F9" s="1358">
        <v>32741</v>
      </c>
      <c r="G9" s="1358">
        <v>25192</v>
      </c>
      <c r="H9" s="1358">
        <v>29546</v>
      </c>
      <c r="I9" s="1358">
        <v>41682</v>
      </c>
      <c r="J9" s="1358">
        <v>41101</v>
      </c>
      <c r="K9" s="1358">
        <v>32283</v>
      </c>
      <c r="L9" s="1358">
        <v>26274</v>
      </c>
      <c r="M9" s="1358">
        <v>24052</v>
      </c>
      <c r="N9" s="1358">
        <v>24250</v>
      </c>
      <c r="O9" s="1358">
        <v>28302</v>
      </c>
      <c r="P9" s="458">
        <f t="shared" si="0"/>
        <v>397063</v>
      </c>
      <c r="Q9" s="624">
        <f t="shared" si="1"/>
        <v>586.94626292652492</v>
      </c>
      <c r="R9" s="624">
        <f t="shared" si="1"/>
        <v>600.13315563821072</v>
      </c>
      <c r="S9" s="624">
        <f t="shared" si="1"/>
        <v>424.11793150619832</v>
      </c>
      <c r="T9" s="624">
        <f t="shared" si="1"/>
        <v>326.33025657445245</v>
      </c>
      <c r="U9" s="624">
        <f t="shared" si="1"/>
        <v>382.73077805449236</v>
      </c>
      <c r="V9" s="624">
        <f t="shared" si="1"/>
        <v>539.93719254272492</v>
      </c>
      <c r="W9" s="624">
        <f t="shared" si="1"/>
        <v>532.41107794008292</v>
      </c>
      <c r="X9" s="624">
        <f t="shared" si="1"/>
        <v>418.1851251585046</v>
      </c>
      <c r="Y9" s="624">
        <f t="shared" si="1"/>
        <v>340.34618772773752</v>
      </c>
      <c r="Z9" s="624">
        <f t="shared" si="1"/>
        <v>311.56300933346819</v>
      </c>
      <c r="AA9" s="624">
        <f t="shared" si="1"/>
        <v>314.12784701216543</v>
      </c>
      <c r="AB9" s="624">
        <f t="shared" si="1"/>
        <v>366.61634334590951</v>
      </c>
      <c r="AC9" s="458">
        <f t="shared" si="3"/>
        <v>5143.445167760472</v>
      </c>
      <c r="AE9" s="105">
        <f t="shared" si="4"/>
        <v>402206.44516776048</v>
      </c>
      <c r="AF9" s="600">
        <f>'Rate Design Work eff 10-14-16'!C162</f>
        <v>402206.44516776048</v>
      </c>
      <c r="AG9" s="69">
        <f t="shared" si="2"/>
        <v>0</v>
      </c>
    </row>
    <row r="10" spans="1:33" s="3" customFormat="1">
      <c r="A10" s="53" t="s">
        <v>154</v>
      </c>
      <c r="C10" s="4" t="s">
        <v>50</v>
      </c>
      <c r="D10" s="1359">
        <v>87257</v>
      </c>
      <c r="E10" s="1359">
        <v>86573</v>
      </c>
      <c r="F10" s="1359">
        <v>86528</v>
      </c>
      <c r="G10" s="1359">
        <v>86669</v>
      </c>
      <c r="H10" s="1359">
        <v>86667</v>
      </c>
      <c r="I10" s="1359">
        <v>86269</v>
      </c>
      <c r="J10" s="1359">
        <v>86139</v>
      </c>
      <c r="K10" s="1359">
        <v>86530</v>
      </c>
      <c r="L10" s="1359">
        <v>85138</v>
      </c>
      <c r="M10" s="1359">
        <v>85252</v>
      </c>
      <c r="N10" s="1359">
        <v>85328</v>
      </c>
      <c r="O10" s="1359">
        <v>85176</v>
      </c>
      <c r="P10" s="458">
        <f t="shared" si="0"/>
        <v>1033526</v>
      </c>
      <c r="Q10" s="624">
        <f>D10/$P$12*$AC$13</f>
        <v>1130.3032390408462</v>
      </c>
      <c r="R10" s="624">
        <f t="shared" si="1"/>
        <v>1121.4428906962555</v>
      </c>
      <c r="S10" s="624">
        <f t="shared" si="1"/>
        <v>1120.8599730420062</v>
      </c>
      <c r="T10" s="624">
        <f t="shared" si="1"/>
        <v>1122.6864483586544</v>
      </c>
      <c r="U10" s="624">
        <f t="shared" si="1"/>
        <v>1122.6605409073543</v>
      </c>
      <c r="V10" s="624">
        <f t="shared" si="1"/>
        <v>1117.5049580986597</v>
      </c>
      <c r="W10" s="624">
        <f t="shared" si="1"/>
        <v>1115.8209737641614</v>
      </c>
      <c r="X10" s="624">
        <f t="shared" si="1"/>
        <v>1120.8858804933061</v>
      </c>
      <c r="Y10" s="624">
        <f t="shared" si="1"/>
        <v>1102.8542943885254</v>
      </c>
      <c r="Z10" s="624">
        <f t="shared" si="1"/>
        <v>1104.3310191126238</v>
      </c>
      <c r="AA10" s="624">
        <f t="shared" si="1"/>
        <v>1105.3155022620226</v>
      </c>
      <c r="AB10" s="624">
        <f t="shared" si="1"/>
        <v>1103.3465359632248</v>
      </c>
      <c r="AC10" s="458">
        <f t="shared" si="3"/>
        <v>13388.012256127642</v>
      </c>
      <c r="AE10" s="105">
        <f t="shared" si="4"/>
        <v>1046914.0122561277</v>
      </c>
      <c r="AF10" s="600">
        <f>'Rate Design Work eff 10-14-16'!C47</f>
        <v>1046914.0122561277</v>
      </c>
      <c r="AG10" s="69">
        <f t="shared" si="2"/>
        <v>0</v>
      </c>
    </row>
    <row r="11" spans="1:33" s="3" customFormat="1">
      <c r="A11" s="53">
        <v>24</v>
      </c>
      <c r="C11" s="60" t="s">
        <v>51</v>
      </c>
      <c r="D11" s="1359">
        <v>1865195</v>
      </c>
      <c r="E11" s="1359">
        <v>2049005</v>
      </c>
      <c r="F11" s="1359">
        <v>1799589</v>
      </c>
      <c r="G11" s="1359">
        <v>1491704</v>
      </c>
      <c r="H11" s="1359">
        <v>1528404</v>
      </c>
      <c r="I11" s="1359">
        <v>2325916</v>
      </c>
      <c r="J11" s="1359">
        <v>2312344</v>
      </c>
      <c r="K11" s="1359">
        <v>1910794</v>
      </c>
      <c r="L11" s="1359">
        <v>1571045</v>
      </c>
      <c r="M11" s="1359">
        <v>1376107</v>
      </c>
      <c r="N11" s="1359">
        <v>1509919</v>
      </c>
      <c r="O11" s="1359">
        <v>1723161</v>
      </c>
      <c r="P11" s="458">
        <f t="shared" ref="P11" si="5">SUM(D11:O11)</f>
        <v>21463183</v>
      </c>
      <c r="Q11" s="624">
        <f t="shared" ref="Q11" si="6">D11/$P$12*$AC$13</f>
        <v>24161.224313726019</v>
      </c>
      <c r="R11" s="624">
        <f t="shared" ref="R11" si="7">E11/$P$12*$AC$13</f>
        <v>26542.248625449982</v>
      </c>
      <c r="S11" s="624">
        <f t="shared" ref="S11" si="8">F11/$P$12*$AC$13</f>
        <v>23311.382188733023</v>
      </c>
      <c r="T11" s="624">
        <f t="shared" ref="T11" si="9">G11/$P$12*$AC$13</f>
        <v>19323.12436698702</v>
      </c>
      <c r="U11" s="624">
        <f t="shared" ref="U11" si="10">H11/$P$12*$AC$13</f>
        <v>19798.526098341514</v>
      </c>
      <c r="V11" s="624">
        <f t="shared" ref="V11" si="11">I11/$P$12*$AC$13</f>
        <v>30129.277748913311</v>
      </c>
      <c r="W11" s="624">
        <f t="shared" ref="W11" si="12">J11/$P$12*$AC$13</f>
        <v>29953.469784391698</v>
      </c>
      <c r="X11" s="624">
        <f t="shared" ref="X11" si="13">K11/$P$12*$AC$13</f>
        <v>24751.901249639737</v>
      </c>
      <c r="Y11" s="624">
        <f t="shared" ref="Y11" si="14">L11/$P$12*$AC$13</f>
        <v>20350.885913782575</v>
      </c>
      <c r="Z11" s="624">
        <f t="shared" ref="Z11" si="15">M11/$P$12*$AC$13</f>
        <v>17825.712543025566</v>
      </c>
      <c r="AA11" s="624">
        <f t="shared" ref="AA11" si="16">N11/$P$12*$AC$13</f>
        <v>19559.076479701518</v>
      </c>
      <c r="AB11" s="624">
        <f t="shared" ref="AB11" si="17">O11/$P$12*$AC$13</f>
        <v>22321.354844755875</v>
      </c>
      <c r="AC11" s="458">
        <f t="shared" si="3"/>
        <v>278028.18415744783</v>
      </c>
      <c r="AD11" s="249">
        <f>Temperature!O75*1000</f>
        <v>-496898.02380162448</v>
      </c>
      <c r="AE11" s="105">
        <f t="shared" si="4"/>
        <v>21244313.160355821</v>
      </c>
      <c r="AF11" s="600">
        <f>'Rate Design Work eff 10-14-16'!C275</f>
        <v>21244313.160355821</v>
      </c>
      <c r="AG11" s="69">
        <f t="shared" ref="AG11" si="18">AF11-AE11</f>
        <v>0</v>
      </c>
    </row>
    <row r="12" spans="1:33" s="3" customFormat="1">
      <c r="A12" s="53"/>
      <c r="B12" s="20" t="s">
        <v>259</v>
      </c>
      <c r="C12" s="5"/>
      <c r="D12" s="458">
        <f>SUM(D6:D11)</f>
        <v>117206196</v>
      </c>
      <c r="E12" s="458">
        <f t="shared" ref="E12:O12" si="19">SUM(E6:E11)</f>
        <v>136574005</v>
      </c>
      <c r="F12" s="458">
        <f t="shared" si="19"/>
        <v>108859075</v>
      </c>
      <c r="G12" s="458">
        <f t="shared" si="19"/>
        <v>88694045</v>
      </c>
      <c r="H12" s="458">
        <f t="shared" si="19"/>
        <v>117554752</v>
      </c>
      <c r="I12" s="458">
        <f t="shared" si="19"/>
        <v>192532454</v>
      </c>
      <c r="J12" s="458">
        <f t="shared" si="19"/>
        <v>193627355</v>
      </c>
      <c r="K12" s="458">
        <f t="shared" si="19"/>
        <v>155418496</v>
      </c>
      <c r="L12" s="458">
        <f t="shared" si="19"/>
        <v>124251350</v>
      </c>
      <c r="M12" s="458">
        <f t="shared" si="19"/>
        <v>101995351</v>
      </c>
      <c r="N12" s="458">
        <f t="shared" si="19"/>
        <v>91672079</v>
      </c>
      <c r="O12" s="458">
        <f t="shared" si="19"/>
        <v>104841694</v>
      </c>
      <c r="P12" s="458">
        <f t="shared" si="0"/>
        <v>1533226852</v>
      </c>
      <c r="Q12" s="458">
        <f>SUM(Q6:Q11)</f>
        <v>1518256.90746251</v>
      </c>
      <c r="R12" s="458">
        <f t="shared" ref="R12:AB12" si="20">SUM(R6:R11)</f>
        <v>1769142.1916898438</v>
      </c>
      <c r="S12" s="458">
        <f t="shared" si="20"/>
        <v>1410130.5920612714</v>
      </c>
      <c r="T12" s="458">
        <f t="shared" si="20"/>
        <v>1148918.3257175307</v>
      </c>
      <c r="U12" s="458">
        <f t="shared" si="20"/>
        <v>1522772.0062601671</v>
      </c>
      <c r="V12" s="458">
        <f t="shared" si="20"/>
        <v>2494012.5878345896</v>
      </c>
      <c r="W12" s="458">
        <f t="shared" si="20"/>
        <v>2508195.6350024836</v>
      </c>
      <c r="X12" s="458">
        <f t="shared" si="20"/>
        <v>2013248.5581174779</v>
      </c>
      <c r="Y12" s="458">
        <f t="shared" si="20"/>
        <v>1609517.8995404134</v>
      </c>
      <c r="Z12" s="458">
        <f t="shared" si="20"/>
        <v>1321219.7944280463</v>
      </c>
      <c r="AA12" s="458">
        <f t="shared" si="20"/>
        <v>1187494.9611298617</v>
      </c>
      <c r="AB12" s="458">
        <f t="shared" si="20"/>
        <v>1358090.5407558046</v>
      </c>
      <c r="AC12" s="602">
        <f>SUM(AC6:AC11)</f>
        <v>19860999.999999996</v>
      </c>
      <c r="AD12" s="107">
        <f>SUM(AD6:AD11)</f>
        <v>38990012.661788762</v>
      </c>
      <c r="AE12" s="107">
        <f>SUM(AE6:AE11)</f>
        <v>1592077864.6617889</v>
      </c>
      <c r="AF12" s="603">
        <f>SUM(AF6:AF11)</f>
        <v>1592077864.6617889</v>
      </c>
      <c r="AG12" s="69" t="s">
        <v>31</v>
      </c>
    </row>
    <row r="13" spans="1:33" s="3" customFormat="1">
      <c r="A13" s="53"/>
      <c r="B13" s="3" t="s">
        <v>266</v>
      </c>
      <c r="C13" s="5"/>
      <c r="D13" s="458"/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37">
        <f>'Table 2'!G36</f>
        <v>19861000</v>
      </c>
      <c r="AD13" s="107"/>
      <c r="AE13" s="107"/>
      <c r="AF13" s="603"/>
      <c r="AG13" s="69"/>
    </row>
    <row r="14" spans="1:33" s="3" customFormat="1">
      <c r="A14" s="53">
        <v>24</v>
      </c>
      <c r="C14" s="60" t="s">
        <v>51</v>
      </c>
      <c r="D14" s="1359">
        <v>43986983</v>
      </c>
      <c r="E14" s="1359">
        <v>49207149</v>
      </c>
      <c r="F14" s="1359">
        <v>45085635</v>
      </c>
      <c r="G14" s="1359">
        <v>39896172</v>
      </c>
      <c r="H14" s="1359">
        <v>38391068</v>
      </c>
      <c r="I14" s="1359">
        <v>47762848</v>
      </c>
      <c r="J14" s="1359">
        <v>46271774</v>
      </c>
      <c r="K14" s="1359">
        <v>41467760</v>
      </c>
      <c r="L14" s="1359">
        <v>37920616</v>
      </c>
      <c r="M14" s="1359">
        <v>35800842</v>
      </c>
      <c r="N14" s="1359">
        <v>36332162</v>
      </c>
      <c r="O14" s="1359">
        <v>42120726</v>
      </c>
      <c r="P14" s="458">
        <f t="shared" ref="P14:P22" si="21">SUM(D14:O14)</f>
        <v>504243735</v>
      </c>
      <c r="Q14" s="624">
        <f t="shared" ref="Q14:AB21" si="22">D14/$P$22*$AC$23</f>
        <v>303383.18989255658</v>
      </c>
      <c r="R14" s="624">
        <f t="shared" si="22"/>
        <v>339387.26438997482</v>
      </c>
      <c r="S14" s="624">
        <f t="shared" si="22"/>
        <v>310960.71682460001</v>
      </c>
      <c r="T14" s="624">
        <f t="shared" si="22"/>
        <v>275168.40438595432</v>
      </c>
      <c r="U14" s="624">
        <f t="shared" si="22"/>
        <v>264787.53210289625</v>
      </c>
      <c r="V14" s="624">
        <f t="shared" si="22"/>
        <v>329425.75726535544</v>
      </c>
      <c r="W14" s="624">
        <f t="shared" si="22"/>
        <v>319141.65147692582</v>
      </c>
      <c r="X14" s="624">
        <f t="shared" si="22"/>
        <v>286007.82432609575</v>
      </c>
      <c r="Y14" s="624">
        <f t="shared" si="22"/>
        <v>261542.77152335545</v>
      </c>
      <c r="Z14" s="624">
        <f t="shared" si="22"/>
        <v>246922.45082595036</v>
      </c>
      <c r="AA14" s="624">
        <f t="shared" si="22"/>
        <v>250587.02487627143</v>
      </c>
      <c r="AB14" s="624">
        <f t="shared" si="22"/>
        <v>290511.40457781212</v>
      </c>
      <c r="AC14" s="458">
        <f t="shared" ref="AC14:AC21" si="23">SUM(Q14:AB14)</f>
        <v>3477825.992467748</v>
      </c>
      <c r="AD14" s="249">
        <f>Temperature!B75*1000</f>
        <v>-11638549.794266243</v>
      </c>
      <c r="AE14" s="105">
        <f t="shared" ref="AE14:AE21" si="24">P14+AC14+AD14</f>
        <v>496083011.19820154</v>
      </c>
      <c r="AF14" s="600">
        <f>'Rate Design Work eff 10-14-16'!C310</f>
        <v>496083011.19820154</v>
      </c>
      <c r="AG14" s="69">
        <f t="shared" ref="AG14:AG22" si="25">AF14-AE14</f>
        <v>0</v>
      </c>
    </row>
    <row r="15" spans="1:33" s="3" customFormat="1">
      <c r="A15" s="53" t="s">
        <v>143</v>
      </c>
      <c r="C15" s="60" t="s">
        <v>52</v>
      </c>
      <c r="D15" s="1359">
        <v>105776.0832667893</v>
      </c>
      <c r="E15" s="1359">
        <v>105776.0832667893</v>
      </c>
      <c r="F15" s="1359">
        <v>105776.0832667893</v>
      </c>
      <c r="G15" s="1359">
        <v>105776.0832667893</v>
      </c>
      <c r="H15" s="1359">
        <v>105776.0832667893</v>
      </c>
      <c r="I15" s="1359">
        <v>106891.0832667893</v>
      </c>
      <c r="J15" s="1359">
        <v>105776.0832667893</v>
      </c>
      <c r="K15" s="1359">
        <v>105776.0832667893</v>
      </c>
      <c r="L15" s="1359">
        <v>105776.0733885736</v>
      </c>
      <c r="M15" s="1359">
        <v>105818.0182574746</v>
      </c>
      <c r="N15" s="1359">
        <v>105776.0182574746</v>
      </c>
      <c r="O15" s="1359">
        <v>105776.0182574746</v>
      </c>
      <c r="P15" s="458">
        <f t="shared" si="21"/>
        <v>1270469.7942953117</v>
      </c>
      <c r="Q15" s="624">
        <f t="shared" si="22"/>
        <v>729.54959324714798</v>
      </c>
      <c r="R15" s="624">
        <f t="shared" si="22"/>
        <v>729.54959324714798</v>
      </c>
      <c r="S15" s="624">
        <f t="shared" si="22"/>
        <v>729.54959324714798</v>
      </c>
      <c r="T15" s="624">
        <f t="shared" si="22"/>
        <v>729.54959324714798</v>
      </c>
      <c r="U15" s="624">
        <f t="shared" si="22"/>
        <v>729.54959324714798</v>
      </c>
      <c r="V15" s="624">
        <f t="shared" si="22"/>
        <v>737.23987418162812</v>
      </c>
      <c r="W15" s="624">
        <f t="shared" si="22"/>
        <v>729.54959324714798</v>
      </c>
      <c r="X15" s="624">
        <f t="shared" si="22"/>
        <v>729.54959324714798</v>
      </c>
      <c r="Y15" s="624">
        <f t="shared" si="22"/>
        <v>729.54952511597867</v>
      </c>
      <c r="Z15" s="624">
        <f t="shared" si="22"/>
        <v>729.83882361428232</v>
      </c>
      <c r="AA15" s="624">
        <f t="shared" si="22"/>
        <v>729.54914487056203</v>
      </c>
      <c r="AB15" s="624">
        <f t="shared" si="22"/>
        <v>729.54914487056203</v>
      </c>
      <c r="AC15" s="458">
        <f t="shared" si="23"/>
        <v>8762.5736653830463</v>
      </c>
      <c r="AE15" s="105">
        <f t="shared" si="24"/>
        <v>1279232.3679606947</v>
      </c>
      <c r="AF15" s="600">
        <f>'Rate Design Work eff 10-14-16'!C414</f>
        <v>1279232.3679606949</v>
      </c>
      <c r="AG15" s="69">
        <f t="shared" si="25"/>
        <v>0</v>
      </c>
    </row>
    <row r="16" spans="1:33" s="3" customFormat="1">
      <c r="A16" s="53" t="s">
        <v>150</v>
      </c>
      <c r="C16" s="61" t="s">
        <v>57</v>
      </c>
      <c r="D16" s="1359">
        <v>15284</v>
      </c>
      <c r="E16" s="1359">
        <v>15121</v>
      </c>
      <c r="F16" s="1359">
        <v>16118</v>
      </c>
      <c r="G16" s="1359">
        <v>21016</v>
      </c>
      <c r="H16" s="1359">
        <v>13485</v>
      </c>
      <c r="I16" s="1359">
        <v>10036</v>
      </c>
      <c r="J16" s="1359">
        <v>4333</v>
      </c>
      <c r="K16" s="1359">
        <v>4123</v>
      </c>
      <c r="L16" s="1359">
        <v>14482</v>
      </c>
      <c r="M16" s="1359">
        <v>112857</v>
      </c>
      <c r="N16" s="1359">
        <v>47210</v>
      </c>
      <c r="O16" s="1359">
        <v>10915</v>
      </c>
      <c r="P16" s="458">
        <f t="shared" si="21"/>
        <v>284980</v>
      </c>
      <c r="Q16" s="624">
        <f t="shared" si="22"/>
        <v>105.4154742624161</v>
      </c>
      <c r="R16" s="624">
        <f t="shared" si="22"/>
        <v>104.29124485226342</v>
      </c>
      <c r="S16" s="624">
        <f t="shared" si="22"/>
        <v>111.16766645914831</v>
      </c>
      <c r="T16" s="624">
        <f t="shared" si="22"/>
        <v>144.94972566729501</v>
      </c>
      <c r="U16" s="624">
        <f t="shared" si="22"/>
        <v>93.007568073062103</v>
      </c>
      <c r="V16" s="624">
        <f t="shared" si="22"/>
        <v>69.219425523266693</v>
      </c>
      <c r="W16" s="624">
        <f t="shared" si="22"/>
        <v>29.885190393813726</v>
      </c>
      <c r="X16" s="624">
        <f t="shared" si="22"/>
        <v>28.43679667521209</v>
      </c>
      <c r="Y16" s="624">
        <f t="shared" si="22"/>
        <v>99.883989679946993</v>
      </c>
      <c r="Z16" s="624">
        <f t="shared" si="22"/>
        <v>778.38747571535555</v>
      </c>
      <c r="AA16" s="624">
        <f t="shared" si="22"/>
        <v>325.61270216753888</v>
      </c>
      <c r="AB16" s="624">
        <f t="shared" si="22"/>
        <v>75.281987802556387</v>
      </c>
      <c r="AC16" s="458">
        <f t="shared" si="23"/>
        <v>1965.5392472718752</v>
      </c>
      <c r="AE16" s="105">
        <f t="shared" si="24"/>
        <v>286945.5392472719</v>
      </c>
      <c r="AF16" s="600">
        <f>'Rate Design Work eff 10-14-16'!C520</f>
        <v>286945.5392472719</v>
      </c>
      <c r="AG16" s="69">
        <f t="shared" si="25"/>
        <v>0</v>
      </c>
    </row>
    <row r="17" spans="1:33" s="3" customFormat="1">
      <c r="A17" s="53">
        <v>33</v>
      </c>
      <c r="C17" s="60" t="s">
        <v>267</v>
      </c>
      <c r="D17" s="1360">
        <v>0</v>
      </c>
      <c r="E17" s="1360">
        <v>0</v>
      </c>
      <c r="F17" s="1360">
        <v>0</v>
      </c>
      <c r="G17" s="1360">
        <v>0</v>
      </c>
      <c r="H17" s="1360">
        <v>0</v>
      </c>
      <c r="I17" s="1360">
        <v>0</v>
      </c>
      <c r="J17" s="1360">
        <v>0</v>
      </c>
      <c r="K17" s="1360">
        <v>0</v>
      </c>
      <c r="L17" s="1360">
        <v>0</v>
      </c>
      <c r="M17" s="1360">
        <v>0</v>
      </c>
      <c r="N17" s="1360">
        <v>0</v>
      </c>
      <c r="O17" s="1360">
        <v>0</v>
      </c>
      <c r="P17" s="458">
        <f t="shared" si="21"/>
        <v>0</v>
      </c>
      <c r="Q17" s="624">
        <f t="shared" si="22"/>
        <v>0</v>
      </c>
      <c r="R17" s="624">
        <f t="shared" si="22"/>
        <v>0</v>
      </c>
      <c r="S17" s="624">
        <f t="shared" si="22"/>
        <v>0</v>
      </c>
      <c r="T17" s="624">
        <f t="shared" si="22"/>
        <v>0</v>
      </c>
      <c r="U17" s="624">
        <f t="shared" si="22"/>
        <v>0</v>
      </c>
      <c r="V17" s="624">
        <f t="shared" si="22"/>
        <v>0</v>
      </c>
      <c r="W17" s="624">
        <f t="shared" si="22"/>
        <v>0</v>
      </c>
      <c r="X17" s="624">
        <f t="shared" si="22"/>
        <v>0</v>
      </c>
      <c r="Y17" s="624">
        <f t="shared" si="22"/>
        <v>0</v>
      </c>
      <c r="Z17" s="624">
        <f t="shared" si="22"/>
        <v>0</v>
      </c>
      <c r="AA17" s="624">
        <f t="shared" si="22"/>
        <v>0</v>
      </c>
      <c r="AB17" s="624">
        <f t="shared" si="22"/>
        <v>0</v>
      </c>
      <c r="AC17" s="458">
        <f t="shared" si="23"/>
        <v>0</v>
      </c>
      <c r="AE17" s="105">
        <f t="shared" si="24"/>
        <v>0</v>
      </c>
      <c r="AF17" s="600">
        <v>0</v>
      </c>
      <c r="AG17" s="69">
        <f t="shared" si="25"/>
        <v>0</v>
      </c>
    </row>
    <row r="18" spans="1:33" s="3" customFormat="1">
      <c r="A18" s="53">
        <v>36</v>
      </c>
      <c r="C18" s="60" t="s">
        <v>53</v>
      </c>
      <c r="D18" s="1359">
        <v>65577413</v>
      </c>
      <c r="E18" s="1359">
        <v>69857935</v>
      </c>
      <c r="F18" s="1359">
        <v>77116947</v>
      </c>
      <c r="G18" s="1359">
        <v>80862203</v>
      </c>
      <c r="H18" s="1359">
        <v>76277476</v>
      </c>
      <c r="I18" s="1359">
        <v>78016416</v>
      </c>
      <c r="J18" s="1359">
        <v>71384798</v>
      </c>
      <c r="K18" s="1359">
        <v>64728195</v>
      </c>
      <c r="L18" s="1359">
        <v>61695071</v>
      </c>
      <c r="M18" s="1359">
        <v>60509649</v>
      </c>
      <c r="N18" s="1359">
        <v>61613352</v>
      </c>
      <c r="O18" s="1359">
        <v>69065095</v>
      </c>
      <c r="P18" s="458">
        <f t="shared" si="21"/>
        <v>836704550</v>
      </c>
      <c r="Q18" s="624">
        <f t="shared" si="22"/>
        <v>452294.82414926268</v>
      </c>
      <c r="R18" s="624">
        <f t="shared" si="22"/>
        <v>481818.06784991088</v>
      </c>
      <c r="S18" s="624">
        <f t="shared" si="22"/>
        <v>531884.29348826269</v>
      </c>
      <c r="T18" s="624">
        <f t="shared" si="22"/>
        <v>557715.74713090598</v>
      </c>
      <c r="U18" s="624">
        <f t="shared" si="22"/>
        <v>526094.36718660442</v>
      </c>
      <c r="V18" s="624">
        <f t="shared" si="22"/>
        <v>538088.03277243837</v>
      </c>
      <c r="W18" s="624">
        <f t="shared" si="22"/>
        <v>492349.01441355486</v>
      </c>
      <c r="X18" s="624">
        <f t="shared" si="22"/>
        <v>446437.67168772256</v>
      </c>
      <c r="Y18" s="624">
        <f t="shared" si="22"/>
        <v>425517.87288134219</v>
      </c>
      <c r="Z18" s="624">
        <f t="shared" si="22"/>
        <v>417341.88345899846</v>
      </c>
      <c r="AA18" s="624">
        <f t="shared" si="22"/>
        <v>424954.24770853069</v>
      </c>
      <c r="AB18" s="624">
        <f t="shared" si="22"/>
        <v>476349.76082202455</v>
      </c>
      <c r="AC18" s="458">
        <f t="shared" si="23"/>
        <v>5770845.7835495584</v>
      </c>
      <c r="AD18" s="249">
        <f>Temperature!B110*1000</f>
        <v>-19390986.185094025</v>
      </c>
      <c r="AE18" s="105">
        <f t="shared" si="24"/>
        <v>823084409.59845555</v>
      </c>
      <c r="AF18" s="600">
        <f>'Rate Design Work eff 10-14-16'!C676</f>
        <v>823084409.59845555</v>
      </c>
      <c r="AG18" s="69">
        <f t="shared" si="25"/>
        <v>0</v>
      </c>
    </row>
    <row r="19" spans="1:33" s="3" customFormat="1">
      <c r="A19" s="53" t="s">
        <v>149</v>
      </c>
      <c r="C19" s="60" t="s">
        <v>54</v>
      </c>
      <c r="D19" s="1359">
        <v>16221620</v>
      </c>
      <c r="E19" s="1359">
        <v>16989880</v>
      </c>
      <c r="F19" s="1359">
        <v>19065000</v>
      </c>
      <c r="G19" s="1359">
        <v>19015380</v>
      </c>
      <c r="H19" s="1359">
        <v>18188540</v>
      </c>
      <c r="I19" s="1359">
        <v>17785940</v>
      </c>
      <c r="J19" s="1359">
        <v>16550520</v>
      </c>
      <c r="K19" s="1359">
        <v>15119720</v>
      </c>
      <c r="L19" s="1359">
        <v>14471740</v>
      </c>
      <c r="M19" s="1359">
        <v>14676280</v>
      </c>
      <c r="N19" s="1359">
        <v>14529400</v>
      </c>
      <c r="O19" s="1359">
        <v>16799940</v>
      </c>
      <c r="P19" s="458">
        <f t="shared" si="21"/>
        <v>199413960</v>
      </c>
      <c r="Q19" s="624">
        <f t="shared" si="22"/>
        <v>111882.34530258403</v>
      </c>
      <c r="R19" s="624">
        <f t="shared" si="22"/>
        <v>117181.12129426446</v>
      </c>
      <c r="S19" s="624">
        <f t="shared" si="22"/>
        <v>131493.45831019123</v>
      </c>
      <c r="T19" s="624">
        <f t="shared" si="22"/>
        <v>131151.22356582453</v>
      </c>
      <c r="U19" s="624">
        <f t="shared" si="22"/>
        <v>125448.41469778368</v>
      </c>
      <c r="V19" s="624">
        <f t="shared" si="22"/>
        <v>122671.63702583598</v>
      </c>
      <c r="W19" s="624">
        <f t="shared" si="22"/>
        <v>114150.80575043202</v>
      </c>
      <c r="X19" s="624">
        <f t="shared" si="22"/>
        <v>104282.41654769289</v>
      </c>
      <c r="Y19" s="624">
        <f t="shared" si="22"/>
        <v>99813.225301123894</v>
      </c>
      <c r="Z19" s="624">
        <f t="shared" si="22"/>
        <v>101223.9607830419</v>
      </c>
      <c r="AA19" s="624">
        <f t="shared" si="22"/>
        <v>100210.91283357423</v>
      </c>
      <c r="AB19" s="624">
        <f t="shared" si="22"/>
        <v>115871.083661354</v>
      </c>
      <c r="AC19" s="458">
        <f t="shared" si="23"/>
        <v>1375380.6050737028</v>
      </c>
      <c r="AD19" s="249">
        <f>(Temperature!B127+Temperature!F127)*1000</f>
        <v>-4668906.8399751736</v>
      </c>
      <c r="AE19" s="105">
        <f t="shared" si="24"/>
        <v>196120433.76509851</v>
      </c>
      <c r="AF19" s="600">
        <f>'Rate Design Work eff 10-14-16'!C1066</f>
        <v>196120433.76509851</v>
      </c>
      <c r="AG19" s="69">
        <f t="shared" si="25"/>
        <v>0</v>
      </c>
    </row>
    <row r="20" spans="1:33" s="3" customFormat="1">
      <c r="A20" s="53" t="s">
        <v>145</v>
      </c>
      <c r="C20" s="60" t="s">
        <v>55</v>
      </c>
      <c r="D20" s="1359">
        <v>173033</v>
      </c>
      <c r="E20" s="1359">
        <v>173489</v>
      </c>
      <c r="F20" s="1359">
        <v>173681</v>
      </c>
      <c r="G20" s="1359">
        <v>173281</v>
      </c>
      <c r="H20" s="1359">
        <v>174126</v>
      </c>
      <c r="I20" s="1359">
        <v>174572</v>
      </c>
      <c r="J20" s="1359">
        <v>174537</v>
      </c>
      <c r="K20" s="1359">
        <v>174546</v>
      </c>
      <c r="L20" s="1359">
        <v>172569</v>
      </c>
      <c r="M20" s="1359">
        <v>172949</v>
      </c>
      <c r="N20" s="1359">
        <v>173693</v>
      </c>
      <c r="O20" s="1359">
        <v>173380</v>
      </c>
      <c r="P20" s="458">
        <f t="shared" si="21"/>
        <v>2083856</v>
      </c>
      <c r="Q20" s="624">
        <f t="shared" si="22"/>
        <v>1193.4281443371267</v>
      </c>
      <c r="R20" s="624">
        <f t="shared" si="22"/>
        <v>1196.5732278403759</v>
      </c>
      <c r="S20" s="624">
        <f t="shared" si="22"/>
        <v>1197.8974735259546</v>
      </c>
      <c r="T20" s="624">
        <f t="shared" si="22"/>
        <v>1195.1386283476659</v>
      </c>
      <c r="U20" s="624">
        <f t="shared" si="22"/>
        <v>1200.9666887868011</v>
      </c>
      <c r="V20" s="624">
        <f t="shared" si="22"/>
        <v>1204.0428011605929</v>
      </c>
      <c r="W20" s="624">
        <f t="shared" si="22"/>
        <v>1203.8014022074929</v>
      </c>
      <c r="X20" s="624">
        <f t="shared" si="22"/>
        <v>1203.8634762240042</v>
      </c>
      <c r="Y20" s="624">
        <f t="shared" si="22"/>
        <v>1190.2278839303117</v>
      </c>
      <c r="Z20" s="624">
        <f t="shared" si="22"/>
        <v>1192.8487868496861</v>
      </c>
      <c r="AA20" s="624">
        <f t="shared" si="22"/>
        <v>1197.9802388813032</v>
      </c>
      <c r="AB20" s="624">
        <f t="shared" si="22"/>
        <v>1195.8214425292922</v>
      </c>
      <c r="AC20" s="458">
        <f t="shared" si="23"/>
        <v>14372.590194620605</v>
      </c>
      <c r="AD20" s="3">
        <v>0</v>
      </c>
      <c r="AE20" s="105">
        <f t="shared" si="24"/>
        <v>2098228.5901946207</v>
      </c>
      <c r="AF20" s="600">
        <f>'Rate Design Work eff 10-14-16'!C65</f>
        <v>2098228.5901946207</v>
      </c>
      <c r="AG20" s="69">
        <f t="shared" si="25"/>
        <v>0</v>
      </c>
    </row>
    <row r="21" spans="1:33" s="3" customFormat="1">
      <c r="A21" s="53">
        <v>54</v>
      </c>
      <c r="C21" s="60" t="s">
        <v>56</v>
      </c>
      <c r="D21" s="1359">
        <v>33069</v>
      </c>
      <c r="E21" s="1359">
        <v>21597</v>
      </c>
      <c r="F21" s="1359">
        <v>18255</v>
      </c>
      <c r="G21" s="1359">
        <v>29236</v>
      </c>
      <c r="H21" s="1359">
        <v>31865</v>
      </c>
      <c r="I21" s="1359">
        <v>21881</v>
      </c>
      <c r="J21" s="1359">
        <v>14665</v>
      </c>
      <c r="K21" s="1359">
        <v>18702</v>
      </c>
      <c r="L21" s="1359">
        <v>25191</v>
      </c>
      <c r="M21" s="1359">
        <v>18634</v>
      </c>
      <c r="N21" s="1359">
        <v>13898</v>
      </c>
      <c r="O21" s="1359">
        <v>20788</v>
      </c>
      <c r="P21" s="458">
        <f t="shared" si="21"/>
        <v>267781</v>
      </c>
      <c r="Q21" s="624">
        <f t="shared" si="22"/>
        <v>228.0806280020831</v>
      </c>
      <c r="R21" s="624">
        <f t="shared" si="22"/>
        <v>148.95694828875952</v>
      </c>
      <c r="S21" s="624">
        <f t="shared" si="22"/>
        <v>125.90679682415636</v>
      </c>
      <c r="T21" s="624">
        <f t="shared" si="22"/>
        <v>201.64399408113042</v>
      </c>
      <c r="U21" s="624">
        <f t="shared" si="22"/>
        <v>219.77650401543372</v>
      </c>
      <c r="V21" s="624">
        <f t="shared" si="22"/>
        <v>150.91572836534459</v>
      </c>
      <c r="W21" s="624">
        <f t="shared" si="22"/>
        <v>101.14616134901415</v>
      </c>
      <c r="X21" s="624">
        <f t="shared" si="22"/>
        <v>128.98980631089412</v>
      </c>
      <c r="Y21" s="624">
        <f t="shared" si="22"/>
        <v>173.74517221568465</v>
      </c>
      <c r="Z21" s="624">
        <f t="shared" si="22"/>
        <v>128.52080263058502</v>
      </c>
      <c r="AA21" s="624">
        <f t="shared" si="22"/>
        <v>95.856075719645304</v>
      </c>
      <c r="AB21" s="624">
        <f t="shared" si="22"/>
        <v>143.37718391567037</v>
      </c>
      <c r="AC21" s="458">
        <f t="shared" si="23"/>
        <v>1846.9158017184013</v>
      </c>
      <c r="AE21" s="105">
        <f t="shared" si="24"/>
        <v>269627.91580171842</v>
      </c>
      <c r="AF21" s="600">
        <f>'Rate Design Work eff 10-14-16'!C1226</f>
        <v>269627.91580171842</v>
      </c>
      <c r="AG21" s="69">
        <f t="shared" si="25"/>
        <v>0</v>
      </c>
    </row>
    <row r="22" spans="1:33" s="3" customFormat="1">
      <c r="A22" s="53"/>
      <c r="B22" s="3" t="s">
        <v>266</v>
      </c>
      <c r="C22" s="5"/>
      <c r="D22" s="458">
        <f t="shared" ref="D22:O22" si="26">SUM(D14:D21)</f>
        <v>126113178.08326679</v>
      </c>
      <c r="E22" s="458">
        <f t="shared" si="26"/>
        <v>136370947.08326679</v>
      </c>
      <c r="F22" s="458">
        <f t="shared" si="26"/>
        <v>141581412.08326679</v>
      </c>
      <c r="G22" s="458">
        <f t="shared" si="26"/>
        <v>140103064.08326679</v>
      </c>
      <c r="H22" s="458">
        <f t="shared" si="26"/>
        <v>133182336.08326679</v>
      </c>
      <c r="I22" s="458">
        <f t="shared" si="26"/>
        <v>143878584.08326679</v>
      </c>
      <c r="J22" s="458">
        <f t="shared" si="26"/>
        <v>134506403.08326679</v>
      </c>
      <c r="K22" s="458">
        <f t="shared" si="26"/>
        <v>121618822.08326679</v>
      </c>
      <c r="L22" s="458">
        <f t="shared" si="26"/>
        <v>114405445.07338858</v>
      </c>
      <c r="M22" s="458">
        <f t="shared" si="26"/>
        <v>111397029.01825747</v>
      </c>
      <c r="N22" s="458">
        <f t="shared" si="26"/>
        <v>112815491.01825747</v>
      </c>
      <c r="O22" s="458">
        <f t="shared" si="26"/>
        <v>128296620.01825747</v>
      </c>
      <c r="P22" s="458">
        <f t="shared" si="21"/>
        <v>1544269331.7942948</v>
      </c>
      <c r="Q22" s="458">
        <f t="shared" ref="Q22:AF22" si="27">SUM(Q14:Q21)</f>
        <v>869816.83318425203</v>
      </c>
      <c r="R22" s="458">
        <f t="shared" si="27"/>
        <v>940565.82454837859</v>
      </c>
      <c r="S22" s="458">
        <f t="shared" si="27"/>
        <v>976502.99015311035</v>
      </c>
      <c r="T22" s="458">
        <f t="shared" si="27"/>
        <v>966306.65702402813</v>
      </c>
      <c r="U22" s="458">
        <f t="shared" si="27"/>
        <v>918573.61434140673</v>
      </c>
      <c r="V22" s="458">
        <f t="shared" si="27"/>
        <v>992346.84489286062</v>
      </c>
      <c r="W22" s="458">
        <f t="shared" si="27"/>
        <v>927705.85398811009</v>
      </c>
      <c r="X22" s="458">
        <f t="shared" si="27"/>
        <v>838818.75223396835</v>
      </c>
      <c r="Y22" s="458">
        <f t="shared" si="27"/>
        <v>789067.27627676353</v>
      </c>
      <c r="Z22" s="458">
        <f t="shared" si="27"/>
        <v>768317.89095680066</v>
      </c>
      <c r="AA22" s="458">
        <f t="shared" si="27"/>
        <v>778101.18358001544</v>
      </c>
      <c r="AB22" s="458">
        <f t="shared" si="27"/>
        <v>884876.27882030886</v>
      </c>
      <c r="AC22" s="602">
        <f t="shared" si="27"/>
        <v>10651000.000000004</v>
      </c>
      <c r="AD22" s="107">
        <f t="shared" si="27"/>
        <v>-35698442.819335438</v>
      </c>
      <c r="AE22" s="107">
        <f t="shared" si="27"/>
        <v>1519221888.9749601</v>
      </c>
      <c r="AF22" s="603">
        <f t="shared" si="27"/>
        <v>1519221888.9749601</v>
      </c>
      <c r="AG22" s="69">
        <f t="shared" si="25"/>
        <v>0</v>
      </c>
    </row>
    <row r="23" spans="1:33" s="3" customFormat="1">
      <c r="A23" s="53"/>
      <c r="B23" s="3" t="s">
        <v>269</v>
      </c>
      <c r="C23" s="5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37">
        <f>'Table 2'!G66</f>
        <v>10651000</v>
      </c>
      <c r="AD23" s="107"/>
      <c r="AE23" s="107"/>
      <c r="AF23" s="603"/>
      <c r="AG23" s="69"/>
    </row>
    <row r="24" spans="1:33" s="3" customFormat="1">
      <c r="A24" s="53">
        <v>24</v>
      </c>
      <c r="C24" s="60" t="s">
        <v>51</v>
      </c>
      <c r="D24" s="1359">
        <v>1387560</v>
      </c>
      <c r="E24" s="1359">
        <v>1498591</v>
      </c>
      <c r="F24" s="1359">
        <v>1471769</v>
      </c>
      <c r="G24" s="1359">
        <v>1497960</v>
      </c>
      <c r="H24" s="1359">
        <v>1425518</v>
      </c>
      <c r="I24" s="1359">
        <v>1736659</v>
      </c>
      <c r="J24" s="1359">
        <v>1641216</v>
      </c>
      <c r="K24" s="1359">
        <v>1472536</v>
      </c>
      <c r="L24" s="1359">
        <v>1377526</v>
      </c>
      <c r="M24" s="1359">
        <v>1238390</v>
      </c>
      <c r="N24" s="1359">
        <v>1218180</v>
      </c>
      <c r="O24" s="1359">
        <v>1314246</v>
      </c>
      <c r="P24" s="458">
        <f t="shared" ref="P24:P32" si="28">SUM(D24:O24)</f>
        <v>17280151</v>
      </c>
      <c r="Q24" s="624">
        <f t="shared" ref="Q24:AB31" ca="1" si="29">D24/$P$32*$AC$33</f>
        <v>4314.2077577479504</v>
      </c>
      <c r="R24" s="624">
        <f t="shared" ca="1" si="29"/>
        <v>4659.4258395249635</v>
      </c>
      <c r="S24" s="624">
        <f t="shared" ca="1" si="29"/>
        <v>4576.030757165775</v>
      </c>
      <c r="T24" s="624">
        <f t="shared" ca="1" si="29"/>
        <v>4657.463931502868</v>
      </c>
      <c r="U24" s="624">
        <f t="shared" ca="1" si="29"/>
        <v>4432.2269411119823</v>
      </c>
      <c r="V24" s="624">
        <f t="shared" ca="1" si="29"/>
        <v>5399.6279298645086</v>
      </c>
      <c r="W24" s="624">
        <f t="shared" ca="1" si="29"/>
        <v>5102.8761274035423</v>
      </c>
      <c r="X24" s="624">
        <f t="shared" ca="1" si="29"/>
        <v>4578.4155169961195</v>
      </c>
      <c r="Y24" s="624">
        <f t="shared" ca="1" si="29"/>
        <v>4283.0100000717102</v>
      </c>
      <c r="Z24" s="624">
        <f t="shared" ca="1" si="29"/>
        <v>3850.4077265973965</v>
      </c>
      <c r="AA24" s="624">
        <f t="shared" ca="1" si="29"/>
        <v>3787.5707042098343</v>
      </c>
      <c r="AB24" s="624">
        <f t="shared" ca="1" si="29"/>
        <v>4086.2595410571166</v>
      </c>
      <c r="AC24" s="458">
        <f t="shared" ref="AC24:AC31" ca="1" si="30">SUM(Q24:AB24)</f>
        <v>53727.522773253761</v>
      </c>
      <c r="AE24" s="105">
        <f t="shared" ref="AE24:AE31" ca="1" si="31">P24+AC24+AD24</f>
        <v>17333878.522773255</v>
      </c>
      <c r="AF24" s="600">
        <f ca="1">'Rate Design Work eff 10-14-16'!C344</f>
        <v>17333878.522773255</v>
      </c>
      <c r="AG24" s="69">
        <f t="shared" ref="AG24:AG32" ca="1" si="32">AF24-AE24</f>
        <v>0</v>
      </c>
    </row>
    <row r="25" spans="1:33" s="3" customFormat="1">
      <c r="A25" s="53" t="s">
        <v>143</v>
      </c>
      <c r="C25" s="60" t="s">
        <v>52</v>
      </c>
      <c r="D25" s="1359">
        <v>2776</v>
      </c>
      <c r="E25" s="1359">
        <v>2776</v>
      </c>
      <c r="F25" s="1359">
        <v>2776</v>
      </c>
      <c r="G25" s="1359">
        <v>2776</v>
      </c>
      <c r="H25" s="1359">
        <v>2776</v>
      </c>
      <c r="I25" s="1359">
        <v>2776</v>
      </c>
      <c r="J25" s="1359">
        <v>2776</v>
      </c>
      <c r="K25" s="1359">
        <v>2776</v>
      </c>
      <c r="L25" s="1359">
        <v>2776</v>
      </c>
      <c r="M25" s="1359">
        <v>2776</v>
      </c>
      <c r="N25" s="1359">
        <v>2776</v>
      </c>
      <c r="O25" s="1359">
        <v>2776</v>
      </c>
      <c r="P25" s="458">
        <f t="shared" si="28"/>
        <v>33312</v>
      </c>
      <c r="Q25" s="624">
        <f t="shared" ca="1" si="29"/>
        <v>8.6311516154316283</v>
      </c>
      <c r="R25" s="624">
        <f t="shared" ca="1" si="29"/>
        <v>8.6311516154316283</v>
      </c>
      <c r="S25" s="624">
        <f t="shared" ca="1" si="29"/>
        <v>8.6311516154316283</v>
      </c>
      <c r="T25" s="624">
        <f t="shared" ca="1" si="29"/>
        <v>8.6311516154316283</v>
      </c>
      <c r="U25" s="624">
        <f t="shared" ca="1" si="29"/>
        <v>8.6311516154316283</v>
      </c>
      <c r="V25" s="624">
        <f t="shared" ca="1" si="29"/>
        <v>8.6311516154316283</v>
      </c>
      <c r="W25" s="624">
        <f t="shared" ca="1" si="29"/>
        <v>8.6311516154316283</v>
      </c>
      <c r="X25" s="624">
        <f t="shared" ca="1" si="29"/>
        <v>8.6311516154316283</v>
      </c>
      <c r="Y25" s="624">
        <f t="shared" ca="1" si="29"/>
        <v>8.6311516154316283</v>
      </c>
      <c r="Z25" s="624">
        <f t="shared" ca="1" si="29"/>
        <v>8.6311516154316283</v>
      </c>
      <c r="AA25" s="624">
        <f t="shared" ca="1" si="29"/>
        <v>8.6311516154316283</v>
      </c>
      <c r="AB25" s="624">
        <f t="shared" ca="1" si="29"/>
        <v>8.6311516154316283</v>
      </c>
      <c r="AC25" s="458">
        <f t="shared" ca="1" si="30"/>
        <v>103.57381938517956</v>
      </c>
      <c r="AE25" s="105">
        <f t="shared" ca="1" si="31"/>
        <v>33415.573819385179</v>
      </c>
      <c r="AF25" s="600">
        <f ca="1">'Rate Design Work eff 10-14-16'!C449</f>
        <v>33415.573819385179</v>
      </c>
      <c r="AG25" s="69">
        <f t="shared" ca="1" si="32"/>
        <v>0</v>
      </c>
    </row>
    <row r="26" spans="1:33" s="3" customFormat="1">
      <c r="A26" s="53" t="s">
        <v>150</v>
      </c>
      <c r="C26" s="60" t="s">
        <v>57</v>
      </c>
      <c r="D26" s="1359">
        <v>1689</v>
      </c>
      <c r="E26" s="1359">
        <v>1046</v>
      </c>
      <c r="F26" s="1359">
        <v>695</v>
      </c>
      <c r="G26" s="1359">
        <v>341</v>
      </c>
      <c r="H26" s="1359">
        <v>16</v>
      </c>
      <c r="I26" s="1359">
        <v>19</v>
      </c>
      <c r="J26" s="1359">
        <v>17</v>
      </c>
      <c r="K26" s="1359">
        <v>20</v>
      </c>
      <c r="L26" s="1359">
        <v>256</v>
      </c>
      <c r="M26" s="1359">
        <v>1154</v>
      </c>
      <c r="N26" s="1359">
        <v>247</v>
      </c>
      <c r="O26" s="1359">
        <v>286</v>
      </c>
      <c r="P26" s="458">
        <f t="shared" si="28"/>
        <v>5786</v>
      </c>
      <c r="Q26" s="624">
        <f t="shared" ca="1" si="29"/>
        <v>5.2514463539135523</v>
      </c>
      <c r="R26" s="624">
        <f t="shared" ca="1" si="29"/>
        <v>3.2522278781489491</v>
      </c>
      <c r="S26" s="624">
        <f t="shared" ca="1" si="29"/>
        <v>2.1608971083303246</v>
      </c>
      <c r="T26" s="624">
        <f t="shared" ca="1" si="29"/>
        <v>1.0602387250944469</v>
      </c>
      <c r="U26" s="624">
        <f t="shared" ca="1" si="29"/>
        <v>4.9747271558683727E-2</v>
      </c>
      <c r="V26" s="624">
        <f t="shared" ca="1" si="29"/>
        <v>5.907488497593693E-2</v>
      </c>
      <c r="W26" s="624">
        <f t="shared" ca="1" si="29"/>
        <v>5.2856476031101468E-2</v>
      </c>
      <c r="X26" s="624">
        <f t="shared" ca="1" si="29"/>
        <v>6.2184089448354664E-2</v>
      </c>
      <c r="Y26" s="624">
        <f t="shared" ca="1" si="29"/>
        <v>0.79595634493893963</v>
      </c>
      <c r="Z26" s="624">
        <f t="shared" ca="1" si="29"/>
        <v>3.5880219611700643</v>
      </c>
      <c r="AA26" s="624">
        <f t="shared" ca="1" si="29"/>
        <v>0.76797350468718006</v>
      </c>
      <c r="AB26" s="624">
        <f t="shared" ca="1" si="29"/>
        <v>0.88923247911147174</v>
      </c>
      <c r="AC26" s="458">
        <f t="shared" ca="1" si="30"/>
        <v>17.989857077409003</v>
      </c>
      <c r="AE26" s="105">
        <f t="shared" ca="1" si="31"/>
        <v>5803.9898570774094</v>
      </c>
      <c r="AF26" s="600">
        <f ca="1">'Rate Design Work eff 10-14-16'!C555</f>
        <v>5803.9898570774094</v>
      </c>
      <c r="AG26" s="69">
        <f t="shared" ca="1" si="32"/>
        <v>0</v>
      </c>
    </row>
    <row r="27" spans="1:33" s="3" customFormat="1">
      <c r="A27" s="53">
        <v>36</v>
      </c>
      <c r="C27" s="60" t="s">
        <v>53</v>
      </c>
      <c r="D27" s="1359">
        <v>8255860</v>
      </c>
      <c r="E27" s="1359">
        <v>9031660</v>
      </c>
      <c r="F27" s="1359">
        <v>9809620</v>
      </c>
      <c r="G27" s="1359">
        <v>10669660</v>
      </c>
      <c r="H27" s="1359">
        <v>10267060</v>
      </c>
      <c r="I27" s="1359">
        <v>9113460</v>
      </c>
      <c r="J27" s="1359">
        <v>8217900</v>
      </c>
      <c r="K27" s="1359">
        <v>8005020</v>
      </c>
      <c r="L27" s="1359">
        <v>7912038</v>
      </c>
      <c r="M27" s="1359">
        <v>7877834</v>
      </c>
      <c r="N27" s="1359">
        <v>7649880</v>
      </c>
      <c r="O27" s="1359">
        <v>8392580</v>
      </c>
      <c r="P27" s="458">
        <f t="shared" si="28"/>
        <v>105202572</v>
      </c>
      <c r="Q27" s="624">
        <f t="shared" ca="1" si="29"/>
        <v>25669.156835654667</v>
      </c>
      <c r="R27" s="624">
        <f t="shared" ca="1" si="29"/>
        <v>28081.277665356341</v>
      </c>
      <c r="S27" s="624">
        <f t="shared" ca="1" si="29"/>
        <v>30500.114376718448</v>
      </c>
      <c r="T27" s="624">
        <f t="shared" ca="1" si="29"/>
        <v>33174.154591176593</v>
      </c>
      <c r="U27" s="624">
        <f t="shared" ca="1" si="29"/>
        <v>31922.38887058121</v>
      </c>
      <c r="V27" s="624">
        <f t="shared" ca="1" si="29"/>
        <v>28335.610591200115</v>
      </c>
      <c r="W27" s="624">
        <f t="shared" ca="1" si="29"/>
        <v>25551.131433881688</v>
      </c>
      <c r="X27" s="624">
        <f t="shared" ca="1" si="29"/>
        <v>24889.243985793404</v>
      </c>
      <c r="Y27" s="624">
        <f t="shared" ca="1" si="29"/>
        <v>24600.143935539054</v>
      </c>
      <c r="Z27" s="624">
        <f t="shared" ca="1" si="29"/>
        <v>24493.796705764482</v>
      </c>
      <c r="AA27" s="624">
        <f t="shared" ca="1" si="29"/>
        <v>23785.041109458969</v>
      </c>
      <c r="AB27" s="624">
        <f t="shared" ca="1" si="29"/>
        <v>26094.247271123622</v>
      </c>
      <c r="AC27" s="458">
        <f t="shared" ca="1" si="30"/>
        <v>327096.30737224856</v>
      </c>
      <c r="AE27" s="105">
        <f t="shared" ca="1" si="31"/>
        <v>105529668.30737224</v>
      </c>
      <c r="AF27" s="600">
        <f ca="1">'Rate Design Work eff 10-14-16'!C714</f>
        <v>105529668.30737224</v>
      </c>
      <c r="AG27" s="69">
        <f t="shared" ca="1" si="32"/>
        <v>0</v>
      </c>
    </row>
    <row r="28" spans="1:33" s="3" customFormat="1">
      <c r="A28" s="53">
        <v>47</v>
      </c>
      <c r="C28" s="60" t="s">
        <v>159</v>
      </c>
      <c r="D28" s="1359">
        <v>155000</v>
      </c>
      <c r="E28" s="1359">
        <v>120000</v>
      </c>
      <c r="F28" s="1359">
        <v>160000</v>
      </c>
      <c r="G28" s="1359">
        <v>123000</v>
      </c>
      <c r="H28" s="1359">
        <v>231825</v>
      </c>
      <c r="I28" s="1359">
        <v>244000</v>
      </c>
      <c r="J28" s="1359">
        <v>455000</v>
      </c>
      <c r="K28" s="1359">
        <v>165000</v>
      </c>
      <c r="L28" s="1359">
        <v>148000</v>
      </c>
      <c r="M28" s="1359">
        <v>134000</v>
      </c>
      <c r="N28" s="1359">
        <v>136000</v>
      </c>
      <c r="O28" s="1359">
        <v>174000</v>
      </c>
      <c r="P28" s="458">
        <f t="shared" si="28"/>
        <v>2245825</v>
      </c>
      <c r="Q28" s="624">
        <f t="shared" ca="1" si="29"/>
        <v>481.92669322474865</v>
      </c>
      <c r="R28" s="624">
        <f t="shared" ca="1" si="29"/>
        <v>373.10453669012799</v>
      </c>
      <c r="S28" s="624">
        <f t="shared" ca="1" si="29"/>
        <v>497.47271558683735</v>
      </c>
      <c r="T28" s="624">
        <f t="shared" ca="1" si="29"/>
        <v>382.43215010738123</v>
      </c>
      <c r="U28" s="624">
        <f t="shared" ca="1" si="29"/>
        <v>720.79132681824092</v>
      </c>
      <c r="V28" s="624">
        <f t="shared" ca="1" si="29"/>
        <v>758.64589126992689</v>
      </c>
      <c r="W28" s="624">
        <f t="shared" ca="1" si="29"/>
        <v>1414.6880349500686</v>
      </c>
      <c r="X28" s="624">
        <f t="shared" ca="1" si="29"/>
        <v>513.01873794892595</v>
      </c>
      <c r="Y28" s="624">
        <f t="shared" ca="1" si="29"/>
        <v>460.16226191782448</v>
      </c>
      <c r="Z28" s="624">
        <f t="shared" ca="1" si="29"/>
        <v>416.63339930397626</v>
      </c>
      <c r="AA28" s="624">
        <f t="shared" ca="1" si="29"/>
        <v>422.85180824881172</v>
      </c>
      <c r="AB28" s="624">
        <f t="shared" ca="1" si="29"/>
        <v>541.00157820068557</v>
      </c>
      <c r="AC28" s="458">
        <f t="shared" ca="1" si="30"/>
        <v>6982.7291342675553</v>
      </c>
      <c r="AE28" s="105">
        <f ca="1">P28+AC28+AD28</f>
        <v>2252807.7291342677</v>
      </c>
      <c r="AF28" s="600">
        <f ca="1">'Rate Design Work eff 10-14-16'!C898</f>
        <v>2252807.7291342677</v>
      </c>
      <c r="AG28" s="69">
        <f t="shared" ca="1" si="32"/>
        <v>0</v>
      </c>
    </row>
    <row r="29" spans="1:33" s="3" customFormat="1">
      <c r="A29" s="53" t="s">
        <v>570</v>
      </c>
      <c r="C29" s="60" t="s">
        <v>571</v>
      </c>
      <c r="D29" s="1359">
        <v>32040000</v>
      </c>
      <c r="E29" s="1359">
        <v>39312000</v>
      </c>
      <c r="F29" s="1359">
        <v>39186000</v>
      </c>
      <c r="G29" s="1359">
        <v>38682000</v>
      </c>
      <c r="H29" s="1359">
        <v>40176000</v>
      </c>
      <c r="I29" s="1359">
        <v>37764000</v>
      </c>
      <c r="J29" s="1359">
        <v>40824000</v>
      </c>
      <c r="K29" s="1359">
        <v>40248000</v>
      </c>
      <c r="L29" s="1359">
        <v>35928000</v>
      </c>
      <c r="M29" s="1359">
        <v>39636000</v>
      </c>
      <c r="N29" s="1359">
        <v>38214000</v>
      </c>
      <c r="O29" s="1359">
        <v>36468000</v>
      </c>
      <c r="P29" s="458">
        <f t="shared" si="28"/>
        <v>458478000</v>
      </c>
      <c r="Q29" s="624">
        <f t="shared" ca="1" si="29"/>
        <v>99618.911296264167</v>
      </c>
      <c r="R29" s="624">
        <f t="shared" ca="1" si="29"/>
        <v>122229.04621968593</v>
      </c>
      <c r="S29" s="624">
        <f t="shared" ca="1" si="29"/>
        <v>121837.2864561613</v>
      </c>
      <c r="T29" s="624">
        <f t="shared" ca="1" si="29"/>
        <v>120270.24740206276</v>
      </c>
      <c r="U29" s="624">
        <f t="shared" ca="1" si="29"/>
        <v>124915.39888385485</v>
      </c>
      <c r="V29" s="624">
        <f t="shared" ca="1" si="29"/>
        <v>117415.99769638327</v>
      </c>
      <c r="W29" s="624">
        <f t="shared" ca="1" si="29"/>
        <v>126930.16338198155</v>
      </c>
      <c r="X29" s="624">
        <f t="shared" ca="1" si="29"/>
        <v>125139.26160586893</v>
      </c>
      <c r="Y29" s="624">
        <f t="shared" ca="1" si="29"/>
        <v>111707.49828502433</v>
      </c>
      <c r="Z29" s="624">
        <f t="shared" ca="1" si="29"/>
        <v>123236.42846874928</v>
      </c>
      <c r="AA29" s="624">
        <f t="shared" ca="1" si="29"/>
        <v>118815.13970897127</v>
      </c>
      <c r="AB29" s="624">
        <f t="shared" ca="1" si="29"/>
        <v>113386.4687001299</v>
      </c>
      <c r="AC29" s="458">
        <f t="shared" ca="1" si="30"/>
        <v>1425501.8481051379</v>
      </c>
      <c r="AE29" s="105">
        <f t="shared" ca="1" si="31"/>
        <v>459903501.84810513</v>
      </c>
      <c r="AF29" s="600">
        <f ca="1">'Rate Design Work eff 10-14-16'!C1104</f>
        <v>459903501.84810513</v>
      </c>
      <c r="AG29" s="69">
        <f t="shared" ca="1" si="32"/>
        <v>0</v>
      </c>
    </row>
    <row r="30" spans="1:33" s="3" customFormat="1">
      <c r="A30" s="53" t="s">
        <v>149</v>
      </c>
      <c r="C30" s="60" t="s">
        <v>54</v>
      </c>
      <c r="D30" s="1359">
        <v>18776400</v>
      </c>
      <c r="E30" s="1359">
        <v>18652150</v>
      </c>
      <c r="F30" s="1359">
        <v>19158600</v>
      </c>
      <c r="G30" s="1359">
        <v>18690600</v>
      </c>
      <c r="H30" s="1359">
        <v>21118850</v>
      </c>
      <c r="I30" s="1359">
        <v>18394850</v>
      </c>
      <c r="J30" s="1359">
        <v>16091750</v>
      </c>
      <c r="K30" s="1359">
        <v>16392150</v>
      </c>
      <c r="L30" s="1359">
        <v>16628700</v>
      </c>
      <c r="M30" s="1359">
        <v>16474550</v>
      </c>
      <c r="N30" s="1359">
        <v>17537050</v>
      </c>
      <c r="O30" s="1359">
        <v>18581600</v>
      </c>
      <c r="P30" s="458">
        <f t="shared" si="28"/>
        <v>216497250</v>
      </c>
      <c r="Q30" s="624">
        <f t="shared" ca="1" si="29"/>
        <v>58379.666855904332</v>
      </c>
      <c r="R30" s="624">
        <f t="shared" ca="1" si="29"/>
        <v>57993.348200206427</v>
      </c>
      <c r="S30" s="624">
        <f t="shared" ca="1" si="29"/>
        <v>59568.00480526239</v>
      </c>
      <c r="T30" s="624">
        <f t="shared" ca="1" si="29"/>
        <v>58112.897112170882</v>
      </c>
      <c r="U30" s="624">
        <f t="shared" ca="1" si="29"/>
        <v>65662.822872319244</v>
      </c>
      <c r="V30" s="624">
        <f t="shared" ca="1" si="29"/>
        <v>57193.34988945334</v>
      </c>
      <c r="W30" s="624">
        <f t="shared" ca="1" si="29"/>
        <v>50032.541069028062</v>
      </c>
      <c r="X30" s="624">
        <f t="shared" ca="1" si="29"/>
        <v>50966.546092542347</v>
      </c>
      <c r="Y30" s="624">
        <f t="shared" ca="1" si="29"/>
        <v>51702.028410492763</v>
      </c>
      <c r="Z30" s="624">
        <f t="shared" ca="1" si="29"/>
        <v>51222.744541069565</v>
      </c>
      <c r="AA30" s="624">
        <f t="shared" ca="1" si="29"/>
        <v>54526.274293013412</v>
      </c>
      <c r="AB30" s="624">
        <f t="shared" ca="1" si="29"/>
        <v>57773.993824677353</v>
      </c>
      <c r="AC30" s="458">
        <f t="shared" ca="1" si="30"/>
        <v>673134.21796614002</v>
      </c>
      <c r="AE30" s="105">
        <f t="shared" ca="1" si="31"/>
        <v>217170384.21796614</v>
      </c>
      <c r="AF30" s="600">
        <f ca="1">'Rate Design Work eff 10-14-16'!C1085</f>
        <v>217170384.21796614</v>
      </c>
      <c r="AG30" s="69">
        <f t="shared" ca="1" si="32"/>
        <v>0</v>
      </c>
    </row>
    <row r="31" spans="1:33" s="3" customFormat="1">
      <c r="A31" s="53" t="s">
        <v>145</v>
      </c>
      <c r="C31" s="60" t="s">
        <v>55</v>
      </c>
      <c r="D31" s="1359">
        <v>12359</v>
      </c>
      <c r="E31" s="1359">
        <v>12359</v>
      </c>
      <c r="F31" s="1359">
        <v>11595</v>
      </c>
      <c r="G31" s="1359">
        <v>11671</v>
      </c>
      <c r="H31" s="1359">
        <v>11671</v>
      </c>
      <c r="I31" s="1359">
        <v>11671</v>
      </c>
      <c r="J31" s="1359">
        <v>11499</v>
      </c>
      <c r="K31" s="1359">
        <v>11575</v>
      </c>
      <c r="L31" s="1359">
        <v>11499</v>
      </c>
      <c r="M31" s="1359">
        <v>11423</v>
      </c>
      <c r="N31" s="1359">
        <v>11423</v>
      </c>
      <c r="O31" s="1359">
        <v>11423</v>
      </c>
      <c r="P31" s="458">
        <f t="shared" si="28"/>
        <v>140168</v>
      </c>
      <c r="Q31" s="624">
        <f t="shared" ca="1" si="29"/>
        <v>38.426658074610771</v>
      </c>
      <c r="R31" s="624">
        <f t="shared" ca="1" si="29"/>
        <v>38.426658074610771</v>
      </c>
      <c r="S31" s="624">
        <f t="shared" ca="1" si="29"/>
        <v>36.051225857683619</v>
      </c>
      <c r="T31" s="624">
        <f t="shared" ca="1" si="29"/>
        <v>36.287525397587366</v>
      </c>
      <c r="U31" s="624">
        <f t="shared" ca="1" si="29"/>
        <v>36.287525397587366</v>
      </c>
      <c r="V31" s="624">
        <f t="shared" ca="1" si="29"/>
        <v>36.287525397587366</v>
      </c>
      <c r="W31" s="624">
        <f t="shared" ca="1" si="29"/>
        <v>35.752742228331513</v>
      </c>
      <c r="X31" s="624">
        <f t="shared" ca="1" si="29"/>
        <v>35.989041768235261</v>
      </c>
      <c r="Y31" s="624">
        <f t="shared" ca="1" si="29"/>
        <v>35.752742228331513</v>
      </c>
      <c r="Z31" s="624">
        <f t="shared" ca="1" si="29"/>
        <v>35.516442688427766</v>
      </c>
      <c r="AA31" s="624">
        <f t="shared" ca="1" si="29"/>
        <v>35.516442688427766</v>
      </c>
      <c r="AB31" s="624">
        <f t="shared" ca="1" si="29"/>
        <v>35.516442688427766</v>
      </c>
      <c r="AC31" s="458">
        <f t="shared" ca="1" si="30"/>
        <v>435.81097248984889</v>
      </c>
      <c r="AE31" s="105">
        <f t="shared" ca="1" si="31"/>
        <v>140603.81097248985</v>
      </c>
      <c r="AF31" s="600">
        <f ca="1">'Rate Design Work eff 10-14-16'!C83</f>
        <v>140603.81097248985</v>
      </c>
      <c r="AG31" s="69">
        <f t="shared" ca="1" si="32"/>
        <v>0</v>
      </c>
    </row>
    <row r="32" spans="1:33" s="3" customFormat="1">
      <c r="A32" s="53"/>
      <c r="B32" s="3" t="s">
        <v>269</v>
      </c>
      <c r="C32" s="60"/>
      <c r="D32" s="458">
        <f t="shared" ref="D32:O32" si="33">SUM(D24:D31)</f>
        <v>60631644</v>
      </c>
      <c r="E32" s="458">
        <f t="shared" si="33"/>
        <v>68630582</v>
      </c>
      <c r="F32" s="458">
        <f t="shared" si="33"/>
        <v>69801055</v>
      </c>
      <c r="G32" s="458">
        <f t="shared" si="33"/>
        <v>69678008</v>
      </c>
      <c r="H32" s="458">
        <f t="shared" si="33"/>
        <v>73233716</v>
      </c>
      <c r="I32" s="458">
        <f t="shared" si="33"/>
        <v>67267435</v>
      </c>
      <c r="J32" s="458">
        <f t="shared" si="33"/>
        <v>67244158</v>
      </c>
      <c r="K32" s="458">
        <f t="shared" si="33"/>
        <v>66297077</v>
      </c>
      <c r="L32" s="458">
        <f t="shared" si="33"/>
        <v>62008795</v>
      </c>
      <c r="M32" s="458">
        <f t="shared" si="33"/>
        <v>65376127</v>
      </c>
      <c r="N32" s="458">
        <f t="shared" si="33"/>
        <v>64769556</v>
      </c>
      <c r="O32" s="458">
        <f t="shared" si="33"/>
        <v>64944911</v>
      </c>
      <c r="P32" s="458">
        <f t="shared" si="28"/>
        <v>799883064</v>
      </c>
      <c r="Q32" s="458">
        <f t="shared" ref="Q32:AF32" ca="1" si="34">SUM(Q24:Q31)</f>
        <v>188516.17869483982</v>
      </c>
      <c r="R32" s="458">
        <f t="shared" ca="1" si="34"/>
        <v>213386.51249903196</v>
      </c>
      <c r="S32" s="458">
        <f t="shared" ca="1" si="34"/>
        <v>217025.7523854762</v>
      </c>
      <c r="T32" s="458">
        <f t="shared" ca="1" si="34"/>
        <v>216643.17410275858</v>
      </c>
      <c r="U32" s="458">
        <f t="shared" ca="1" si="34"/>
        <v>227698.5973189701</v>
      </c>
      <c r="V32" s="458">
        <f t="shared" ca="1" si="34"/>
        <v>209148.20975006916</v>
      </c>
      <c r="W32" s="458">
        <f t="shared" ca="1" si="34"/>
        <v>209075.8367975647</v>
      </c>
      <c r="X32" s="458">
        <f t="shared" ca="1" si="34"/>
        <v>206131.16831662285</v>
      </c>
      <c r="Y32" s="458">
        <f t="shared" ca="1" si="34"/>
        <v>192798.02274323438</v>
      </c>
      <c r="Z32" s="458">
        <f t="shared" ca="1" si="34"/>
        <v>203267.74645774969</v>
      </c>
      <c r="AA32" s="458">
        <f t="shared" ca="1" si="34"/>
        <v>201381.79319171084</v>
      </c>
      <c r="AB32" s="458">
        <f t="shared" ca="1" si="34"/>
        <v>201927.00774197164</v>
      </c>
      <c r="AC32" s="607">
        <f t="shared" ca="1" si="34"/>
        <v>2487000.0000000005</v>
      </c>
      <c r="AD32" s="107">
        <f t="shared" si="34"/>
        <v>0</v>
      </c>
      <c r="AE32" s="107">
        <f t="shared" ca="1" si="34"/>
        <v>802370064</v>
      </c>
      <c r="AF32" s="603">
        <f t="shared" ca="1" si="34"/>
        <v>802370064</v>
      </c>
      <c r="AG32" s="69">
        <f t="shared" ca="1" si="32"/>
        <v>0</v>
      </c>
    </row>
    <row r="33" spans="1:33" s="3" customFormat="1">
      <c r="A33" s="53"/>
      <c r="B33" s="60" t="s">
        <v>271</v>
      </c>
      <c r="D33" s="624"/>
      <c r="E33" s="624"/>
      <c r="F33" s="624"/>
      <c r="G33" s="624"/>
      <c r="H33" s="624"/>
      <c r="I33" s="624"/>
      <c r="J33" s="624"/>
      <c r="K33" s="624"/>
      <c r="L33" s="624"/>
      <c r="M33" s="624"/>
      <c r="N33" s="624"/>
      <c r="O33" s="624"/>
      <c r="P33" s="458"/>
      <c r="Q33" s="20"/>
      <c r="R33" s="624"/>
      <c r="S33" s="624"/>
      <c r="T33" s="624"/>
      <c r="U33" s="624"/>
      <c r="V33" s="624"/>
      <c r="W33" s="624"/>
      <c r="X33" s="624"/>
      <c r="Y33" s="624"/>
      <c r="Z33" s="624"/>
      <c r="AA33" s="624"/>
      <c r="AB33" s="624"/>
      <c r="AC33" s="458">
        <f ca="1">'Table 2'!G95</f>
        <v>2487000</v>
      </c>
      <c r="AE33" s="105"/>
      <c r="AF33" s="600"/>
      <c r="AG33" s="69"/>
    </row>
    <row r="34" spans="1:33" s="3" customFormat="1">
      <c r="A34" s="53">
        <v>40</v>
      </c>
      <c r="C34" s="60" t="s">
        <v>58</v>
      </c>
      <c r="D34" s="1359">
        <v>25273764</v>
      </c>
      <c r="E34" s="1359">
        <v>26601102</v>
      </c>
      <c r="F34" s="1359">
        <v>20361627</v>
      </c>
      <c r="G34" s="1359">
        <v>12347000</v>
      </c>
      <c r="H34" s="1359">
        <v>3422535</v>
      </c>
      <c r="I34" s="1359">
        <v>575288</v>
      </c>
      <c r="J34" s="1359">
        <v>284910</v>
      </c>
      <c r="K34" s="1359">
        <v>294952</v>
      </c>
      <c r="L34" s="1359">
        <v>2406891</v>
      </c>
      <c r="M34" s="1359">
        <v>8380514</v>
      </c>
      <c r="N34" s="1359">
        <v>16410035</v>
      </c>
      <c r="O34" s="1359">
        <v>20213182</v>
      </c>
      <c r="P34" s="458">
        <f>SUM(D34:O34)</f>
        <v>136571800</v>
      </c>
      <c r="Q34" s="624">
        <f t="shared" ref="Q34:AB35" ca="1" si="35">D34/$P$36*$AC$37</f>
        <v>348970.47194670147</v>
      </c>
      <c r="R34" s="624">
        <f t="shared" ca="1" si="35"/>
        <v>367297.8476511194</v>
      </c>
      <c r="S34" s="624">
        <f t="shared" ca="1" si="35"/>
        <v>281145.56200622511</v>
      </c>
      <c r="T34" s="624">
        <f t="shared" ca="1" si="35"/>
        <v>170482.65613012464</v>
      </c>
      <c r="U34" s="624">
        <f t="shared" ca="1" si="35"/>
        <v>47257.05495248369</v>
      </c>
      <c r="V34" s="624">
        <f t="shared" ca="1" si="35"/>
        <v>7943.3567894862836</v>
      </c>
      <c r="W34" s="624">
        <f t="shared" ca="1" si="35"/>
        <v>3933.9283678653769</v>
      </c>
      <c r="X34" s="624">
        <f t="shared" ca="1" si="35"/>
        <v>4072.5844651245261</v>
      </c>
      <c r="Y34" s="624">
        <f t="shared" ca="1" si="35"/>
        <v>33233.430849250166</v>
      </c>
      <c r="Z34" s="624">
        <f t="shared" ca="1" si="35"/>
        <v>115714.93370500488</v>
      </c>
      <c r="AA34" s="624">
        <f t="shared" ca="1" si="35"/>
        <v>226583.49023959745</v>
      </c>
      <c r="AB34" s="624">
        <f t="shared" ca="1" si="35"/>
        <v>279095.89019208105</v>
      </c>
      <c r="AC34" s="458">
        <f ca="1">SUM(Q34:AB34)</f>
        <v>1885731.2072950637</v>
      </c>
      <c r="AD34" s="249">
        <f>Temperature!B92*1000</f>
        <v>-26429215.105051007</v>
      </c>
      <c r="AE34" s="105">
        <f ca="1">P34+AC34+AD34</f>
        <v>112028316.10224405</v>
      </c>
      <c r="AF34" s="600">
        <f ca="1">'Rate Design Work eff 10-14-16'!C821</f>
        <v>112028316.10224405</v>
      </c>
      <c r="AG34" s="69">
        <f ca="1">AF34-AE34</f>
        <v>0</v>
      </c>
    </row>
    <row r="35" spans="1:33" s="3" customFormat="1">
      <c r="A35" s="53" t="s">
        <v>151</v>
      </c>
      <c r="C35" s="60" t="s">
        <v>59</v>
      </c>
      <c r="D35" s="1359">
        <v>8323053</v>
      </c>
      <c r="E35" s="1359">
        <v>9107542</v>
      </c>
      <c r="F35" s="1359">
        <v>7346284</v>
      </c>
      <c r="G35" s="1359">
        <v>4376348</v>
      </c>
      <c r="H35" s="1359">
        <v>1306958</v>
      </c>
      <c r="I35" s="1359">
        <v>172671</v>
      </c>
      <c r="J35" s="1359">
        <v>138838</v>
      </c>
      <c r="K35" s="1359">
        <v>143454</v>
      </c>
      <c r="L35" s="1359">
        <v>775562</v>
      </c>
      <c r="M35" s="1359">
        <v>2603254</v>
      </c>
      <c r="N35" s="1359">
        <v>6023131</v>
      </c>
      <c r="O35" s="1359">
        <v>7864192</v>
      </c>
      <c r="P35" s="458">
        <f>SUM(D35:O35)</f>
        <v>48181287</v>
      </c>
      <c r="Q35" s="624">
        <f t="shared" ca="1" si="35"/>
        <v>114921.53418253845</v>
      </c>
      <c r="R35" s="624">
        <f t="shared" ca="1" si="35"/>
        <v>125753.4584090603</v>
      </c>
      <c r="S35" s="624">
        <f t="shared" ca="1" si="35"/>
        <v>101434.68121861477</v>
      </c>
      <c r="T35" s="624">
        <f t="shared" ca="1" si="35"/>
        <v>60426.940243764366</v>
      </c>
      <c r="U35" s="624">
        <f t="shared" ca="1" si="35"/>
        <v>18045.976455051059</v>
      </c>
      <c r="V35" s="624">
        <f t="shared" ca="1" si="35"/>
        <v>2384.175161305965</v>
      </c>
      <c r="W35" s="624">
        <f t="shared" ca="1" si="35"/>
        <v>1917.0220305980597</v>
      </c>
      <c r="X35" s="624">
        <f t="shared" ca="1" si="35"/>
        <v>1980.7579940463997</v>
      </c>
      <c r="Y35" s="624">
        <f t="shared" ca="1" si="35"/>
        <v>10708.663623033266</v>
      </c>
      <c r="Z35" s="624">
        <f t="shared" ca="1" si="35"/>
        <v>35944.736089849481</v>
      </c>
      <c r="AA35" s="624">
        <f t="shared" ca="1" si="35"/>
        <v>83165.090394402985</v>
      </c>
      <c r="AB35" s="624">
        <f t="shared" ca="1" si="35"/>
        <v>108585.75690267085</v>
      </c>
      <c r="AC35" s="458">
        <f ca="1">SUM(Q35:AB35)</f>
        <v>665268.792704936</v>
      </c>
      <c r="AE35" s="105">
        <f ca="1">P35+AC35+AD35</f>
        <v>48846555.792704932</v>
      </c>
      <c r="AF35" s="600">
        <f ca="1">'Rate Design Work eff 10-14-16'!C874</f>
        <v>48846555.792704932</v>
      </c>
      <c r="AG35" s="69">
        <f ca="1">AF35-AE35</f>
        <v>0</v>
      </c>
    </row>
    <row r="36" spans="1:33" s="3" customFormat="1">
      <c r="A36" s="53"/>
      <c r="B36" s="60" t="s">
        <v>271</v>
      </c>
      <c r="C36" s="60"/>
      <c r="D36" s="458">
        <f t="shared" ref="D36:AC36" si="36">SUM(D34:D35)</f>
        <v>33596817</v>
      </c>
      <c r="E36" s="458">
        <f t="shared" si="36"/>
        <v>35708644</v>
      </c>
      <c r="F36" s="458">
        <f t="shared" si="36"/>
        <v>27707911</v>
      </c>
      <c r="G36" s="458">
        <f t="shared" si="36"/>
        <v>16723348</v>
      </c>
      <c r="H36" s="458">
        <f t="shared" si="36"/>
        <v>4729493</v>
      </c>
      <c r="I36" s="458">
        <f t="shared" si="36"/>
        <v>747959</v>
      </c>
      <c r="J36" s="458">
        <f t="shared" si="36"/>
        <v>423748</v>
      </c>
      <c r="K36" s="458">
        <f t="shared" si="36"/>
        <v>438406</v>
      </c>
      <c r="L36" s="458">
        <f t="shared" si="36"/>
        <v>3182453</v>
      </c>
      <c r="M36" s="458">
        <f t="shared" si="36"/>
        <v>10983768</v>
      </c>
      <c r="N36" s="458">
        <f t="shared" si="36"/>
        <v>22433166</v>
      </c>
      <c r="O36" s="458">
        <f t="shared" si="36"/>
        <v>28077374</v>
      </c>
      <c r="P36" s="458">
        <f t="shared" si="36"/>
        <v>184753087</v>
      </c>
      <c r="Q36" s="458">
        <f t="shared" ca="1" si="36"/>
        <v>463892.00612923992</v>
      </c>
      <c r="R36" s="458">
        <f t="shared" ca="1" si="36"/>
        <v>493051.30606017972</v>
      </c>
      <c r="S36" s="458">
        <f t="shared" ca="1" si="36"/>
        <v>382580.24322483991</v>
      </c>
      <c r="T36" s="458">
        <f t="shared" ca="1" si="36"/>
        <v>230909.59637388901</v>
      </c>
      <c r="U36" s="458">
        <f t="shared" ca="1" si="36"/>
        <v>65303.031407534749</v>
      </c>
      <c r="V36" s="458">
        <f t="shared" ca="1" si="36"/>
        <v>10327.531950792249</v>
      </c>
      <c r="W36" s="458">
        <f t="shared" ca="1" si="36"/>
        <v>5850.9503984634366</v>
      </c>
      <c r="X36" s="458">
        <f t="shared" ca="1" si="36"/>
        <v>6053.3424591709263</v>
      </c>
      <c r="Y36" s="458">
        <f t="shared" ca="1" si="36"/>
        <v>43942.094472283432</v>
      </c>
      <c r="Z36" s="458">
        <f t="shared" ca="1" si="36"/>
        <v>151659.66979485436</v>
      </c>
      <c r="AA36" s="458">
        <f t="shared" ca="1" si="36"/>
        <v>309748.58063400042</v>
      </c>
      <c r="AB36" s="458">
        <f t="shared" ca="1" si="36"/>
        <v>387681.64709475188</v>
      </c>
      <c r="AC36" s="607">
        <f t="shared" ca="1" si="36"/>
        <v>2550999.9999999995</v>
      </c>
      <c r="AD36" s="249">
        <f>SUM(AD34:AD35)</f>
        <v>-26429215.105051007</v>
      </c>
      <c r="AE36" s="608">
        <f ca="1">SUM(AE34:AE35)</f>
        <v>160874871.89494899</v>
      </c>
      <c r="AF36" s="600">
        <f ca="1">SUM(AF34:AF35)</f>
        <v>160874871.89494899</v>
      </c>
      <c r="AG36" s="69"/>
    </row>
    <row r="37" spans="1:33" s="3" customFormat="1">
      <c r="A37" s="53"/>
      <c r="B37" s="3" t="s">
        <v>563</v>
      </c>
      <c r="C37" s="60"/>
      <c r="D37" s="624"/>
      <c r="E37" s="624"/>
      <c r="F37" s="624"/>
      <c r="G37" s="624"/>
      <c r="H37" s="624"/>
      <c r="I37" s="624"/>
      <c r="J37" s="624"/>
      <c r="K37" s="624"/>
      <c r="L37" s="624"/>
      <c r="M37" s="624"/>
      <c r="N37" s="624"/>
      <c r="O37" s="624"/>
      <c r="P37" s="458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458">
        <f ca="1">'Table 2'!G115</f>
        <v>2551000</v>
      </c>
      <c r="AE37" s="105"/>
      <c r="AF37" s="600"/>
      <c r="AG37" s="69"/>
    </row>
    <row r="38" spans="1:33" s="3" customFormat="1">
      <c r="A38" s="53">
        <v>52</v>
      </c>
      <c r="C38" s="60" t="s">
        <v>61</v>
      </c>
      <c r="D38" s="1359">
        <v>17483.132521777301</v>
      </c>
      <c r="E38" s="1359">
        <v>17483.132521777301</v>
      </c>
      <c r="F38" s="1359">
        <v>17483.132521777301</v>
      </c>
      <c r="G38" s="1359">
        <v>17483.132521777301</v>
      </c>
      <c r="H38" s="1359">
        <v>17490.217477842602</v>
      </c>
      <c r="I38" s="1359">
        <v>17527.110642845601</v>
      </c>
      <c r="J38" s="1359">
        <v>17527.110642845601</v>
      </c>
      <c r="K38" s="1359">
        <v>17527.110642845601</v>
      </c>
      <c r="L38" s="1359">
        <v>17527.098307694301</v>
      </c>
      <c r="M38" s="1359">
        <v>17527.010649497301</v>
      </c>
      <c r="N38" s="1359">
        <v>17526.951107486599</v>
      </c>
      <c r="O38" s="1359">
        <v>16956.529200311401</v>
      </c>
      <c r="P38" s="458">
        <f t="shared" ref="P38:P43" si="37">SUM(D38:O38)</f>
        <v>209541.66875847819</v>
      </c>
      <c r="Q38" s="624">
        <f t="shared" ref="Q38:AB42" ca="1" si="38">D38/$P$43*$AC$44</f>
        <v>221.40187897232727</v>
      </c>
      <c r="R38" s="624">
        <f t="shared" ca="1" si="38"/>
        <v>221.40187897232727</v>
      </c>
      <c r="S38" s="624">
        <f t="shared" ca="1" si="38"/>
        <v>221.40187897232727</v>
      </c>
      <c r="T38" s="624">
        <f t="shared" ca="1" si="38"/>
        <v>221.40187897232727</v>
      </c>
      <c r="U38" s="624">
        <f t="shared" ca="1" si="38"/>
        <v>221.49160102776213</v>
      </c>
      <c r="V38" s="624">
        <f t="shared" ca="1" si="38"/>
        <v>221.95880654958296</v>
      </c>
      <c r="W38" s="624">
        <f t="shared" ca="1" si="38"/>
        <v>221.95880654958296</v>
      </c>
      <c r="X38" s="624">
        <f t="shared" ca="1" si="38"/>
        <v>221.95880654958296</v>
      </c>
      <c r="Y38" s="624">
        <f t="shared" ca="1" si="38"/>
        <v>221.9586503404098</v>
      </c>
      <c r="Z38" s="624">
        <f t="shared" ca="1" si="38"/>
        <v>221.95754025962202</v>
      </c>
      <c r="AA38" s="624">
        <f t="shared" ca="1" si="38"/>
        <v>221.95678623496246</v>
      </c>
      <c r="AB38" s="624">
        <f t="shared" ca="1" si="38"/>
        <v>214.73311039207476</v>
      </c>
      <c r="AC38" s="458">
        <f ca="1">SUM(Q38:AB38)</f>
        <v>2653.5816237928889</v>
      </c>
      <c r="AE38" s="105">
        <f ca="1">P38+AC38+AD38</f>
        <v>212195.25038227107</v>
      </c>
      <c r="AF38" s="600">
        <f ca="1">'Rate Design Work eff 10-14-16'!C1155</f>
        <v>212195.25038227087</v>
      </c>
      <c r="AG38" s="69">
        <f t="shared" ref="AG38:AG43" ca="1" si="39">AF38-AE38</f>
        <v>0</v>
      </c>
    </row>
    <row r="39" spans="1:33" s="3" customFormat="1">
      <c r="A39" s="53" t="s">
        <v>152</v>
      </c>
      <c r="C39" s="60" t="s">
        <v>62</v>
      </c>
      <c r="D39" s="1359">
        <v>287273.95610127301</v>
      </c>
      <c r="E39" s="1359">
        <v>287304.99009760498</v>
      </c>
      <c r="F39" s="1359">
        <v>287318.95539595501</v>
      </c>
      <c r="G39" s="1359">
        <v>287233.89403328003</v>
      </c>
      <c r="H39" s="1359">
        <v>287255.61783071299</v>
      </c>
      <c r="I39" s="1359">
        <v>287278.89332796203</v>
      </c>
      <c r="J39" s="1359">
        <v>287278.89332796203</v>
      </c>
      <c r="K39" s="1359">
        <v>287227.96936125302</v>
      </c>
      <c r="L39" s="1359">
        <v>287278.818314198</v>
      </c>
      <c r="M39" s="1359">
        <v>287291.30111250101</v>
      </c>
      <c r="N39" s="1359">
        <v>287362.71249110397</v>
      </c>
      <c r="O39" s="1359">
        <v>287362.71249110397</v>
      </c>
      <c r="P39" s="458">
        <f t="shared" si="37"/>
        <v>3447468.7138849101</v>
      </c>
      <c r="Q39" s="624">
        <f t="shared" ca="1" si="38"/>
        <v>3637.9632529474152</v>
      </c>
      <c r="R39" s="624">
        <f t="shared" ca="1" si="38"/>
        <v>3638.3562594690648</v>
      </c>
      <c r="S39" s="624">
        <f t="shared" ca="1" si="38"/>
        <v>3638.5331124038148</v>
      </c>
      <c r="T39" s="624">
        <f t="shared" ca="1" si="38"/>
        <v>3637.4559172558215</v>
      </c>
      <c r="U39" s="624">
        <f t="shared" ca="1" si="38"/>
        <v>3637.7310218209832</v>
      </c>
      <c r="V39" s="624">
        <f t="shared" ca="1" si="38"/>
        <v>3638.0257767122212</v>
      </c>
      <c r="W39" s="624">
        <f t="shared" ca="1" si="38"/>
        <v>3638.0257767122212</v>
      </c>
      <c r="X39" s="624">
        <f t="shared" ca="1" si="38"/>
        <v>3637.3808887380524</v>
      </c>
      <c r="Y39" s="624">
        <f t="shared" ca="1" si="38"/>
        <v>3638.0248267572697</v>
      </c>
      <c r="Z39" s="624">
        <f t="shared" ca="1" si="38"/>
        <v>3638.1829056939637</v>
      </c>
      <c r="AA39" s="624">
        <f t="shared" ca="1" si="38"/>
        <v>3639.0872409658614</v>
      </c>
      <c r="AB39" s="624">
        <f t="shared" ca="1" si="38"/>
        <v>3639.0872409658614</v>
      </c>
      <c r="AC39" s="458">
        <f ca="1">SUM(Q39:AB39)</f>
        <v>43657.854220442547</v>
      </c>
      <c r="AE39" s="105">
        <f ca="1">P39+AC39+AD39</f>
        <v>3491126.5681053526</v>
      </c>
      <c r="AF39" s="600">
        <f ca="1">'Rate Design Work eff 10-14-16'!C1199</f>
        <v>3491126.5681053465</v>
      </c>
      <c r="AG39" s="69">
        <f t="shared" ca="1" si="39"/>
        <v>-6.0535967350006104E-9</v>
      </c>
    </row>
    <row r="40" spans="1:33" s="3" customFormat="1">
      <c r="A40" s="53" t="s">
        <v>153</v>
      </c>
      <c r="C40" s="60" t="s">
        <v>63</v>
      </c>
      <c r="D40" s="1359">
        <v>66564</v>
      </c>
      <c r="E40" s="1359">
        <v>73207</v>
      </c>
      <c r="F40" s="1359">
        <v>84548</v>
      </c>
      <c r="G40" s="1359">
        <v>93582</v>
      </c>
      <c r="H40" s="1359">
        <v>109553</v>
      </c>
      <c r="I40" s="1359">
        <v>132989</v>
      </c>
      <c r="J40" s="1359">
        <v>131959</v>
      </c>
      <c r="K40" s="1359">
        <v>116940</v>
      </c>
      <c r="L40" s="1359">
        <v>103227</v>
      </c>
      <c r="M40" s="1359">
        <v>90400</v>
      </c>
      <c r="N40" s="1359">
        <v>77787</v>
      </c>
      <c r="O40" s="1359">
        <v>70452</v>
      </c>
      <c r="P40" s="458">
        <f t="shared" si="37"/>
        <v>1151208</v>
      </c>
      <c r="Q40" s="624">
        <f t="shared" ca="1" si="38"/>
        <v>842.94932006931992</v>
      </c>
      <c r="R40" s="624">
        <f t="shared" ca="1" si="38"/>
        <v>927.07455793393888</v>
      </c>
      <c r="S40" s="624">
        <f t="shared" ca="1" si="38"/>
        <v>1070.6940555438507</v>
      </c>
      <c r="T40" s="624">
        <f t="shared" ca="1" si="38"/>
        <v>1185.0983004435898</v>
      </c>
      <c r="U40" s="624">
        <f t="shared" ca="1" si="38"/>
        <v>1387.3509233452648</v>
      </c>
      <c r="V40" s="624">
        <f t="shared" ca="1" si="38"/>
        <v>1684.1383800056906</v>
      </c>
      <c r="W40" s="624">
        <f t="shared" ca="1" si="38"/>
        <v>1671.0947257831169</v>
      </c>
      <c r="X40" s="624">
        <f t="shared" ca="1" si="38"/>
        <v>1480.8979852308496</v>
      </c>
      <c r="Y40" s="624">
        <f t="shared" ca="1" si="38"/>
        <v>1307.2400916831275</v>
      </c>
      <c r="Z40" s="624">
        <f t="shared" ca="1" si="38"/>
        <v>1144.8022735152115</v>
      </c>
      <c r="AA40" s="624">
        <f t="shared" ca="1" si="38"/>
        <v>985.0744961275193</v>
      </c>
      <c r="AB40" s="624">
        <f t="shared" ca="1" si="38"/>
        <v>892.18594882404489</v>
      </c>
      <c r="AC40" s="458">
        <f ca="1">SUM(Q40:AB40)</f>
        <v>14578.601058505523</v>
      </c>
      <c r="AE40" s="105">
        <f ca="1">P40+AC40+AD40</f>
        <v>1165786.6010585055</v>
      </c>
      <c r="AF40" s="600">
        <f ca="1">'Rate Design Work eff 10-14-16'!C1211</f>
        <v>1165786.6010585055</v>
      </c>
      <c r="AG40" s="69">
        <f t="shared" ca="1" si="39"/>
        <v>0</v>
      </c>
    </row>
    <row r="41" spans="1:33" s="3" customFormat="1">
      <c r="A41" s="53">
        <v>51</v>
      </c>
      <c r="C41" s="60" t="s">
        <v>64</v>
      </c>
      <c r="D41" s="1359">
        <v>323541.80385351699</v>
      </c>
      <c r="E41" s="1359">
        <v>323561.73161912401</v>
      </c>
      <c r="F41" s="1359">
        <v>323592.44131753198</v>
      </c>
      <c r="G41" s="1359">
        <v>323673.88147850498</v>
      </c>
      <c r="H41" s="1359">
        <v>323672.152455726</v>
      </c>
      <c r="I41" s="1359">
        <v>323800.09412337502</v>
      </c>
      <c r="J41" s="1359">
        <v>323815.16738319799</v>
      </c>
      <c r="K41" s="1359">
        <v>323432.23552894202</v>
      </c>
      <c r="L41" s="1359">
        <v>323425.07740231499</v>
      </c>
      <c r="M41" s="1359">
        <v>323451.201655549</v>
      </c>
      <c r="N41" s="1359">
        <v>323526.75304901</v>
      </c>
      <c r="O41" s="1359">
        <v>323887.127547941</v>
      </c>
      <c r="P41" s="458">
        <f t="shared" si="37"/>
        <v>3883379.6674147346</v>
      </c>
      <c r="Q41" s="624">
        <f t="shared" ca="1" si="38"/>
        <v>4097.2499184592789</v>
      </c>
      <c r="R41" s="624">
        <f t="shared" ca="1" si="38"/>
        <v>4097.5022785408382</v>
      </c>
      <c r="S41" s="624">
        <f t="shared" ca="1" si="38"/>
        <v>4097.8911782372588</v>
      </c>
      <c r="T41" s="624">
        <f t="shared" ca="1" si="38"/>
        <v>4098.9225154213</v>
      </c>
      <c r="U41" s="624">
        <f t="shared" ca="1" si="38"/>
        <v>4098.9006195229776</v>
      </c>
      <c r="V41" s="624">
        <f t="shared" ca="1" si="38"/>
        <v>4100.5208397884862</v>
      </c>
      <c r="W41" s="624">
        <f t="shared" ca="1" si="38"/>
        <v>4100.7117236614358</v>
      </c>
      <c r="X41" s="624">
        <f t="shared" ca="1" si="38"/>
        <v>4095.8623734694706</v>
      </c>
      <c r="Y41" s="624">
        <f t="shared" ca="1" si="38"/>
        <v>4095.7717248009226</v>
      </c>
      <c r="Z41" s="624">
        <f t="shared" ca="1" si="38"/>
        <v>4096.1025556028717</v>
      </c>
      <c r="AA41" s="624">
        <f t="shared" ca="1" si="38"/>
        <v>4097.0593189546571</v>
      </c>
      <c r="AB41" s="624">
        <f t="shared" ca="1" si="38"/>
        <v>4101.6230086194037</v>
      </c>
      <c r="AC41" s="458">
        <f ca="1">SUM(Q41:AB41)</f>
        <v>49178.118055078899</v>
      </c>
      <c r="AE41" s="105">
        <f ca="1">P41+AC41+AD41</f>
        <v>3932557.7854698133</v>
      </c>
      <c r="AF41" s="600">
        <f ca="1">'Rate Design Work eff 10-14-16'!C1139</f>
        <v>3932557.785469817</v>
      </c>
      <c r="AG41" s="69">
        <f t="shared" ca="1" si="39"/>
        <v>3.7252902984619141E-9</v>
      </c>
    </row>
    <row r="42" spans="1:33" s="3" customFormat="1">
      <c r="A42" s="53">
        <v>57</v>
      </c>
      <c r="C42" s="60" t="s">
        <v>65</v>
      </c>
      <c r="D42" s="1359">
        <v>144662</v>
      </c>
      <c r="E42" s="1359">
        <v>144624</v>
      </c>
      <c r="F42" s="1359">
        <v>144538</v>
      </c>
      <c r="G42" s="1359">
        <v>144452</v>
      </c>
      <c r="H42" s="1359">
        <v>144452</v>
      </c>
      <c r="I42" s="1359">
        <v>144452</v>
      </c>
      <c r="J42" s="1359">
        <v>144452</v>
      </c>
      <c r="K42" s="1359">
        <v>144452</v>
      </c>
      <c r="L42" s="1359">
        <v>144452</v>
      </c>
      <c r="M42" s="1359">
        <v>142955.33333333299</v>
      </c>
      <c r="N42" s="1359">
        <v>144204</v>
      </c>
      <c r="O42" s="1359">
        <v>144166</v>
      </c>
      <c r="P42" s="458">
        <f t="shared" si="37"/>
        <v>1731861.333333333</v>
      </c>
      <c r="Q42" s="624">
        <f t="shared" ca="1" si="38"/>
        <v>1831.9622399475386</v>
      </c>
      <c r="R42" s="624">
        <f t="shared" ca="1" si="38"/>
        <v>1831.4810177529196</v>
      </c>
      <c r="S42" s="624">
        <f t="shared" ca="1" si="38"/>
        <v>1830.3919359440445</v>
      </c>
      <c r="T42" s="624">
        <f t="shared" ca="1" si="38"/>
        <v>1829.3028541351691</v>
      </c>
      <c r="U42" s="624">
        <f t="shared" ca="1" si="38"/>
        <v>1829.3028541351691</v>
      </c>
      <c r="V42" s="624">
        <f t="shared" ca="1" si="38"/>
        <v>1829.3028541351691</v>
      </c>
      <c r="W42" s="624">
        <f t="shared" ca="1" si="38"/>
        <v>1829.3028541351691</v>
      </c>
      <c r="X42" s="624">
        <f t="shared" ca="1" si="38"/>
        <v>1829.3028541351691</v>
      </c>
      <c r="Y42" s="624">
        <f t="shared" ca="1" si="38"/>
        <v>1829.3028541351691</v>
      </c>
      <c r="Z42" s="624">
        <f t="shared" ca="1" si="38"/>
        <v>1810.3494536628814</v>
      </c>
      <c r="AA42" s="624">
        <f t="shared" ca="1" si="38"/>
        <v>1826.1622461281806</v>
      </c>
      <c r="AB42" s="624">
        <f t="shared" ca="1" si="38"/>
        <v>1825.6810239335614</v>
      </c>
      <c r="AC42" s="458">
        <f ca="1">SUM(Q42:AB42)</f>
        <v>21931.845042180139</v>
      </c>
      <c r="AD42" s="20"/>
      <c r="AE42" s="105">
        <f ca="1">P42+AC42+AD42</f>
        <v>1753793.1783755131</v>
      </c>
      <c r="AF42" s="600">
        <f ca="1">'Rate Design Work eff 10-14-16'!C1266</f>
        <v>1753793.1783755131</v>
      </c>
      <c r="AG42" s="69">
        <f t="shared" ca="1" si="39"/>
        <v>0</v>
      </c>
    </row>
    <row r="43" spans="1:33">
      <c r="B43" t="s">
        <v>563</v>
      </c>
      <c r="C43" s="604"/>
      <c r="D43" s="610">
        <f t="shared" ref="D43:O43" si="40">SUM(D38:D42)</f>
        <v>839524.8924765673</v>
      </c>
      <c r="E43" s="610">
        <f t="shared" si="40"/>
        <v>846180.85423850629</v>
      </c>
      <c r="F43" s="610">
        <f t="shared" si="40"/>
        <v>857480.52923526429</v>
      </c>
      <c r="G43" s="610">
        <f t="shared" si="40"/>
        <v>866424.90803356236</v>
      </c>
      <c r="H43" s="610">
        <f t="shared" si="40"/>
        <v>882422.98776428157</v>
      </c>
      <c r="I43" s="610">
        <f t="shared" si="40"/>
        <v>906047.09809418267</v>
      </c>
      <c r="J43" s="610">
        <f t="shared" si="40"/>
        <v>905032.17135400558</v>
      </c>
      <c r="K43" s="610">
        <f t="shared" si="40"/>
        <v>889579.31553304067</v>
      </c>
      <c r="L43" s="610">
        <f t="shared" si="40"/>
        <v>875909.99402420735</v>
      </c>
      <c r="M43" s="610">
        <f t="shared" si="40"/>
        <v>861624.84675088036</v>
      </c>
      <c r="N43" s="610">
        <f t="shared" si="40"/>
        <v>850407.41664760059</v>
      </c>
      <c r="O43" s="610">
        <f t="shared" si="40"/>
        <v>842824.36923935637</v>
      </c>
      <c r="P43" s="610">
        <f t="shared" si="37"/>
        <v>10423459.383391455</v>
      </c>
      <c r="Q43" s="610">
        <f t="shared" ref="Q43:AF43" ca="1" si="41">SUM(Q38:Q42)</f>
        <v>10631.52661039588</v>
      </c>
      <c r="R43" s="610">
        <f t="shared" ca="1" si="41"/>
        <v>10715.815992669088</v>
      </c>
      <c r="S43" s="610">
        <f t="shared" ca="1" si="41"/>
        <v>10858.912161101296</v>
      </c>
      <c r="T43" s="610">
        <f t="shared" ca="1" si="41"/>
        <v>10972.181466228207</v>
      </c>
      <c r="U43" s="610">
        <f t="shared" ca="1" si="41"/>
        <v>11174.777019852156</v>
      </c>
      <c r="V43" s="610">
        <f t="shared" ca="1" si="41"/>
        <v>11473.946657191149</v>
      </c>
      <c r="W43" s="610">
        <f t="shared" ca="1" si="41"/>
        <v>11461.093886841525</v>
      </c>
      <c r="X43" s="610">
        <f t="shared" ca="1" si="41"/>
        <v>11265.402908123124</v>
      </c>
      <c r="Y43" s="610">
        <f t="shared" ca="1" si="41"/>
        <v>11092.298147716898</v>
      </c>
      <c r="Z43" s="610">
        <f t="shared" ca="1" si="41"/>
        <v>10911.394728734551</v>
      </c>
      <c r="AA43" s="610">
        <f t="shared" ca="1" si="41"/>
        <v>10769.34008841118</v>
      </c>
      <c r="AB43" s="610">
        <f t="shared" ca="1" si="41"/>
        <v>10673.310332734945</v>
      </c>
      <c r="AC43" s="611">
        <f t="shared" ca="1" si="41"/>
        <v>132000</v>
      </c>
      <c r="AD43" s="612">
        <f t="shared" si="41"/>
        <v>0</v>
      </c>
      <c r="AE43" s="612">
        <f t="shared" ca="1" si="41"/>
        <v>10555459.383391455</v>
      </c>
      <c r="AF43" s="613">
        <f t="shared" ca="1" si="41"/>
        <v>10555459.383391451</v>
      </c>
      <c r="AG43" s="601">
        <f t="shared" ca="1" si="39"/>
        <v>0</v>
      </c>
    </row>
    <row r="44" spans="1:33">
      <c r="C44" s="604"/>
      <c r="D44" s="594"/>
      <c r="E44" s="594"/>
      <c r="F44" s="594"/>
      <c r="G44" s="594"/>
      <c r="H44" s="594"/>
      <c r="I44" s="594"/>
      <c r="J44" s="594"/>
      <c r="K44" s="594"/>
      <c r="L44" s="594"/>
      <c r="M44" s="594"/>
      <c r="N44" s="594"/>
      <c r="O44" s="594"/>
      <c r="P44" s="594"/>
      <c r="Q44" s="594"/>
      <c r="R44" s="594"/>
      <c r="S44" s="594"/>
      <c r="T44" s="594"/>
      <c r="U44" s="594"/>
      <c r="V44" s="594"/>
      <c r="W44" s="594"/>
      <c r="X44" s="594"/>
      <c r="Y44" s="594"/>
      <c r="Z44" s="594"/>
      <c r="AA44" s="594"/>
      <c r="AB44" s="594"/>
      <c r="AC44" s="458">
        <f ca="1">'Table 2'!G135</f>
        <v>132000</v>
      </c>
      <c r="AD44" s="107">
        <f>SUM(AD43,AD36,AD32,AD22,AD12)</f>
        <v>-23137645.26259768</v>
      </c>
      <c r="AE44" s="107">
        <f ca="1">SUM(AE43,AE36,AE32,AE22,AE12)</f>
        <v>4085100148.9150896</v>
      </c>
      <c r="AF44" s="603">
        <f ca="1">SUM(AF43,AF36,AF32,AF22,AF12)</f>
        <v>4085100148.9150896</v>
      </c>
    </row>
    <row r="45" spans="1:33">
      <c r="C45" s="604" t="s">
        <v>9</v>
      </c>
      <c r="D45" s="610">
        <f t="shared" ref="D45:O45" si="42">D12+D22+D32+D36+D43</f>
        <v>338387359.97574335</v>
      </c>
      <c r="E45" s="610">
        <f t="shared" si="42"/>
        <v>378130358.9375053</v>
      </c>
      <c r="F45" s="610">
        <f t="shared" si="42"/>
        <v>348806933.61250204</v>
      </c>
      <c r="G45" s="610">
        <f t="shared" si="42"/>
        <v>316064889.99130034</v>
      </c>
      <c r="H45" s="610">
        <f t="shared" si="42"/>
        <v>329582720.07103109</v>
      </c>
      <c r="I45" s="610">
        <f t="shared" si="42"/>
        <v>405332479.18136096</v>
      </c>
      <c r="J45" s="610">
        <f t="shared" si="42"/>
        <v>396706696.25462079</v>
      </c>
      <c r="K45" s="610">
        <f t="shared" si="42"/>
        <v>344662380.39879984</v>
      </c>
      <c r="L45" s="610">
        <f t="shared" si="42"/>
        <v>304723953.06741279</v>
      </c>
      <c r="M45" s="610">
        <f t="shared" si="42"/>
        <v>290613899.86500835</v>
      </c>
      <c r="N45" s="610">
        <f t="shared" si="42"/>
        <v>292540699.43490511</v>
      </c>
      <c r="O45" s="610">
        <f t="shared" si="42"/>
        <v>327003423.38749683</v>
      </c>
      <c r="P45" s="610">
        <f>SUM(D45:O45)</f>
        <v>4072555794.1776872</v>
      </c>
      <c r="Q45" s="610">
        <f ca="1">Q12+Q22+Q32+Q36+Q43</f>
        <v>3051113.452081237</v>
      </c>
      <c r="R45" s="594"/>
      <c r="S45" s="594"/>
      <c r="T45" s="594"/>
      <c r="U45" s="594"/>
      <c r="V45" s="594"/>
      <c r="W45" s="594"/>
      <c r="X45" s="594"/>
      <c r="Y45" s="594"/>
      <c r="Z45" s="594"/>
      <c r="AA45" s="594"/>
      <c r="AB45" s="594"/>
      <c r="AC45" s="625">
        <f ca="1">AC12+AC22+AC32+AC36+AC43</f>
        <v>35682000</v>
      </c>
      <c r="AD45" s="600" t="s">
        <v>31</v>
      </c>
      <c r="AE45" s="600" t="s">
        <v>31</v>
      </c>
      <c r="AF45" s="600" t="s">
        <v>31</v>
      </c>
    </row>
    <row r="46" spans="1:33">
      <c r="B46" s="615"/>
      <c r="C46" s="616"/>
      <c r="D46" s="615"/>
      <c r="E46" s="615"/>
      <c r="F46" s="615"/>
      <c r="G46" s="615"/>
      <c r="H46" s="615"/>
      <c r="I46" s="615"/>
      <c r="J46" s="615"/>
      <c r="K46" s="615"/>
      <c r="L46" s="615"/>
      <c r="M46" s="615"/>
      <c r="N46" s="615"/>
      <c r="O46" s="615"/>
      <c r="P46" s="615"/>
      <c r="Q46" s="74"/>
      <c r="S46" s="618"/>
      <c r="AE46" s="618" t="s">
        <v>564</v>
      </c>
    </row>
    <row r="47" spans="1:33">
      <c r="C47" s="604"/>
      <c r="D47" s="594"/>
      <c r="E47" s="594"/>
      <c r="F47" s="594"/>
      <c r="G47" s="594"/>
      <c r="H47" s="594"/>
      <c r="I47" s="594"/>
      <c r="J47" s="594"/>
      <c r="K47" s="594"/>
      <c r="L47" s="594"/>
      <c r="M47" s="594"/>
      <c r="N47" s="594"/>
      <c r="O47" s="594"/>
      <c r="P47" s="594"/>
      <c r="Q47" s="74"/>
      <c r="S47" s="619"/>
    </row>
    <row r="48" spans="1:33">
      <c r="C48" s="3" t="s">
        <v>168</v>
      </c>
      <c r="D48" s="594"/>
      <c r="E48" s="594"/>
      <c r="F48" s="594"/>
      <c r="G48" s="594"/>
      <c r="H48" s="594"/>
      <c r="I48" s="594"/>
      <c r="J48" s="594"/>
      <c r="K48" s="594"/>
      <c r="L48" s="594"/>
      <c r="M48" s="594"/>
      <c r="N48" s="594"/>
      <c r="O48" s="594"/>
      <c r="P48" s="594"/>
      <c r="Q48" s="74"/>
      <c r="S48" s="619"/>
    </row>
    <row r="49" spans="2:19">
      <c r="C49" s="594" t="s">
        <v>565</v>
      </c>
      <c r="D49" s="594"/>
      <c r="E49" s="594"/>
      <c r="F49" s="594"/>
      <c r="G49" s="594"/>
      <c r="H49" s="594"/>
      <c r="I49" s="594"/>
      <c r="J49" s="594"/>
      <c r="K49" s="594"/>
      <c r="L49" s="594"/>
      <c r="M49" s="594"/>
      <c r="N49" s="594"/>
      <c r="O49" s="594"/>
      <c r="P49" s="594"/>
      <c r="Q49" s="74"/>
      <c r="S49" s="619"/>
    </row>
    <row r="50" spans="2:19">
      <c r="C50" s="594"/>
      <c r="D50" s="594">
        <v>201407</v>
      </c>
      <c r="E50" s="594">
        <v>201408</v>
      </c>
      <c r="F50" s="594">
        <v>201409</v>
      </c>
      <c r="G50" s="594">
        <v>201410</v>
      </c>
      <c r="H50" s="594">
        <v>201411</v>
      </c>
      <c r="I50" s="594">
        <v>201412</v>
      </c>
      <c r="J50" s="594">
        <v>201501</v>
      </c>
      <c r="K50" s="594">
        <v>201502</v>
      </c>
      <c r="L50" s="594">
        <v>201503</v>
      </c>
      <c r="M50" s="594">
        <v>201504</v>
      </c>
      <c r="N50" s="594">
        <v>201505</v>
      </c>
      <c r="O50" s="594">
        <v>201506</v>
      </c>
      <c r="P50" s="594" t="s">
        <v>35</v>
      </c>
      <c r="Q50" s="600" t="s">
        <v>162</v>
      </c>
      <c r="S50" s="619"/>
    </row>
    <row r="51" spans="2:19">
      <c r="B51" s="594" t="s">
        <v>259</v>
      </c>
      <c r="D51" s="594"/>
      <c r="E51" s="594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600"/>
      <c r="S51" s="619"/>
    </row>
    <row r="52" spans="2:19">
      <c r="C52" s="4" t="s">
        <v>48</v>
      </c>
      <c r="D52" s="626">
        <f>D6+Q6+Temperature!B10*1000</f>
        <v>87316844.143900007</v>
      </c>
      <c r="E52" s="626">
        <f>E6+R6+Temperature!B11*1000</f>
        <v>116952787.89443119</v>
      </c>
      <c r="F52" s="626">
        <f>F6+S6+Temperature!B12*1000</f>
        <v>107257707.22175927</v>
      </c>
      <c r="G52" s="626">
        <f>G6+T6+Temperature!B13*1000</f>
        <v>101731994.86477624</v>
      </c>
      <c r="H52" s="626">
        <f>H6+U6+Temperature!B14*1000</f>
        <v>109661418.85693978</v>
      </c>
      <c r="I52" s="626">
        <f>I6+V6+Temperature!B15*1000</f>
        <v>201577887.5036183</v>
      </c>
      <c r="J52" s="626">
        <f>J6+W6+Temperature!B16*1000</f>
        <v>194518095.13090798</v>
      </c>
      <c r="K52" s="626">
        <f>K6+X6+Temperature!B17*1000</f>
        <v>169250173.72879702</v>
      </c>
      <c r="L52" s="626">
        <f>L6+Y6+Temperature!B18*1000</f>
        <v>136346544.83862665</v>
      </c>
      <c r="M52" s="626">
        <f>M6+Z6+Temperature!B19*1000</f>
        <v>101939103.94453931</v>
      </c>
      <c r="N52" s="626">
        <f>N6+AA6+Temperature!B20*1000</f>
        <v>82556737.699451104</v>
      </c>
      <c r="O52" s="626">
        <f>O6+AB6+Temperature!B21*1000</f>
        <v>68136249.066951543</v>
      </c>
      <c r="P52" s="627">
        <f t="shared" ref="P52:P57" si="43">SUM(D52:O52)</f>
        <v>1477245544.8946984</v>
      </c>
      <c r="Q52" s="600">
        <f>AE6</f>
        <v>1477245544.8946984</v>
      </c>
      <c r="R52" s="620">
        <f t="shared" ref="R52:R58" si="44">Q52-P52</f>
        <v>0</v>
      </c>
      <c r="S52" s="619"/>
    </row>
    <row r="53" spans="2:19">
      <c r="C53" s="4" t="s">
        <v>93</v>
      </c>
      <c r="D53" s="626">
        <f>D7+Q7+Temperature!B28*1000</f>
        <v>4154562.4771258747</v>
      </c>
      <c r="E53" s="626">
        <f>E7+R7+Temperature!B29*1000</f>
        <v>5377029.3763086144</v>
      </c>
      <c r="F53" s="626">
        <f>F7+S7+Temperature!B30*1000</f>
        <v>5345109.9624402327</v>
      </c>
      <c r="G53" s="626">
        <f>G7+T7+Temperature!B31*1000</f>
        <v>5420583.5221584383</v>
      </c>
      <c r="H53" s="626">
        <f>H7+U7+Temperature!B32*1000</f>
        <v>6470851.9950371105</v>
      </c>
      <c r="I53" s="626">
        <f>I7+V7+Temperature!B33*1000</f>
        <v>12880820.598566107</v>
      </c>
      <c r="J53" s="626">
        <f>J7+W7+Temperature!B34*1000</f>
        <v>12679836.12754673</v>
      </c>
      <c r="K53" s="626">
        <f>K7+X7+Temperature!B35*1000</f>
        <v>11607746.183823168</v>
      </c>
      <c r="L53" s="626">
        <f>L7+Y7+Temperature!B36*1000</f>
        <v>9478383.124794174</v>
      </c>
      <c r="M53" s="626">
        <f>M7+Z7+Temperature!B37*1000</f>
        <v>6936831.132683605</v>
      </c>
      <c r="N53" s="626">
        <f>N7+AA7+Temperature!B38*1000</f>
        <v>5478317.9001454236</v>
      </c>
      <c r="O53" s="626">
        <f>O7+AB7+Temperature!B39*1000</f>
        <v>4053682.9569699578</v>
      </c>
      <c r="P53" s="627">
        <f t="shared" si="43"/>
        <v>89883755.357599437</v>
      </c>
      <c r="Q53" s="600">
        <f t="shared" ref="Q53:Q57" si="45">AE7</f>
        <v>89883755.357599437</v>
      </c>
      <c r="R53" s="620">
        <f t="shared" si="44"/>
        <v>0</v>
      </c>
      <c r="S53" s="619"/>
    </row>
    <row r="54" spans="2:19">
      <c r="C54" s="4" t="s">
        <v>49</v>
      </c>
      <c r="D54" s="626">
        <f>D8+Q8+Temperature!B46*1000</f>
        <v>137186.6860980285</v>
      </c>
      <c r="E54" s="626">
        <f>E8+R8+Temperature!B47*1000</f>
        <v>191561.03066656474</v>
      </c>
      <c r="F54" s="626">
        <f>F8+S8+Temperature!B48*1000</f>
        <v>186209.12754160524</v>
      </c>
      <c r="G54" s="626">
        <f>G8+T8+Temperature!B49*1000</f>
        <v>183050.0094033443</v>
      </c>
      <c r="H54" s="626">
        <f>H8+U8+Temperature!B50*1000</f>
        <v>169174.57462813132</v>
      </c>
      <c r="I54" s="626">
        <f>I8+V8+Temperature!B51*1000</f>
        <v>272472.01424793852</v>
      </c>
      <c r="J54" s="626">
        <f>J8+W8+Temperature!B52*1000</f>
        <v>270723.67471168278</v>
      </c>
      <c r="K54" s="626">
        <f>K8+X8+Temperature!B53*1000</f>
        <v>226776.67324200203</v>
      </c>
      <c r="L54" s="626">
        <f>L8+Y8+Temperature!B54*1000</f>
        <v>205018.84972368591</v>
      </c>
      <c r="M54" s="626">
        <f>M8+Z8+Temperature!B55*1000</f>
        <v>155583.110633654</v>
      </c>
      <c r="N54" s="626">
        <f>N8+AA8+Temperature!B56*1000</f>
        <v>147162.84170435698</v>
      </c>
      <c r="O54" s="626">
        <f>O8+AB8+Temperature!B57*1000</f>
        <v>110212.19911024139</v>
      </c>
      <c r="P54" s="627">
        <f t="shared" si="43"/>
        <v>2255130.7917112364</v>
      </c>
      <c r="Q54" s="600">
        <f t="shared" si="45"/>
        <v>2255130.7917112354</v>
      </c>
      <c r="R54" s="620">
        <f t="shared" si="44"/>
        <v>0</v>
      </c>
      <c r="S54" s="619"/>
    </row>
    <row r="55" spans="2:19">
      <c r="C55" s="7" t="s">
        <v>156</v>
      </c>
      <c r="D55" s="626">
        <f t="shared" ref="D55:O55" si="46">D9+Q9</f>
        <v>45897.946262926525</v>
      </c>
      <c r="E55" s="626">
        <f t="shared" si="46"/>
        <v>46929.133155638214</v>
      </c>
      <c r="F55" s="626">
        <f t="shared" si="46"/>
        <v>33165.117931506196</v>
      </c>
      <c r="G55" s="626">
        <f t="shared" si="46"/>
        <v>25518.330256574453</v>
      </c>
      <c r="H55" s="626">
        <f t="shared" si="46"/>
        <v>29928.730778054491</v>
      </c>
      <c r="I55" s="626">
        <f t="shared" si="46"/>
        <v>42221.937192542726</v>
      </c>
      <c r="J55" s="626">
        <f t="shared" si="46"/>
        <v>41633.41107794008</v>
      </c>
      <c r="K55" s="626">
        <f t="shared" si="46"/>
        <v>32701.185125158503</v>
      </c>
      <c r="L55" s="626">
        <f t="shared" si="46"/>
        <v>26614.346187727737</v>
      </c>
      <c r="M55" s="626">
        <f t="shared" si="46"/>
        <v>24363.563009333469</v>
      </c>
      <c r="N55" s="626">
        <f t="shared" si="46"/>
        <v>24564.127847012165</v>
      </c>
      <c r="O55" s="626">
        <f t="shared" si="46"/>
        <v>28668.616343345908</v>
      </c>
      <c r="P55" s="627">
        <f t="shared" si="43"/>
        <v>402206.44516776048</v>
      </c>
      <c r="Q55" s="600">
        <f t="shared" si="45"/>
        <v>402206.44516776048</v>
      </c>
      <c r="R55" s="620">
        <f t="shared" si="44"/>
        <v>0</v>
      </c>
      <c r="S55" s="619"/>
    </row>
    <row r="56" spans="2:19">
      <c r="C56" s="4" t="s">
        <v>50</v>
      </c>
      <c r="D56" s="626">
        <f t="shared" ref="D56:O56" si="47">D10+Q10</f>
        <v>88387.303239040848</v>
      </c>
      <c r="E56" s="626">
        <f t="shared" si="47"/>
        <v>87694.442890696257</v>
      </c>
      <c r="F56" s="626">
        <f t="shared" si="47"/>
        <v>87648.85997304201</v>
      </c>
      <c r="G56" s="626">
        <f t="shared" si="47"/>
        <v>87791.686448358654</v>
      </c>
      <c r="H56" s="626">
        <f t="shared" si="47"/>
        <v>87789.660540907353</v>
      </c>
      <c r="I56" s="626">
        <f t="shared" si="47"/>
        <v>87386.504958098667</v>
      </c>
      <c r="J56" s="626">
        <f t="shared" si="47"/>
        <v>87254.820973764159</v>
      </c>
      <c r="K56" s="626">
        <f t="shared" si="47"/>
        <v>87650.885880493312</v>
      </c>
      <c r="L56" s="626">
        <f t="shared" si="47"/>
        <v>86240.854294388526</v>
      </c>
      <c r="M56" s="626">
        <f t="shared" si="47"/>
        <v>86356.331019112622</v>
      </c>
      <c r="N56" s="626">
        <f t="shared" si="47"/>
        <v>86433.315502262019</v>
      </c>
      <c r="O56" s="626">
        <f t="shared" si="47"/>
        <v>86279.346535963225</v>
      </c>
      <c r="P56" s="627">
        <f t="shared" si="43"/>
        <v>1046914.0122561277</v>
      </c>
      <c r="Q56" s="600">
        <f t="shared" si="45"/>
        <v>1046914.0122561277</v>
      </c>
      <c r="R56" s="620">
        <f t="shared" si="44"/>
        <v>0</v>
      </c>
      <c r="S56" s="619"/>
    </row>
    <row r="57" spans="2:19">
      <c r="C57" s="604" t="s">
        <v>51</v>
      </c>
      <c r="D57" s="626">
        <f>D11+Q11+Temperature!O63*1000</f>
        <v>1736186.8516546991</v>
      </c>
      <c r="E57" s="626">
        <f>E11+R11+Temperature!O64*1000</f>
        <v>1970814.3338890045</v>
      </c>
      <c r="F57" s="626">
        <f>F11+S11+Temperature!O65*1000</f>
        <v>1751166.5373532309</v>
      </c>
      <c r="G57" s="626">
        <f>G11+T11+Temperature!O66*1000</f>
        <v>1481350.1136706884</v>
      </c>
      <c r="H57" s="626">
        <f>H11+U11+Temperature!O67*1000</f>
        <v>1532912.5073376114</v>
      </c>
      <c r="I57" s="626">
        <f>I11+V11+Temperature!O68*1000</f>
        <v>2398692.8769587339</v>
      </c>
      <c r="J57" s="626">
        <f>J11+W11+Temperature!O69*1000</f>
        <v>2377518.0175107028</v>
      </c>
      <c r="K57" s="626">
        <f>K11+X11+Temperature!O70*1000</f>
        <v>1981612.5062527289</v>
      </c>
      <c r="L57" s="626">
        <f>L11+Y11+Temperature!O71*1000</f>
        <v>1610385.2706968426</v>
      </c>
      <c r="M57" s="626">
        <f>M11+Z11+Temperature!O72*1000</f>
        <v>1396756.115174456</v>
      </c>
      <c r="N57" s="626">
        <f>N11+AA11+Temperature!O73*1000</f>
        <v>1448005.1303522214</v>
      </c>
      <c r="O57" s="626">
        <f>O11+AB11+Temperature!O74*1000</f>
        <v>1558912.8995049037</v>
      </c>
      <c r="P57" s="627">
        <f t="shared" si="43"/>
        <v>21244313.160355825</v>
      </c>
      <c r="Q57" s="600">
        <f t="shared" si="45"/>
        <v>21244313.160355821</v>
      </c>
      <c r="R57" s="620">
        <f t="shared" ref="R57" si="48">Q57-P57</f>
        <v>0</v>
      </c>
      <c r="S57" s="619"/>
    </row>
    <row r="58" spans="2:19">
      <c r="B58" s="594" t="s">
        <v>259</v>
      </c>
      <c r="C58" s="5"/>
      <c r="D58" s="628">
        <f>SUM(D52:D57)</f>
        <v>93479065.408280566</v>
      </c>
      <c r="E58" s="628">
        <f t="shared" ref="E58:O58" si="49">SUM(E52:E57)</f>
        <v>124626816.21134172</v>
      </c>
      <c r="F58" s="628">
        <f t="shared" si="49"/>
        <v>114661006.82699889</v>
      </c>
      <c r="G58" s="628">
        <f t="shared" si="49"/>
        <v>108930288.52671367</v>
      </c>
      <c r="H58" s="628">
        <f t="shared" si="49"/>
        <v>117952076.32526159</v>
      </c>
      <c r="I58" s="628">
        <f t="shared" si="49"/>
        <v>217259481.43554169</v>
      </c>
      <c r="J58" s="628">
        <f t="shared" si="49"/>
        <v>209975061.1827288</v>
      </c>
      <c r="K58" s="628">
        <f t="shared" si="49"/>
        <v>183186661.1631206</v>
      </c>
      <c r="L58" s="628">
        <f t="shared" si="49"/>
        <v>147753187.28432351</v>
      </c>
      <c r="M58" s="628">
        <f t="shared" si="49"/>
        <v>110538994.19705948</v>
      </c>
      <c r="N58" s="628">
        <f t="shared" si="49"/>
        <v>89741221.01500237</v>
      </c>
      <c r="O58" s="628">
        <f t="shared" si="49"/>
        <v>73974005.085415959</v>
      </c>
      <c r="P58" s="629">
        <f>SUM(P52:P57)</f>
        <v>1592077864.6617889</v>
      </c>
      <c r="Q58" s="600">
        <f>SUM(Q52:Q57)</f>
        <v>1592077864.6617889</v>
      </c>
      <c r="R58" s="620">
        <f t="shared" si="44"/>
        <v>0</v>
      </c>
      <c r="S58" s="619"/>
    </row>
    <row r="59" spans="2:19">
      <c r="B59" t="s">
        <v>266</v>
      </c>
      <c r="C59" s="5"/>
      <c r="D59" s="628"/>
      <c r="E59" s="628"/>
      <c r="F59" s="628"/>
      <c r="G59" s="628"/>
      <c r="H59" s="628"/>
      <c r="I59" s="628"/>
      <c r="J59" s="628"/>
      <c r="K59" s="628"/>
      <c r="L59" s="628"/>
      <c r="M59" s="628"/>
      <c r="N59" s="628"/>
      <c r="O59" s="628"/>
      <c r="P59" s="629"/>
      <c r="Q59" s="600"/>
      <c r="R59" s="620"/>
      <c r="S59" s="619"/>
    </row>
    <row r="60" spans="2:19">
      <c r="C60" s="604" t="s">
        <v>51</v>
      </c>
      <c r="D60" s="610">
        <f>D14+Q14+Temperature!B63*1000</f>
        <v>40702770.173692062</v>
      </c>
      <c r="E60" s="610">
        <f>E14+R14+Temperature!B64*1000</f>
        <v>47093438.878465585</v>
      </c>
      <c r="F60" s="610">
        <f>F14+S14+Temperature!B65*1000</f>
        <v>43716416.112436667</v>
      </c>
      <c r="G60" s="610">
        <f>G14+T14+Temperature!B66*1000</f>
        <v>39476233.259279385</v>
      </c>
      <c r="H60" s="610">
        <f>H14+U14+Temperature!B67*1000</f>
        <v>38297726.426777527</v>
      </c>
      <c r="I60" s="610">
        <f>I14+V14+Temperature!B68*1000</f>
        <v>49091183.358901374</v>
      </c>
      <c r="J60" s="610">
        <f>J14+W14+Temperature!B69*1000</f>
        <v>47415865.799915537</v>
      </c>
      <c r="K60" s="610">
        <f>K14+X14+Temperature!B70*1000</f>
        <v>42832758.78524667</v>
      </c>
      <c r="L60" s="610">
        <f>L14+Y14+Temperature!B71*1000</f>
        <v>38626935.948677838</v>
      </c>
      <c r="M60" s="610">
        <f>M14+Z14+Temperature!B72*1000</f>
        <v>36113895.347994268</v>
      </c>
      <c r="N60" s="610">
        <f>N14+AA14+Temperature!B73*1000</f>
        <v>34674456.186165355</v>
      </c>
      <c r="O60" s="610">
        <f>O14+AB14+Temperature!B74*1000</f>
        <v>38041330.920649268</v>
      </c>
      <c r="P60" s="627">
        <f t="shared" ref="P60:P67" si="50">SUM(D60:O60)</f>
        <v>496083011.19820154</v>
      </c>
      <c r="Q60" s="600">
        <f t="shared" ref="Q60:Q68" si="51">AE14</f>
        <v>496083011.19820154</v>
      </c>
      <c r="R60" s="620">
        <f t="shared" ref="R60:R68" si="52">Q60-P60</f>
        <v>0</v>
      </c>
      <c r="S60" s="619"/>
    </row>
    <row r="61" spans="2:19">
      <c r="C61" s="604" t="s">
        <v>52</v>
      </c>
      <c r="D61" s="626">
        <f t="shared" ref="D61:O63" si="53">D15+Q15</f>
        <v>106505.63286003645</v>
      </c>
      <c r="E61" s="626">
        <f t="shared" si="53"/>
        <v>106505.63286003645</v>
      </c>
      <c r="F61" s="626">
        <f t="shared" si="53"/>
        <v>106505.63286003645</v>
      </c>
      <c r="G61" s="626">
        <f t="shared" si="53"/>
        <v>106505.63286003645</v>
      </c>
      <c r="H61" s="626">
        <f t="shared" si="53"/>
        <v>106505.63286003645</v>
      </c>
      <c r="I61" s="626">
        <f t="shared" si="53"/>
        <v>107628.32314097093</v>
      </c>
      <c r="J61" s="626">
        <f t="shared" si="53"/>
        <v>106505.63286003645</v>
      </c>
      <c r="K61" s="626">
        <f t="shared" si="53"/>
        <v>106505.63286003645</v>
      </c>
      <c r="L61" s="626">
        <f t="shared" si="53"/>
        <v>106505.62291368957</v>
      </c>
      <c r="M61" s="626">
        <f t="shared" si="53"/>
        <v>106547.85708108888</v>
      </c>
      <c r="N61" s="626">
        <f t="shared" si="53"/>
        <v>106505.56740234516</v>
      </c>
      <c r="O61" s="626">
        <f t="shared" si="53"/>
        <v>106505.56740234516</v>
      </c>
      <c r="P61" s="627">
        <f t="shared" si="50"/>
        <v>1279232.3679606947</v>
      </c>
      <c r="Q61" s="600">
        <f t="shared" si="51"/>
        <v>1279232.3679606947</v>
      </c>
      <c r="R61" s="620">
        <f t="shared" si="52"/>
        <v>0</v>
      </c>
      <c r="S61" s="619"/>
    </row>
    <row r="62" spans="2:19">
      <c r="C62" s="605" t="s">
        <v>57</v>
      </c>
      <c r="D62" s="626">
        <f t="shared" si="53"/>
        <v>15389.415474262416</v>
      </c>
      <c r="E62" s="626">
        <f t="shared" si="53"/>
        <v>15225.291244852264</v>
      </c>
      <c r="F62" s="626">
        <f t="shared" si="53"/>
        <v>16229.167666459149</v>
      </c>
      <c r="G62" s="626">
        <f t="shared" si="53"/>
        <v>21160.949725667295</v>
      </c>
      <c r="H62" s="626">
        <f t="shared" si="53"/>
        <v>13578.007568073062</v>
      </c>
      <c r="I62" s="626">
        <f t="shared" si="53"/>
        <v>10105.219425523266</v>
      </c>
      <c r="J62" s="626">
        <f t="shared" si="53"/>
        <v>4362.8851903938139</v>
      </c>
      <c r="K62" s="626">
        <f t="shared" si="53"/>
        <v>4151.4367966752125</v>
      </c>
      <c r="L62" s="626">
        <f t="shared" si="53"/>
        <v>14581.883989679947</v>
      </c>
      <c r="M62" s="626">
        <f t="shared" si="53"/>
        <v>113635.38747571535</v>
      </c>
      <c r="N62" s="626">
        <f t="shared" si="53"/>
        <v>47535.612702167542</v>
      </c>
      <c r="O62" s="626">
        <f t="shared" si="53"/>
        <v>10990.281987802557</v>
      </c>
      <c r="P62" s="627">
        <f t="shared" si="50"/>
        <v>286945.53924727184</v>
      </c>
      <c r="Q62" s="600">
        <f t="shared" si="51"/>
        <v>286945.5392472719</v>
      </c>
      <c r="R62" s="620">
        <f t="shared" si="52"/>
        <v>0</v>
      </c>
      <c r="S62" s="619"/>
    </row>
    <row r="63" spans="2:19">
      <c r="C63" s="604" t="s">
        <v>267</v>
      </c>
      <c r="D63" s="626">
        <f t="shared" si="53"/>
        <v>0</v>
      </c>
      <c r="E63" s="626">
        <f t="shared" si="53"/>
        <v>0</v>
      </c>
      <c r="F63" s="626">
        <f t="shared" si="53"/>
        <v>0</v>
      </c>
      <c r="G63" s="626">
        <f t="shared" si="53"/>
        <v>0</v>
      </c>
      <c r="H63" s="626">
        <f t="shared" si="53"/>
        <v>0</v>
      </c>
      <c r="I63" s="626">
        <f t="shared" si="53"/>
        <v>0</v>
      </c>
      <c r="J63" s="626">
        <f t="shared" si="53"/>
        <v>0</v>
      </c>
      <c r="K63" s="626">
        <f t="shared" si="53"/>
        <v>0</v>
      </c>
      <c r="L63" s="626">
        <f t="shared" si="53"/>
        <v>0</v>
      </c>
      <c r="M63" s="626">
        <f t="shared" si="53"/>
        <v>0</v>
      </c>
      <c r="N63" s="626">
        <f t="shared" si="53"/>
        <v>0</v>
      </c>
      <c r="O63" s="626">
        <f t="shared" si="53"/>
        <v>0</v>
      </c>
      <c r="P63" s="627">
        <f t="shared" si="50"/>
        <v>0</v>
      </c>
      <c r="Q63" s="600">
        <f t="shared" si="51"/>
        <v>0</v>
      </c>
      <c r="R63" s="620">
        <f t="shared" si="52"/>
        <v>0</v>
      </c>
      <c r="S63" s="619"/>
    </row>
    <row r="64" spans="2:19">
      <c r="C64" s="604" t="s">
        <v>53</v>
      </c>
      <c r="D64" s="626">
        <f>D18+Q18+Temperature!B98*1000</f>
        <v>60731059.048047505</v>
      </c>
      <c r="E64" s="626">
        <f>E18+R18+Temperature!B99*1000</f>
        <v>66539226.474427305</v>
      </c>
      <c r="F64" s="626">
        <f>F18+S18+Temperature!B100*1000</f>
        <v>74696124.075655535</v>
      </c>
      <c r="G64" s="626">
        <f>G18+T18+Temperature!B101*1000</f>
        <v>79959414.945163324</v>
      </c>
      <c r="H64" s="626">
        <f>H18+U18+Temperature!B102*1000</f>
        <v>76060917.725974292</v>
      </c>
      <c r="I64" s="626">
        <f>I18+V18+Temperature!B103*1000</f>
        <v>80289009.887623459</v>
      </c>
      <c r="J64" s="626">
        <f>J18+W18+Temperature!B104*1000</f>
        <v>73184907.31525819</v>
      </c>
      <c r="K64" s="626">
        <f>K18+X18+Temperature!B105*1000</f>
        <v>66953820.548948511</v>
      </c>
      <c r="L64" s="626">
        <f>L18+Y18+Temperature!B106*1000</f>
        <v>62861222.117534682</v>
      </c>
      <c r="M64" s="626">
        <f>M18+Z18+Temperature!B107*1000</f>
        <v>61041308.333393261</v>
      </c>
      <c r="N64" s="626">
        <f>N18+AA18+Temperature!B108*1000</f>
        <v>58675709.084506594</v>
      </c>
      <c r="O64" s="626">
        <f>O18+AB18+Temperature!B109*1000</f>
        <v>62091690.04192289</v>
      </c>
      <c r="P64" s="627">
        <f t="shared" si="50"/>
        <v>823084409.59845543</v>
      </c>
      <c r="Q64" s="600">
        <f t="shared" si="51"/>
        <v>823084409.59845555</v>
      </c>
      <c r="R64" s="620">
        <f t="shared" si="52"/>
        <v>0</v>
      </c>
      <c r="S64" s="619"/>
    </row>
    <row r="65" spans="2:19">
      <c r="C65" s="604" t="s">
        <v>54</v>
      </c>
      <c r="D65" s="626">
        <f>D19+Q19+(Temperature!B115+Temperature!F115)*1000</f>
        <v>15051833.653459864</v>
      </c>
      <c r="E65" s="626">
        <f>E19+R19+(Temperature!B116+Temperature!F116)*1000</f>
        <v>16202056.963258615</v>
      </c>
      <c r="F65" s="626">
        <f>F19+S19+(Temperature!B117+Temperature!F117)*1000</f>
        <v>18481088.217501592</v>
      </c>
      <c r="G65" s="626">
        <f>G19+T19+(Temperature!B118+Temperature!F118)*1000</f>
        <v>18775195.077231467</v>
      </c>
      <c r="H65" s="626">
        <f>H19+U19+(Temperature!B119+Temperature!F119)*1000</f>
        <v>18151632.521674678</v>
      </c>
      <c r="I65" s="626">
        <f>I19+V19+(Temperature!B120+Temperature!F120)*1000</f>
        <v>18323909.317406114</v>
      </c>
      <c r="J65" s="626">
        <f>J19+W19+(Temperature!B121+Temperature!F121)*1000</f>
        <v>16972609.808740873</v>
      </c>
      <c r="K65" s="626">
        <f>K19+X19+(Temperature!B122+Temperature!F122)*1000</f>
        <v>15629946.973363239</v>
      </c>
      <c r="L65" s="626">
        <f>L19+Y19+(Temperature!B123+Temperature!F123)*1000</f>
        <v>14737143.418710247</v>
      </c>
      <c r="M65" s="626">
        <f>M19+Z19+(Temperature!B124+Temperature!F124)*1000</f>
        <v>14806752.211049033</v>
      </c>
      <c r="N65" s="626">
        <f>N19+AA19+(Temperature!B125+Temperature!F125)*1000</f>
        <v>13831843.860873913</v>
      </c>
      <c r="O65" s="626">
        <f>O19+AB19+(Temperature!B126+Temperature!F126)*1000</f>
        <v>15156421.741828896</v>
      </c>
      <c r="P65" s="627">
        <f t="shared" si="50"/>
        <v>196120433.76509851</v>
      </c>
      <c r="Q65" s="600">
        <f t="shared" si="51"/>
        <v>196120433.76509851</v>
      </c>
      <c r="R65" s="620">
        <f t="shared" si="52"/>
        <v>0</v>
      </c>
      <c r="S65" s="619"/>
    </row>
    <row r="66" spans="2:19">
      <c r="C66" s="604" t="s">
        <v>55</v>
      </c>
      <c r="D66" s="626">
        <f t="shared" ref="D66:O67" si="54">D20+Q20</f>
        <v>174226.42814433711</v>
      </c>
      <c r="E66" s="626">
        <f t="shared" si="54"/>
        <v>174685.57322784039</v>
      </c>
      <c r="F66" s="626">
        <f t="shared" si="54"/>
        <v>174878.89747352595</v>
      </c>
      <c r="G66" s="626">
        <f t="shared" si="54"/>
        <v>174476.13862834766</v>
      </c>
      <c r="H66" s="626">
        <f t="shared" si="54"/>
        <v>175326.96668878681</v>
      </c>
      <c r="I66" s="626">
        <f t="shared" si="54"/>
        <v>175776.0428011606</v>
      </c>
      <c r="J66" s="626">
        <f t="shared" si="54"/>
        <v>175740.80140220749</v>
      </c>
      <c r="K66" s="626">
        <f t="shared" si="54"/>
        <v>175749.86347622401</v>
      </c>
      <c r="L66" s="626">
        <f t="shared" si="54"/>
        <v>173759.22788393032</v>
      </c>
      <c r="M66" s="626">
        <f t="shared" si="54"/>
        <v>174141.84878684967</v>
      </c>
      <c r="N66" s="626">
        <f t="shared" si="54"/>
        <v>174890.98023888131</v>
      </c>
      <c r="O66" s="626">
        <f t="shared" si="54"/>
        <v>174575.8214425293</v>
      </c>
      <c r="P66" s="627">
        <f t="shared" si="50"/>
        <v>2098228.5901946207</v>
      </c>
      <c r="Q66" s="600">
        <f t="shared" si="51"/>
        <v>2098228.5901946207</v>
      </c>
      <c r="R66" s="620">
        <f t="shared" si="52"/>
        <v>0</v>
      </c>
      <c r="S66" s="619"/>
    </row>
    <row r="67" spans="2:19">
      <c r="C67" s="604" t="s">
        <v>56</v>
      </c>
      <c r="D67" s="626">
        <f t="shared" si="54"/>
        <v>33297.080628002084</v>
      </c>
      <c r="E67" s="626">
        <f t="shared" si="54"/>
        <v>21745.95694828876</v>
      </c>
      <c r="F67" s="626">
        <f t="shared" si="54"/>
        <v>18380.906796824158</v>
      </c>
      <c r="G67" s="626">
        <f t="shared" si="54"/>
        <v>29437.643994081129</v>
      </c>
      <c r="H67" s="626">
        <f t="shared" si="54"/>
        <v>32084.776504015434</v>
      </c>
      <c r="I67" s="626">
        <f t="shared" si="54"/>
        <v>22031.915728365344</v>
      </c>
      <c r="J67" s="626">
        <f t="shared" si="54"/>
        <v>14766.146161349014</v>
      </c>
      <c r="K67" s="626">
        <f t="shared" si="54"/>
        <v>18830.989806310896</v>
      </c>
      <c r="L67" s="626">
        <f t="shared" si="54"/>
        <v>25364.745172215684</v>
      </c>
      <c r="M67" s="626">
        <f t="shared" si="54"/>
        <v>18762.520802630585</v>
      </c>
      <c r="N67" s="626">
        <f t="shared" si="54"/>
        <v>13993.856075719645</v>
      </c>
      <c r="O67" s="626">
        <f t="shared" si="54"/>
        <v>20931.377183915669</v>
      </c>
      <c r="P67" s="627">
        <f t="shared" si="50"/>
        <v>269627.91580171837</v>
      </c>
      <c r="Q67" s="600">
        <f t="shared" si="51"/>
        <v>269627.91580171842</v>
      </c>
      <c r="R67" s="620">
        <f t="shared" si="52"/>
        <v>0</v>
      </c>
      <c r="S67" s="619"/>
    </row>
    <row r="68" spans="2:19">
      <c r="B68" t="s">
        <v>266</v>
      </c>
      <c r="C68" s="5"/>
      <c r="D68" s="628">
        <f t="shared" ref="D68:P68" si="55">SUM(D60:D67)</f>
        <v>116815081.43230607</v>
      </c>
      <c r="E68" s="628">
        <f t="shared" si="55"/>
        <v>130152884.77043252</v>
      </c>
      <c r="F68" s="628">
        <f t="shared" si="55"/>
        <v>137209623.01039061</v>
      </c>
      <c r="G68" s="628">
        <f t="shared" si="55"/>
        <v>138542423.6468823</v>
      </c>
      <c r="H68" s="628">
        <f t="shared" si="55"/>
        <v>132837772.0580474</v>
      </c>
      <c r="I68" s="628">
        <f t="shared" si="55"/>
        <v>148019644.06502697</v>
      </c>
      <c r="J68" s="628">
        <f t="shared" si="55"/>
        <v>137874758.3895286</v>
      </c>
      <c r="K68" s="628">
        <f t="shared" si="55"/>
        <v>125721764.23049766</v>
      </c>
      <c r="L68" s="628">
        <f t="shared" si="55"/>
        <v>116545512.96488228</v>
      </c>
      <c r="M68" s="628">
        <f t="shared" si="55"/>
        <v>112375043.50658284</v>
      </c>
      <c r="N68" s="628">
        <f t="shared" si="55"/>
        <v>107524935.14796497</v>
      </c>
      <c r="O68" s="628">
        <f t="shared" si="55"/>
        <v>115602445.75241764</v>
      </c>
      <c r="P68" s="629">
        <f t="shared" si="55"/>
        <v>1519221888.9749601</v>
      </c>
      <c r="Q68" s="600">
        <f t="shared" si="51"/>
        <v>1519221888.9749601</v>
      </c>
      <c r="R68" s="620">
        <f t="shared" si="52"/>
        <v>0</v>
      </c>
      <c r="S68" s="619"/>
    </row>
    <row r="69" spans="2:19">
      <c r="B69" t="s">
        <v>269</v>
      </c>
      <c r="C69" s="5"/>
      <c r="D69" s="628"/>
      <c r="E69" s="628"/>
      <c r="F69" s="628"/>
      <c r="G69" s="628"/>
      <c r="H69" s="628"/>
      <c r="I69" s="628"/>
      <c r="J69" s="628"/>
      <c r="K69" s="628"/>
      <c r="L69" s="628"/>
      <c r="M69" s="628"/>
      <c r="N69" s="628"/>
      <c r="O69" s="628"/>
      <c r="P69" s="629"/>
      <c r="Q69" s="600"/>
      <c r="R69" s="620"/>
      <c r="S69" s="619"/>
    </row>
    <row r="70" spans="2:19">
      <c r="C70" s="604" t="s">
        <v>51</v>
      </c>
      <c r="D70" s="626">
        <f t="shared" ref="D70:O77" ca="1" si="56">D24+Q24</f>
        <v>1391874.207757748</v>
      </c>
      <c r="E70" s="626">
        <f t="shared" ca="1" si="56"/>
        <v>1503250.4258395249</v>
      </c>
      <c r="F70" s="626">
        <f t="shared" ca="1" si="56"/>
        <v>1476345.0307571657</v>
      </c>
      <c r="G70" s="626">
        <f t="shared" ca="1" si="56"/>
        <v>1502617.4639315028</v>
      </c>
      <c r="H70" s="626">
        <f t="shared" ca="1" si="56"/>
        <v>1429950.226941112</v>
      </c>
      <c r="I70" s="626">
        <f t="shared" ca="1" si="56"/>
        <v>1742058.6279298645</v>
      </c>
      <c r="J70" s="626">
        <f t="shared" ca="1" si="56"/>
        <v>1646318.8761274035</v>
      </c>
      <c r="K70" s="626">
        <f t="shared" ca="1" si="56"/>
        <v>1477114.4155169961</v>
      </c>
      <c r="L70" s="626">
        <f t="shared" ca="1" si="56"/>
        <v>1381809.0100000717</v>
      </c>
      <c r="M70" s="626">
        <f t="shared" ca="1" si="56"/>
        <v>1242240.4077265975</v>
      </c>
      <c r="N70" s="626">
        <f t="shared" ca="1" si="56"/>
        <v>1221967.5707042099</v>
      </c>
      <c r="O70" s="626">
        <f t="shared" ca="1" si="56"/>
        <v>1318332.2595410571</v>
      </c>
      <c r="P70" s="627">
        <f t="shared" ref="P70:P77" ca="1" si="57">SUM(D70:O70)</f>
        <v>17333878.522773255</v>
      </c>
      <c r="Q70" s="600">
        <f t="shared" ref="Q70:Q77" ca="1" si="58">AE24</f>
        <v>17333878.522773255</v>
      </c>
      <c r="R70" s="620">
        <f t="shared" ref="R70:R77" ca="1" si="59">Q70-P70</f>
        <v>0</v>
      </c>
      <c r="S70" s="619"/>
    </row>
    <row r="71" spans="2:19">
      <c r="C71" s="604" t="s">
        <v>52</v>
      </c>
      <c r="D71" s="626">
        <f t="shared" ca="1" si="56"/>
        <v>2784.6311516154315</v>
      </c>
      <c r="E71" s="626">
        <f t="shared" ca="1" si="56"/>
        <v>2784.6311516154315</v>
      </c>
      <c r="F71" s="626">
        <f t="shared" ca="1" si="56"/>
        <v>2784.6311516154315</v>
      </c>
      <c r="G71" s="626">
        <f t="shared" ca="1" si="56"/>
        <v>2784.6311516154315</v>
      </c>
      <c r="H71" s="626">
        <f t="shared" ca="1" si="56"/>
        <v>2784.6311516154315</v>
      </c>
      <c r="I71" s="626">
        <f t="shared" ca="1" si="56"/>
        <v>2784.6311516154315</v>
      </c>
      <c r="J71" s="626">
        <f t="shared" ca="1" si="56"/>
        <v>2784.6311516154315</v>
      </c>
      <c r="K71" s="626">
        <f t="shared" ca="1" si="56"/>
        <v>2784.6311516154315</v>
      </c>
      <c r="L71" s="626">
        <f t="shared" ca="1" si="56"/>
        <v>2784.6311516154315</v>
      </c>
      <c r="M71" s="626">
        <f t="shared" ca="1" si="56"/>
        <v>2784.6311516154315</v>
      </c>
      <c r="N71" s="626">
        <f t="shared" ca="1" si="56"/>
        <v>2784.6311516154315</v>
      </c>
      <c r="O71" s="626">
        <f t="shared" ca="1" si="56"/>
        <v>2784.6311516154315</v>
      </c>
      <c r="P71" s="627">
        <f t="shared" ca="1" si="57"/>
        <v>33415.573819385179</v>
      </c>
      <c r="Q71" s="600">
        <f t="shared" ca="1" si="58"/>
        <v>33415.573819385179</v>
      </c>
      <c r="R71" s="620">
        <f t="shared" ca="1" si="59"/>
        <v>0</v>
      </c>
      <c r="S71" s="619"/>
    </row>
    <row r="72" spans="2:19">
      <c r="C72" s="604" t="s">
        <v>57</v>
      </c>
      <c r="D72" s="626">
        <f t="shared" ca="1" si="56"/>
        <v>1694.2514463539135</v>
      </c>
      <c r="E72" s="626">
        <f t="shared" ca="1" si="56"/>
        <v>1049.2522278781489</v>
      </c>
      <c r="F72" s="626">
        <f t="shared" ca="1" si="56"/>
        <v>697.16089710833035</v>
      </c>
      <c r="G72" s="626">
        <f t="shared" ca="1" si="56"/>
        <v>342.06023872509445</v>
      </c>
      <c r="H72" s="626">
        <f t="shared" ca="1" si="56"/>
        <v>16.049747271558683</v>
      </c>
      <c r="I72" s="626">
        <f t="shared" ca="1" si="56"/>
        <v>19.059074884975939</v>
      </c>
      <c r="J72" s="626">
        <f t="shared" ca="1" si="56"/>
        <v>17.052856476031103</v>
      </c>
      <c r="K72" s="626">
        <f t="shared" ca="1" si="56"/>
        <v>20.062184089448355</v>
      </c>
      <c r="L72" s="626">
        <f t="shared" ca="1" si="56"/>
        <v>256.79595634493893</v>
      </c>
      <c r="M72" s="626">
        <f t="shared" ca="1" si="56"/>
        <v>1157.5880219611702</v>
      </c>
      <c r="N72" s="626">
        <f t="shared" ca="1" si="56"/>
        <v>247.76797350468718</v>
      </c>
      <c r="O72" s="626">
        <f t="shared" ca="1" si="56"/>
        <v>286.88923247911146</v>
      </c>
      <c r="P72" s="627">
        <f t="shared" ca="1" si="57"/>
        <v>5803.9898570774085</v>
      </c>
      <c r="Q72" s="600">
        <f t="shared" ca="1" si="58"/>
        <v>5803.9898570774094</v>
      </c>
      <c r="R72" s="620">
        <f t="shared" ca="1" si="59"/>
        <v>0</v>
      </c>
      <c r="S72" s="619"/>
    </row>
    <row r="73" spans="2:19">
      <c r="C73" s="604" t="s">
        <v>53</v>
      </c>
      <c r="D73" s="626">
        <f t="shared" ca="1" si="56"/>
        <v>8281529.1568356548</v>
      </c>
      <c r="E73" s="626">
        <f t="shared" ca="1" si="56"/>
        <v>9059741.2776653562</v>
      </c>
      <c r="F73" s="626">
        <f t="shared" ca="1" si="56"/>
        <v>9840120.1143767182</v>
      </c>
      <c r="G73" s="626">
        <f t="shared" ca="1" si="56"/>
        <v>10702834.154591177</v>
      </c>
      <c r="H73" s="626">
        <f t="shared" ca="1" si="56"/>
        <v>10298982.388870582</v>
      </c>
      <c r="I73" s="626">
        <f t="shared" ca="1" si="56"/>
        <v>9141795.6105911992</v>
      </c>
      <c r="J73" s="626">
        <f t="shared" ca="1" si="56"/>
        <v>8243451.1314338818</v>
      </c>
      <c r="K73" s="626">
        <f t="shared" ca="1" si="56"/>
        <v>8029909.2439857936</v>
      </c>
      <c r="L73" s="626">
        <f t="shared" ca="1" si="56"/>
        <v>7936638.1439355388</v>
      </c>
      <c r="M73" s="626">
        <f t="shared" ca="1" si="56"/>
        <v>7902327.7967057647</v>
      </c>
      <c r="N73" s="626">
        <f t="shared" ca="1" si="56"/>
        <v>7673665.0411094585</v>
      </c>
      <c r="O73" s="626">
        <f t="shared" ca="1" si="56"/>
        <v>8418674.2472711243</v>
      </c>
      <c r="P73" s="627">
        <f t="shared" ca="1" si="57"/>
        <v>105529668.30737224</v>
      </c>
      <c r="Q73" s="600">
        <f t="shared" ca="1" si="58"/>
        <v>105529668.30737224</v>
      </c>
      <c r="R73" s="620">
        <f t="shared" ca="1" si="59"/>
        <v>0</v>
      </c>
      <c r="S73" s="619"/>
    </row>
    <row r="74" spans="2:19">
      <c r="C74" s="604" t="s">
        <v>159</v>
      </c>
      <c r="D74" s="626">
        <f t="shared" ca="1" si="56"/>
        <v>155481.92669322476</v>
      </c>
      <c r="E74" s="626">
        <f t="shared" ca="1" si="56"/>
        <v>120373.10453669012</v>
      </c>
      <c r="F74" s="626">
        <f t="shared" ca="1" si="56"/>
        <v>160497.47271558683</v>
      </c>
      <c r="G74" s="626">
        <f t="shared" ca="1" si="56"/>
        <v>123382.43215010739</v>
      </c>
      <c r="H74" s="626">
        <f t="shared" ca="1" si="56"/>
        <v>232545.79132681823</v>
      </c>
      <c r="I74" s="626">
        <f t="shared" ca="1" si="56"/>
        <v>244758.64589126993</v>
      </c>
      <c r="J74" s="626">
        <f t="shared" ca="1" si="56"/>
        <v>456414.68803495006</v>
      </c>
      <c r="K74" s="626">
        <f t="shared" ca="1" si="56"/>
        <v>165513.01873794894</v>
      </c>
      <c r="L74" s="626">
        <f t="shared" ca="1" si="56"/>
        <v>148460.16226191784</v>
      </c>
      <c r="M74" s="626">
        <f t="shared" ca="1" si="56"/>
        <v>134416.63339930397</v>
      </c>
      <c r="N74" s="626">
        <f t="shared" ca="1" si="56"/>
        <v>136422.85180824882</v>
      </c>
      <c r="O74" s="626">
        <f t="shared" ca="1" si="56"/>
        <v>174541.0015782007</v>
      </c>
      <c r="P74" s="627">
        <f t="shared" ca="1" si="57"/>
        <v>2252807.7291342677</v>
      </c>
      <c r="Q74" s="600">
        <f t="shared" ca="1" si="58"/>
        <v>2252807.7291342677</v>
      </c>
      <c r="R74" s="620">
        <f t="shared" ca="1" si="59"/>
        <v>0</v>
      </c>
      <c r="S74" s="619"/>
    </row>
    <row r="75" spans="2:19">
      <c r="C75" s="604" t="s">
        <v>569</v>
      </c>
      <c r="D75" s="626">
        <f t="shared" ca="1" si="56"/>
        <v>32139618.911296263</v>
      </c>
      <c r="E75" s="626">
        <f t="shared" ca="1" si="56"/>
        <v>39434229.046219684</v>
      </c>
      <c r="F75" s="626">
        <f t="shared" ca="1" si="56"/>
        <v>39307837.28645616</v>
      </c>
      <c r="G75" s="626">
        <f t="shared" ca="1" si="56"/>
        <v>38802270.247402065</v>
      </c>
      <c r="H75" s="626">
        <f t="shared" ca="1" si="56"/>
        <v>40300915.398883857</v>
      </c>
      <c r="I75" s="626">
        <f t="shared" ca="1" si="56"/>
        <v>37881415.997696385</v>
      </c>
      <c r="J75" s="626">
        <f t="shared" ca="1" si="56"/>
        <v>40950930.163381979</v>
      </c>
      <c r="K75" s="626">
        <f t="shared" ca="1" si="56"/>
        <v>40373139.261605866</v>
      </c>
      <c r="L75" s="626">
        <f t="shared" ca="1" si="56"/>
        <v>36039707.498285025</v>
      </c>
      <c r="M75" s="626">
        <f t="shared" ca="1" si="56"/>
        <v>39759236.428468749</v>
      </c>
      <c r="N75" s="626">
        <f t="shared" ca="1" si="56"/>
        <v>38332815.139708973</v>
      </c>
      <c r="O75" s="626">
        <f t="shared" ca="1" si="56"/>
        <v>36581386.468700133</v>
      </c>
      <c r="P75" s="627">
        <f t="shared" ca="1" si="57"/>
        <v>459903501.84810519</v>
      </c>
      <c r="Q75" s="600">
        <f t="shared" ca="1" si="58"/>
        <v>459903501.84810513</v>
      </c>
      <c r="R75" s="620">
        <f t="shared" ca="1" si="59"/>
        <v>0</v>
      </c>
      <c r="S75" s="619"/>
    </row>
    <row r="76" spans="2:19">
      <c r="C76" s="604" t="s">
        <v>54</v>
      </c>
      <c r="D76" s="626">
        <f t="shared" ca="1" si="56"/>
        <v>18834779.666855905</v>
      </c>
      <c r="E76" s="626">
        <f t="shared" ca="1" si="56"/>
        <v>18710143.348200206</v>
      </c>
      <c r="F76" s="626">
        <f t="shared" ca="1" si="56"/>
        <v>19218168.004805263</v>
      </c>
      <c r="G76" s="626">
        <f t="shared" ca="1" si="56"/>
        <v>18748712.897112172</v>
      </c>
      <c r="H76" s="626">
        <f t="shared" ca="1" si="56"/>
        <v>21184512.822872318</v>
      </c>
      <c r="I76" s="626">
        <f t="shared" ca="1" si="56"/>
        <v>18452043.349889454</v>
      </c>
      <c r="J76" s="626">
        <f t="shared" ca="1" si="56"/>
        <v>16141782.541069029</v>
      </c>
      <c r="K76" s="626">
        <f t="shared" ca="1" si="56"/>
        <v>16443116.546092542</v>
      </c>
      <c r="L76" s="626">
        <f t="shared" ca="1" si="56"/>
        <v>16680402.028410492</v>
      </c>
      <c r="M76" s="626">
        <f t="shared" ca="1" si="56"/>
        <v>16525772.744541069</v>
      </c>
      <c r="N76" s="626">
        <f t="shared" ca="1" si="56"/>
        <v>17591576.274293013</v>
      </c>
      <c r="O76" s="626">
        <f t="shared" ca="1" si="56"/>
        <v>18639373.993824676</v>
      </c>
      <c r="P76" s="627">
        <f t="shared" ca="1" si="57"/>
        <v>217170384.21796614</v>
      </c>
      <c r="Q76" s="600">
        <f t="shared" ca="1" si="58"/>
        <v>217170384.21796614</v>
      </c>
      <c r="R76" s="620">
        <f t="shared" ca="1" si="59"/>
        <v>0</v>
      </c>
      <c r="S76" s="619"/>
    </row>
    <row r="77" spans="2:19">
      <c r="C77" s="604" t="s">
        <v>55</v>
      </c>
      <c r="D77" s="626">
        <f t="shared" ca="1" si="56"/>
        <v>12397.426658074612</v>
      </c>
      <c r="E77" s="626">
        <f t="shared" ca="1" si="56"/>
        <v>12397.426658074612</v>
      </c>
      <c r="F77" s="626">
        <f t="shared" ca="1" si="56"/>
        <v>11631.051225857684</v>
      </c>
      <c r="G77" s="626">
        <f t="shared" ca="1" si="56"/>
        <v>11707.287525397587</v>
      </c>
      <c r="H77" s="626">
        <f t="shared" ca="1" si="56"/>
        <v>11707.287525397587</v>
      </c>
      <c r="I77" s="626">
        <f t="shared" ca="1" si="56"/>
        <v>11707.287525397587</v>
      </c>
      <c r="J77" s="626">
        <f t="shared" ca="1" si="56"/>
        <v>11534.752742228331</v>
      </c>
      <c r="K77" s="626">
        <f t="shared" ca="1" si="56"/>
        <v>11610.989041768235</v>
      </c>
      <c r="L77" s="626">
        <f t="shared" ca="1" si="56"/>
        <v>11534.752742228331</v>
      </c>
      <c r="M77" s="626">
        <f t="shared" ca="1" si="56"/>
        <v>11458.516442688428</v>
      </c>
      <c r="N77" s="626">
        <f t="shared" ca="1" si="56"/>
        <v>11458.516442688428</v>
      </c>
      <c r="O77" s="626">
        <f t="shared" ca="1" si="56"/>
        <v>11458.516442688428</v>
      </c>
      <c r="P77" s="627">
        <f t="shared" ca="1" si="57"/>
        <v>140603.81097248985</v>
      </c>
      <c r="Q77" s="600">
        <f t="shared" ca="1" si="58"/>
        <v>140603.81097248985</v>
      </c>
      <c r="R77" s="620">
        <f t="shared" ca="1" si="59"/>
        <v>0</v>
      </c>
      <c r="S77" s="619"/>
    </row>
    <row r="78" spans="2:19">
      <c r="B78" t="s">
        <v>269</v>
      </c>
      <c r="C78" s="604"/>
      <c r="D78" s="628">
        <f t="shared" ref="D78:P78" ca="1" si="60">SUM(D70:D77)</f>
        <v>60820160.178694837</v>
      </c>
      <c r="E78" s="628">
        <f t="shared" ca="1" si="60"/>
        <v>68843968.512499034</v>
      </c>
      <c r="F78" s="628">
        <f t="shared" ca="1" si="60"/>
        <v>70018080.752385467</v>
      </c>
      <c r="G78" s="628">
        <f t="shared" ca="1" si="60"/>
        <v>69894651.174102768</v>
      </c>
      <c r="H78" s="628">
        <f t="shared" ca="1" si="60"/>
        <v>73461414.597318977</v>
      </c>
      <c r="I78" s="628">
        <f t="shared" ca="1" si="60"/>
        <v>67476583.209750071</v>
      </c>
      <c r="J78" s="628">
        <f t="shared" ca="1" si="60"/>
        <v>67453233.836797565</v>
      </c>
      <c r="K78" s="628">
        <f t="shared" ca="1" si="60"/>
        <v>66503208.168316618</v>
      </c>
      <c r="L78" s="628">
        <f t="shared" ca="1" si="60"/>
        <v>62201593.02274324</v>
      </c>
      <c r="M78" s="628">
        <f t="shared" ca="1" si="60"/>
        <v>65579394.746457748</v>
      </c>
      <c r="N78" s="628">
        <f t="shared" ca="1" si="60"/>
        <v>64970937.793191709</v>
      </c>
      <c r="O78" s="628">
        <f t="shared" ca="1" si="60"/>
        <v>65146838.007741973</v>
      </c>
      <c r="P78" s="628">
        <f t="shared" ca="1" si="60"/>
        <v>802370064</v>
      </c>
      <c r="Q78" s="600"/>
      <c r="R78" s="620"/>
      <c r="S78" s="619"/>
    </row>
    <row r="79" spans="2:19">
      <c r="B79" t="s">
        <v>271</v>
      </c>
      <c r="C79" s="604"/>
      <c r="D79" s="626"/>
      <c r="E79" s="626"/>
      <c r="F79" s="626"/>
      <c r="G79" s="626"/>
      <c r="H79" s="626"/>
      <c r="I79" s="626"/>
      <c r="J79" s="626"/>
      <c r="K79" s="626"/>
      <c r="L79" s="626"/>
      <c r="M79" s="626"/>
      <c r="N79" s="626"/>
      <c r="O79" s="626"/>
      <c r="P79" s="627"/>
      <c r="Q79" s="600"/>
      <c r="R79" s="620"/>
      <c r="S79" s="619"/>
    </row>
    <row r="80" spans="2:19">
      <c r="C80" s="604" t="s">
        <v>58</v>
      </c>
      <c r="D80" s="626">
        <f ca="1">D34+Q34+Temperature!B80*1000</f>
        <v>21167000.210533239</v>
      </c>
      <c r="E80" s="626">
        <f ca="1">E34+R34+Temperature!B81*1000</f>
        <v>24215365.326217398</v>
      </c>
      <c r="F80" s="626">
        <f ca="1">F34+S34+Temperature!B82*1000</f>
        <v>19740167.947777074</v>
      </c>
      <c r="G80" s="626">
        <f ca="1">G34+T34+Temperature!B83*1000</f>
        <v>11706660.948155448</v>
      </c>
      <c r="H80" s="626">
        <f ca="1">H34+U34+Temperature!B84*1000</f>
        <v>3469792.0549524836</v>
      </c>
      <c r="I80" s="626">
        <f ca="1">I34+V34+Temperature!B85*1000</f>
        <v>583231.35678948625</v>
      </c>
      <c r="J80" s="626">
        <f ca="1">J34+W34+Temperature!B86*1000</f>
        <v>288843.92836786539</v>
      </c>
      <c r="K80" s="626">
        <f ca="1">K34+X34+Temperature!B87*1000</f>
        <v>299024.58446512453</v>
      </c>
      <c r="L80" s="626">
        <f ca="1">L34+Y34+Temperature!B88*1000</f>
        <v>2440124.4308492499</v>
      </c>
      <c r="M80" s="626">
        <f ca="1">M34+Z34+Temperature!B89*1000</f>
        <v>7739668.9337050058</v>
      </c>
      <c r="N80" s="626">
        <f ca="1">N34+AA34+Temperature!B90*1000</f>
        <v>9787748.4902395979</v>
      </c>
      <c r="O80" s="626">
        <f ca="1">O34+AB34+Temperature!B91*1000</f>
        <v>10590687.89019208</v>
      </c>
      <c r="P80" s="627">
        <f ca="1">SUM(D80:O80)</f>
        <v>112028316.10224406</v>
      </c>
      <c r="Q80" s="600">
        <f ca="1">AE34</f>
        <v>112028316.10224405</v>
      </c>
      <c r="R80" s="620">
        <f ca="1">Q80-P80</f>
        <v>0</v>
      </c>
      <c r="S80" s="619"/>
    </row>
    <row r="81" spans="2:19">
      <c r="C81" s="604" t="s">
        <v>59</v>
      </c>
      <c r="D81" s="626">
        <f t="shared" ref="D81:O81" ca="1" si="61">D35+Q35</f>
        <v>8437974.5341825392</v>
      </c>
      <c r="E81" s="626">
        <f t="shared" ca="1" si="61"/>
        <v>9233295.4584090598</v>
      </c>
      <c r="F81" s="626">
        <f t="shared" ca="1" si="61"/>
        <v>7447718.6812186148</v>
      </c>
      <c r="G81" s="626">
        <f t="shared" ca="1" si="61"/>
        <v>4436774.9402437648</v>
      </c>
      <c r="H81" s="626">
        <f t="shared" ca="1" si="61"/>
        <v>1325003.976455051</v>
      </c>
      <c r="I81" s="626">
        <f t="shared" ca="1" si="61"/>
        <v>175055.17516130596</v>
      </c>
      <c r="J81" s="626">
        <f t="shared" ca="1" si="61"/>
        <v>140755.02203059805</v>
      </c>
      <c r="K81" s="626">
        <f t="shared" ca="1" si="61"/>
        <v>145434.75799404641</v>
      </c>
      <c r="L81" s="626">
        <f t="shared" ca="1" si="61"/>
        <v>786270.66362303332</v>
      </c>
      <c r="M81" s="626">
        <f t="shared" ca="1" si="61"/>
        <v>2639198.7360898494</v>
      </c>
      <c r="N81" s="626">
        <f t="shared" ca="1" si="61"/>
        <v>6106296.0903944029</v>
      </c>
      <c r="O81" s="626">
        <f t="shared" ca="1" si="61"/>
        <v>7972777.7569026705</v>
      </c>
      <c r="P81" s="627">
        <f ca="1">SUM(D81:O81)</f>
        <v>48846555.79270494</v>
      </c>
      <c r="Q81" s="600">
        <f ca="1">AE35</f>
        <v>48846555.792704932</v>
      </c>
      <c r="R81" s="620">
        <f ca="1">Q81-P81</f>
        <v>0</v>
      </c>
      <c r="S81" s="619"/>
    </row>
    <row r="82" spans="2:19">
      <c r="B82" t="s">
        <v>271</v>
      </c>
      <c r="C82" s="604"/>
      <c r="D82" s="628">
        <f t="shared" ref="D82:P82" ca="1" si="62">SUM(D80:D81)</f>
        <v>29604974.74471578</v>
      </c>
      <c r="E82" s="628">
        <f t="shared" ca="1" si="62"/>
        <v>33448660.784626458</v>
      </c>
      <c r="F82" s="628">
        <f t="shared" ca="1" si="62"/>
        <v>27187886.628995687</v>
      </c>
      <c r="G82" s="628">
        <f t="shared" ca="1" si="62"/>
        <v>16143435.888399214</v>
      </c>
      <c r="H82" s="628">
        <f t="shared" ca="1" si="62"/>
        <v>4794796.0314075351</v>
      </c>
      <c r="I82" s="628">
        <f t="shared" ca="1" si="62"/>
        <v>758286.53195079218</v>
      </c>
      <c r="J82" s="628">
        <f t="shared" ca="1" si="62"/>
        <v>429598.95039846341</v>
      </c>
      <c r="K82" s="628">
        <f t="shared" ca="1" si="62"/>
        <v>444459.34245917096</v>
      </c>
      <c r="L82" s="628">
        <f t="shared" ca="1" si="62"/>
        <v>3226395.0944722835</v>
      </c>
      <c r="M82" s="628">
        <f t="shared" ca="1" si="62"/>
        <v>10378867.669794856</v>
      </c>
      <c r="N82" s="628">
        <f t="shared" ca="1" si="62"/>
        <v>15894044.580634002</v>
      </c>
      <c r="O82" s="628">
        <f t="shared" ca="1" si="62"/>
        <v>18563465.647094749</v>
      </c>
      <c r="P82" s="628">
        <f t="shared" ca="1" si="62"/>
        <v>160874871.89494902</v>
      </c>
      <c r="Q82" s="600">
        <f ca="1">AE36</f>
        <v>160874871.89494899</v>
      </c>
      <c r="R82" s="620">
        <f ca="1">Q82-P82</f>
        <v>0</v>
      </c>
      <c r="S82" s="619"/>
    </row>
    <row r="83" spans="2:19">
      <c r="B83" t="s">
        <v>563</v>
      </c>
      <c r="C83" s="604"/>
      <c r="D83" s="628" t="s">
        <v>31</v>
      </c>
      <c r="E83" s="628" t="s">
        <v>31</v>
      </c>
      <c r="F83" s="628" t="s">
        <v>31</v>
      </c>
      <c r="G83" s="628" t="s">
        <v>31</v>
      </c>
      <c r="H83" s="628" t="s">
        <v>31</v>
      </c>
      <c r="I83" s="628" t="s">
        <v>31</v>
      </c>
      <c r="J83" s="628" t="s">
        <v>31</v>
      </c>
      <c r="K83" s="628" t="s">
        <v>31</v>
      </c>
      <c r="L83" s="628" t="s">
        <v>31</v>
      </c>
      <c r="M83" s="628" t="s">
        <v>31</v>
      </c>
      <c r="N83" s="628" t="s">
        <v>31</v>
      </c>
      <c r="O83" s="628" t="s">
        <v>31</v>
      </c>
      <c r="P83" s="629" t="s">
        <v>31</v>
      </c>
      <c r="S83" s="619"/>
    </row>
    <row r="84" spans="2:19">
      <c r="C84" s="604" t="s">
        <v>61</v>
      </c>
      <c r="D84" s="626">
        <f t="shared" ref="D84:O88" ca="1" si="63">D38+Q38</f>
        <v>17704.534400749628</v>
      </c>
      <c r="E84" s="626">
        <f t="shared" ca="1" si="63"/>
        <v>17704.534400749628</v>
      </c>
      <c r="F84" s="626">
        <f t="shared" ca="1" si="63"/>
        <v>17704.534400749628</v>
      </c>
      <c r="G84" s="626">
        <f t="shared" ca="1" si="63"/>
        <v>17704.534400749628</v>
      </c>
      <c r="H84" s="626">
        <f t="shared" ca="1" si="63"/>
        <v>17711.709078870364</v>
      </c>
      <c r="I84" s="626">
        <f t="shared" ca="1" si="63"/>
        <v>17749.069449395185</v>
      </c>
      <c r="J84" s="626">
        <f t="shared" ca="1" si="63"/>
        <v>17749.069449395185</v>
      </c>
      <c r="K84" s="626">
        <f t="shared" ca="1" si="63"/>
        <v>17749.069449395185</v>
      </c>
      <c r="L84" s="626">
        <f t="shared" ca="1" si="63"/>
        <v>17749.056958034711</v>
      </c>
      <c r="M84" s="626">
        <f t="shared" ca="1" si="63"/>
        <v>17748.968189756924</v>
      </c>
      <c r="N84" s="626">
        <f t="shared" ca="1" si="63"/>
        <v>17748.90789372156</v>
      </c>
      <c r="O84" s="626">
        <f t="shared" ca="1" si="63"/>
        <v>17171.262310703474</v>
      </c>
      <c r="P84" s="627">
        <f ca="1">SUM(D84:O84)</f>
        <v>212195.25038227113</v>
      </c>
      <c r="Q84" s="600">
        <f t="shared" ref="Q84:Q89" ca="1" si="64">AE38</f>
        <v>212195.25038227107</v>
      </c>
      <c r="R84" s="620">
        <f t="shared" ref="R84:R89" ca="1" si="65">Q84-P84</f>
        <v>0</v>
      </c>
      <c r="S84" s="619"/>
    </row>
    <row r="85" spans="2:19">
      <c r="C85" s="604" t="s">
        <v>62</v>
      </c>
      <c r="D85" s="626">
        <f t="shared" ca="1" si="63"/>
        <v>290911.91935422044</v>
      </c>
      <c r="E85" s="626">
        <f t="shared" ca="1" si="63"/>
        <v>290943.34635707404</v>
      </c>
      <c r="F85" s="626">
        <f t="shared" ca="1" si="63"/>
        <v>290957.48850835883</v>
      </c>
      <c r="G85" s="626">
        <f t="shared" ca="1" si="63"/>
        <v>290871.34995053586</v>
      </c>
      <c r="H85" s="626">
        <f t="shared" ca="1" si="63"/>
        <v>290893.34885253396</v>
      </c>
      <c r="I85" s="626">
        <f t="shared" ca="1" si="63"/>
        <v>290916.91910467425</v>
      </c>
      <c r="J85" s="626">
        <f t="shared" ca="1" si="63"/>
        <v>290916.91910467425</v>
      </c>
      <c r="K85" s="626">
        <f t="shared" ca="1" si="63"/>
        <v>290865.35024999105</v>
      </c>
      <c r="L85" s="626">
        <f t="shared" ca="1" si="63"/>
        <v>290916.84314095526</v>
      </c>
      <c r="M85" s="626">
        <f t="shared" ca="1" si="63"/>
        <v>290929.48401819495</v>
      </c>
      <c r="N85" s="626">
        <f t="shared" ca="1" si="63"/>
        <v>291001.79973206983</v>
      </c>
      <c r="O85" s="626">
        <f t="shared" ca="1" si="63"/>
        <v>291001.79973206983</v>
      </c>
      <c r="P85" s="627">
        <f ca="1">SUM(D85:O85)</f>
        <v>3491126.5681053526</v>
      </c>
      <c r="Q85" s="600">
        <f t="shared" ca="1" si="64"/>
        <v>3491126.5681053526</v>
      </c>
      <c r="R85" s="620">
        <f t="shared" ca="1" si="65"/>
        <v>0</v>
      </c>
      <c r="S85" s="619"/>
    </row>
    <row r="86" spans="2:19">
      <c r="C86" s="604" t="s">
        <v>63</v>
      </c>
      <c r="D86" s="626">
        <f t="shared" ca="1" si="63"/>
        <v>67406.949320069325</v>
      </c>
      <c r="E86" s="626">
        <f t="shared" ca="1" si="63"/>
        <v>74134.074557933942</v>
      </c>
      <c r="F86" s="626">
        <f t="shared" ca="1" si="63"/>
        <v>85618.694055543849</v>
      </c>
      <c r="G86" s="626">
        <f t="shared" ca="1" si="63"/>
        <v>94767.098300443584</v>
      </c>
      <c r="H86" s="626">
        <f t="shared" ca="1" si="63"/>
        <v>110940.35092334526</v>
      </c>
      <c r="I86" s="626">
        <f t="shared" ca="1" si="63"/>
        <v>134673.13838000569</v>
      </c>
      <c r="J86" s="626">
        <f t="shared" ca="1" si="63"/>
        <v>133630.09472578313</v>
      </c>
      <c r="K86" s="626">
        <f t="shared" ca="1" si="63"/>
        <v>118420.89798523085</v>
      </c>
      <c r="L86" s="626">
        <f t="shared" ca="1" si="63"/>
        <v>104534.24009168312</v>
      </c>
      <c r="M86" s="626">
        <f t="shared" ca="1" si="63"/>
        <v>91544.802273515204</v>
      </c>
      <c r="N86" s="626">
        <f t="shared" ca="1" si="63"/>
        <v>78772.07449612752</v>
      </c>
      <c r="O86" s="626">
        <f t="shared" ca="1" si="63"/>
        <v>71344.185948824044</v>
      </c>
      <c r="P86" s="627">
        <f ca="1">SUM(D86:O86)</f>
        <v>1165786.6010585055</v>
      </c>
      <c r="Q86" s="600">
        <f t="shared" ca="1" si="64"/>
        <v>1165786.6010585055</v>
      </c>
      <c r="R86" s="620">
        <f t="shared" ca="1" si="65"/>
        <v>0</v>
      </c>
      <c r="S86" s="619"/>
    </row>
    <row r="87" spans="2:19">
      <c r="C87" s="604" t="s">
        <v>64</v>
      </c>
      <c r="D87" s="626">
        <f t="shared" ca="1" si="63"/>
        <v>327639.05377197627</v>
      </c>
      <c r="E87" s="626">
        <f t="shared" ca="1" si="63"/>
        <v>327659.23389766488</v>
      </c>
      <c r="F87" s="626">
        <f t="shared" ca="1" si="63"/>
        <v>327690.33249576925</v>
      </c>
      <c r="G87" s="626">
        <f t="shared" ca="1" si="63"/>
        <v>327772.80399392627</v>
      </c>
      <c r="H87" s="626">
        <f t="shared" ca="1" si="63"/>
        <v>327771.05307524896</v>
      </c>
      <c r="I87" s="626">
        <f t="shared" ca="1" si="63"/>
        <v>327900.61496316351</v>
      </c>
      <c r="J87" s="626">
        <f t="shared" ca="1" si="63"/>
        <v>327915.87910685944</v>
      </c>
      <c r="K87" s="626">
        <f t="shared" ca="1" si="63"/>
        <v>327528.09790241148</v>
      </c>
      <c r="L87" s="626">
        <f t="shared" ca="1" si="63"/>
        <v>327520.84912711591</v>
      </c>
      <c r="M87" s="626">
        <f t="shared" ca="1" si="63"/>
        <v>327547.30421115184</v>
      </c>
      <c r="N87" s="626">
        <f t="shared" ca="1" si="63"/>
        <v>327623.81236796465</v>
      </c>
      <c r="O87" s="626">
        <f t="shared" ca="1" si="63"/>
        <v>327988.75055656041</v>
      </c>
      <c r="P87" s="627">
        <f ca="1">SUM(D87:O87)</f>
        <v>3932557.7854698123</v>
      </c>
      <c r="Q87" s="600">
        <f t="shared" ca="1" si="64"/>
        <v>3932557.7854698133</v>
      </c>
      <c r="R87" s="620">
        <f t="shared" ca="1" si="65"/>
        <v>0</v>
      </c>
      <c r="S87" s="619"/>
    </row>
    <row r="88" spans="2:19">
      <c r="C88" s="604" t="s">
        <v>65</v>
      </c>
      <c r="D88" s="626">
        <f t="shared" ca="1" si="63"/>
        <v>146493.96223994755</v>
      </c>
      <c r="E88" s="626">
        <f t="shared" ca="1" si="63"/>
        <v>146455.48101775293</v>
      </c>
      <c r="F88" s="626">
        <f t="shared" ca="1" si="63"/>
        <v>146368.39193594403</v>
      </c>
      <c r="G88" s="626">
        <f t="shared" ca="1" si="63"/>
        <v>146281.30285413517</v>
      </c>
      <c r="H88" s="626">
        <f t="shared" ca="1" si="63"/>
        <v>146281.30285413517</v>
      </c>
      <c r="I88" s="626">
        <f t="shared" ca="1" si="63"/>
        <v>146281.30285413517</v>
      </c>
      <c r="J88" s="626">
        <f t="shared" ca="1" si="63"/>
        <v>146281.30285413517</v>
      </c>
      <c r="K88" s="626">
        <f t="shared" ca="1" si="63"/>
        <v>146281.30285413517</v>
      </c>
      <c r="L88" s="626">
        <f t="shared" ca="1" si="63"/>
        <v>146281.30285413517</v>
      </c>
      <c r="M88" s="626">
        <f t="shared" ca="1" si="63"/>
        <v>144765.68278699587</v>
      </c>
      <c r="N88" s="626">
        <f t="shared" ca="1" si="63"/>
        <v>146030.16224612819</v>
      </c>
      <c r="O88" s="626">
        <f t="shared" ca="1" si="63"/>
        <v>145991.68102393358</v>
      </c>
      <c r="P88" s="627">
        <f ca="1">SUM(D88:O88)</f>
        <v>1753793.1783755128</v>
      </c>
      <c r="Q88" s="600">
        <f t="shared" ca="1" si="64"/>
        <v>1753793.1783755131</v>
      </c>
      <c r="R88" s="620">
        <f t="shared" ca="1" si="65"/>
        <v>0</v>
      </c>
      <c r="S88" s="619"/>
    </row>
    <row r="89" spans="2:19">
      <c r="B89" t="s">
        <v>563</v>
      </c>
      <c r="D89" s="628">
        <f t="shared" ref="D89:P89" ca="1" si="66">SUM(D84:D88)</f>
        <v>850156.41908696317</v>
      </c>
      <c r="E89" s="628">
        <f t="shared" ca="1" si="66"/>
        <v>856896.67023117538</v>
      </c>
      <c r="F89" s="628">
        <f t="shared" ca="1" si="66"/>
        <v>868339.44139636564</v>
      </c>
      <c r="G89" s="628">
        <f t="shared" ca="1" si="66"/>
        <v>877397.08949979045</v>
      </c>
      <c r="H89" s="628">
        <f t="shared" ca="1" si="66"/>
        <v>893597.76478413376</v>
      </c>
      <c r="I89" s="628">
        <f t="shared" ca="1" si="66"/>
        <v>917521.04475137382</v>
      </c>
      <c r="J89" s="628">
        <f t="shared" ca="1" si="66"/>
        <v>916493.26524084713</v>
      </c>
      <c r="K89" s="628">
        <f t="shared" ca="1" si="66"/>
        <v>900844.71844116366</v>
      </c>
      <c r="L89" s="628">
        <f t="shared" ca="1" si="66"/>
        <v>887002.29217192414</v>
      </c>
      <c r="M89" s="628">
        <f t="shared" ca="1" si="66"/>
        <v>872536.24147961487</v>
      </c>
      <c r="N89" s="628">
        <f t="shared" ca="1" si="66"/>
        <v>861176.75673601171</v>
      </c>
      <c r="O89" s="628">
        <f t="shared" ca="1" si="66"/>
        <v>853497.67957209132</v>
      </c>
      <c r="P89" s="629">
        <f t="shared" ca="1" si="66"/>
        <v>10555459.383391455</v>
      </c>
      <c r="Q89" s="600">
        <f t="shared" ca="1" si="64"/>
        <v>10555459.383391455</v>
      </c>
      <c r="R89" s="620">
        <f t="shared" ca="1" si="65"/>
        <v>0</v>
      </c>
      <c r="S89" s="619"/>
    </row>
    <row r="90" spans="2:19">
      <c r="D90" s="594"/>
      <c r="E90" s="594"/>
      <c r="F90" s="594"/>
      <c r="G90" s="594"/>
      <c r="H90" s="594"/>
      <c r="I90" s="594"/>
      <c r="J90" s="594"/>
      <c r="K90" s="594"/>
      <c r="L90" s="594"/>
      <c r="M90" s="594"/>
      <c r="N90" s="594"/>
      <c r="O90" s="594"/>
      <c r="P90" s="630" t="s">
        <v>31</v>
      </c>
      <c r="S90" s="619"/>
    </row>
    <row r="91" spans="2:19">
      <c r="C91" s="604" t="s">
        <v>9</v>
      </c>
      <c r="D91" s="626">
        <f t="shared" ref="D91:O91" ca="1" si="67">D58+D68+D78+D82+D89</f>
        <v>301569438.18308419</v>
      </c>
      <c r="E91" s="626">
        <f t="shared" ca="1" si="67"/>
        <v>357929226.94913095</v>
      </c>
      <c r="F91" s="626">
        <f t="shared" ca="1" si="67"/>
        <v>349944936.66016698</v>
      </c>
      <c r="G91" s="626">
        <f t="shared" ca="1" si="67"/>
        <v>334388196.3255977</v>
      </c>
      <c r="H91" s="626">
        <f t="shared" ca="1" si="67"/>
        <v>329939656.77681971</v>
      </c>
      <c r="I91" s="626">
        <f t="shared" ca="1" si="67"/>
        <v>434431516.2870208</v>
      </c>
      <c r="J91" s="626">
        <f t="shared" ca="1" si="67"/>
        <v>416649145.62469429</v>
      </c>
      <c r="K91" s="626">
        <f t="shared" ca="1" si="67"/>
        <v>376756937.62283516</v>
      </c>
      <c r="L91" s="626">
        <f t="shared" ca="1" si="67"/>
        <v>330613690.65859324</v>
      </c>
      <c r="M91" s="626">
        <f t="shared" ca="1" si="67"/>
        <v>299744836.36137456</v>
      </c>
      <c r="N91" s="626">
        <f t="shared" ca="1" si="67"/>
        <v>278992315.29352909</v>
      </c>
      <c r="O91" s="626">
        <f t="shared" ca="1" si="67"/>
        <v>274140252.1722424</v>
      </c>
      <c r="P91" s="626">
        <f ca="1">SUM(D91:O91)</f>
        <v>4085100148.9150887</v>
      </c>
      <c r="Q91" s="603">
        <f ca="1">AE44</f>
        <v>4085100148.9150896</v>
      </c>
      <c r="R91" s="620">
        <f ca="1">Q91-P91</f>
        <v>0</v>
      </c>
      <c r="S91" s="619"/>
    </row>
    <row r="92" spans="2:19"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  <c r="Q92" s="618"/>
      <c r="S92" s="619"/>
    </row>
  </sheetData>
  <phoneticPr fontId="26" type="noConversion"/>
  <pageMargins left="0.75" right="0.75" top="1" bottom="1" header="0.5" footer="0.5"/>
  <pageSetup scale="45" fitToWidth="2" fitToHeight="2" orientation="landscape" r:id="rId1"/>
  <headerFooter alignWithMargins="0"/>
  <rowBreaks count="1" manualBreakCount="1">
    <brk id="46" max="16383" man="1"/>
  </rowBreaks>
  <colBreaks count="1" manualBreakCount="1">
    <brk id="16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W66"/>
  <sheetViews>
    <sheetView zoomScale="85" zoomScaleNormal="85" workbookViewId="0">
      <pane xSplit="7" ySplit="12" topLeftCell="H13" activePane="bottomRight" state="frozen"/>
      <selection activeCell="F26" sqref="F26"/>
      <selection pane="topRight" activeCell="F26" sqref="F26"/>
      <selection pane="bottomLeft" activeCell="F26" sqref="F26"/>
      <selection pane="bottomRight" activeCell="H15" sqref="H15"/>
    </sheetView>
  </sheetViews>
  <sheetFormatPr defaultColWidth="8.5" defaultRowHeight="15"/>
  <cols>
    <col min="1" max="1" width="5" style="52" customWidth="1"/>
    <col min="2" max="2" width="3.25" style="52" customWidth="1"/>
    <col min="3" max="3" width="1.125" style="52" customWidth="1"/>
    <col min="4" max="4" width="32.25" style="52" customWidth="1"/>
    <col min="5" max="5" width="1.125" style="52" customWidth="1"/>
    <col min="6" max="6" width="7.25" style="52" bestFit="1" customWidth="1"/>
    <col min="7" max="7" width="1.125" style="52" customWidth="1"/>
    <col min="8" max="8" width="8.5" style="52" bestFit="1" customWidth="1"/>
    <col min="9" max="9" width="1.125" style="52" customWidth="1"/>
    <col min="10" max="10" width="11.75" style="52" bestFit="1" customWidth="1"/>
    <col min="11" max="11" width="1.125" style="52" customWidth="1"/>
    <col min="12" max="12" width="12.25" style="52" bestFit="1" customWidth="1"/>
    <col min="13" max="13" width="1.125" style="52" customWidth="1"/>
    <col min="14" max="14" width="12.25" style="52" hidden="1" customWidth="1"/>
    <col min="15" max="15" width="1.125" style="52" hidden="1" customWidth="1"/>
    <col min="16" max="16" width="13.25" style="52" hidden="1" customWidth="1"/>
    <col min="17" max="17" width="2.875" style="52" hidden="1" customWidth="1"/>
    <col min="18" max="18" width="10.5" style="52" hidden="1" customWidth="1"/>
    <col min="19" max="19" width="2.125" style="52" hidden="1" customWidth="1"/>
    <col min="20" max="20" width="10.5" style="52" hidden="1" customWidth="1"/>
    <col min="21" max="21" width="2.125" style="52" hidden="1" customWidth="1"/>
    <col min="22" max="22" width="10.5" style="52" hidden="1" customWidth="1"/>
    <col min="23" max="23" width="2.125" style="52" hidden="1" customWidth="1"/>
    <col min="24" max="24" width="0" style="52" hidden="1" customWidth="1"/>
    <col min="25" max="16384" width="8.5" style="52"/>
  </cols>
  <sheetData>
    <row r="1" spans="2:23" ht="15.75">
      <c r="B1" s="1138" t="s">
        <v>31</v>
      </c>
      <c r="C1" s="1138"/>
      <c r="D1" s="1138"/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U1" s="1138"/>
      <c r="W1" s="1138"/>
    </row>
    <row r="2" spans="2:23" ht="15.75">
      <c r="B2" s="1139" t="s">
        <v>721</v>
      </c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</row>
    <row r="3" spans="2:23" ht="15.75">
      <c r="B3" s="1139" t="s">
        <v>813</v>
      </c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39"/>
      <c r="O3" s="1139"/>
      <c r="P3" s="1139"/>
      <c r="Q3" s="1139"/>
      <c r="R3" s="1139"/>
      <c r="S3" s="1139"/>
      <c r="T3" s="1139"/>
      <c r="U3" s="1139"/>
      <c r="V3" s="1139"/>
      <c r="W3" s="1139"/>
    </row>
    <row r="4" spans="2:23" ht="15.75">
      <c r="B4" s="1139" t="s">
        <v>814</v>
      </c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</row>
    <row r="5" spans="2:23" ht="15.75">
      <c r="B5" s="1140" t="s">
        <v>981</v>
      </c>
      <c r="C5" s="1140"/>
      <c r="D5" s="1140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</row>
    <row r="6" spans="2:23">
      <c r="B6" s="1141"/>
      <c r="C6" s="1141"/>
      <c r="D6" s="1141"/>
      <c r="E6" s="1141"/>
      <c r="F6" s="1141"/>
      <c r="G6" s="1141"/>
      <c r="H6" s="1141"/>
      <c r="I6" s="1141"/>
      <c r="J6" s="1141"/>
      <c r="K6" s="1141"/>
      <c r="L6" s="1141"/>
      <c r="M6" s="1141"/>
      <c r="N6" s="1141"/>
      <c r="O6" s="1141"/>
      <c r="P6" s="1141"/>
      <c r="Q6" s="1142"/>
      <c r="R6" s="1141"/>
      <c r="S6" s="1141"/>
      <c r="U6" s="1141"/>
      <c r="W6" s="1141"/>
    </row>
    <row r="7" spans="2:23">
      <c r="B7" s="1141"/>
      <c r="C7" s="1141"/>
      <c r="D7" s="1141"/>
      <c r="E7" s="1141"/>
      <c r="F7" s="1141"/>
      <c r="G7" s="1141"/>
      <c r="H7" s="1141"/>
      <c r="I7" s="1141"/>
      <c r="J7" s="1141"/>
      <c r="K7" s="1141"/>
      <c r="L7" s="1141"/>
      <c r="M7" s="1141"/>
      <c r="N7" s="1141"/>
      <c r="O7" s="1141"/>
      <c r="P7" s="1141"/>
      <c r="Q7" s="1142"/>
      <c r="R7" s="1141"/>
      <c r="S7" s="1141"/>
      <c r="U7" s="1141"/>
      <c r="W7" s="1141"/>
    </row>
    <row r="8" spans="2:23">
      <c r="L8" s="1143" t="s">
        <v>31</v>
      </c>
      <c r="N8" s="1143" t="s">
        <v>191</v>
      </c>
      <c r="P8" s="1143" t="s">
        <v>191</v>
      </c>
      <c r="Q8" s="1144"/>
      <c r="R8" s="1145" t="s">
        <v>39</v>
      </c>
      <c r="S8" s="1146"/>
      <c r="T8" s="1147" t="s">
        <v>39</v>
      </c>
      <c r="U8" s="1146"/>
      <c r="V8" s="1147" t="s">
        <v>39</v>
      </c>
      <c r="W8" s="1146"/>
    </row>
    <row r="9" spans="2:23">
      <c r="F9" s="1148" t="s">
        <v>815</v>
      </c>
      <c r="I9" s="86"/>
      <c r="K9" s="86"/>
      <c r="L9" s="1143" t="s">
        <v>838</v>
      </c>
      <c r="M9" s="1149"/>
      <c r="N9" s="1143" t="s">
        <v>194</v>
      </c>
      <c r="O9" s="1149"/>
      <c r="P9" s="1143" t="s">
        <v>195</v>
      </c>
      <c r="Q9" s="1142"/>
      <c r="R9" s="1145" t="s">
        <v>181</v>
      </c>
      <c r="S9" s="1146"/>
      <c r="T9" s="1147" t="s">
        <v>194</v>
      </c>
      <c r="U9" s="1146"/>
      <c r="V9" s="1147" t="s">
        <v>195</v>
      </c>
      <c r="W9" s="1146"/>
    </row>
    <row r="10" spans="2:23" s="1151" customFormat="1" ht="17.25">
      <c r="B10" s="1148" t="s">
        <v>180</v>
      </c>
      <c r="C10" s="87"/>
      <c r="D10" s="1148"/>
      <c r="E10" s="1148"/>
      <c r="F10" s="1148" t="s">
        <v>816</v>
      </c>
      <c r="G10" s="1148"/>
      <c r="H10" s="1148" t="s">
        <v>817</v>
      </c>
      <c r="I10" s="1143"/>
      <c r="J10" s="1148"/>
      <c r="K10" s="1143"/>
      <c r="L10" s="1143" t="s">
        <v>37</v>
      </c>
      <c r="M10" s="1143"/>
      <c r="N10" s="1143" t="s">
        <v>37</v>
      </c>
      <c r="O10" s="1143"/>
      <c r="P10" s="1143" t="s">
        <v>818</v>
      </c>
      <c r="Q10" s="1150"/>
      <c r="R10" s="1145" t="s">
        <v>183</v>
      </c>
      <c r="S10" s="1143"/>
      <c r="T10" s="1145" t="s">
        <v>183</v>
      </c>
      <c r="U10" s="1143"/>
      <c r="V10" s="1145" t="s">
        <v>183</v>
      </c>
      <c r="W10" s="1143"/>
    </row>
    <row r="11" spans="2:23" ht="18" customHeight="1">
      <c r="B11" s="1152" t="s">
        <v>182</v>
      </c>
      <c r="C11" s="87"/>
      <c r="D11" s="1152" t="s">
        <v>196</v>
      </c>
      <c r="E11" s="87"/>
      <c r="F11" s="1152" t="s">
        <v>182</v>
      </c>
      <c r="G11" s="1148"/>
      <c r="H11" s="1152" t="s">
        <v>819</v>
      </c>
      <c r="I11" s="1148"/>
      <c r="J11" s="1152" t="s">
        <v>23</v>
      </c>
      <c r="K11" s="1148"/>
      <c r="L11" s="1153" t="s">
        <v>192</v>
      </c>
      <c r="M11" s="1148"/>
      <c r="N11" s="1153" t="s">
        <v>192</v>
      </c>
      <c r="O11" s="1148"/>
      <c r="P11" s="1153" t="s">
        <v>192</v>
      </c>
      <c r="Q11" s="1150"/>
      <c r="R11" s="1154" t="s">
        <v>820</v>
      </c>
      <c r="S11" s="1155"/>
      <c r="T11" s="1154" t="s">
        <v>820</v>
      </c>
      <c r="U11" s="1155"/>
      <c r="V11" s="1154" t="s">
        <v>820</v>
      </c>
      <c r="W11" s="1155"/>
    </row>
    <row r="12" spans="2:23" ht="18" customHeight="1">
      <c r="D12" s="1156">
        <v>-1</v>
      </c>
      <c r="F12" s="1156">
        <f>MIN($D12:E12)-1</f>
        <v>-2</v>
      </c>
      <c r="H12" s="1156">
        <f>MIN($D12:G12)-1</f>
        <v>-3</v>
      </c>
      <c r="J12" s="1156">
        <f>MIN($D12:I12)-1</f>
        <v>-4</v>
      </c>
      <c r="L12" s="1156">
        <f>MIN($D12:K12)-1</f>
        <v>-5</v>
      </c>
      <c r="N12" s="1156">
        <f>MIN($D12:M12)-1</f>
        <v>-6</v>
      </c>
      <c r="P12" s="1156">
        <f>MIN($D12:O12)-1</f>
        <v>-7</v>
      </c>
      <c r="Q12" s="1144"/>
      <c r="R12" s="1157">
        <f>MIN($D12:Q12)-1</f>
        <v>-8</v>
      </c>
      <c r="S12" s="86"/>
      <c r="T12" s="1157">
        <f>MIN($D12:S12)-1</f>
        <v>-9</v>
      </c>
      <c r="U12" s="86"/>
      <c r="V12" s="1157">
        <f>MIN($D12:U12)-1</f>
        <v>-10</v>
      </c>
      <c r="W12" s="86"/>
    </row>
    <row r="13" spans="2:23" ht="18" customHeight="1">
      <c r="Q13" s="1144"/>
      <c r="R13" s="1158" t="s">
        <v>821</v>
      </c>
      <c r="S13" s="86"/>
      <c r="T13" s="1158" t="s">
        <v>822</v>
      </c>
      <c r="U13" s="86"/>
      <c r="V13" s="1158" t="s">
        <v>823</v>
      </c>
      <c r="W13" s="86"/>
    </row>
    <row r="14" spans="2:23" ht="18" customHeight="1">
      <c r="D14" s="1159" t="s">
        <v>17</v>
      </c>
      <c r="E14" s="1159"/>
      <c r="Q14" s="1144"/>
    </row>
    <row r="15" spans="2:23" ht="18" customHeight="1">
      <c r="B15" s="86">
        <v>1</v>
      </c>
      <c r="D15" s="52" t="s">
        <v>17</v>
      </c>
      <c r="E15" s="1160"/>
      <c r="F15" s="1161" t="s">
        <v>824</v>
      </c>
      <c r="H15" s="1162" t="e">
        <f>#REF!+#REF!+#REF!+#REF!+#REF!</f>
        <v>#REF!</v>
      </c>
      <c r="J15" s="1162" t="e">
        <f>(#REF!+#REF!+#REF!+#REF!+#REF!)/1000</f>
        <v>#REF!</v>
      </c>
      <c r="L15" s="1164" t="e">
        <f>#REF!/1000</f>
        <v>#REF!</v>
      </c>
      <c r="M15" s="1164"/>
      <c r="N15" s="1164" t="e">
        <f>0.00245*J15</f>
        <v>#REF!</v>
      </c>
      <c r="O15" s="1164"/>
      <c r="P15" s="1164" t="e">
        <f>SUM(L15:O15)</f>
        <v>#REF!</v>
      </c>
      <c r="Q15" s="1165"/>
      <c r="R15" s="1166" t="e">
        <f>L15/$J15</f>
        <v>#REF!</v>
      </c>
      <c r="S15" s="1164"/>
      <c r="T15" s="1166" t="e">
        <f>N15/$J15</f>
        <v>#REF!</v>
      </c>
      <c r="U15" s="1164"/>
      <c r="V15" s="1166" t="e">
        <f>P15/$J15</f>
        <v>#REF!</v>
      </c>
      <c r="W15" s="1164"/>
    </row>
    <row r="16" spans="2:23" ht="18" customHeight="1">
      <c r="B16" s="86">
        <f>MAX(B$15:B15)+1</f>
        <v>2</v>
      </c>
      <c r="D16" s="52" t="s">
        <v>184</v>
      </c>
      <c r="F16" s="86" t="s">
        <v>185</v>
      </c>
      <c r="H16" s="1162" t="e">
        <f>#REF!</f>
        <v>#REF!</v>
      </c>
      <c r="I16" s="1163"/>
      <c r="J16" s="1162" t="e">
        <f>#REF!/1000</f>
        <v>#REF!</v>
      </c>
      <c r="L16" s="1164" t="e">
        <f>#REF!/1000</f>
        <v>#REF!</v>
      </c>
      <c r="M16" s="1164"/>
      <c r="N16" s="1164" t="e">
        <f>0.00219*J16</f>
        <v>#REF!</v>
      </c>
      <c r="O16" s="1164"/>
      <c r="P16" s="1164" t="e">
        <f>SUM(L16:O16)</f>
        <v>#REF!</v>
      </c>
      <c r="Q16" s="1165"/>
      <c r="R16" s="1166" t="e">
        <f>L16/$J16</f>
        <v>#REF!</v>
      </c>
      <c r="S16" s="1167"/>
      <c r="T16" s="1166" t="e">
        <f>N16/$J16</f>
        <v>#REF!</v>
      </c>
      <c r="U16" s="1167"/>
      <c r="V16" s="1166" t="e">
        <f>P16/$J16</f>
        <v>#REF!</v>
      </c>
      <c r="W16" s="1167"/>
    </row>
    <row r="17" spans="2:23" ht="18" customHeight="1">
      <c r="B17" s="86">
        <f>MAX(B$15:B16)+1</f>
        <v>3</v>
      </c>
      <c r="D17" s="52" t="s">
        <v>825</v>
      </c>
      <c r="F17" s="86">
        <v>24</v>
      </c>
      <c r="H17" s="1162" t="e">
        <f>#REF!</f>
        <v>#REF!</v>
      </c>
      <c r="I17" s="1163"/>
      <c r="J17" s="1162" t="e">
        <f>#REF!/1000</f>
        <v>#REF!</v>
      </c>
      <c r="L17" s="1164" t="e">
        <f>#REF!/1000</f>
        <v>#REF!</v>
      </c>
      <c r="M17" s="1164"/>
      <c r="N17" s="1164" t="e">
        <f>0.00245*J17</f>
        <v>#REF!</v>
      </c>
      <c r="O17" s="1164"/>
      <c r="P17" s="1164" t="e">
        <f t="shared" ref="P17" si="0">SUM(L17:O17)</f>
        <v>#REF!</v>
      </c>
      <c r="Q17" s="1165"/>
      <c r="R17" s="1166" t="e">
        <f>L17/$J17</f>
        <v>#REF!</v>
      </c>
      <c r="S17" s="1164"/>
      <c r="T17" s="1166" t="e">
        <f>N17/$J17</f>
        <v>#REF!</v>
      </c>
      <c r="U17" s="1164"/>
      <c r="V17" s="1166" t="e">
        <f>P17/$J17</f>
        <v>#REF!</v>
      </c>
      <c r="W17" s="1164"/>
    </row>
    <row r="18" spans="2:23" ht="18" customHeight="1">
      <c r="B18" s="86">
        <f>MAX(B$15:B16)+1</f>
        <v>3</v>
      </c>
      <c r="D18" s="52" t="s">
        <v>193</v>
      </c>
      <c r="F18" s="86"/>
      <c r="H18" s="1162"/>
      <c r="I18" s="1163"/>
      <c r="J18" s="1163">
        <v>0</v>
      </c>
      <c r="L18" s="1164">
        <v>0</v>
      </c>
      <c r="M18" s="1164"/>
      <c r="N18" s="1164"/>
      <c r="O18" s="1164"/>
      <c r="P18" s="1164">
        <f>SUM(L18:O18)</f>
        <v>0</v>
      </c>
      <c r="Q18" s="1165"/>
      <c r="R18" s="1166"/>
      <c r="S18" s="1167"/>
      <c r="T18" s="1168"/>
      <c r="U18" s="1167"/>
      <c r="V18" s="1168"/>
      <c r="W18" s="1167"/>
    </row>
    <row r="19" spans="2:23" ht="18" customHeight="1">
      <c r="B19" s="86">
        <f>MAX(B$15:B18)+1</f>
        <v>4</v>
      </c>
      <c r="D19" s="87" t="s">
        <v>27</v>
      </c>
      <c r="H19" s="1169" t="e">
        <f>SUM(H15:H18)</f>
        <v>#REF!</v>
      </c>
      <c r="I19" s="1163"/>
      <c r="J19" s="1169" t="e">
        <f>SUM(J15:J18)</f>
        <v>#REF!</v>
      </c>
      <c r="L19" s="1384" t="e">
        <f>SUM(L15:L18)</f>
        <v>#REF!</v>
      </c>
      <c r="M19" s="1164"/>
      <c r="N19" s="1170" t="e">
        <f>SUM(N15:N18)</f>
        <v>#REF!</v>
      </c>
      <c r="O19" s="1164"/>
      <c r="P19" s="1170" t="e">
        <f>SUM(P15:P18)</f>
        <v>#REF!</v>
      </c>
      <c r="Q19" s="1165"/>
      <c r="R19" s="1171" t="e">
        <f>L19/$J19</f>
        <v>#REF!</v>
      </c>
      <c r="S19" s="1164"/>
      <c r="T19" s="1171" t="e">
        <f>N19/$J19</f>
        <v>#REF!</v>
      </c>
      <c r="U19" s="1164"/>
      <c r="V19" s="1171" t="e">
        <f>P19/$J19</f>
        <v>#REF!</v>
      </c>
      <c r="W19" s="1164"/>
    </row>
    <row r="20" spans="2:23" ht="8.25" customHeight="1">
      <c r="H20" s="1163"/>
      <c r="I20" s="1163"/>
      <c r="J20" s="1163"/>
      <c r="L20" s="1164"/>
      <c r="M20" s="1164"/>
      <c r="N20" s="1164"/>
      <c r="O20" s="1164"/>
      <c r="P20" s="1164"/>
      <c r="Q20" s="1165"/>
      <c r="R20" s="1168"/>
      <c r="S20" s="1164"/>
      <c r="T20" s="1168"/>
      <c r="U20" s="1164"/>
      <c r="V20" s="1168"/>
      <c r="W20" s="1164"/>
    </row>
    <row r="21" spans="2:23" ht="18" customHeight="1">
      <c r="D21" s="1159" t="s">
        <v>18</v>
      </c>
      <c r="E21" s="1159"/>
      <c r="F21" s="1159"/>
      <c r="L21" s="1164"/>
      <c r="N21" s="1164"/>
      <c r="P21" s="1164"/>
      <c r="Q21" s="1144"/>
      <c r="R21" s="1168"/>
      <c r="T21" s="1168"/>
      <c r="V21" s="1168"/>
    </row>
    <row r="22" spans="2:23" ht="18" customHeight="1">
      <c r="B22" s="86">
        <f>MAX(B$15:B21)+1</f>
        <v>5</v>
      </c>
      <c r="D22" s="52" t="s">
        <v>184</v>
      </c>
      <c r="F22" s="86" t="s">
        <v>185</v>
      </c>
      <c r="H22" s="1162" t="e">
        <f>#REF!</f>
        <v>#REF!</v>
      </c>
      <c r="I22" s="1163"/>
      <c r="J22" s="1162" t="e">
        <f>#REF!/1000</f>
        <v>#REF!</v>
      </c>
      <c r="L22" s="1164" t="e">
        <f>#REF!/1000</f>
        <v>#REF!</v>
      </c>
      <c r="M22" s="1164"/>
      <c r="N22" s="1164" t="e">
        <f>0.00219*J22</f>
        <v>#REF!</v>
      </c>
      <c r="O22" s="1164"/>
      <c r="P22" s="1164" t="e">
        <f t="shared" ref="P22:P27" si="1">SUM(L22:O22)</f>
        <v>#REF!</v>
      </c>
      <c r="Q22" s="1165"/>
      <c r="R22" s="1166" t="e">
        <f>L22/$J22</f>
        <v>#REF!</v>
      </c>
      <c r="S22" s="1164"/>
      <c r="T22" s="1166" t="e">
        <f>N22/$J22</f>
        <v>#REF!</v>
      </c>
      <c r="U22" s="1164"/>
      <c r="V22" s="1166" t="e">
        <f>P22/$J22</f>
        <v>#REF!</v>
      </c>
      <c r="W22" s="1164"/>
    </row>
    <row r="23" spans="2:23" ht="18" customHeight="1">
      <c r="B23" s="86">
        <f>MAX(B$15:B22)+1</f>
        <v>6</v>
      </c>
      <c r="D23" s="52" t="s">
        <v>186</v>
      </c>
      <c r="F23" s="86" t="s">
        <v>187</v>
      </c>
      <c r="H23" s="1162" t="e">
        <f>#REF!</f>
        <v>#REF!</v>
      </c>
      <c r="I23" s="1163"/>
      <c r="J23" s="1162" t="e">
        <f>#REF!/1000</f>
        <v>#REF!</v>
      </c>
      <c r="L23" s="1164" t="e">
        <f>#REF!/1000</f>
        <v>#REF!</v>
      </c>
      <c r="M23" s="1164"/>
      <c r="N23" s="1164" t="e">
        <f>0.00278*J23</f>
        <v>#REF!</v>
      </c>
      <c r="O23" s="1164"/>
      <c r="P23" s="1164" t="e">
        <f t="shared" si="1"/>
        <v>#REF!</v>
      </c>
      <c r="Q23" s="1165"/>
      <c r="R23" s="1166" t="e">
        <f>L23/$J23</f>
        <v>#REF!</v>
      </c>
      <c r="S23" s="1164"/>
      <c r="T23" s="1166" t="e">
        <f>N23/$J23</f>
        <v>#REF!</v>
      </c>
      <c r="U23" s="1164"/>
      <c r="V23" s="1166" t="e">
        <f>P23/$J23</f>
        <v>#REF!</v>
      </c>
      <c r="W23" s="1164"/>
    </row>
    <row r="24" spans="2:23" ht="18" customHeight="1">
      <c r="B24" s="86">
        <f>MAX(B$15:B23)+1</f>
        <v>7</v>
      </c>
      <c r="D24" s="52" t="s">
        <v>825</v>
      </c>
      <c r="F24" s="86">
        <v>24</v>
      </c>
      <c r="H24" s="1162" t="e">
        <f>#REF!</f>
        <v>#REF!</v>
      </c>
      <c r="I24" s="1163"/>
      <c r="J24" s="1162" t="e">
        <f>#REF!/1000</f>
        <v>#REF!</v>
      </c>
      <c r="L24" s="1164" t="e">
        <f>(#REF!+#REF!+#REF!)/1000</f>
        <v>#REF!</v>
      </c>
      <c r="M24" s="1164"/>
      <c r="N24" s="1164" t="e">
        <f>0.00245*J24</f>
        <v>#REF!</v>
      </c>
      <c r="O24" s="1164"/>
      <c r="P24" s="1164" t="e">
        <f t="shared" si="1"/>
        <v>#REF!</v>
      </c>
      <c r="Q24" s="1165"/>
      <c r="R24" s="1166" t="e">
        <f>L24/$J24</f>
        <v>#REF!</v>
      </c>
      <c r="S24" s="1164"/>
      <c r="T24" s="1166" t="e">
        <f>N24/$J24</f>
        <v>#REF!</v>
      </c>
      <c r="U24" s="1164"/>
      <c r="V24" s="1166" t="e">
        <f>P24/$J24</f>
        <v>#REF!</v>
      </c>
      <c r="W24" s="1164"/>
    </row>
    <row r="25" spans="2:23" ht="18" customHeight="1">
      <c r="B25" s="86">
        <f>MAX(B$15:B24)+1</f>
        <v>8</v>
      </c>
      <c r="D25" s="52" t="s">
        <v>826</v>
      </c>
      <c r="F25" s="86">
        <v>36</v>
      </c>
      <c r="H25" s="1162" t="e">
        <f>#REF!</f>
        <v>#REF!</v>
      </c>
      <c r="I25" s="1163"/>
      <c r="J25" s="1162" t="e">
        <f>#REF!/1000</f>
        <v>#REF!</v>
      </c>
      <c r="L25" s="1164" t="e">
        <f>#REF!/1000</f>
        <v>#REF!</v>
      </c>
      <c r="M25" s="1164"/>
      <c r="N25" s="1164" t="e">
        <f>0.00204*J25</f>
        <v>#REF!</v>
      </c>
      <c r="O25" s="1164"/>
      <c r="P25" s="1164" t="e">
        <f t="shared" si="1"/>
        <v>#REF!</v>
      </c>
      <c r="Q25" s="1165"/>
      <c r="R25" s="1166" t="e">
        <f>L25/$J25</f>
        <v>#REF!</v>
      </c>
      <c r="S25" s="1164"/>
      <c r="T25" s="1166" t="e">
        <f>N25/$J25</f>
        <v>#REF!</v>
      </c>
      <c r="U25" s="1164"/>
      <c r="V25" s="1166" t="e">
        <f>P25/$J25</f>
        <v>#REF!</v>
      </c>
      <c r="W25" s="1164"/>
    </row>
    <row r="26" spans="2:23" ht="18" customHeight="1">
      <c r="B26" s="86">
        <f>MAX(B$15:B25)+1</f>
        <v>9</v>
      </c>
      <c r="D26" s="52" t="s">
        <v>827</v>
      </c>
      <c r="F26" s="86">
        <v>48</v>
      </c>
      <c r="H26" s="1162" t="e">
        <f>#REF!</f>
        <v>#REF!</v>
      </c>
      <c r="I26" s="1163"/>
      <c r="J26" s="1162" t="e">
        <f>#REF!/1000</f>
        <v>#REF!</v>
      </c>
      <c r="L26" s="1164" t="e">
        <f>#REF!/1000</f>
        <v>#REF!</v>
      </c>
      <c r="M26" s="1164"/>
      <c r="N26" s="1164" t="e">
        <f>0.00166*J26</f>
        <v>#REF!</v>
      </c>
      <c r="O26" s="1164"/>
      <c r="P26" s="1164" t="e">
        <f t="shared" si="1"/>
        <v>#REF!</v>
      </c>
      <c r="Q26" s="1165"/>
      <c r="R26" s="1166" t="e">
        <f>L26/$J26</f>
        <v>#REF!</v>
      </c>
      <c r="S26" s="1167"/>
      <c r="T26" s="1166" t="e">
        <f>N26/$J26</f>
        <v>#REF!</v>
      </c>
      <c r="U26" s="1167"/>
      <c r="V26" s="1166" t="e">
        <f>P26/$J26</f>
        <v>#REF!</v>
      </c>
      <c r="W26" s="1167"/>
    </row>
    <row r="27" spans="2:23" ht="18" customHeight="1">
      <c r="B27" s="86">
        <f>MAX(B$15:B26)+1</f>
        <v>10</v>
      </c>
      <c r="D27" s="52" t="s">
        <v>193</v>
      </c>
      <c r="F27" s="86"/>
      <c r="H27" s="1162"/>
      <c r="I27" s="1163"/>
      <c r="J27" s="1163">
        <v>0</v>
      </c>
      <c r="L27" s="1164">
        <v>0</v>
      </c>
      <c r="M27" s="1164"/>
      <c r="N27" s="1164"/>
      <c r="O27" s="1164"/>
      <c r="P27" s="1164">
        <f t="shared" si="1"/>
        <v>0</v>
      </c>
      <c r="Q27" s="1165"/>
      <c r="R27" s="1166"/>
      <c r="S27" s="1167"/>
      <c r="T27" s="1168"/>
      <c r="U27" s="1167"/>
      <c r="V27" s="1168"/>
      <c r="W27" s="1167"/>
    </row>
    <row r="28" spans="2:23" ht="18" customHeight="1">
      <c r="B28" s="86">
        <f>MAX(B$15:B27)+1</f>
        <v>11</v>
      </c>
      <c r="D28" s="87" t="s">
        <v>28</v>
      </c>
      <c r="H28" s="1169" t="e">
        <f>SUM(H22:H27)</f>
        <v>#REF!</v>
      </c>
      <c r="I28" s="1163"/>
      <c r="J28" s="1169" t="e">
        <f>SUM(J22:J27)</f>
        <v>#REF!</v>
      </c>
      <c r="L28" s="1170" t="e">
        <f>SUM(L22:L27)</f>
        <v>#REF!</v>
      </c>
      <c r="M28" s="1164"/>
      <c r="N28" s="1170" t="e">
        <f>SUM(N22:N27)</f>
        <v>#REF!</v>
      </c>
      <c r="O28" s="1164"/>
      <c r="P28" s="1170" t="e">
        <f>SUM(P22:P27)</f>
        <v>#REF!</v>
      </c>
      <c r="Q28" s="1165"/>
      <c r="R28" s="1171" t="e">
        <f>L28/$J28</f>
        <v>#REF!</v>
      </c>
      <c r="S28" s="1164"/>
      <c r="T28" s="1171" t="e">
        <f>N28/$J28</f>
        <v>#REF!</v>
      </c>
      <c r="U28" s="1164"/>
      <c r="V28" s="1171" t="e">
        <f>P28/$J28</f>
        <v>#REF!</v>
      </c>
      <c r="W28" s="1164"/>
    </row>
    <row r="29" spans="2:23" ht="8.25" customHeight="1">
      <c r="L29" s="1383"/>
      <c r="Q29" s="1144"/>
      <c r="R29" s="1168"/>
      <c r="T29" s="1168"/>
      <c r="V29" s="1168"/>
    </row>
    <row r="30" spans="2:23">
      <c r="D30" s="1159" t="s">
        <v>30</v>
      </c>
      <c r="E30" s="1159"/>
      <c r="F30" s="1159"/>
      <c r="L30" s="1164"/>
      <c r="N30" s="1164"/>
      <c r="P30" s="1164"/>
      <c r="Q30" s="1144"/>
      <c r="R30" s="1168"/>
      <c r="T30" s="1168"/>
      <c r="V30" s="1168"/>
    </row>
    <row r="31" spans="2:23" ht="18" customHeight="1">
      <c r="B31" s="86">
        <f>MAX(B$15:B30)+1</f>
        <v>12</v>
      </c>
      <c r="D31" s="52" t="s">
        <v>184</v>
      </c>
      <c r="F31" s="86" t="s">
        <v>185</v>
      </c>
      <c r="H31" s="1162" t="e">
        <f>#REF!</f>
        <v>#REF!</v>
      </c>
      <c r="I31" s="1163"/>
      <c r="J31" s="1162" t="e">
        <f>#REF!/1000</f>
        <v>#REF!</v>
      </c>
      <c r="L31" s="1164" t="e">
        <f>#REF!/1000</f>
        <v>#REF!</v>
      </c>
      <c r="M31" s="1164"/>
      <c r="N31" s="1164" t="e">
        <f>0.00219*J31</f>
        <v>#REF!</v>
      </c>
      <c r="O31" s="1164"/>
      <c r="P31" s="1164" t="e">
        <f>SUM(L31:O31)</f>
        <v>#REF!</v>
      </c>
      <c r="Q31" s="1165"/>
      <c r="R31" s="1166" t="e">
        <f>L31/$J31</f>
        <v>#REF!</v>
      </c>
      <c r="S31" s="1164"/>
      <c r="T31" s="1166" t="e">
        <f t="shared" ref="T31:T40" si="2">N31/$J31</f>
        <v>#REF!</v>
      </c>
      <c r="U31" s="1164"/>
      <c r="V31" s="1166" t="e">
        <f t="shared" ref="V31:V40" si="3">P31/$J31</f>
        <v>#REF!</v>
      </c>
      <c r="W31" s="1164"/>
    </row>
    <row r="32" spans="2:23" ht="18" customHeight="1">
      <c r="B32" s="86">
        <f>MAX(B$15:B31)+1</f>
        <v>13</v>
      </c>
      <c r="D32" s="52" t="s">
        <v>825</v>
      </c>
      <c r="F32" s="86">
        <v>24</v>
      </c>
      <c r="H32" s="1162" t="e">
        <f>#REF!</f>
        <v>#REF!</v>
      </c>
      <c r="I32" s="1163"/>
      <c r="J32" s="1162" t="e">
        <f>#REF!/1000</f>
        <v>#REF!</v>
      </c>
      <c r="L32" s="1164" t="e">
        <f>(#REF!+#REF!+#REF!)/1000</f>
        <v>#REF!</v>
      </c>
      <c r="M32" s="1164"/>
      <c r="N32" s="1164" t="e">
        <f>0.00245*J32</f>
        <v>#REF!</v>
      </c>
      <c r="O32" s="1164"/>
      <c r="P32" s="1164" t="e">
        <f t="shared" ref="P32:P41" si="4">SUM(L32:O32)</f>
        <v>#REF!</v>
      </c>
      <c r="Q32" s="1165"/>
      <c r="R32" s="1166" t="e">
        <f>L32/$J32</f>
        <v>#REF!</v>
      </c>
      <c r="S32" s="1164"/>
      <c r="T32" s="1166" t="e">
        <f>N32/$J32</f>
        <v>#REF!</v>
      </c>
      <c r="U32" s="1164"/>
      <c r="V32" s="1166" t="e">
        <f t="shared" si="3"/>
        <v>#REF!</v>
      </c>
      <c r="W32" s="1164"/>
    </row>
    <row r="33" spans="2:23" ht="18" customHeight="1">
      <c r="B33" s="86">
        <f>MAX(B$15:B32)+1</f>
        <v>14</v>
      </c>
      <c r="D33" s="52" t="s">
        <v>826</v>
      </c>
      <c r="F33" s="86">
        <v>36</v>
      </c>
      <c r="H33" s="1162" t="e">
        <f>#REF!</f>
        <v>#REF!</v>
      </c>
      <c r="I33" s="1163"/>
      <c r="J33" s="1162" t="e">
        <f>#REF!/1000</f>
        <v>#REF!</v>
      </c>
      <c r="L33" s="1164" t="e">
        <f>#REF!/1000</f>
        <v>#REF!</v>
      </c>
      <c r="M33" s="1164"/>
      <c r="N33" s="1164" t="e">
        <f>0.00204*J33</f>
        <v>#REF!</v>
      </c>
      <c r="O33" s="1164"/>
      <c r="P33" s="1164" t="e">
        <f t="shared" si="4"/>
        <v>#REF!</v>
      </c>
      <c r="Q33" s="1165"/>
      <c r="R33" s="1166" t="e">
        <f>L33/$J33</f>
        <v>#REF!</v>
      </c>
      <c r="S33" s="1164"/>
      <c r="T33" s="1166" t="e">
        <f t="shared" si="2"/>
        <v>#REF!</v>
      </c>
      <c r="U33" s="1164"/>
      <c r="V33" s="1166" t="e">
        <f t="shared" si="3"/>
        <v>#REF!</v>
      </c>
      <c r="W33" s="1164"/>
    </row>
    <row r="34" spans="2:23" ht="18" customHeight="1">
      <c r="B34" s="86">
        <f>MAX(B$15:B33)+1</f>
        <v>15</v>
      </c>
      <c r="D34" s="52" t="s">
        <v>828</v>
      </c>
      <c r="F34" s="86">
        <v>47</v>
      </c>
      <c r="H34" s="1162" t="e">
        <f>#REF!</f>
        <v>#REF!</v>
      </c>
      <c r="I34" s="1163"/>
      <c r="J34" s="1162" t="e">
        <f>#REF!/1000</f>
        <v>#REF!</v>
      </c>
      <c r="L34" s="1164" t="e">
        <f>#REF!/1000</f>
        <v>#REF!</v>
      </c>
      <c r="M34" s="1164"/>
      <c r="N34" s="1164" t="e">
        <f>0.00166*J34</f>
        <v>#REF!</v>
      </c>
      <c r="O34" s="1164"/>
      <c r="P34" s="1164" t="e">
        <f>SUM(L34:O34)</f>
        <v>#REF!</v>
      </c>
      <c r="Q34" s="1165"/>
      <c r="R34" s="1166" t="e">
        <f>L34/$J34</f>
        <v>#REF!</v>
      </c>
      <c r="S34" s="1164"/>
      <c r="T34" s="1166" t="e">
        <f t="shared" si="2"/>
        <v>#REF!</v>
      </c>
      <c r="U34" s="1164"/>
      <c r="V34" s="1166" t="e">
        <f t="shared" si="3"/>
        <v>#REF!</v>
      </c>
      <c r="W34" s="1164"/>
    </row>
    <row r="35" spans="2:23" ht="18" customHeight="1">
      <c r="B35" s="86">
        <f>MAX(B$15:B34)+1</f>
        <v>16</v>
      </c>
      <c r="D35" s="52" t="s">
        <v>827</v>
      </c>
      <c r="F35" s="86">
        <v>48</v>
      </c>
      <c r="H35" s="1162" t="e">
        <f>#REF!+#REF!</f>
        <v>#REF!</v>
      </c>
      <c r="I35" s="1163"/>
      <c r="J35" s="1162" t="e">
        <f>(#REF!+#REF!)/1000</f>
        <v>#REF!</v>
      </c>
      <c r="L35" s="1164" t="e">
        <f>(#REF!+#REF!)/1000</f>
        <v>#REF!</v>
      </c>
      <c r="M35" s="1164"/>
      <c r="N35" s="1164" t="e">
        <f>0.00166*J35</f>
        <v>#REF!</v>
      </c>
      <c r="O35" s="1164"/>
      <c r="P35" s="1164" t="e">
        <f t="shared" si="4"/>
        <v>#REF!</v>
      </c>
      <c r="Q35" s="1165"/>
      <c r="R35" s="1166" t="e">
        <f>L35/$J35</f>
        <v>#REF!</v>
      </c>
      <c r="S35" s="1164"/>
      <c r="T35" s="1166" t="e">
        <f t="shared" si="2"/>
        <v>#REF!</v>
      </c>
      <c r="U35" s="1164"/>
      <c r="V35" s="1166" t="e">
        <f t="shared" si="3"/>
        <v>#REF!</v>
      </c>
      <c r="W35" s="1164"/>
    </row>
    <row r="36" spans="2:23" ht="18" customHeight="1">
      <c r="B36" s="86">
        <f>MAX(B$15:B35)+1</f>
        <v>17</v>
      </c>
      <c r="D36" s="52" t="s">
        <v>193</v>
      </c>
      <c r="F36" s="86"/>
      <c r="H36" s="1172"/>
      <c r="I36" s="1163"/>
      <c r="J36" s="1173">
        <v>0</v>
      </c>
      <c r="L36" s="1174">
        <v>0</v>
      </c>
      <c r="M36" s="1164"/>
      <c r="N36" s="1174"/>
      <c r="O36" s="1164"/>
      <c r="P36" s="1175">
        <f t="shared" si="4"/>
        <v>0</v>
      </c>
      <c r="Q36" s="1165"/>
      <c r="R36" s="1176"/>
      <c r="S36" s="1164"/>
      <c r="T36" s="1176"/>
      <c r="U36" s="1164"/>
      <c r="V36" s="1176"/>
      <c r="W36" s="1164"/>
    </row>
    <row r="37" spans="2:23" ht="18" customHeight="1">
      <c r="B37" s="86"/>
      <c r="D37" s="87" t="s">
        <v>829</v>
      </c>
      <c r="F37" s="86"/>
      <c r="H37" s="1162" t="e">
        <f>SUM(H31:H36)</f>
        <v>#REF!</v>
      </c>
      <c r="I37" s="1163"/>
      <c r="J37" s="1163" t="e">
        <f>SUM(J31:J36)</f>
        <v>#REF!</v>
      </c>
      <c r="L37" s="1164" t="e">
        <f>SUM(L31:L36)</f>
        <v>#REF!</v>
      </c>
      <c r="M37" s="1164"/>
      <c r="N37" s="1164" t="e">
        <f>SUM(N31:N36)</f>
        <v>#REF!</v>
      </c>
      <c r="O37" s="1164"/>
      <c r="P37" s="1164" t="e">
        <f>SUM(P31:P36)</f>
        <v>#REF!</v>
      </c>
      <c r="Q37" s="1165"/>
      <c r="R37" s="1166" t="e">
        <f>L37/$J37</f>
        <v>#REF!</v>
      </c>
      <c r="S37" s="1164"/>
      <c r="T37" s="1166" t="e">
        <f>N37/$J37</f>
        <v>#REF!</v>
      </c>
      <c r="U37" s="1164"/>
      <c r="V37" s="1166" t="e">
        <f>P37/$J37</f>
        <v>#REF!</v>
      </c>
      <c r="W37" s="1164"/>
    </row>
    <row r="38" spans="2:23" ht="10.5" customHeight="1">
      <c r="B38" s="86"/>
      <c r="F38" s="86"/>
      <c r="H38" s="1162"/>
      <c r="I38" s="1163"/>
      <c r="J38" s="1163"/>
      <c r="L38" s="1164"/>
      <c r="M38" s="1164"/>
      <c r="N38" s="1164"/>
      <c r="O38" s="1164"/>
      <c r="P38" s="1164"/>
      <c r="Q38" s="1165"/>
      <c r="R38" s="1166"/>
      <c r="S38" s="1164"/>
      <c r="T38" s="1166"/>
      <c r="U38" s="1164"/>
      <c r="V38" s="1166"/>
      <c r="W38" s="1164"/>
    </row>
    <row r="39" spans="2:23">
      <c r="D39" s="1159" t="s">
        <v>198</v>
      </c>
      <c r="E39" s="1159"/>
      <c r="F39" s="1159"/>
      <c r="L39" s="1164"/>
      <c r="N39" s="1164"/>
      <c r="P39" s="1164"/>
      <c r="Q39" s="1144"/>
      <c r="R39" s="1168"/>
      <c r="T39" s="1168"/>
      <c r="V39" s="1168"/>
    </row>
    <row r="40" spans="2:23" ht="18" customHeight="1">
      <c r="B40" s="86">
        <f>MAX(B$15:B39)+1</f>
        <v>18</v>
      </c>
      <c r="D40" s="52" t="s">
        <v>190</v>
      </c>
      <c r="F40" s="86">
        <v>40</v>
      </c>
      <c r="H40" s="1162" t="e">
        <f>#REF!</f>
        <v>#REF!</v>
      </c>
      <c r="I40" s="1163"/>
      <c r="J40" s="1162" t="e">
        <f>#REF!/1000</f>
        <v>#REF!</v>
      </c>
      <c r="L40" s="1164" t="e">
        <f>#REF!/1000</f>
        <v>#REF!</v>
      </c>
      <c r="M40" s="1164"/>
      <c r="N40" s="1164" t="e">
        <f>0.0023*J40</f>
        <v>#REF!</v>
      </c>
      <c r="O40" s="1164"/>
      <c r="P40" s="1164" t="e">
        <f t="shared" si="4"/>
        <v>#REF!</v>
      </c>
      <c r="Q40" s="1165"/>
      <c r="R40" s="1166" t="e">
        <f>L40/$J40</f>
        <v>#REF!</v>
      </c>
      <c r="S40" s="1167"/>
      <c r="T40" s="1166" t="e">
        <f t="shared" si="2"/>
        <v>#REF!</v>
      </c>
      <c r="U40" s="1167"/>
      <c r="V40" s="1166" t="e">
        <f t="shared" si="3"/>
        <v>#REF!</v>
      </c>
      <c r="W40" s="1167"/>
    </row>
    <row r="41" spans="2:23" ht="18" customHeight="1">
      <c r="B41" s="86">
        <f>MAX(B$15:B40)+1</f>
        <v>19</v>
      </c>
      <c r="D41" s="52" t="s">
        <v>193</v>
      </c>
      <c r="F41" s="86"/>
      <c r="H41" s="1172"/>
      <c r="I41" s="1163"/>
      <c r="J41" s="1173">
        <v>0</v>
      </c>
      <c r="L41" s="1174">
        <v>0</v>
      </c>
      <c r="M41" s="1164"/>
      <c r="N41" s="1174"/>
      <c r="O41" s="1164"/>
      <c r="P41" s="1174">
        <f t="shared" si="4"/>
        <v>0</v>
      </c>
      <c r="Q41" s="1165"/>
      <c r="R41" s="1176"/>
      <c r="S41" s="1167"/>
      <c r="T41" s="1177"/>
      <c r="U41" s="1167"/>
      <c r="V41" s="1177"/>
      <c r="W41" s="1167"/>
    </row>
    <row r="42" spans="2:23" ht="18" customHeight="1">
      <c r="B42" s="86"/>
      <c r="D42" s="87" t="s">
        <v>208</v>
      </c>
      <c r="F42" s="86"/>
      <c r="H42" s="1162" t="e">
        <f>SUM(H40:H41)</f>
        <v>#REF!</v>
      </c>
      <c r="I42" s="1163"/>
      <c r="J42" s="1163" t="e">
        <f>SUM(J40:J41)</f>
        <v>#REF!</v>
      </c>
      <c r="L42" s="1164" t="e">
        <f>SUM(L40:L41)</f>
        <v>#REF!</v>
      </c>
      <c r="M42" s="1164"/>
      <c r="N42" s="1164" t="e">
        <f>SUM(N40:N41)</f>
        <v>#REF!</v>
      </c>
      <c r="O42" s="1164"/>
      <c r="P42" s="1164" t="e">
        <f>SUM(P40:P41)</f>
        <v>#REF!</v>
      </c>
      <c r="Q42" s="1165"/>
      <c r="R42" s="1166" t="e">
        <f>L42/$J42</f>
        <v>#REF!</v>
      </c>
      <c r="S42" s="1164"/>
      <c r="T42" s="1166" t="e">
        <f>N42/$J42</f>
        <v>#REF!</v>
      </c>
      <c r="U42" s="1164"/>
      <c r="V42" s="1166" t="e">
        <f>P42/$J42</f>
        <v>#REF!</v>
      </c>
      <c r="W42" s="1164"/>
    </row>
    <row r="43" spans="2:23" ht="9" customHeight="1">
      <c r="B43" s="86"/>
      <c r="F43" s="86"/>
      <c r="H43" s="1162"/>
      <c r="I43" s="1163"/>
      <c r="J43" s="1163"/>
      <c r="L43" s="1164"/>
      <c r="M43" s="1164"/>
      <c r="N43" s="1164"/>
      <c r="O43" s="1164"/>
      <c r="P43" s="1164"/>
      <c r="Q43" s="1165"/>
      <c r="R43" s="1166"/>
      <c r="S43" s="1164"/>
      <c r="T43" s="1166"/>
      <c r="U43" s="1164"/>
      <c r="V43" s="1166"/>
      <c r="W43" s="1164"/>
    </row>
    <row r="44" spans="2:23">
      <c r="B44" s="86">
        <f>MAX(B$15:B43)+1</f>
        <v>20</v>
      </c>
      <c r="D44" s="87" t="s">
        <v>830</v>
      </c>
      <c r="H44" s="1169" t="e">
        <f>H37+H42</f>
        <v>#REF!</v>
      </c>
      <c r="I44" s="1163"/>
      <c r="J44" s="1169" t="e">
        <f>J37+J42</f>
        <v>#REF!</v>
      </c>
      <c r="L44" s="1170" t="e">
        <f>L37+L42</f>
        <v>#REF!</v>
      </c>
      <c r="M44" s="1164"/>
      <c r="N44" s="1170" t="e">
        <f>N37+N42</f>
        <v>#REF!</v>
      </c>
      <c r="O44" s="1164"/>
      <c r="P44" s="1170" t="e">
        <f>P37+P42</f>
        <v>#REF!</v>
      </c>
      <c r="Q44" s="1165"/>
      <c r="R44" s="1171" t="e">
        <f>L44/$J44</f>
        <v>#REF!</v>
      </c>
      <c r="S44" s="1164"/>
      <c r="T44" s="1171" t="e">
        <f>N44/$J44</f>
        <v>#REF!</v>
      </c>
      <c r="U44" s="1164"/>
      <c r="V44" s="1171" t="e">
        <f>P44/$J44</f>
        <v>#REF!</v>
      </c>
      <c r="W44" s="1164"/>
    </row>
    <row r="45" spans="2:23" ht="8.25" customHeight="1">
      <c r="L45" s="1383"/>
      <c r="Q45" s="1144"/>
      <c r="R45" s="1168"/>
      <c r="T45" s="1168"/>
      <c r="V45" s="1168"/>
    </row>
    <row r="46" spans="2:23">
      <c r="B46" s="86">
        <f>MAX(B$15:B45)+1</f>
        <v>21</v>
      </c>
      <c r="D46" s="87" t="s">
        <v>831</v>
      </c>
      <c r="H46" s="1169" t="e">
        <f>H28+H37+H42</f>
        <v>#REF!</v>
      </c>
      <c r="I46" s="1163"/>
      <c r="J46" s="1169" t="e">
        <f>J28+J37+J42</f>
        <v>#REF!</v>
      </c>
      <c r="L46" s="1170" t="e">
        <f>L28+L37+L42</f>
        <v>#REF!</v>
      </c>
      <c r="M46" s="1164"/>
      <c r="N46" s="1170" t="e">
        <f>N28+N37+N42</f>
        <v>#REF!</v>
      </c>
      <c r="O46" s="1164"/>
      <c r="P46" s="1170" t="e">
        <f>P28+P37+P42</f>
        <v>#REF!</v>
      </c>
      <c r="Q46" s="1165"/>
      <c r="R46" s="1171" t="e">
        <f>L46/$J46</f>
        <v>#REF!</v>
      </c>
      <c r="S46" s="1164"/>
      <c r="T46" s="1171" t="e">
        <f>N46/$J46</f>
        <v>#REF!</v>
      </c>
      <c r="U46" s="1164"/>
      <c r="V46" s="1171" t="e">
        <f>P46/$J46</f>
        <v>#REF!</v>
      </c>
      <c r="W46" s="1164"/>
    </row>
    <row r="47" spans="2:23" ht="8.25" customHeight="1">
      <c r="L47" s="1383"/>
      <c r="Q47" s="1144"/>
      <c r="R47" s="1168"/>
      <c r="T47" s="1168"/>
      <c r="V47" s="1168"/>
    </row>
    <row r="48" spans="2:23">
      <c r="D48" s="1159" t="s">
        <v>188</v>
      </c>
      <c r="H48" s="1163"/>
      <c r="I48" s="1163"/>
      <c r="J48" s="1163"/>
      <c r="L48" s="1164"/>
      <c r="M48" s="1164"/>
      <c r="N48" s="1164"/>
      <c r="O48" s="1164"/>
      <c r="P48" s="1164"/>
      <c r="Q48" s="1165"/>
      <c r="R48" s="1168"/>
      <c r="S48" s="1164"/>
      <c r="T48" s="1168"/>
      <c r="U48" s="1164"/>
      <c r="V48" s="1168"/>
      <c r="W48" s="1164"/>
    </row>
    <row r="49" spans="2:23" ht="18" customHeight="1">
      <c r="B49" s="86">
        <f>MAX(B$15:B48)+1</f>
        <v>22</v>
      </c>
      <c r="D49" s="52" t="s">
        <v>832</v>
      </c>
      <c r="F49" s="86">
        <v>51</v>
      </c>
      <c r="H49" s="1162" t="e">
        <f>#REF!</f>
        <v>#REF!</v>
      </c>
      <c r="I49" s="1163"/>
      <c r="J49" s="1162" t="e">
        <f>#REF!/1000</f>
        <v>#REF!</v>
      </c>
      <c r="L49" s="1164" t="e">
        <f>#REF!/1000</f>
        <v>#REF!</v>
      </c>
      <c r="M49" s="1164"/>
      <c r="N49" s="1164" t="e">
        <f>0.00219*J49</f>
        <v>#REF!</v>
      </c>
      <c r="O49" s="1164"/>
      <c r="P49" s="1164" t="e">
        <f>SUM(L49:O49)</f>
        <v>#REF!</v>
      </c>
      <c r="Q49" s="1165"/>
      <c r="R49" s="1166" t="e">
        <f>L49/$J49</f>
        <v>#REF!</v>
      </c>
      <c r="S49" s="1164"/>
      <c r="T49" s="1166" t="e">
        <f>N49/$J49</f>
        <v>#REF!</v>
      </c>
      <c r="U49" s="1164"/>
      <c r="V49" s="1166" t="e">
        <f>P49/$J49</f>
        <v>#REF!</v>
      </c>
      <c r="W49" s="1164"/>
    </row>
    <row r="50" spans="2:23" ht="18" customHeight="1">
      <c r="B50" s="86">
        <f>MAX(B$15:B49)+1</f>
        <v>23</v>
      </c>
      <c r="D50" s="52" t="s">
        <v>833</v>
      </c>
      <c r="F50" s="86">
        <v>52</v>
      </c>
      <c r="H50" s="1162" t="e">
        <f>#REF!</f>
        <v>#REF!</v>
      </c>
      <c r="I50" s="1163"/>
      <c r="J50" s="1162" t="e">
        <f>#REF!/1000</f>
        <v>#REF!</v>
      </c>
      <c r="L50" s="1164" t="e">
        <f>#REF!/1000</f>
        <v>#REF!</v>
      </c>
      <c r="M50" s="1178"/>
      <c r="N50" s="1164" t="e">
        <f>0.00219*J50</f>
        <v>#REF!</v>
      </c>
      <c r="O50" s="1178"/>
      <c r="P50" s="1164" t="e">
        <f>SUM(L50:O50)</f>
        <v>#REF!</v>
      </c>
      <c r="Q50" s="1179"/>
      <c r="R50" s="1166" t="e">
        <f>L50/$J50</f>
        <v>#REF!</v>
      </c>
      <c r="S50" s="1164"/>
      <c r="T50" s="1166" t="e">
        <f>N50/$J50</f>
        <v>#REF!</v>
      </c>
      <c r="U50" s="1164"/>
      <c r="V50" s="1166" t="e">
        <f>P50/$J50</f>
        <v>#REF!</v>
      </c>
      <c r="W50" s="1164"/>
    </row>
    <row r="51" spans="2:23" ht="18" customHeight="1">
      <c r="B51" s="86">
        <f>MAX(B$15:B50)+1</f>
        <v>24</v>
      </c>
      <c r="D51" s="52" t="s">
        <v>834</v>
      </c>
      <c r="F51" s="86">
        <v>53</v>
      </c>
      <c r="H51" s="1162" t="e">
        <f>#REF!+#REF!</f>
        <v>#REF!</v>
      </c>
      <c r="I51" s="1163"/>
      <c r="J51" s="1162" t="e">
        <f>(#REF!+#REF!)/1000</f>
        <v>#REF!</v>
      </c>
      <c r="L51" s="1164" t="e">
        <f>#REF!/1000</f>
        <v>#REF!</v>
      </c>
      <c r="M51" s="1164"/>
      <c r="N51" s="1164" t="e">
        <f>0.00219*J51</f>
        <v>#REF!</v>
      </c>
      <c r="O51" s="1164"/>
      <c r="P51" s="1164" t="e">
        <f>SUM(L51:O51)</f>
        <v>#REF!</v>
      </c>
      <c r="Q51" s="1165"/>
      <c r="R51" s="1166" t="e">
        <f>L51/$J51</f>
        <v>#REF!</v>
      </c>
      <c r="S51" s="1164"/>
      <c r="T51" s="1166" t="e">
        <f>N51/$J51</f>
        <v>#REF!</v>
      </c>
      <c r="U51" s="1164"/>
      <c r="V51" s="1166" t="e">
        <f>P51/$J51</f>
        <v>#REF!</v>
      </c>
      <c r="W51" s="1164"/>
    </row>
    <row r="52" spans="2:23" ht="18" customHeight="1">
      <c r="B52" s="86">
        <f>MAX(B$15:B51)+1</f>
        <v>25</v>
      </c>
      <c r="D52" s="52" t="s">
        <v>835</v>
      </c>
      <c r="F52" s="86">
        <v>57</v>
      </c>
      <c r="H52" s="1162" t="e">
        <f>#REF!</f>
        <v>#REF!</v>
      </c>
      <c r="I52" s="1163"/>
      <c r="J52" s="1162" t="e">
        <f>#REF!/1000</f>
        <v>#REF!</v>
      </c>
      <c r="L52" s="1164" t="e">
        <f>#REF!/1000</f>
        <v>#REF!</v>
      </c>
      <c r="M52" s="1164"/>
      <c r="N52" s="1164" t="e">
        <f>0.00219*J52</f>
        <v>#REF!</v>
      </c>
      <c r="O52" s="1164"/>
      <c r="P52" s="1164" t="e">
        <f>SUM(L52:O52)</f>
        <v>#REF!</v>
      </c>
      <c r="Q52" s="1165"/>
      <c r="R52" s="1166" t="e">
        <f>L52/$J52</f>
        <v>#REF!</v>
      </c>
      <c r="S52" s="1167"/>
      <c r="T52" s="1166" t="e">
        <f>N52/$J52</f>
        <v>#REF!</v>
      </c>
      <c r="U52" s="1167"/>
      <c r="V52" s="1166" t="e">
        <f>P52/$J52</f>
        <v>#REF!</v>
      </c>
      <c r="W52" s="1167"/>
    </row>
    <row r="53" spans="2:23" ht="18" customHeight="1">
      <c r="B53" s="86">
        <f>MAX(B$15:B52)+1</f>
        <v>26</v>
      </c>
      <c r="D53" s="52" t="s">
        <v>193</v>
      </c>
      <c r="F53" s="86"/>
      <c r="H53" s="1162"/>
      <c r="I53" s="1163"/>
      <c r="J53" s="1163">
        <v>0</v>
      </c>
      <c r="L53" s="1164">
        <v>0</v>
      </c>
      <c r="M53" s="1164"/>
      <c r="N53" s="1164"/>
      <c r="O53" s="1164"/>
      <c r="P53" s="1164">
        <f>SUM(L53:O53)</f>
        <v>0</v>
      </c>
      <c r="Q53" s="1165"/>
      <c r="R53" s="1166"/>
      <c r="S53" s="1167"/>
      <c r="T53" s="1168"/>
      <c r="U53" s="1167"/>
      <c r="V53" s="1168"/>
      <c r="W53" s="1167"/>
    </row>
    <row r="54" spans="2:23" ht="18" customHeight="1">
      <c r="B54" s="86">
        <f>MAX(B$15:B53)+1</f>
        <v>27</v>
      </c>
      <c r="D54" s="87" t="s">
        <v>836</v>
      </c>
      <c r="H54" s="1169" t="e">
        <f>SUM(H49:H53)</f>
        <v>#REF!</v>
      </c>
      <c r="I54" s="1163"/>
      <c r="J54" s="1169" t="e">
        <f>SUM(J49:J53)</f>
        <v>#REF!</v>
      </c>
      <c r="L54" s="1170" t="e">
        <f>SUM(L49:L53)</f>
        <v>#REF!</v>
      </c>
      <c r="M54" s="1164"/>
      <c r="N54" s="1170" t="e">
        <f>SUM(N49:N53)</f>
        <v>#REF!</v>
      </c>
      <c r="O54" s="1164"/>
      <c r="P54" s="1170" t="e">
        <f>SUM(P49:P53)</f>
        <v>#REF!</v>
      </c>
      <c r="Q54" s="1165"/>
      <c r="R54" s="1171" t="e">
        <f>L54/$J54</f>
        <v>#REF!</v>
      </c>
      <c r="S54" s="1164"/>
      <c r="T54" s="1171" t="e">
        <f>N54/$J54</f>
        <v>#REF!</v>
      </c>
      <c r="U54" s="1164"/>
      <c r="V54" s="1171" t="e">
        <f>P54/$J54</f>
        <v>#REF!</v>
      </c>
      <c r="W54" s="1164"/>
    </row>
    <row r="55" spans="2:23" ht="8.25" customHeight="1">
      <c r="H55" s="1163"/>
      <c r="I55" s="1163"/>
      <c r="J55" s="1163"/>
      <c r="L55" s="1164"/>
      <c r="M55" s="1164"/>
      <c r="N55" s="1164"/>
      <c r="O55" s="1164"/>
      <c r="P55" s="1164"/>
      <c r="Q55" s="1165"/>
      <c r="R55" s="1168"/>
      <c r="S55" s="1164"/>
      <c r="T55" s="1168"/>
      <c r="U55" s="1164"/>
      <c r="V55" s="1168"/>
      <c r="W55" s="1164"/>
    </row>
    <row r="56" spans="2:23" ht="18" customHeight="1">
      <c r="B56" s="86">
        <f>MAX(B$15:B55)+1</f>
        <v>28</v>
      </c>
      <c r="D56" s="52" t="s">
        <v>34</v>
      </c>
      <c r="F56" s="86"/>
      <c r="H56" s="1162"/>
      <c r="I56" s="1163"/>
      <c r="J56" s="1163">
        <v>0</v>
      </c>
      <c r="L56" s="1164" t="e">
        <f>#REF!/1000</f>
        <v>#REF!</v>
      </c>
      <c r="M56" s="1164"/>
      <c r="N56" s="1164"/>
      <c r="O56" s="1164"/>
      <c r="P56" s="1164" t="e">
        <f>SUM(L56:O56)</f>
        <v>#REF!</v>
      </c>
      <c r="Q56" s="1165"/>
      <c r="R56" s="1166"/>
      <c r="S56" s="1167"/>
      <c r="T56" s="1180"/>
      <c r="U56" s="1167"/>
      <c r="V56" s="1180"/>
      <c r="W56" s="1167"/>
    </row>
    <row r="57" spans="2:23" ht="6.75" customHeight="1" thickBot="1">
      <c r="B57" s="86"/>
      <c r="F57" s="86"/>
      <c r="H57" s="1162"/>
      <c r="I57" s="1163"/>
      <c r="J57" s="1163"/>
      <c r="L57" s="1164"/>
      <c r="M57" s="1164"/>
      <c r="N57" s="1164"/>
      <c r="O57" s="1164"/>
      <c r="P57" s="1164"/>
      <c r="Q57" s="1165"/>
      <c r="R57" s="1166"/>
      <c r="S57" s="1167"/>
      <c r="T57" s="1168"/>
      <c r="U57" s="1167"/>
      <c r="V57" s="1168"/>
      <c r="W57" s="1167"/>
    </row>
    <row r="58" spans="2:23" ht="18" customHeight="1" thickTop="1">
      <c r="B58" s="86">
        <f>MAX(B$15:B57)+1</f>
        <v>29</v>
      </c>
      <c r="D58" s="87" t="s">
        <v>189</v>
      </c>
      <c r="H58" s="1181" t="e">
        <f>H19+H28+H37+H42+H54+H56</f>
        <v>#REF!</v>
      </c>
      <c r="I58" s="1163"/>
      <c r="J58" s="1181" t="e">
        <f>J19+J28+J37+J42+J54+J56</f>
        <v>#REF!</v>
      </c>
      <c r="K58" s="1163"/>
      <c r="L58" s="1182" t="e">
        <f>L19+L28+L37+L42+L54+L56</f>
        <v>#REF!</v>
      </c>
      <c r="M58" s="1164"/>
      <c r="N58" s="1182" t="e">
        <f>N19+N28+N37+N42+N54+N56</f>
        <v>#REF!</v>
      </c>
      <c r="O58" s="1164"/>
      <c r="P58" s="1182" t="e">
        <f>P19+P28+P37+P42+P54+P56</f>
        <v>#REF!</v>
      </c>
      <c r="Q58" s="1165"/>
      <c r="R58" s="1183" t="e">
        <f>L58/$J58</f>
        <v>#REF!</v>
      </c>
      <c r="S58" s="1184"/>
      <c r="T58" s="1183" t="e">
        <f>N58/$J58</f>
        <v>#REF!</v>
      </c>
      <c r="U58" s="1184"/>
      <c r="V58" s="1183" t="e">
        <f>P58/$J58</f>
        <v>#REF!</v>
      </c>
      <c r="W58" s="1184"/>
    </row>
    <row r="59" spans="2:23" ht="8.25" customHeight="1">
      <c r="H59" s="1163"/>
      <c r="I59" s="1163"/>
      <c r="J59" s="1163"/>
      <c r="L59" s="1164"/>
      <c r="M59" s="1164"/>
      <c r="N59" s="1164"/>
      <c r="O59" s="1164"/>
      <c r="P59" s="1164"/>
      <c r="Q59" s="1164"/>
      <c r="S59" s="1164"/>
      <c r="U59" s="1164"/>
      <c r="W59" s="1164"/>
    </row>
    <row r="60" spans="2:23">
      <c r="H60" s="1163"/>
      <c r="I60" s="1163"/>
      <c r="L60" s="1164"/>
      <c r="M60" s="1164"/>
      <c r="N60" s="1164"/>
      <c r="O60" s="1164"/>
      <c r="P60" s="1164"/>
      <c r="Q60" s="1164"/>
      <c r="R60" s="1164"/>
      <c r="S60" s="1164"/>
      <c r="U60" s="1164"/>
      <c r="W60" s="1164"/>
    </row>
    <row r="61" spans="2:23" ht="23.25" customHeight="1">
      <c r="B61" s="1185"/>
      <c r="D61" s="1186" t="s">
        <v>837</v>
      </c>
    </row>
    <row r="62" spans="2:23" ht="16.5">
      <c r="B62" s="1185"/>
      <c r="J62" s="52" t="s">
        <v>34</v>
      </c>
    </row>
    <row r="63" spans="2:23" ht="18">
      <c r="B63" s="1186"/>
      <c r="J63" s="1187" t="s">
        <v>839</v>
      </c>
      <c r="L63" s="1164">
        <v>783</v>
      </c>
    </row>
    <row r="64" spans="2:23">
      <c r="J64" s="52" t="s">
        <v>840</v>
      </c>
      <c r="L64" s="1164">
        <v>415441</v>
      </c>
    </row>
    <row r="65" spans="10:12">
      <c r="J65" s="52" t="s">
        <v>841</v>
      </c>
      <c r="L65" s="1164">
        <v>235203</v>
      </c>
    </row>
    <row r="66" spans="10:12">
      <c r="J66" s="52" t="s">
        <v>700</v>
      </c>
      <c r="L66" s="1164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0"/>
  <sheetViews>
    <sheetView view="pageBreakPreview" zoomScale="60" zoomScaleNormal="75" workbookViewId="0"/>
  </sheetViews>
  <sheetFormatPr defaultRowHeight="15"/>
  <cols>
    <col min="1" max="1" width="6.75" style="1036" bestFit="1" customWidth="1"/>
    <col min="2" max="2" width="22.625" style="1036" customWidth="1"/>
    <col min="3" max="3" width="4.75" style="1036" customWidth="1"/>
    <col min="4" max="4" width="15.125" style="1036" bestFit="1" customWidth="1"/>
    <col min="5" max="5" width="14.25" style="1036" bestFit="1" customWidth="1"/>
    <col min="6" max="7" width="17.625" style="1036" bestFit="1" customWidth="1"/>
    <col min="8" max="8" width="18.75" style="1036" bestFit="1" customWidth="1"/>
    <col min="9" max="9" width="16.375" style="1036" bestFit="1" customWidth="1"/>
    <col min="10" max="10" width="15.25" style="1036" bestFit="1" customWidth="1"/>
    <col min="11" max="11" width="15.375" style="1036" bestFit="1" customWidth="1"/>
    <col min="12" max="12" width="14.25" style="1036" customWidth="1"/>
    <col min="13" max="13" width="10.75" style="1036" bestFit="1" customWidth="1"/>
    <col min="14" max="16384" width="9" style="1036"/>
  </cols>
  <sheetData>
    <row r="1" spans="1:11" ht="15.75">
      <c r="A1" s="1030"/>
      <c r="B1" s="1031" t="s">
        <v>721</v>
      </c>
      <c r="C1" s="1032"/>
      <c r="D1" s="1033"/>
      <c r="E1" s="1033"/>
      <c r="F1" s="1033"/>
      <c r="G1" s="1034"/>
      <c r="H1" s="1033"/>
      <c r="I1" s="1033"/>
      <c r="J1" s="1033"/>
      <c r="K1" s="1035"/>
    </row>
    <row r="2" spans="1:11" ht="15.75">
      <c r="A2" s="1037"/>
      <c r="B2" s="1031" t="s">
        <v>771</v>
      </c>
      <c r="C2" s="1032"/>
      <c r="D2" s="1033"/>
      <c r="E2" s="1033"/>
      <c r="F2" s="1033"/>
      <c r="G2" s="1034"/>
      <c r="H2" s="1033"/>
      <c r="I2" s="1033"/>
      <c r="J2" s="1033"/>
      <c r="K2" s="1035"/>
    </row>
    <row r="3" spans="1:11" ht="15.75">
      <c r="A3" s="1037"/>
      <c r="B3" s="1031" t="s">
        <v>47</v>
      </c>
      <c r="C3" s="1032"/>
      <c r="D3" s="1033"/>
      <c r="E3" s="1033"/>
      <c r="F3" s="1033"/>
      <c r="G3" s="1034"/>
      <c r="H3" s="1033"/>
      <c r="I3" s="1033"/>
      <c r="J3" s="1033"/>
      <c r="K3" s="1035"/>
    </row>
    <row r="4" spans="1:11" ht="15.75">
      <c r="A4" s="1037"/>
      <c r="B4" s="1038" t="s">
        <v>881</v>
      </c>
      <c r="C4" s="1032"/>
      <c r="D4" s="1033"/>
      <c r="E4" s="1033"/>
      <c r="F4" s="1033"/>
      <c r="G4" s="1034"/>
      <c r="H4" s="1033"/>
      <c r="I4" s="1033"/>
      <c r="J4" s="1033"/>
      <c r="K4" s="1035"/>
    </row>
    <row r="5" spans="1:11" ht="15.75">
      <c r="A5" s="1037"/>
      <c r="B5" s="1031" t="s">
        <v>880</v>
      </c>
      <c r="C5" s="1032"/>
      <c r="D5" s="1033"/>
      <c r="E5" s="1033"/>
      <c r="F5" s="1033"/>
      <c r="G5" s="1034"/>
      <c r="H5" s="1033"/>
      <c r="I5" s="1033"/>
      <c r="J5" s="1033"/>
      <c r="K5" s="1035"/>
    </row>
    <row r="6" spans="1:11" ht="15.75">
      <c r="A6" s="1037"/>
      <c r="B6" s="1038" t="s">
        <v>772</v>
      </c>
      <c r="C6" s="1032"/>
      <c r="D6" s="1033"/>
      <c r="E6" s="1033"/>
      <c r="F6" s="1033"/>
      <c r="G6" s="1034"/>
      <c r="H6" s="1033"/>
      <c r="I6" s="1033"/>
      <c r="J6" s="1033"/>
      <c r="K6" s="1035"/>
    </row>
    <row r="7" spans="1:11" ht="15.75">
      <c r="A7" s="1037"/>
      <c r="B7" s="1039"/>
      <c r="C7" s="1040"/>
      <c r="D7" s="1035"/>
      <c r="E7" s="1035"/>
      <c r="F7" s="1035"/>
      <c r="G7" s="1041"/>
      <c r="H7" s="1035"/>
      <c r="I7" s="1035"/>
      <c r="J7" s="1035"/>
      <c r="K7" s="1035"/>
    </row>
    <row r="8" spans="1:11" ht="15.75">
      <c r="A8" s="1042"/>
      <c r="B8" s="1033"/>
      <c r="C8" s="1032"/>
      <c r="D8" s="1033"/>
      <c r="E8" s="1033"/>
      <c r="F8" s="1033"/>
      <c r="G8" s="1034"/>
      <c r="H8" s="1033"/>
      <c r="I8" s="1033"/>
      <c r="J8" s="1033"/>
      <c r="K8" s="1033"/>
    </row>
    <row r="9" spans="1:11" ht="15.75">
      <c r="A9" s="1037"/>
      <c r="B9" s="1043" t="s">
        <v>3</v>
      </c>
      <c r="C9" s="1040"/>
      <c r="D9" s="1043" t="s">
        <v>4</v>
      </c>
      <c r="E9" s="1043" t="s">
        <v>5</v>
      </c>
      <c r="F9" s="1043" t="s">
        <v>6</v>
      </c>
      <c r="G9" s="1043" t="s">
        <v>7</v>
      </c>
      <c r="H9" s="1043" t="s">
        <v>773</v>
      </c>
      <c r="I9" s="1043" t="s">
        <v>774</v>
      </c>
      <c r="J9" s="1043" t="s">
        <v>775</v>
      </c>
      <c r="K9" s="1043" t="s">
        <v>8</v>
      </c>
    </row>
    <row r="10" spans="1:11" ht="15.75">
      <c r="A10" s="1037"/>
      <c r="B10" s="1039"/>
      <c r="C10" s="1040"/>
      <c r="D10" s="1039"/>
      <c r="E10" s="1039"/>
      <c r="F10" s="1039"/>
      <c r="G10" s="1044"/>
      <c r="H10" s="1039"/>
      <c r="I10" s="1039"/>
      <c r="J10" s="1039"/>
      <c r="K10" s="1039"/>
    </row>
    <row r="11" spans="1:11" ht="15.75">
      <c r="A11" s="1037"/>
      <c r="B11" s="1039"/>
      <c r="C11" s="1040"/>
      <c r="D11" s="1045"/>
      <c r="E11" s="1046" t="s">
        <v>776</v>
      </c>
      <c r="F11" s="1046" t="s">
        <v>777</v>
      </c>
      <c r="G11" s="1047" t="s">
        <v>777</v>
      </c>
      <c r="H11" s="1046" t="s">
        <v>777</v>
      </c>
      <c r="I11" s="1046" t="s">
        <v>778</v>
      </c>
      <c r="J11" s="1046" t="s">
        <v>779</v>
      </c>
      <c r="K11" s="1039"/>
    </row>
    <row r="12" spans="1:11" ht="15.75">
      <c r="A12" s="1037"/>
      <c r="B12" s="1039"/>
      <c r="C12" s="1040"/>
      <c r="D12" s="1046" t="s">
        <v>17</v>
      </c>
      <c r="E12" s="1046" t="s">
        <v>780</v>
      </c>
      <c r="F12" s="1046" t="s">
        <v>781</v>
      </c>
      <c r="G12" s="1047" t="s">
        <v>782</v>
      </c>
      <c r="H12" s="1046" t="s">
        <v>783</v>
      </c>
      <c r="I12" s="1046" t="s">
        <v>784</v>
      </c>
      <c r="J12" s="1046" t="s">
        <v>700</v>
      </c>
      <c r="K12" s="1039"/>
    </row>
    <row r="13" spans="1:11" ht="15.75">
      <c r="A13" s="1037"/>
      <c r="B13" s="1048" t="s">
        <v>196</v>
      </c>
      <c r="C13" s="1049"/>
      <c r="D13" s="1050" t="s">
        <v>66</v>
      </c>
      <c r="E13" s="1050" t="s">
        <v>67</v>
      </c>
      <c r="F13" s="1050" t="s">
        <v>68</v>
      </c>
      <c r="G13" s="1051" t="s">
        <v>785</v>
      </c>
      <c r="H13" s="1050" t="s">
        <v>785</v>
      </c>
      <c r="I13" s="1050" t="s">
        <v>766</v>
      </c>
      <c r="J13" s="1050" t="s">
        <v>786</v>
      </c>
      <c r="K13" s="1048" t="s">
        <v>9</v>
      </c>
    </row>
    <row r="14" spans="1:11" ht="15.75">
      <c r="A14" s="1037"/>
      <c r="B14" s="1035"/>
      <c r="C14" s="1037"/>
      <c r="D14" s="1035"/>
      <c r="E14" s="1035"/>
      <c r="F14" s="1035"/>
      <c r="G14" s="1041"/>
      <c r="H14" s="1035"/>
      <c r="I14" s="1035"/>
      <c r="J14" s="1035"/>
      <c r="K14" s="1035"/>
    </row>
    <row r="15" spans="1:11" ht="15.75">
      <c r="A15" s="1037"/>
      <c r="B15" s="1035"/>
      <c r="C15" s="1037"/>
      <c r="D15" s="1052"/>
      <c r="E15" s="1035"/>
      <c r="F15" s="1035"/>
      <c r="G15" s="1041"/>
      <c r="H15" s="1035"/>
      <c r="I15" s="1035"/>
      <c r="J15" s="1035"/>
      <c r="K15" s="1035"/>
    </row>
    <row r="16" spans="1:11" ht="15.75">
      <c r="A16" s="1053">
        <v>1</v>
      </c>
      <c r="B16" s="1041" t="s">
        <v>787</v>
      </c>
      <c r="C16" s="1053"/>
      <c r="D16" s="290">
        <v>69587573.312795997</v>
      </c>
      <c r="E16" s="290">
        <v>19268452.758709002</v>
      </c>
      <c r="F16" s="290">
        <v>28793590.487508014</v>
      </c>
      <c r="G16" s="1071">
        <v>8759113.0141130015</v>
      </c>
      <c r="H16" s="290">
        <v>0</v>
      </c>
      <c r="I16" s="1071">
        <v>4769558.9889639998</v>
      </c>
      <c r="J16" s="1071">
        <v>171532.64266599983</v>
      </c>
      <c r="K16" s="1052">
        <v>131349821.20475602</v>
      </c>
    </row>
    <row r="17" spans="1:11" ht="15.75">
      <c r="A17" s="1053">
        <v>2</v>
      </c>
      <c r="B17" s="1041"/>
      <c r="C17" s="1053"/>
      <c r="D17" s="1071"/>
      <c r="E17" s="1072"/>
      <c r="F17" s="1072"/>
      <c r="G17" s="1072"/>
      <c r="H17" s="1072"/>
      <c r="I17" s="1072"/>
      <c r="J17" s="1072"/>
      <c r="K17" s="1041"/>
    </row>
    <row r="18" spans="1:11" ht="15.75">
      <c r="A18" s="1053">
        <v>3</v>
      </c>
      <c r="B18" s="1041" t="s">
        <v>788</v>
      </c>
      <c r="C18" s="1053"/>
      <c r="D18" s="290">
        <v>0</v>
      </c>
      <c r="E18" s="292">
        <v>0</v>
      </c>
      <c r="F18" s="292">
        <v>533854.04754599999</v>
      </c>
      <c r="G18" s="1071">
        <v>2245399.2289469996</v>
      </c>
      <c r="H18" s="290">
        <v>11490152.732678002</v>
      </c>
      <c r="I18" s="290">
        <v>0</v>
      </c>
      <c r="J18" s="290">
        <v>0</v>
      </c>
      <c r="K18" s="1052">
        <v>14269406.009171002</v>
      </c>
    </row>
    <row r="19" spans="1:11" ht="15.75">
      <c r="A19" s="1053">
        <v>4</v>
      </c>
      <c r="B19" s="1041"/>
      <c r="C19" s="1053"/>
      <c r="D19" s="1072"/>
      <c r="E19" s="1072"/>
      <c r="F19" s="1072"/>
      <c r="G19" s="1072"/>
      <c r="H19" s="1072"/>
      <c r="I19" s="1072"/>
      <c r="J19" s="1072"/>
      <c r="K19" s="1041"/>
    </row>
    <row r="20" spans="1:11" ht="15.75">
      <c r="A20" s="1053">
        <v>5</v>
      </c>
      <c r="B20" s="1041" t="s">
        <v>789</v>
      </c>
      <c r="C20" s="1053"/>
      <c r="D20" s="290">
        <v>0</v>
      </c>
      <c r="E20" s="290">
        <v>0</v>
      </c>
      <c r="F20" s="290">
        <v>0</v>
      </c>
      <c r="G20" s="290">
        <v>0</v>
      </c>
      <c r="H20" s="290">
        <v>0</v>
      </c>
      <c r="I20" s="290">
        <v>0</v>
      </c>
      <c r="J20" s="290">
        <v>0</v>
      </c>
      <c r="K20" s="1052">
        <v>0</v>
      </c>
    </row>
    <row r="21" spans="1:11" ht="15.75">
      <c r="A21" s="1053">
        <v>6</v>
      </c>
      <c r="B21" s="1035"/>
      <c r="C21" s="1054"/>
      <c r="D21" s="1073"/>
      <c r="E21" s="1073"/>
      <c r="F21" s="1073"/>
      <c r="G21" s="1072"/>
      <c r="H21" s="1073"/>
      <c r="I21" s="1073"/>
      <c r="J21" s="1073"/>
      <c r="K21" s="1035"/>
    </row>
    <row r="22" spans="1:11" ht="15.75">
      <c r="A22" s="1053">
        <v>7</v>
      </c>
      <c r="B22" s="1055" t="s">
        <v>790</v>
      </c>
      <c r="C22" s="1056"/>
      <c r="D22" s="1074">
        <v>0</v>
      </c>
      <c r="E22" s="1074">
        <v>0</v>
      </c>
      <c r="F22" s="1074">
        <v>0</v>
      </c>
      <c r="G22" s="1074">
        <v>0</v>
      </c>
      <c r="H22" s="1074">
        <v>0</v>
      </c>
      <c r="I22" s="1074">
        <v>0</v>
      </c>
      <c r="J22" s="1074">
        <v>0</v>
      </c>
      <c r="K22" s="1057">
        <v>0</v>
      </c>
    </row>
    <row r="23" spans="1:11" ht="15.75">
      <c r="A23" s="1053">
        <v>8</v>
      </c>
      <c r="B23" s="1058"/>
      <c r="C23" s="1054"/>
      <c r="D23" s="1075"/>
      <c r="E23" s="1075"/>
      <c r="F23" s="1075"/>
      <c r="G23" s="1076"/>
      <c r="H23" s="1075"/>
      <c r="I23" s="1075"/>
      <c r="J23" s="1075"/>
      <c r="K23" s="1035"/>
    </row>
    <row r="24" spans="1:11" ht="15.75">
      <c r="A24" s="1053">
        <v>9</v>
      </c>
      <c r="B24" s="1055" t="s">
        <v>791</v>
      </c>
      <c r="C24" s="1056"/>
      <c r="D24" s="1071">
        <v>69587573.312795997</v>
      </c>
      <c r="E24" s="1071">
        <v>19268452.758709002</v>
      </c>
      <c r="F24" s="1071">
        <v>29327444.535054013</v>
      </c>
      <c r="G24" s="1071">
        <v>11004512.24306</v>
      </c>
      <c r="H24" s="1071">
        <v>11490152.732678002</v>
      </c>
      <c r="I24" s="1071">
        <v>4769558.9889639998</v>
      </c>
      <c r="J24" s="1071">
        <v>171532.64266599983</v>
      </c>
      <c r="K24" s="1052">
        <v>145619227.213927</v>
      </c>
    </row>
    <row r="25" spans="1:11" ht="15.75">
      <c r="A25" s="1053">
        <v>10</v>
      </c>
      <c r="B25" s="1055"/>
      <c r="C25" s="1056"/>
      <c r="D25" s="1072"/>
      <c r="E25" s="1072"/>
      <c r="F25" s="1072"/>
      <c r="G25" s="1072"/>
      <c r="H25" s="1072"/>
      <c r="I25" s="1072"/>
      <c r="J25" s="1072"/>
      <c r="K25" s="1052"/>
    </row>
    <row r="26" spans="1:11" ht="15.75">
      <c r="A26" s="1053">
        <v>11</v>
      </c>
      <c r="B26" s="1055" t="s">
        <v>792</v>
      </c>
      <c r="C26" s="1056"/>
      <c r="D26" s="1071">
        <v>1724927.9887686002</v>
      </c>
      <c r="E26" s="1071">
        <v>595729.14975529991</v>
      </c>
      <c r="F26" s="1071">
        <v>981962.22261010017</v>
      </c>
      <c r="G26" s="1071">
        <v>422493.48878500005</v>
      </c>
      <c r="H26" s="1071">
        <v>479698.73047480005</v>
      </c>
      <c r="I26" s="1071">
        <v>162896.54249220001</v>
      </c>
      <c r="J26" s="1071">
        <v>14191.225617799999</v>
      </c>
      <c r="K26" s="1052">
        <v>4381899.3485038001</v>
      </c>
    </row>
    <row r="27" spans="1:11" ht="15.75">
      <c r="A27" s="1053">
        <v>12</v>
      </c>
      <c r="B27" s="1055"/>
      <c r="C27" s="1056"/>
      <c r="D27" s="1072"/>
      <c r="E27" s="1072"/>
      <c r="F27" s="1072"/>
      <c r="G27" s="1072"/>
      <c r="H27" s="1072"/>
      <c r="I27" s="1072"/>
      <c r="J27" s="1072"/>
      <c r="K27" s="1041"/>
    </row>
    <row r="28" spans="1:11" ht="15.75">
      <c r="A28" s="1053">
        <v>13</v>
      </c>
      <c r="B28" s="1055" t="s">
        <v>793</v>
      </c>
      <c r="C28" s="1056"/>
      <c r="D28" s="1077">
        <v>0.39364847331730179</v>
      </c>
      <c r="E28" s="1077">
        <v>0.13595226689967482</v>
      </c>
      <c r="F28" s="1077">
        <v>0.22409511139168253</v>
      </c>
      <c r="G28" s="1077">
        <v>9.6417889865329856E-2</v>
      </c>
      <c r="H28" s="1077">
        <v>0.10947278618770494</v>
      </c>
      <c r="I28" s="1077">
        <v>3.7174870880551159E-2</v>
      </c>
      <c r="J28" s="1077">
        <v>3.2386014577549787E-3</v>
      </c>
      <c r="K28" s="1059">
        <v>1</v>
      </c>
    </row>
    <row r="29" spans="1:11" ht="15.75">
      <c r="A29" s="1053">
        <v>14</v>
      </c>
      <c r="B29" s="1055"/>
      <c r="C29" s="1056"/>
      <c r="D29" s="1078"/>
      <c r="E29" s="1078"/>
      <c r="F29" s="1078"/>
      <c r="G29" s="1078"/>
      <c r="H29" s="1078"/>
      <c r="I29" s="1078"/>
      <c r="J29" s="1078"/>
      <c r="K29" s="1060"/>
    </row>
    <row r="30" spans="1:11" ht="15.75">
      <c r="A30" s="1053">
        <v>15</v>
      </c>
      <c r="B30" s="1035"/>
      <c r="C30" s="1054"/>
      <c r="D30" s="1079"/>
      <c r="E30" s="1080"/>
      <c r="F30" s="1080"/>
      <c r="G30" s="1079"/>
      <c r="H30" s="1080"/>
      <c r="I30" s="1080"/>
      <c r="J30" s="1080"/>
      <c r="K30" s="1061"/>
    </row>
    <row r="31" spans="1:11" ht="15.75">
      <c r="A31" s="1062">
        <v>16</v>
      </c>
      <c r="B31" s="1063" t="s">
        <v>892</v>
      </c>
      <c r="C31" s="1062"/>
      <c r="D31" s="1308">
        <v>0.42986524523464786</v>
      </c>
      <c r="E31" s="1308">
        <v>0.13439073648238098</v>
      </c>
      <c r="F31" s="1308">
        <v>0.21433542262855332</v>
      </c>
      <c r="G31" s="1308">
        <v>8.745349578408107E-2</v>
      </c>
      <c r="H31" s="1308">
        <v>9.6328837771136933E-2</v>
      </c>
      <c r="I31" s="1308">
        <v>3.5273739368692297E-2</v>
      </c>
      <c r="J31" s="1308">
        <v>2.3525227305076475E-3</v>
      </c>
      <c r="K31" s="1309">
        <v>0.99999999999999978</v>
      </c>
    </row>
    <row r="32" spans="1:11" ht="15.75">
      <c r="A32" s="1053">
        <v>17</v>
      </c>
      <c r="B32" s="1035"/>
      <c r="C32" s="1064" t="s">
        <v>31</v>
      </c>
      <c r="D32" s="1065"/>
      <c r="E32" s="1066"/>
      <c r="F32" s="1066"/>
      <c r="G32" s="1065"/>
      <c r="H32" s="1066"/>
      <c r="I32" s="1066"/>
      <c r="J32" s="1066"/>
      <c r="K32" s="1066"/>
    </row>
    <row r="33" spans="1:20" ht="15.75">
      <c r="A33" s="1053">
        <v>18</v>
      </c>
      <c r="B33" s="1036" t="s">
        <v>794</v>
      </c>
      <c r="D33" s="1067">
        <f t="shared" ref="D33:J33" si="0">$C$60*D31</f>
        <v>58746390.298440829</v>
      </c>
      <c r="E33" s="1067">
        <f t="shared" si="0"/>
        <v>18366152.522005554</v>
      </c>
      <c r="F33" s="1067">
        <f t="shared" si="0"/>
        <v>29291580.401307046</v>
      </c>
      <c r="G33" s="1067">
        <f t="shared" si="0"/>
        <v>11951599.375032654</v>
      </c>
      <c r="H33" s="1067">
        <f t="shared" si="0"/>
        <v>13164524.379283957</v>
      </c>
      <c r="I33" s="1067">
        <f t="shared" si="0"/>
        <v>4820591.7626756122</v>
      </c>
      <c r="J33" s="1067">
        <f t="shared" si="0"/>
        <v>321501.26125436451</v>
      </c>
      <c r="K33" s="1067">
        <v>136662340</v>
      </c>
    </row>
    <row r="34" spans="1:20" ht="15.75">
      <c r="A34" s="1053"/>
      <c r="B34" s="1314"/>
      <c r="D34" s="1067"/>
      <c r="E34" s="1067"/>
      <c r="F34" s="1067"/>
      <c r="G34" s="1067"/>
      <c r="H34" s="1067"/>
      <c r="I34" s="1067"/>
      <c r="J34" s="1067"/>
      <c r="K34" s="1067"/>
    </row>
    <row r="35" spans="1:20" ht="15.75">
      <c r="A35" s="1053"/>
      <c r="B35" s="1315">
        <v>447</v>
      </c>
      <c r="D35" s="1067"/>
      <c r="E35" s="1067"/>
      <c r="F35" s="1067"/>
      <c r="G35" s="1067"/>
      <c r="H35" s="1067"/>
      <c r="I35" s="1067"/>
      <c r="J35" s="1067"/>
      <c r="K35" s="1067">
        <v>-22569946</v>
      </c>
    </row>
    <row r="36" spans="1:20" ht="15.75">
      <c r="A36" s="1053"/>
      <c r="B36" s="1315" t="s">
        <v>909</v>
      </c>
      <c r="C36" s="1316" t="s">
        <v>774</v>
      </c>
      <c r="D36" s="1067"/>
      <c r="E36" s="1067"/>
      <c r="F36" s="1067"/>
      <c r="G36" s="1067"/>
      <c r="H36" s="1067"/>
      <c r="I36" s="1067"/>
      <c r="J36" s="1067"/>
      <c r="K36" s="1067">
        <v>56678904</v>
      </c>
    </row>
    <row r="37" spans="1:20" ht="15.75">
      <c r="A37" s="1053"/>
      <c r="B37" s="1315" t="s">
        <v>910</v>
      </c>
      <c r="C37" s="1316" t="s">
        <v>774</v>
      </c>
      <c r="D37" s="1067"/>
      <c r="E37" s="1067"/>
      <c r="F37" s="1067"/>
      <c r="G37" s="1067"/>
      <c r="H37" s="1067"/>
      <c r="I37" s="1067"/>
      <c r="J37" s="1067"/>
      <c r="K37" s="1067">
        <v>0</v>
      </c>
    </row>
    <row r="38" spans="1:20" ht="15.75">
      <c r="A38" s="1053"/>
      <c r="B38" s="1315" t="s">
        <v>911</v>
      </c>
      <c r="C38" s="1316" t="s">
        <v>774</v>
      </c>
      <c r="D38" s="1067"/>
      <c r="E38" s="1067"/>
      <c r="F38" s="1067"/>
      <c r="G38" s="1067"/>
      <c r="H38" s="1067"/>
      <c r="I38" s="1067"/>
      <c r="J38" s="1067"/>
      <c r="K38" s="1067">
        <v>20939704</v>
      </c>
    </row>
    <row r="39" spans="1:20" ht="15.75">
      <c r="A39" s="1053"/>
      <c r="B39" s="1315">
        <v>555</v>
      </c>
      <c r="C39" s="1316" t="s">
        <v>774</v>
      </c>
      <c r="D39" s="1067"/>
      <c r="E39" s="1067"/>
      <c r="F39" s="1067"/>
      <c r="G39" s="1067"/>
      <c r="H39" s="1067"/>
      <c r="I39" s="1067"/>
      <c r="J39" s="1067"/>
      <c r="K39" s="1067">
        <v>56274790</v>
      </c>
    </row>
    <row r="40" spans="1:20" ht="15.75">
      <c r="A40" s="1053"/>
      <c r="B40" s="1315" t="s">
        <v>912</v>
      </c>
      <c r="C40" s="1316" t="s">
        <v>913</v>
      </c>
      <c r="D40" s="1067"/>
      <c r="E40" s="1067"/>
      <c r="F40" s="1067"/>
      <c r="G40" s="1067"/>
      <c r="H40" s="1067"/>
      <c r="I40" s="1067"/>
      <c r="J40" s="1067"/>
      <c r="K40" s="1067">
        <v>25338889</v>
      </c>
    </row>
    <row r="41" spans="1:20" ht="15.75">
      <c r="A41" s="1053"/>
      <c r="B41" s="1315"/>
      <c r="D41" s="1067"/>
      <c r="E41" s="1067"/>
      <c r="F41" s="1067"/>
      <c r="G41" s="1067"/>
      <c r="H41" s="1067"/>
      <c r="I41" s="1067"/>
      <c r="J41" s="1067"/>
      <c r="K41" s="1067"/>
    </row>
    <row r="42" spans="1:20" ht="15.75">
      <c r="A42" s="1053"/>
      <c r="B42" s="1319" t="s">
        <v>878</v>
      </c>
      <c r="D42" s="1067">
        <f>$K$42*D31</f>
        <v>49397983.430638</v>
      </c>
      <c r="E42" s="1067">
        <f t="shared" ref="E42:J42" si="1">$K$42*E31</f>
        <v>15443517.352430074</v>
      </c>
      <c r="F42" s="1067">
        <f t="shared" si="1"/>
        <v>24630364.452526528</v>
      </c>
      <c r="G42" s="1067">
        <f t="shared" si="1"/>
        <v>10049722.287586337</v>
      </c>
      <c r="H42" s="1067">
        <f t="shared" si="1"/>
        <v>11069632.599662187</v>
      </c>
      <c r="I42" s="1067">
        <f t="shared" si="1"/>
        <v>4053483.3001448261</v>
      </c>
      <c r="J42" s="1067">
        <f t="shared" si="1"/>
        <v>270340.25232344912</v>
      </c>
      <c r="K42" s="1067">
        <f>(K36+K38+K39)+(L42/L44)*K35</f>
        <v>114915043.67531139</v>
      </c>
      <c r="L42" s="1068">
        <f>SUM(K36:K39)</f>
        <v>133893398</v>
      </c>
    </row>
    <row r="43" spans="1:20" ht="15.75">
      <c r="A43" s="1053"/>
      <c r="B43" s="1319" t="s">
        <v>790</v>
      </c>
      <c r="D43" s="1317">
        <f>$K$43*D31</f>
        <v>9348407.2976680715</v>
      </c>
      <c r="E43" s="1317">
        <f t="shared" ref="E43:J43" si="2">$K$43*E31</f>
        <v>2922635.3039662158</v>
      </c>
      <c r="F43" s="1317">
        <f t="shared" si="2"/>
        <v>4661216.1631159401</v>
      </c>
      <c r="G43" s="1317">
        <f t="shared" si="2"/>
        <v>1901877.1748998128</v>
      </c>
      <c r="H43" s="1317">
        <f t="shared" si="2"/>
        <v>2094891.8759506093</v>
      </c>
      <c r="I43" s="1317">
        <f t="shared" si="2"/>
        <v>767108.49780452531</v>
      </c>
      <c r="J43" s="1317">
        <f t="shared" si="2"/>
        <v>51161.011283438107</v>
      </c>
      <c r="K43" s="1317">
        <f>(K40)+(L43/L44)*K35</f>
        <v>21747297.32468861</v>
      </c>
      <c r="L43" s="1318">
        <f>K40</f>
        <v>25338889</v>
      </c>
    </row>
    <row r="44" spans="1:20" ht="15.75">
      <c r="A44" s="1053"/>
      <c r="B44" s="1315"/>
      <c r="D44" s="1067">
        <f>SUM(D42:D43)</f>
        <v>58746390.72830607</v>
      </c>
      <c r="E44" s="1067">
        <f t="shared" ref="E44:J44" si="3">SUM(E42:E43)</f>
        <v>18366152.656396288</v>
      </c>
      <c r="F44" s="1067">
        <f t="shared" si="3"/>
        <v>29291580.615642469</v>
      </c>
      <c r="G44" s="1067">
        <f t="shared" si="3"/>
        <v>11951599.46248615</v>
      </c>
      <c r="H44" s="1067">
        <f t="shared" si="3"/>
        <v>13164524.475612797</v>
      </c>
      <c r="I44" s="1067">
        <f t="shared" si="3"/>
        <v>4820591.7979493514</v>
      </c>
      <c r="J44" s="1067">
        <f t="shared" si="3"/>
        <v>321501.26360688725</v>
      </c>
      <c r="K44" s="1067">
        <f>SUM(K42:K43)</f>
        <v>136662341</v>
      </c>
      <c r="L44" s="1068">
        <f>SUM(L42:L43)</f>
        <v>159232287</v>
      </c>
      <c r="T44" s="1314" t="s">
        <v>31</v>
      </c>
    </row>
    <row r="45" spans="1:20" ht="15.75">
      <c r="A45" s="1053"/>
      <c r="B45" s="1315"/>
      <c r="D45" s="1067"/>
      <c r="E45" s="1067"/>
      <c r="F45" s="1067"/>
      <c r="G45" s="1067"/>
      <c r="H45" s="1067"/>
      <c r="I45" s="1067"/>
      <c r="J45" s="1067"/>
      <c r="K45" s="1067"/>
    </row>
    <row r="46" spans="1:20" ht="15.75">
      <c r="A46" s="1053"/>
      <c r="B46" s="1314"/>
      <c r="D46" s="1067"/>
      <c r="E46" s="1067"/>
      <c r="F46" s="1067"/>
      <c r="G46" s="1067"/>
      <c r="H46" s="1067"/>
      <c r="I46" s="1067"/>
      <c r="J46" s="1067"/>
      <c r="K46" s="1067"/>
    </row>
    <row r="47" spans="1:20">
      <c r="B47" s="1036" t="s">
        <v>787</v>
      </c>
      <c r="D47" s="1093" t="s">
        <v>31</v>
      </c>
      <c r="E47" s="1093" t="s">
        <v>31</v>
      </c>
      <c r="F47" s="1093" t="s">
        <v>31</v>
      </c>
      <c r="G47" s="1068">
        <f>G33*G16/G24</f>
        <v>9512953.169853868</v>
      </c>
      <c r="H47" s="1093" t="s">
        <v>31</v>
      </c>
      <c r="I47" s="1093" t="s">
        <v>31</v>
      </c>
      <c r="J47" s="1093" t="s">
        <v>31</v>
      </c>
      <c r="K47" s="1093" t="s">
        <v>31</v>
      </c>
    </row>
    <row r="48" spans="1:20">
      <c r="B48" s="1036" t="s">
        <v>788</v>
      </c>
      <c r="D48" s="1093" t="s">
        <v>31</v>
      </c>
      <c r="E48" s="1093" t="s">
        <v>31</v>
      </c>
      <c r="F48" s="1093" t="s">
        <v>31</v>
      </c>
      <c r="G48" s="1068">
        <f>G33-G47</f>
        <v>2438646.2051787861</v>
      </c>
      <c r="H48" s="1093" t="s">
        <v>31</v>
      </c>
      <c r="I48" s="1093" t="s">
        <v>31</v>
      </c>
      <c r="J48" s="1093" t="s">
        <v>31</v>
      </c>
      <c r="K48" s="1093" t="s">
        <v>31</v>
      </c>
    </row>
    <row r="50" spans="2:13" ht="15.75">
      <c r="I50" s="1036" t="s">
        <v>795</v>
      </c>
      <c r="J50" s="1067">
        <f t="shared" ref="J50:J55" si="4">M50/$M$56*$J$33</f>
        <v>75082.240453348713</v>
      </c>
      <c r="M50" s="1069">
        <f>'Rate Design Work eff 10-14-16'!C25</f>
        <v>3257550</v>
      </c>
    </row>
    <row r="51" spans="2:13" ht="15.75">
      <c r="I51" s="1036" t="s">
        <v>796</v>
      </c>
      <c r="J51" s="1067">
        <f t="shared" si="4"/>
        <v>89506.790674119737</v>
      </c>
      <c r="M51" s="1069">
        <f>'Rate Design Work eff 10-14-16'!C1137</f>
        <v>3883379.6674147383</v>
      </c>
    </row>
    <row r="52" spans="2:13" ht="15.75">
      <c r="I52" s="1036" t="s">
        <v>797</v>
      </c>
      <c r="J52" s="1067">
        <f t="shared" si="4"/>
        <v>4829.6597009163306</v>
      </c>
      <c r="M52" s="1069">
        <f>'Rate Design Work eff 10-14-16'!C1153</f>
        <v>209541.66875847799</v>
      </c>
    </row>
    <row r="53" spans="2:13" ht="15.75">
      <c r="D53" s="1036" t="s">
        <v>31</v>
      </c>
      <c r="G53" s="1036" t="s">
        <v>31</v>
      </c>
      <c r="I53" s="1036" t="s">
        <v>798</v>
      </c>
      <c r="J53" s="1067">
        <f t="shared" si="4"/>
        <v>105993.44624000302</v>
      </c>
      <c r="M53" s="1069">
        <f>'Rate Design Work eff 10-14-16'!C1167</f>
        <v>4598676.713884904</v>
      </c>
    </row>
    <row r="54" spans="2:13" ht="15.75">
      <c r="I54" s="1036" t="s">
        <v>799</v>
      </c>
      <c r="J54" s="1067">
        <f t="shared" si="4"/>
        <v>6171.999641091671</v>
      </c>
      <c r="M54" s="1069">
        <f>'Rate Design Work eff 10-14-16'!C1224</f>
        <v>267781</v>
      </c>
    </row>
    <row r="55" spans="2:13" ht="15.75">
      <c r="I55" s="1036" t="s">
        <v>800</v>
      </c>
      <c r="J55" s="1067">
        <f t="shared" si="4"/>
        <v>39917.12454488509</v>
      </c>
      <c r="M55" s="1069">
        <f>'Rate Design Work eff 10-14-16'!C1264</f>
        <v>1731861.333333333</v>
      </c>
    </row>
    <row r="56" spans="2:13">
      <c r="M56" s="1069">
        <f>SUM(M50:M55)</f>
        <v>13948790.383391451</v>
      </c>
    </row>
    <row r="57" spans="2:13">
      <c r="B57" s="1321" t="s">
        <v>914</v>
      </c>
      <c r="C57" s="1320"/>
      <c r="D57" s="1320"/>
    </row>
    <row r="60" spans="2:13" ht="15.75">
      <c r="C60" s="1067">
        <v>136662340</v>
      </c>
      <c r="L60" s="1036" t="s">
        <v>31</v>
      </c>
    </row>
  </sheetData>
  <pageMargins left="0.7" right="0.7" top="0.75" bottom="0.75" header="0.3" footer="0.3"/>
  <pageSetup scale="5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workbookViewId="0"/>
  </sheetViews>
  <sheetFormatPr defaultRowHeight="12.75"/>
  <cols>
    <col min="1" max="1" width="14.75" style="1288" customWidth="1"/>
    <col min="2" max="2" width="19.625" style="1288" bestFit="1" customWidth="1"/>
    <col min="3" max="3" width="26" style="1288" bestFit="1" customWidth="1"/>
    <col min="4" max="4" width="16.625" style="1288" bestFit="1" customWidth="1"/>
    <col min="5" max="16384" width="9" style="1288"/>
  </cols>
  <sheetData>
    <row r="5" spans="1:7">
      <c r="B5" s="1288" t="s">
        <v>879</v>
      </c>
    </row>
    <row r="6" spans="1:7">
      <c r="A6" s="1288" t="s">
        <v>769</v>
      </c>
      <c r="B6" s="1288" t="s">
        <v>701</v>
      </c>
      <c r="C6" s="1288" t="s">
        <v>702</v>
      </c>
      <c r="D6" s="1288" t="s">
        <v>703</v>
      </c>
      <c r="E6" s="1434" t="s">
        <v>1023</v>
      </c>
      <c r="F6" s="1434" t="s">
        <v>1025</v>
      </c>
      <c r="G6" s="1434" t="s">
        <v>1024</v>
      </c>
    </row>
    <row r="7" spans="1:7">
      <c r="A7" s="1288" t="s">
        <v>1015</v>
      </c>
      <c r="B7" s="1288">
        <v>-217106.22999999995</v>
      </c>
      <c r="C7" s="1288">
        <v>7987157</v>
      </c>
      <c r="D7" s="1288">
        <v>8703</v>
      </c>
      <c r="E7" s="755">
        <f>C7/D7</f>
        <v>917.74755831322534</v>
      </c>
      <c r="F7" s="1027">
        <f>B7/E7</f>
        <v>-236.56421423668016</v>
      </c>
      <c r="G7" s="1433">
        <f>D7/6.078</f>
        <v>1431.8854886475813</v>
      </c>
    </row>
    <row r="8" spans="1:7">
      <c r="A8" s="1288" t="s">
        <v>1016</v>
      </c>
      <c r="B8" s="1288">
        <v>-444792.55000000022</v>
      </c>
      <c r="C8" s="1288">
        <v>10223665</v>
      </c>
      <c r="D8" s="1288">
        <v>11136</v>
      </c>
      <c r="E8" s="755">
        <f>C8/D8</f>
        <v>918.07336566091954</v>
      </c>
      <c r="F8" s="1027">
        <f t="shared" ref="F8:F10" si="0">B8/E8</f>
        <v>-484.48475539838233</v>
      </c>
      <c r="G8" s="1433">
        <f>D8/6.078</f>
        <v>1832.1816386969397</v>
      </c>
    </row>
    <row r="9" spans="1:7">
      <c r="A9" s="1288" t="s">
        <v>1017</v>
      </c>
      <c r="B9" s="1288">
        <v>-898700.02000000014</v>
      </c>
      <c r="C9" s="1288">
        <v>13892955</v>
      </c>
      <c r="D9" s="1288">
        <v>15242</v>
      </c>
      <c r="E9" s="755">
        <f>C9/D9</f>
        <v>911.49160215194854</v>
      </c>
      <c r="F9" s="1027">
        <f t="shared" si="0"/>
        <v>-985.96631924885685</v>
      </c>
      <c r="G9" s="1433">
        <f>D9/6.078</f>
        <v>2507.7328068443567</v>
      </c>
    </row>
    <row r="10" spans="1:7">
      <c r="A10" s="1288" t="s">
        <v>646</v>
      </c>
      <c r="B10" s="1288">
        <v>-1560598.8000000003</v>
      </c>
      <c r="C10" s="1288">
        <v>32103777</v>
      </c>
      <c r="D10" s="1288">
        <v>35081</v>
      </c>
      <c r="E10" s="755">
        <f>C10/D10</f>
        <v>915.13289244890393</v>
      </c>
      <c r="F10" s="1027">
        <f t="shared" si="0"/>
        <v>-1705.3247816541964</v>
      </c>
      <c r="G10" s="1433">
        <f>D10/6.078</f>
        <v>5771.7999341888781</v>
      </c>
    </row>
    <row r="12" spans="1:7">
      <c r="B12" s="791" t="s">
        <v>1018</v>
      </c>
      <c r="C12" s="789">
        <f>D12/D10*C10</f>
        <v>30191500.665812489</v>
      </c>
      <c r="D12" s="789">
        <f>5428*6.078</f>
        <v>32991.383999999998</v>
      </c>
      <c r="E12" s="755"/>
    </row>
    <row r="13" spans="1:7">
      <c r="B13" s="788"/>
      <c r="C13" s="788"/>
      <c r="D13" s="788"/>
      <c r="E13" s="1028" t="s">
        <v>31</v>
      </c>
    </row>
    <row r="14" spans="1:7">
      <c r="B14" s="767" t="s">
        <v>704</v>
      </c>
      <c r="C14" s="788"/>
      <c r="D14" s="755">
        <f>5664*6.078</f>
        <v>34425.792000000001</v>
      </c>
      <c r="E14" s="1028" t="s">
        <v>31</v>
      </c>
    </row>
    <row r="15" spans="1:7">
      <c r="B15" s="767" t="s">
        <v>1019</v>
      </c>
      <c r="C15" s="788"/>
      <c r="D15" s="755">
        <f>D14/D12*C12</f>
        <v>31504174.607804343</v>
      </c>
      <c r="E15" s="788"/>
    </row>
    <row r="16" spans="1:7">
      <c r="B16" s="754"/>
      <c r="C16" s="754"/>
      <c r="D16" s="755"/>
      <c r="E16" s="788"/>
    </row>
    <row r="17" spans="2:5">
      <c r="B17" s="754"/>
      <c r="C17" s="754" t="s">
        <v>40</v>
      </c>
      <c r="D17" s="754" t="s">
        <v>25</v>
      </c>
      <c r="E17" s="788"/>
    </row>
    <row r="18" spans="2:5">
      <c r="B18" s="767" t="s">
        <v>1020</v>
      </c>
      <c r="C18" s="755">
        <f>D9/D10*D14/6.078</f>
        <v>2460.8958695590204</v>
      </c>
      <c r="D18" s="755">
        <f>C9/C10*$D$15</f>
        <v>13633476.214912919</v>
      </c>
      <c r="E18" s="788"/>
    </row>
    <row r="19" spans="2:5">
      <c r="B19" s="767" t="s">
        <v>1021</v>
      </c>
      <c r="C19" s="755">
        <f>D8/D10*D14/6.078</f>
        <v>1797.9619737179671</v>
      </c>
      <c r="D19" s="755">
        <f>C8/C10*$D$15</f>
        <v>10032717.561291868</v>
      </c>
      <c r="E19" s="788"/>
    </row>
    <row r="20" spans="2:5">
      <c r="B20" s="767" t="s">
        <v>1022</v>
      </c>
      <c r="C20" s="755">
        <f>D7/D10*D14/6.078</f>
        <v>1405.1421567230125</v>
      </c>
      <c r="D20" s="755">
        <f>C7/C10*$D$15</f>
        <v>7837980.8315995568</v>
      </c>
      <c r="E20" s="788"/>
    </row>
    <row r="21" spans="2:5">
      <c r="B21" s="754" t="s">
        <v>647</v>
      </c>
      <c r="C21" s="755">
        <f>SUM(C18:C20)</f>
        <v>5664</v>
      </c>
      <c r="D21" s="755">
        <f>SUM(D18:D20)</f>
        <v>31504174.607804343</v>
      </c>
      <c r="E21" s="788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21"/>
  <sheetViews>
    <sheetView workbookViewId="0"/>
  </sheetViews>
  <sheetFormatPr defaultRowHeight="12.75"/>
  <cols>
    <col min="1" max="1" width="14.75" style="1288" customWidth="1"/>
    <col min="2" max="2" width="19.625" style="1288" bestFit="1" customWidth="1"/>
    <col min="3" max="3" width="26" style="1288" bestFit="1" customWidth="1"/>
    <col min="4" max="4" width="16.625" style="1288" bestFit="1" customWidth="1"/>
    <col min="5" max="16384" width="9" style="1288"/>
  </cols>
  <sheetData>
    <row r="5" spans="1:7">
      <c r="B5" s="1288" t="s">
        <v>879</v>
      </c>
    </row>
    <row r="6" spans="1:7">
      <c r="A6" s="1288" t="s">
        <v>769</v>
      </c>
      <c r="B6" s="1288" t="s">
        <v>701</v>
      </c>
      <c r="C6" s="1288" t="s">
        <v>702</v>
      </c>
      <c r="D6" s="1288" t="s">
        <v>703</v>
      </c>
      <c r="E6" s="1434" t="s">
        <v>1023</v>
      </c>
      <c r="F6" s="1434" t="s">
        <v>1025</v>
      </c>
      <c r="G6" s="1434" t="s">
        <v>1024</v>
      </c>
    </row>
    <row r="7" spans="1:7">
      <c r="A7" s="1288" t="s">
        <v>1015</v>
      </c>
      <c r="B7" s="1288">
        <v>-217106.22999999995</v>
      </c>
      <c r="C7" s="1288">
        <v>7987157</v>
      </c>
      <c r="D7" s="1288">
        <v>8703</v>
      </c>
      <c r="E7" s="755">
        <f>C7/D7</f>
        <v>917.74755831322534</v>
      </c>
      <c r="F7" s="1027">
        <f>B7/E7</f>
        <v>-236.56421423668016</v>
      </c>
      <c r="G7" s="1433">
        <f>D7/6.078</f>
        <v>1431.8854886475813</v>
      </c>
    </row>
    <row r="8" spans="1:7">
      <c r="A8" s="1288" t="s">
        <v>1016</v>
      </c>
      <c r="B8" s="1288">
        <v>-444792.55000000022</v>
      </c>
      <c r="C8" s="1288">
        <v>10223665</v>
      </c>
      <c r="D8" s="1288">
        <v>11136</v>
      </c>
      <c r="E8" s="755">
        <f>C8/D8</f>
        <v>918.07336566091954</v>
      </c>
      <c r="F8" s="1027">
        <f t="shared" ref="F8:F10" si="0">B8/E8</f>
        <v>-484.48475539838233</v>
      </c>
      <c r="G8" s="1433">
        <f>D8/6.078</f>
        <v>1832.1816386969397</v>
      </c>
    </row>
    <row r="9" spans="1:7">
      <c r="A9" s="1288" t="s">
        <v>1017</v>
      </c>
      <c r="B9" s="1288">
        <v>-898700.02000000014</v>
      </c>
      <c r="C9" s="1288">
        <v>13892955</v>
      </c>
      <c r="D9" s="1288">
        <v>15242</v>
      </c>
      <c r="E9" s="755">
        <f>C9/D9</f>
        <v>911.49160215194854</v>
      </c>
      <c r="F9" s="1027">
        <f t="shared" si="0"/>
        <v>-985.96631924885685</v>
      </c>
      <c r="G9" s="1433">
        <f>D9/6.078</f>
        <v>2507.7328068443567</v>
      </c>
    </row>
    <row r="10" spans="1:7">
      <c r="A10" s="1288" t="s">
        <v>646</v>
      </c>
      <c r="B10" s="1288">
        <v>-1560598.8000000003</v>
      </c>
      <c r="C10" s="1288">
        <v>32103777</v>
      </c>
      <c r="D10" s="1288">
        <v>35081</v>
      </c>
      <c r="E10" s="755">
        <f>C10/D10</f>
        <v>915.13289244890393</v>
      </c>
      <c r="F10" s="1027">
        <f t="shared" si="0"/>
        <v>-1705.3247816541964</v>
      </c>
      <c r="G10" s="1433">
        <f>D10/6.078</f>
        <v>5771.7999341888781</v>
      </c>
    </row>
    <row r="12" spans="1:7">
      <c r="B12" s="791" t="s">
        <v>1028</v>
      </c>
      <c r="C12" s="789">
        <f>D12/D10*C10</f>
        <v>31504174.607804339</v>
      </c>
      <c r="D12" s="789">
        <f>5664*6.078</f>
        <v>34425.792000000001</v>
      </c>
      <c r="E12" s="755"/>
    </row>
    <row r="13" spans="1:7">
      <c r="B13" s="788"/>
      <c r="C13" s="788"/>
      <c r="D13" s="788"/>
      <c r="E13" s="1028" t="s">
        <v>31</v>
      </c>
    </row>
    <row r="14" spans="1:7">
      <c r="B14" s="767" t="s">
        <v>704</v>
      </c>
      <c r="C14" s="788"/>
      <c r="D14" s="755">
        <f>5664*6.078</f>
        <v>34425.792000000001</v>
      </c>
      <c r="E14" s="1028" t="s">
        <v>31</v>
      </c>
    </row>
    <row r="15" spans="1:7">
      <c r="B15" s="767" t="s">
        <v>1019</v>
      </c>
      <c r="C15" s="788"/>
      <c r="D15" s="755">
        <f>D14/D12*C12</f>
        <v>31504174.607804339</v>
      </c>
      <c r="E15" s="788"/>
    </row>
    <row r="16" spans="1:7">
      <c r="B16" s="754"/>
      <c r="C16" s="754"/>
      <c r="D16" s="755"/>
      <c r="E16" s="788"/>
    </row>
    <row r="17" spans="2:5">
      <c r="B17" s="754"/>
      <c r="C17" s="754" t="s">
        <v>40</v>
      </c>
      <c r="D17" s="754" t="s">
        <v>25</v>
      </c>
      <c r="E17" s="788"/>
    </row>
    <row r="18" spans="2:5">
      <c r="B18" s="767" t="s">
        <v>1020</v>
      </c>
      <c r="C18" s="755">
        <f>D9/D10*D14/6.078</f>
        <v>2460.8958695590204</v>
      </c>
      <c r="D18" s="755">
        <f>C9/C10*$D$15</f>
        <v>13633476.214912917</v>
      </c>
      <c r="E18" s="788"/>
    </row>
    <row r="19" spans="2:5">
      <c r="B19" s="767" t="s">
        <v>1021</v>
      </c>
      <c r="C19" s="755">
        <f>D8/D10*D14/6.078</f>
        <v>1797.9619737179671</v>
      </c>
      <c r="D19" s="755">
        <f>C8/C10*$D$15</f>
        <v>10032717.561291868</v>
      </c>
      <c r="E19" s="788"/>
    </row>
    <row r="20" spans="2:5">
      <c r="B20" s="767" t="s">
        <v>1022</v>
      </c>
      <c r="C20" s="755">
        <f>D7/D10*D14/6.078</f>
        <v>1405.1421567230125</v>
      </c>
      <c r="D20" s="755">
        <f>C7/C10*$D$15</f>
        <v>7837980.8315995559</v>
      </c>
      <c r="E20" s="788"/>
    </row>
    <row r="21" spans="2:5">
      <c r="B21" s="754" t="s">
        <v>647</v>
      </c>
      <c r="C21" s="755">
        <f>SUM(C18:C20)</f>
        <v>5664</v>
      </c>
      <c r="D21" s="755">
        <f>SUM(D18:D20)</f>
        <v>31504174.607804343</v>
      </c>
      <c r="E21" s="788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53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2" spans="1:18">
      <c r="A2" s="82" t="e">
        <f>#REF!</f>
        <v>#REF!</v>
      </c>
      <c r="B2" s="82"/>
      <c r="C2" s="3" t="s">
        <v>168</v>
      </c>
    </row>
    <row r="3" spans="1:18">
      <c r="A3" s="82" t="e">
        <f>#REF!</f>
        <v>#REF!</v>
      </c>
      <c r="B3" s="82"/>
    </row>
    <row r="4" spans="1:18">
      <c r="A4" s="82" t="e">
        <f>#REF!</f>
        <v>#REF!</v>
      </c>
      <c r="B4" s="82"/>
    </row>
    <row r="5" spans="1:18">
      <c r="B5" s="57" t="s">
        <v>241</v>
      </c>
      <c r="C5" s="58"/>
      <c r="D5" s="58"/>
      <c r="E5" s="58"/>
      <c r="F5" s="58"/>
      <c r="G5" s="83"/>
      <c r="H5" s="58"/>
      <c r="I5" s="58"/>
      <c r="J5" s="58"/>
      <c r="K5" s="58"/>
      <c r="L5" s="58"/>
      <c r="M5" s="58"/>
      <c r="N5" s="58"/>
      <c r="O5" s="66"/>
      <c r="P5" s="63" t="s">
        <v>73</v>
      </c>
    </row>
    <row r="6" spans="1:18">
      <c r="B6" s="3" t="s">
        <v>105</v>
      </c>
      <c r="G6" s="63"/>
      <c r="O6" s="81"/>
      <c r="P6" s="63" t="s">
        <v>242</v>
      </c>
      <c r="R6" s="19" t="s">
        <v>10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81" t="s">
        <v>122</v>
      </c>
      <c r="P7" s="89">
        <v>39260</v>
      </c>
      <c r="R7" s="19" t="s">
        <v>1</v>
      </c>
    </row>
    <row r="8" spans="1:18">
      <c r="A8" s="53">
        <v>24</v>
      </c>
      <c r="B8" s="3" t="s">
        <v>214</v>
      </c>
      <c r="C8" s="3">
        <v>4169692</v>
      </c>
      <c r="D8" s="3">
        <v>3723998</v>
      </c>
      <c r="E8" s="3">
        <v>3198923</v>
      </c>
      <c r="F8" s="3">
        <v>2755668</v>
      </c>
      <c r="G8" s="69">
        <v>3046052</v>
      </c>
      <c r="H8" s="3">
        <v>3335761</v>
      </c>
      <c r="I8" s="68">
        <v>3808717</v>
      </c>
      <c r="J8" s="68">
        <v>3873681</v>
      </c>
      <c r="K8" s="68">
        <v>3604333</v>
      </c>
      <c r="L8" s="68">
        <v>3283809</v>
      </c>
      <c r="M8" s="68">
        <v>3142167</v>
      </c>
      <c r="N8" s="68">
        <v>3774631</v>
      </c>
      <c r="O8" s="69">
        <f t="shared" ref="O8:O31" si="0">SUM(C8:N8)</f>
        <v>41717432</v>
      </c>
      <c r="P8" s="73">
        <v>1.24E-3</v>
      </c>
      <c r="R8" s="84">
        <f t="shared" ref="R8:R15" si="1">P8*O8</f>
        <v>51729.615680000003</v>
      </c>
    </row>
    <row r="9" spans="1:18">
      <c r="A9" s="53" t="s">
        <v>143</v>
      </c>
      <c r="B9" s="3" t="s">
        <v>223</v>
      </c>
      <c r="C9" s="3">
        <v>21238</v>
      </c>
      <c r="D9" s="3">
        <v>21238</v>
      </c>
      <c r="E9" s="3">
        <v>20942</v>
      </c>
      <c r="F9" s="3">
        <v>18280</v>
      </c>
      <c r="G9" s="69">
        <v>31065</v>
      </c>
      <c r="H9" s="3">
        <v>18280</v>
      </c>
      <c r="I9" s="15">
        <v>18281</v>
      </c>
      <c r="J9" s="15">
        <v>5495</v>
      </c>
      <c r="K9" s="15">
        <v>18280</v>
      </c>
      <c r="L9" s="15">
        <v>18280</v>
      </c>
      <c r="M9" s="15">
        <v>18280</v>
      </c>
      <c r="N9" s="15">
        <v>18280</v>
      </c>
      <c r="O9" s="69">
        <f t="shared" si="0"/>
        <v>227939</v>
      </c>
      <c r="P9" s="73">
        <v>1.24E-3</v>
      </c>
      <c r="R9" s="84">
        <f t="shared" si="1"/>
        <v>282.64436000000001</v>
      </c>
    </row>
    <row r="10" spans="1:18">
      <c r="A10" s="53" t="s">
        <v>150</v>
      </c>
      <c r="B10" s="3" t="s">
        <v>215</v>
      </c>
      <c r="C10" s="3">
        <v>1590</v>
      </c>
      <c r="D10" s="3">
        <v>2919</v>
      </c>
      <c r="E10" s="3">
        <v>11084</v>
      </c>
      <c r="F10" s="3">
        <v>174819</v>
      </c>
      <c r="G10" s="69">
        <v>139933</v>
      </c>
      <c r="H10" s="3">
        <v>22495</v>
      </c>
      <c r="I10" s="15">
        <v>14785</v>
      </c>
      <c r="J10" s="15">
        <v>13030</v>
      </c>
      <c r="K10" s="15">
        <v>-3559</v>
      </c>
      <c r="L10" s="15">
        <v>11843</v>
      </c>
      <c r="M10" s="15">
        <v>31064</v>
      </c>
      <c r="N10" s="15">
        <v>-15272</v>
      </c>
      <c r="O10" s="69">
        <f t="shared" si="0"/>
        <v>404731</v>
      </c>
      <c r="P10" s="73">
        <v>1.24E-3</v>
      </c>
      <c r="R10" s="84">
        <f t="shared" si="1"/>
        <v>501.86644000000001</v>
      </c>
    </row>
    <row r="11" spans="1:18">
      <c r="A11" s="53">
        <v>24</v>
      </c>
      <c r="B11" s="3" t="s">
        <v>106</v>
      </c>
      <c r="C11" s="69">
        <v>42970072</v>
      </c>
      <c r="D11" s="69">
        <v>42492319</v>
      </c>
      <c r="E11" s="69">
        <v>36262938</v>
      </c>
      <c r="F11" s="69">
        <v>33230542</v>
      </c>
      <c r="G11" s="69">
        <v>34869575</v>
      </c>
      <c r="H11" s="69">
        <v>36341153</v>
      </c>
      <c r="I11" s="15">
        <v>40445704</v>
      </c>
      <c r="J11" s="15">
        <v>44523686</v>
      </c>
      <c r="K11" s="15">
        <v>39679186</v>
      </c>
      <c r="L11" s="15">
        <v>35221083</v>
      </c>
      <c r="M11" s="15">
        <v>35809463</v>
      </c>
      <c r="N11" s="15">
        <v>43110158</v>
      </c>
      <c r="O11" s="69">
        <f t="shared" si="0"/>
        <v>464955879</v>
      </c>
      <c r="P11" s="73">
        <v>1.24E-3</v>
      </c>
      <c r="R11" s="84">
        <f t="shared" si="1"/>
        <v>576545.28995999997</v>
      </c>
    </row>
    <row r="12" spans="1:18">
      <c r="A12" s="53" t="s">
        <v>143</v>
      </c>
      <c r="B12" s="3" t="s">
        <v>107</v>
      </c>
      <c r="C12" s="69">
        <v>101764</v>
      </c>
      <c r="D12" s="69">
        <v>100304</v>
      </c>
      <c r="E12" s="69">
        <v>101677</v>
      </c>
      <c r="F12" s="69">
        <v>100074</v>
      </c>
      <c r="G12" s="69">
        <v>101098</v>
      </c>
      <c r="H12" s="69">
        <v>101728</v>
      </c>
      <c r="I12" s="15">
        <v>100888</v>
      </c>
      <c r="J12" s="15">
        <v>100882</v>
      </c>
      <c r="K12" s="15">
        <v>100000</v>
      </c>
      <c r="L12" s="15">
        <v>100094</v>
      </c>
      <c r="M12" s="15">
        <v>101670</v>
      </c>
      <c r="N12" s="15">
        <v>100935</v>
      </c>
      <c r="O12" s="69">
        <f t="shared" si="0"/>
        <v>1211114</v>
      </c>
      <c r="P12" s="73">
        <v>1.24E-3</v>
      </c>
      <c r="R12" s="84">
        <f t="shared" si="1"/>
        <v>1501.7813599999999</v>
      </c>
    </row>
    <row r="13" spans="1:18">
      <c r="A13" s="53">
        <v>36</v>
      </c>
      <c r="B13" s="3" t="s">
        <v>224</v>
      </c>
      <c r="C13" s="3">
        <v>7139320</v>
      </c>
      <c r="D13" s="3">
        <v>6651020</v>
      </c>
      <c r="E13" s="3">
        <v>5949180</v>
      </c>
      <c r="F13" s="3">
        <v>5427928</v>
      </c>
      <c r="G13" s="69">
        <v>5820260</v>
      </c>
      <c r="H13" s="3">
        <v>10710241</v>
      </c>
      <c r="I13" s="15">
        <v>6874968</v>
      </c>
      <c r="J13" s="15">
        <v>6866625</v>
      </c>
      <c r="K13" s="15">
        <v>7519899</v>
      </c>
      <c r="L13" s="15">
        <v>8709680</v>
      </c>
      <c r="M13" s="15">
        <v>6276100</v>
      </c>
      <c r="N13" s="15">
        <v>8286800</v>
      </c>
      <c r="O13" s="69">
        <f t="shared" si="0"/>
        <v>86232021</v>
      </c>
      <c r="P13" s="73">
        <v>1.0200000000000001E-3</v>
      </c>
      <c r="R13" s="84">
        <f t="shared" si="1"/>
        <v>87956.661420000004</v>
      </c>
    </row>
    <row r="14" spans="1:18">
      <c r="A14" s="53">
        <v>36</v>
      </c>
      <c r="B14" s="3" t="s">
        <v>108</v>
      </c>
      <c r="C14" s="69">
        <v>59368941</v>
      </c>
      <c r="D14" s="69">
        <v>56815580</v>
      </c>
      <c r="E14" s="69">
        <v>52729103</v>
      </c>
      <c r="F14" s="69">
        <v>48314509</v>
      </c>
      <c r="G14" s="69">
        <v>49936076</v>
      </c>
      <c r="H14" s="69">
        <v>46891727</v>
      </c>
      <c r="I14" s="15">
        <v>55644603</v>
      </c>
      <c r="J14" s="15">
        <v>59342604</v>
      </c>
      <c r="K14" s="15">
        <v>59603339</v>
      </c>
      <c r="L14" s="15">
        <v>65055503</v>
      </c>
      <c r="M14" s="15">
        <v>59222854</v>
      </c>
      <c r="N14" s="15">
        <v>61989884</v>
      </c>
      <c r="O14" s="69">
        <f t="shared" si="0"/>
        <v>674914723</v>
      </c>
      <c r="P14" s="73">
        <v>1.0200000000000001E-3</v>
      </c>
      <c r="R14" s="84">
        <f t="shared" si="1"/>
        <v>688413.01746</v>
      </c>
    </row>
    <row r="15" spans="1:18">
      <c r="A15" s="53" t="s">
        <v>149</v>
      </c>
      <c r="B15" s="3" t="s">
        <v>109</v>
      </c>
      <c r="C15" s="69">
        <v>14031760</v>
      </c>
      <c r="D15" s="69">
        <v>12105060</v>
      </c>
      <c r="E15" s="69">
        <v>12596320</v>
      </c>
      <c r="F15" s="69">
        <v>11333660</v>
      </c>
      <c r="G15" s="69">
        <v>11389980</v>
      </c>
      <c r="H15" s="69">
        <v>11786660</v>
      </c>
      <c r="I15" s="15">
        <v>12614402</v>
      </c>
      <c r="J15" s="15">
        <v>13075400</v>
      </c>
      <c r="K15" s="15">
        <v>13838880</v>
      </c>
      <c r="L15" s="15">
        <v>14709860</v>
      </c>
      <c r="M15" s="15">
        <v>12447520</v>
      </c>
      <c r="N15" s="15">
        <v>13113320</v>
      </c>
      <c r="O15" s="69">
        <f t="shared" si="0"/>
        <v>153042822</v>
      </c>
      <c r="P15" s="73">
        <v>8.3000000000000001E-4</v>
      </c>
      <c r="R15" s="84">
        <f t="shared" si="1"/>
        <v>127025.54226</v>
      </c>
    </row>
    <row r="16" spans="1:18">
      <c r="B16" s="3" t="s">
        <v>110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69">
        <f t="shared" si="0"/>
        <v>0</v>
      </c>
    </row>
    <row r="17" spans="1:18">
      <c r="B17" s="3" t="s">
        <v>111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69">
        <f t="shared" si="0"/>
        <v>0</v>
      </c>
    </row>
    <row r="18" spans="1:18">
      <c r="B18" s="3" t="s">
        <v>112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69">
        <f t="shared" si="0"/>
        <v>0</v>
      </c>
    </row>
    <row r="19" spans="1:18">
      <c r="B19" s="3" t="s">
        <v>113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69">
        <f t="shared" si="0"/>
        <v>0</v>
      </c>
    </row>
    <row r="20" spans="1:18">
      <c r="B20" s="3" t="s">
        <v>114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69">
        <f t="shared" si="0"/>
        <v>0</v>
      </c>
    </row>
    <row r="21" spans="1:18">
      <c r="A21" s="53" t="s">
        <v>31</v>
      </c>
      <c r="B21" s="3" t="s">
        <v>115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69">
        <f t="shared" si="0"/>
        <v>0</v>
      </c>
    </row>
    <row r="22" spans="1:18">
      <c r="A22" s="53" t="s">
        <v>31</v>
      </c>
      <c r="B22" s="3" t="s">
        <v>197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69">
        <f t="shared" si="0"/>
        <v>0</v>
      </c>
    </row>
    <row r="23" spans="1:18">
      <c r="B23" s="54" t="s">
        <v>237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69">
        <f t="shared" si="0"/>
        <v>0</v>
      </c>
    </row>
    <row r="24" spans="1:18">
      <c r="A24" s="53">
        <v>135</v>
      </c>
      <c r="B24" s="3" t="s">
        <v>209</v>
      </c>
      <c r="C24" s="69">
        <v>2307</v>
      </c>
      <c r="D24" s="69">
        <v>1428</v>
      </c>
      <c r="E24" s="3">
        <v>140</v>
      </c>
      <c r="F24" s="3">
        <v>0</v>
      </c>
      <c r="G24" s="3">
        <v>0</v>
      </c>
      <c r="H24" s="3">
        <v>0</v>
      </c>
      <c r="I24" s="15">
        <v>0</v>
      </c>
      <c r="J24" s="15">
        <v>0</v>
      </c>
      <c r="K24" s="15">
        <v>0</v>
      </c>
      <c r="L24" s="15">
        <v>18</v>
      </c>
      <c r="M24" s="15">
        <v>0</v>
      </c>
      <c r="N24" s="15">
        <v>1232</v>
      </c>
      <c r="O24" s="69">
        <f t="shared" si="0"/>
        <v>5125</v>
      </c>
      <c r="P24" s="73">
        <v>1.24E-3</v>
      </c>
      <c r="R24" s="84">
        <f>P24*O24</f>
        <v>6.3550000000000004</v>
      </c>
    </row>
    <row r="25" spans="1:18">
      <c r="A25" s="53" t="s">
        <v>145</v>
      </c>
      <c r="B25" s="3" t="s">
        <v>116</v>
      </c>
      <c r="C25" s="69">
        <v>135621</v>
      </c>
      <c r="D25" s="69">
        <v>152479</v>
      </c>
      <c r="E25" s="69">
        <v>143101</v>
      </c>
      <c r="F25" s="69">
        <v>144390</v>
      </c>
      <c r="G25" s="69">
        <v>147368</v>
      </c>
      <c r="H25" s="69">
        <v>125859</v>
      </c>
      <c r="I25" s="15">
        <v>142775</v>
      </c>
      <c r="J25" s="15">
        <v>145842</v>
      </c>
      <c r="K25" s="15">
        <v>135813</v>
      </c>
      <c r="L25" s="15">
        <v>146542</v>
      </c>
      <c r="M25" s="15">
        <v>137092</v>
      </c>
      <c r="N25" s="15">
        <v>143598</v>
      </c>
      <c r="O25" s="69">
        <f t="shared" si="0"/>
        <v>1700480</v>
      </c>
      <c r="P25" s="73">
        <v>1.09E-3</v>
      </c>
      <c r="R25" s="84">
        <f>P25*O25</f>
        <v>1853.5232000000001</v>
      </c>
    </row>
    <row r="26" spans="1:18">
      <c r="A26" s="53" t="s">
        <v>145</v>
      </c>
      <c r="B26" s="3" t="s">
        <v>222</v>
      </c>
      <c r="C26" s="3">
        <v>56080</v>
      </c>
      <c r="D26" s="3">
        <v>54964</v>
      </c>
      <c r="E26" s="3">
        <v>55214</v>
      </c>
      <c r="F26" s="3">
        <v>54647</v>
      </c>
      <c r="G26" s="69">
        <v>54911</v>
      </c>
      <c r="H26" s="3">
        <v>55184</v>
      </c>
      <c r="I26" s="15">
        <v>53677</v>
      </c>
      <c r="J26" s="15">
        <v>53325</v>
      </c>
      <c r="K26" s="15">
        <v>52348</v>
      </c>
      <c r="L26" s="15">
        <v>55316</v>
      </c>
      <c r="M26" s="15">
        <v>51552</v>
      </c>
      <c r="N26" s="15">
        <v>52753</v>
      </c>
      <c r="O26" s="69">
        <f t="shared" si="0"/>
        <v>649971</v>
      </c>
      <c r="P26" s="73">
        <v>1.09E-3</v>
      </c>
      <c r="R26" s="84">
        <f>P26*O26</f>
        <v>708.46839</v>
      </c>
    </row>
    <row r="27" spans="1:18">
      <c r="A27" s="53">
        <v>54</v>
      </c>
      <c r="B27" s="3" t="s">
        <v>117</v>
      </c>
      <c r="C27" s="69">
        <v>13222</v>
      </c>
      <c r="D27" s="69">
        <v>2552</v>
      </c>
      <c r="E27" s="69">
        <v>15473</v>
      </c>
      <c r="F27" s="69">
        <v>20107</v>
      </c>
      <c r="G27" s="69">
        <v>16713</v>
      </c>
      <c r="H27" s="69">
        <v>13439</v>
      </c>
      <c r="I27" s="15">
        <v>23259</v>
      </c>
      <c r="J27" s="15">
        <v>16201</v>
      </c>
      <c r="K27" s="15">
        <v>14873</v>
      </c>
      <c r="L27" s="15">
        <v>38831</v>
      </c>
      <c r="M27" s="15">
        <v>31315</v>
      </c>
      <c r="N27" s="15">
        <v>21266</v>
      </c>
      <c r="O27" s="69">
        <f t="shared" si="0"/>
        <v>227251</v>
      </c>
      <c r="P27" s="73">
        <v>1.48E-3</v>
      </c>
      <c r="R27" s="84">
        <f>P27*O27</f>
        <v>336.33148</v>
      </c>
    </row>
    <row r="28" spans="1:18">
      <c r="B28" s="3" t="s">
        <v>118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69">
        <f t="shared" si="0"/>
        <v>0</v>
      </c>
    </row>
    <row r="29" spans="1:18">
      <c r="B29" s="3" t="s">
        <v>119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69">
        <f t="shared" si="0"/>
        <v>0</v>
      </c>
    </row>
    <row r="30" spans="1:18">
      <c r="B30" s="3" t="s">
        <v>216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69">
        <f t="shared" si="0"/>
        <v>0</v>
      </c>
    </row>
    <row r="31" spans="1:18">
      <c r="B31" s="3" t="s">
        <v>219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69">
        <f t="shared" si="0"/>
        <v>0</v>
      </c>
    </row>
    <row r="32" spans="1:18">
      <c r="A32" s="53" t="s">
        <v>31</v>
      </c>
      <c r="B32" s="3" t="s">
        <v>121</v>
      </c>
    </row>
    <row r="33" spans="1:18">
      <c r="A33" s="53" t="s">
        <v>31</v>
      </c>
      <c r="C33" s="69">
        <f t="shared" ref="C33:O33" si="2">SUM(C8:C31)</f>
        <v>128011607</v>
      </c>
      <c r="D33" s="69">
        <f t="shared" si="2"/>
        <v>122123861</v>
      </c>
      <c r="E33" s="69">
        <f t="shared" si="2"/>
        <v>111084095</v>
      </c>
      <c r="F33" s="69">
        <f t="shared" si="2"/>
        <v>101574624</v>
      </c>
      <c r="G33" s="69">
        <f t="shared" si="2"/>
        <v>105553031</v>
      </c>
      <c r="H33" s="69">
        <f t="shared" si="2"/>
        <v>109402527</v>
      </c>
      <c r="I33" s="69">
        <f t="shared" si="2"/>
        <v>119742059</v>
      </c>
      <c r="J33" s="69">
        <f t="shared" si="2"/>
        <v>128016771</v>
      </c>
      <c r="K33" s="69">
        <f t="shared" si="2"/>
        <v>124563392</v>
      </c>
      <c r="L33" s="69">
        <f t="shared" si="2"/>
        <v>127350859</v>
      </c>
      <c r="M33" s="69">
        <f t="shared" si="2"/>
        <v>117269077</v>
      </c>
      <c r="N33" s="69">
        <f t="shared" si="2"/>
        <v>130597585</v>
      </c>
      <c r="O33" s="69">
        <f t="shared" si="2"/>
        <v>1425289488</v>
      </c>
    </row>
    <row r="34" spans="1:18">
      <c r="A34" s="53" t="s">
        <v>31</v>
      </c>
      <c r="B34" s="3" t="s">
        <v>123</v>
      </c>
    </row>
    <row r="35" spans="1:18">
      <c r="A35" s="53" t="s">
        <v>31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122</v>
      </c>
      <c r="P35" s="73"/>
    </row>
    <row r="36" spans="1:18">
      <c r="A36" s="53">
        <v>24</v>
      </c>
      <c r="B36" s="3" t="s">
        <v>214</v>
      </c>
      <c r="C36" s="71">
        <v>245856</v>
      </c>
      <c r="D36" s="68">
        <v>237043</v>
      </c>
      <c r="E36" s="68">
        <v>190545</v>
      </c>
      <c r="F36" s="68">
        <v>164203</v>
      </c>
      <c r="G36" s="68">
        <v>178325</v>
      </c>
      <c r="H36" s="68">
        <v>215598</v>
      </c>
      <c r="I36" s="68">
        <v>293514</v>
      </c>
      <c r="J36" s="68">
        <v>307172</v>
      </c>
      <c r="K36" s="68">
        <v>526995</v>
      </c>
      <c r="L36" s="68">
        <v>447110</v>
      </c>
      <c r="M36" s="68">
        <v>227293</v>
      </c>
      <c r="N36" s="68">
        <v>220660</v>
      </c>
      <c r="O36" s="69">
        <f t="shared" ref="O36:O48" si="3">SUM(C36:N36)</f>
        <v>3254314</v>
      </c>
      <c r="P36" s="73">
        <v>1.24E-3</v>
      </c>
      <c r="R36" s="84">
        <f t="shared" ref="R36:R44" si="4">P36*O36</f>
        <v>4035.3493600000002</v>
      </c>
    </row>
    <row r="37" spans="1:18">
      <c r="A37" s="53" t="s">
        <v>150</v>
      </c>
      <c r="B37" s="3" t="s">
        <v>215</v>
      </c>
      <c r="C37" s="72">
        <v>96</v>
      </c>
      <c r="D37" s="15">
        <v>-84</v>
      </c>
      <c r="E37" s="15">
        <v>545</v>
      </c>
      <c r="F37" s="15">
        <v>1302</v>
      </c>
      <c r="G37" s="15">
        <v>150</v>
      </c>
      <c r="H37" s="15">
        <v>557</v>
      </c>
      <c r="I37" s="15">
        <v>1396</v>
      </c>
      <c r="J37" s="15">
        <v>33</v>
      </c>
      <c r="K37" s="15">
        <v>1826</v>
      </c>
      <c r="L37" s="15">
        <v>1074</v>
      </c>
      <c r="M37" s="15">
        <v>0</v>
      </c>
      <c r="N37" s="15">
        <v>34</v>
      </c>
      <c r="O37" s="69">
        <f t="shared" si="3"/>
        <v>6929</v>
      </c>
      <c r="P37" s="73">
        <v>1.24E-3</v>
      </c>
      <c r="R37" s="84">
        <f t="shared" si="4"/>
        <v>8.5919600000000003</v>
      </c>
    </row>
    <row r="38" spans="1:18">
      <c r="A38" s="53">
        <v>24</v>
      </c>
      <c r="B38" s="3" t="s">
        <v>106</v>
      </c>
      <c r="C38" s="72">
        <v>1909641</v>
      </c>
      <c r="D38" s="15">
        <v>1806944</v>
      </c>
      <c r="E38" s="15">
        <v>1549411</v>
      </c>
      <c r="F38" s="15">
        <v>1277233</v>
      </c>
      <c r="G38" s="15">
        <v>1348630</v>
      </c>
      <c r="H38" s="15">
        <v>1329979</v>
      </c>
      <c r="I38" s="15">
        <v>1795617</v>
      </c>
      <c r="J38" s="15">
        <v>1427677</v>
      </c>
      <c r="K38" s="15">
        <v>1355114</v>
      </c>
      <c r="L38" s="15">
        <v>1254624</v>
      </c>
      <c r="M38" s="15">
        <v>1247407</v>
      </c>
      <c r="N38" s="15">
        <v>1703611</v>
      </c>
      <c r="O38" s="69">
        <f t="shared" si="3"/>
        <v>18005888</v>
      </c>
      <c r="P38" s="73">
        <v>1.24E-3</v>
      </c>
      <c r="R38" s="84">
        <f t="shared" si="4"/>
        <v>22327.30112</v>
      </c>
    </row>
    <row r="39" spans="1:18">
      <c r="A39" s="53" t="s">
        <v>143</v>
      </c>
      <c r="B39" s="3" t="s">
        <v>107</v>
      </c>
      <c r="C39" s="72">
        <v>2776</v>
      </c>
      <c r="D39" s="15">
        <v>2776</v>
      </c>
      <c r="E39" s="15">
        <v>2776</v>
      </c>
      <c r="F39" s="15">
        <v>2776</v>
      </c>
      <c r="G39" s="15">
        <v>2776</v>
      </c>
      <c r="H39" s="15">
        <v>2776</v>
      </c>
      <c r="I39" s="15">
        <v>2776</v>
      </c>
      <c r="J39" s="15">
        <v>2776</v>
      </c>
      <c r="K39" s="15">
        <v>2776</v>
      </c>
      <c r="L39" s="15">
        <v>2776</v>
      </c>
      <c r="M39" s="15">
        <v>2776</v>
      </c>
      <c r="N39" s="15">
        <v>2776</v>
      </c>
      <c r="O39" s="69">
        <f t="shared" si="3"/>
        <v>33312</v>
      </c>
      <c r="P39" s="73">
        <v>1.24E-3</v>
      </c>
      <c r="R39" s="84">
        <f t="shared" si="4"/>
        <v>41.30688</v>
      </c>
    </row>
    <row r="40" spans="1:18">
      <c r="A40" s="53">
        <v>36</v>
      </c>
      <c r="B40" s="3" t="s">
        <v>224</v>
      </c>
      <c r="C40" s="72">
        <v>100640</v>
      </c>
      <c r="D40" s="15">
        <v>95384</v>
      </c>
      <c r="E40" s="15">
        <v>73480</v>
      </c>
      <c r="F40" s="15">
        <v>80320</v>
      </c>
      <c r="G40" s="15">
        <v>87200</v>
      </c>
      <c r="H40" s="15">
        <v>113520</v>
      </c>
      <c r="I40" s="15">
        <v>168842</v>
      </c>
      <c r="J40" s="15">
        <v>199560</v>
      </c>
      <c r="K40" s="15">
        <v>987400</v>
      </c>
      <c r="L40" s="15">
        <v>1570360</v>
      </c>
      <c r="M40" s="15">
        <v>249680</v>
      </c>
      <c r="N40" s="15">
        <v>149720</v>
      </c>
      <c r="O40" s="69">
        <f t="shared" si="3"/>
        <v>3876106</v>
      </c>
      <c r="P40" s="73">
        <v>1.0200000000000001E-3</v>
      </c>
      <c r="R40" s="84">
        <f t="shared" si="4"/>
        <v>3953.6281200000003</v>
      </c>
    </row>
    <row r="41" spans="1:18">
      <c r="A41" s="53" t="s">
        <v>149</v>
      </c>
      <c r="B41" s="3" t="s">
        <v>210</v>
      </c>
      <c r="C41" s="72"/>
      <c r="D41" s="15"/>
      <c r="E41" s="15"/>
      <c r="F41" s="15">
        <v>54000</v>
      </c>
      <c r="G41" s="15">
        <v>-54000</v>
      </c>
      <c r="H41" s="15"/>
      <c r="I41" s="15"/>
      <c r="J41" s="15"/>
      <c r="K41" s="15"/>
      <c r="L41" s="15"/>
      <c r="M41" s="15"/>
      <c r="N41" s="15"/>
      <c r="O41" s="69">
        <f t="shared" si="3"/>
        <v>0</v>
      </c>
      <c r="P41" s="73">
        <v>8.3000000000000001E-4</v>
      </c>
      <c r="R41" s="84">
        <f t="shared" si="4"/>
        <v>0</v>
      </c>
    </row>
    <row r="42" spans="1:18">
      <c r="A42" s="53">
        <v>36</v>
      </c>
      <c r="B42" s="3" t="s">
        <v>108</v>
      </c>
      <c r="C42" s="72">
        <v>10318300</v>
      </c>
      <c r="D42" s="15">
        <v>12442180</v>
      </c>
      <c r="E42" s="15">
        <v>11211240</v>
      </c>
      <c r="F42" s="15">
        <v>9636920</v>
      </c>
      <c r="G42" s="15">
        <v>10839840</v>
      </c>
      <c r="H42" s="15">
        <v>9171000</v>
      </c>
      <c r="I42" s="15">
        <v>10177875</v>
      </c>
      <c r="J42" s="15">
        <v>10771855</v>
      </c>
      <c r="K42" s="15">
        <v>11930134</v>
      </c>
      <c r="L42" s="15">
        <v>13859241</v>
      </c>
      <c r="M42" s="15">
        <v>14520180</v>
      </c>
      <c r="N42" s="15">
        <v>11750660</v>
      </c>
      <c r="O42" s="69">
        <f t="shared" si="3"/>
        <v>136629425</v>
      </c>
      <c r="P42" s="73">
        <v>1.0200000000000001E-3</v>
      </c>
      <c r="R42" s="84">
        <f t="shared" si="4"/>
        <v>139362.0135</v>
      </c>
    </row>
    <row r="43" spans="1:18">
      <c r="A43" s="53" t="s">
        <v>148</v>
      </c>
      <c r="B43" s="3" t="s">
        <v>124</v>
      </c>
      <c r="C43" s="70">
        <v>2948000</v>
      </c>
      <c r="D43" s="15">
        <v>2612000</v>
      </c>
      <c r="E43" s="15">
        <v>2349000</v>
      </c>
      <c r="F43" s="15">
        <v>2241000</v>
      </c>
      <c r="G43" s="15">
        <v>1942000</v>
      </c>
      <c r="H43" s="15">
        <v>1761000</v>
      </c>
      <c r="I43" s="15">
        <v>2096000</v>
      </c>
      <c r="J43" s="15">
        <v>2221000</v>
      </c>
      <c r="K43" s="15">
        <v>1602000</v>
      </c>
      <c r="L43" s="15">
        <v>1544000</v>
      </c>
      <c r="M43" s="15">
        <v>1868000</v>
      </c>
      <c r="N43" s="15">
        <v>2647000</v>
      </c>
      <c r="O43" s="69">
        <f t="shared" si="3"/>
        <v>25831000</v>
      </c>
      <c r="P43" s="73">
        <v>8.3000000000000001E-4</v>
      </c>
      <c r="R43" s="84">
        <f t="shared" si="4"/>
        <v>21439.73</v>
      </c>
    </row>
    <row r="44" spans="1:18">
      <c r="A44" s="53" t="s">
        <v>71</v>
      </c>
      <c r="B44" s="3" t="s">
        <v>109</v>
      </c>
      <c r="C44" s="70">
        <v>49783800</v>
      </c>
      <c r="D44" s="15">
        <v>59340000</v>
      </c>
      <c r="E44" s="15">
        <v>57320600</v>
      </c>
      <c r="F44" s="15">
        <v>54656650</v>
      </c>
      <c r="G44" s="15">
        <v>55667450</v>
      </c>
      <c r="H44" s="15">
        <v>40957550</v>
      </c>
      <c r="I44" s="15">
        <v>56388555</v>
      </c>
      <c r="J44" s="15">
        <v>61600850</v>
      </c>
      <c r="K44" s="15">
        <v>60175601</v>
      </c>
      <c r="L44" s="15">
        <v>57164750</v>
      </c>
      <c r="M44" s="15">
        <v>58007500</v>
      </c>
      <c r="N44" s="15">
        <v>63661250</v>
      </c>
      <c r="O44" s="69">
        <f t="shared" si="3"/>
        <v>674724556</v>
      </c>
      <c r="P44" s="73">
        <v>8.3000000000000001E-4</v>
      </c>
      <c r="R44" s="84">
        <f t="shared" si="4"/>
        <v>560021.38147999998</v>
      </c>
    </row>
    <row r="45" spans="1:18">
      <c r="B45" s="3" t="s">
        <v>110</v>
      </c>
      <c r="C45" s="70"/>
      <c r="D45" s="15"/>
      <c r="E45" s="15"/>
      <c r="F45" s="15"/>
      <c r="G45" s="15"/>
      <c r="H45" s="15"/>
      <c r="I45" s="15">
        <v>0</v>
      </c>
      <c r="J45" s="15">
        <v>0</v>
      </c>
      <c r="K45" s="15">
        <v>0</v>
      </c>
      <c r="L45" s="15"/>
      <c r="M45" s="15"/>
      <c r="N45" s="15"/>
      <c r="O45" s="69">
        <f t="shared" si="3"/>
        <v>0</v>
      </c>
    </row>
    <row r="46" spans="1:18">
      <c r="A46" s="53" t="s">
        <v>145</v>
      </c>
      <c r="B46" s="3" t="s">
        <v>116</v>
      </c>
      <c r="C46" s="70">
        <v>10756</v>
      </c>
      <c r="D46" s="15">
        <v>11243</v>
      </c>
      <c r="E46" s="15">
        <v>11348</v>
      </c>
      <c r="F46" s="15">
        <v>10494</v>
      </c>
      <c r="G46" s="15">
        <v>10714</v>
      </c>
      <c r="H46" s="15">
        <v>10392</v>
      </c>
      <c r="I46" s="15">
        <v>10322</v>
      </c>
      <c r="J46" s="15">
        <v>10317</v>
      </c>
      <c r="K46" s="15">
        <v>9746</v>
      </c>
      <c r="L46" s="15">
        <v>10468</v>
      </c>
      <c r="M46" s="15">
        <v>10361</v>
      </c>
      <c r="N46" s="15">
        <v>10770</v>
      </c>
      <c r="O46" s="69">
        <f t="shared" si="3"/>
        <v>126931</v>
      </c>
      <c r="P46" s="73">
        <v>1.09E-3</v>
      </c>
      <c r="R46" s="84">
        <f>P46*O46</f>
        <v>138.35479000000001</v>
      </c>
    </row>
    <row r="47" spans="1:18">
      <c r="A47" s="53" t="s">
        <v>145</v>
      </c>
      <c r="B47" s="3" t="s">
        <v>222</v>
      </c>
      <c r="C47" s="70">
        <v>2684</v>
      </c>
      <c r="D47" s="15">
        <v>2684</v>
      </c>
      <c r="E47" s="15">
        <v>2684</v>
      </c>
      <c r="F47" s="15">
        <v>2684</v>
      </c>
      <c r="G47" s="15">
        <v>2608</v>
      </c>
      <c r="H47" s="15">
        <v>2760</v>
      </c>
      <c r="I47" s="15">
        <v>2686</v>
      </c>
      <c r="J47" s="15">
        <v>2685</v>
      </c>
      <c r="K47" s="15">
        <v>2684</v>
      </c>
      <c r="L47" s="15">
        <v>2684</v>
      </c>
      <c r="M47" s="15">
        <v>2684</v>
      </c>
      <c r="N47" s="15">
        <v>2684</v>
      </c>
      <c r="O47" s="69">
        <f t="shared" si="3"/>
        <v>32211</v>
      </c>
      <c r="P47" s="73">
        <v>1.09E-3</v>
      </c>
      <c r="R47" s="84">
        <f>P47*O47</f>
        <v>35.109990000000003</v>
      </c>
    </row>
    <row r="48" spans="1:18">
      <c r="A48" s="53">
        <v>47</v>
      </c>
      <c r="B48" s="3" t="s">
        <v>125</v>
      </c>
      <c r="C48" s="70">
        <v>0</v>
      </c>
      <c r="D48" s="15">
        <v>420000</v>
      </c>
      <c r="E48" s="15">
        <v>0</v>
      </c>
      <c r="F48" s="15">
        <v>140000</v>
      </c>
      <c r="G48" s="15">
        <v>0</v>
      </c>
      <c r="H48" s="15">
        <v>140000</v>
      </c>
      <c r="I48" s="15">
        <v>140000</v>
      </c>
      <c r="J48" s="15">
        <v>140000</v>
      </c>
      <c r="K48" s="15">
        <v>140000</v>
      </c>
      <c r="L48" s="15">
        <v>140000</v>
      </c>
      <c r="M48" s="15">
        <v>140000</v>
      </c>
      <c r="N48" s="15">
        <v>140000</v>
      </c>
      <c r="O48" s="69">
        <f t="shared" si="3"/>
        <v>1540000</v>
      </c>
      <c r="P48" s="73">
        <v>8.3000000000000001E-4</v>
      </c>
      <c r="R48" s="84">
        <f>P48*O48</f>
        <v>1278.2</v>
      </c>
    </row>
    <row r="49" spans="1:18">
      <c r="A49" s="53" t="s">
        <v>31</v>
      </c>
      <c r="B49" s="3" t="s">
        <v>118</v>
      </c>
      <c r="C49" s="70"/>
      <c r="D49" s="15"/>
      <c r="E49" s="15"/>
      <c r="F49" s="15"/>
      <c r="G49" s="15"/>
      <c r="H49" s="15">
        <v>0</v>
      </c>
      <c r="I49" s="15"/>
      <c r="J49" s="15">
        <v>0</v>
      </c>
      <c r="K49" s="15"/>
      <c r="L49" s="15">
        <v>0</v>
      </c>
      <c r="M49" s="15"/>
      <c r="N49" s="15"/>
      <c r="O49" s="3">
        <v>0</v>
      </c>
    </row>
    <row r="50" spans="1:18">
      <c r="B50" s="3" t="s">
        <v>119</v>
      </c>
      <c r="C50" s="70"/>
      <c r="D50" s="15"/>
      <c r="E50" s="15"/>
      <c r="F50" s="15"/>
      <c r="G50" s="15"/>
      <c r="H50" s="15">
        <v>0</v>
      </c>
      <c r="I50" s="15"/>
      <c r="J50" s="15">
        <v>0</v>
      </c>
      <c r="K50" s="15"/>
      <c r="L50" s="15"/>
      <c r="M50" s="15"/>
      <c r="N50" s="15"/>
      <c r="O50" s="3">
        <v>0</v>
      </c>
    </row>
    <row r="51" spans="1:18">
      <c r="B51" s="3" t="s">
        <v>216</v>
      </c>
      <c r="C51" s="70">
        <v>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/>
      <c r="J51" s="15"/>
      <c r="K51" s="15"/>
      <c r="L51" s="15"/>
      <c r="M51" s="15"/>
      <c r="N51" s="15"/>
      <c r="O51" s="3">
        <v>0</v>
      </c>
    </row>
    <row r="52" spans="1:18">
      <c r="B52" s="3" t="s">
        <v>219</v>
      </c>
      <c r="C52" s="70">
        <v>0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/>
      <c r="J52" s="15"/>
      <c r="K52" s="15"/>
      <c r="L52" s="15"/>
      <c r="M52" s="15"/>
      <c r="N52" s="15"/>
      <c r="O52" s="3">
        <v>0</v>
      </c>
    </row>
    <row r="53" spans="1:18">
      <c r="B53" s="3" t="s">
        <v>121</v>
      </c>
    </row>
    <row r="54" spans="1:18">
      <c r="C54" s="69">
        <f t="shared" ref="C54:O54" si="5">SUM(C36:C52)</f>
        <v>65322549</v>
      </c>
      <c r="D54" s="69">
        <f t="shared" si="5"/>
        <v>76970170</v>
      </c>
      <c r="E54" s="69">
        <f t="shared" si="5"/>
        <v>72711629</v>
      </c>
      <c r="F54" s="69">
        <f t="shared" si="5"/>
        <v>68267582</v>
      </c>
      <c r="G54" s="69">
        <f t="shared" si="5"/>
        <v>70025693</v>
      </c>
      <c r="H54" s="69">
        <f t="shared" si="5"/>
        <v>53705132</v>
      </c>
      <c r="I54" s="69">
        <f t="shared" si="5"/>
        <v>71077583</v>
      </c>
      <c r="J54" s="69">
        <f t="shared" si="5"/>
        <v>76683925</v>
      </c>
      <c r="K54" s="69">
        <f t="shared" si="5"/>
        <v>76734276</v>
      </c>
      <c r="L54" s="69">
        <f t="shared" si="5"/>
        <v>75997087</v>
      </c>
      <c r="M54" s="69">
        <f t="shared" si="5"/>
        <v>76275881</v>
      </c>
      <c r="N54" s="69">
        <f t="shared" si="5"/>
        <v>80289165</v>
      </c>
      <c r="O54" s="69">
        <f t="shared" si="5"/>
        <v>864060672</v>
      </c>
    </row>
    <row r="55" spans="1:18">
      <c r="B55" s="3" t="s">
        <v>126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122</v>
      </c>
    </row>
    <row r="57" spans="1:18">
      <c r="A57" s="53">
        <v>40</v>
      </c>
      <c r="B57" s="3" t="s">
        <v>127</v>
      </c>
      <c r="C57" s="67">
        <v>124730</v>
      </c>
      <c r="D57" s="68">
        <v>162249</v>
      </c>
      <c r="E57" s="68">
        <v>1299080</v>
      </c>
      <c r="F57" s="68">
        <v>7016538</v>
      </c>
      <c r="G57" s="68">
        <v>14528558</v>
      </c>
      <c r="H57" s="68">
        <v>22434860</v>
      </c>
      <c r="I57" s="68">
        <v>27592080</v>
      </c>
      <c r="J57" s="68">
        <v>27861032</v>
      </c>
      <c r="K57" s="68">
        <v>22999788</v>
      </c>
      <c r="L57" s="68">
        <v>15185882</v>
      </c>
      <c r="M57" s="68">
        <v>4628381</v>
      </c>
      <c r="N57" s="68">
        <v>95256</v>
      </c>
      <c r="O57" s="69">
        <f t="shared" ref="O57:O68" si="6">SUM(C57:N57)</f>
        <v>143928434</v>
      </c>
      <c r="P57" s="73">
        <v>1.1299999999999999E-3</v>
      </c>
      <c r="R57" s="84">
        <f>P57*O57</f>
        <v>162639.13042</v>
      </c>
    </row>
    <row r="58" spans="1:18">
      <c r="A58" s="53" t="s">
        <v>151</v>
      </c>
      <c r="B58" s="3" t="s">
        <v>128</v>
      </c>
      <c r="C58" s="70">
        <v>102459</v>
      </c>
      <c r="D58" s="15">
        <v>42286</v>
      </c>
      <c r="E58" s="15">
        <v>64181</v>
      </c>
      <c r="F58" s="15">
        <v>1216993</v>
      </c>
      <c r="G58" s="15">
        <v>2153761</v>
      </c>
      <c r="H58" s="15">
        <v>2795376</v>
      </c>
      <c r="I58" s="15">
        <v>3573149</v>
      </c>
      <c r="J58" s="15">
        <v>4095509</v>
      </c>
      <c r="K58" s="15">
        <v>3017180</v>
      </c>
      <c r="L58" s="15">
        <v>2319141</v>
      </c>
      <c r="M58" s="15">
        <v>828689</v>
      </c>
      <c r="N58" s="15">
        <v>45789</v>
      </c>
      <c r="O58" s="69">
        <f t="shared" si="6"/>
        <v>20254513</v>
      </c>
      <c r="P58" s="73">
        <v>1.1299999999999999E-3</v>
      </c>
      <c r="R58" s="84">
        <f>P58*O58</f>
        <v>22887.599689999999</v>
      </c>
    </row>
    <row r="59" spans="1:18">
      <c r="B59" s="3" t="s">
        <v>110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69">
        <f t="shared" si="6"/>
        <v>0</v>
      </c>
    </row>
    <row r="60" spans="1:18">
      <c r="B60" s="3" t="s">
        <v>111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69">
        <f t="shared" si="6"/>
        <v>0</v>
      </c>
    </row>
    <row r="61" spans="1:18">
      <c r="A61" s="53" t="s">
        <v>31</v>
      </c>
      <c r="B61" s="3" t="s">
        <v>112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69">
        <f t="shared" si="6"/>
        <v>0</v>
      </c>
    </row>
    <row r="62" spans="1:18">
      <c r="A62" s="53" t="s">
        <v>31</v>
      </c>
      <c r="B62" s="3" t="s">
        <v>113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69">
        <f t="shared" si="6"/>
        <v>0</v>
      </c>
    </row>
    <row r="63" spans="1:18">
      <c r="A63" s="53" t="s">
        <v>31</v>
      </c>
      <c r="B63" s="3" t="s">
        <v>114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69">
        <f t="shared" si="6"/>
        <v>0</v>
      </c>
    </row>
    <row r="64" spans="1:18">
      <c r="B64" s="54" t="s">
        <v>238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69">
        <f t="shared" si="6"/>
        <v>0</v>
      </c>
    </row>
    <row r="65" spans="1:18">
      <c r="B65" s="54" t="s">
        <v>239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69">
        <f t="shared" si="6"/>
        <v>0</v>
      </c>
    </row>
    <row r="66" spans="1:18">
      <c r="A66" s="53" t="s">
        <v>31</v>
      </c>
      <c r="B66" s="3" t="s">
        <v>118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69">
        <f t="shared" si="6"/>
        <v>0</v>
      </c>
    </row>
    <row r="67" spans="1:18">
      <c r="A67" s="53" t="s">
        <v>31</v>
      </c>
      <c r="B67" s="3" t="s">
        <v>119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69">
        <f t="shared" si="6"/>
        <v>0</v>
      </c>
    </row>
    <row r="68" spans="1:18">
      <c r="A68" s="53" t="s">
        <v>31</v>
      </c>
      <c r="B68" s="3" t="s">
        <v>129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69">
        <f t="shared" si="6"/>
        <v>0</v>
      </c>
    </row>
    <row r="69" spans="1:18">
      <c r="C69" s="69">
        <f>SUM(C57:C68)</f>
        <v>227189</v>
      </c>
      <c r="D69" s="69">
        <v>197601</v>
      </c>
      <c r="E69" s="69">
        <v>775917</v>
      </c>
      <c r="F69" s="69">
        <v>9268537</v>
      </c>
      <c r="G69" s="69">
        <f>SUM(C69:F69)</f>
        <v>10469244</v>
      </c>
      <c r="H69" s="69">
        <v>13670831</v>
      </c>
      <c r="I69" s="69">
        <v>27350041</v>
      </c>
      <c r="J69" s="69">
        <v>33739633</v>
      </c>
      <c r="K69" s="69">
        <v>28176106</v>
      </c>
      <c r="L69" s="69">
        <v>17440142</v>
      </c>
      <c r="M69" s="69">
        <v>6008504</v>
      </c>
      <c r="N69" s="69">
        <v>295653</v>
      </c>
      <c r="O69" s="69">
        <f>SUM(O57:O68)</f>
        <v>164182947</v>
      </c>
    </row>
    <row r="70" spans="1:18">
      <c r="B70" s="3" t="s">
        <v>130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122</v>
      </c>
    </row>
    <row r="72" spans="1:18">
      <c r="B72" s="3" t="s">
        <v>131</v>
      </c>
      <c r="C72" s="67">
        <v>0</v>
      </c>
      <c r="D72" s="68">
        <v>0</v>
      </c>
      <c r="E72" s="68">
        <v>0</v>
      </c>
      <c r="F72" s="68">
        <v>0</v>
      </c>
      <c r="G72" s="68">
        <v>0</v>
      </c>
      <c r="H72" s="68">
        <v>0</v>
      </c>
      <c r="I72" s="68">
        <v>0</v>
      </c>
      <c r="J72" s="68">
        <v>0</v>
      </c>
      <c r="K72" s="68">
        <v>0</v>
      </c>
      <c r="L72" s="68">
        <v>0</v>
      </c>
      <c r="M72" s="68">
        <v>0</v>
      </c>
      <c r="N72" s="68">
        <v>0</v>
      </c>
      <c r="O72" s="15">
        <f t="shared" ref="O72:O77" si="7">SUM(C72:N72)</f>
        <v>0</v>
      </c>
    </row>
    <row r="73" spans="1:18">
      <c r="A73" s="53">
        <v>52</v>
      </c>
      <c r="B73" s="3" t="s">
        <v>132</v>
      </c>
      <c r="C73" s="70">
        <v>39116</v>
      </c>
      <c r="D73" s="15">
        <v>39034</v>
      </c>
      <c r="E73" s="15">
        <v>37272</v>
      </c>
      <c r="F73" s="15">
        <v>37252</v>
      </c>
      <c r="G73" s="15">
        <v>37208</v>
      </c>
      <c r="H73" s="15">
        <v>37208</v>
      </c>
      <c r="I73" s="15">
        <v>37678</v>
      </c>
      <c r="J73" s="15">
        <v>37814</v>
      </c>
      <c r="K73" s="15">
        <v>37522</v>
      </c>
      <c r="L73" s="15">
        <v>37522</v>
      </c>
      <c r="M73" s="15">
        <v>37522</v>
      </c>
      <c r="N73" s="15">
        <v>37478</v>
      </c>
      <c r="O73" s="15">
        <f t="shared" si="7"/>
        <v>452626</v>
      </c>
      <c r="P73" s="73">
        <v>1.09E-3</v>
      </c>
      <c r="R73" s="84">
        <f>P73*O73</f>
        <v>493.36234000000002</v>
      </c>
    </row>
    <row r="74" spans="1:18">
      <c r="A74" s="53" t="s">
        <v>152</v>
      </c>
      <c r="B74" s="3" t="s">
        <v>133</v>
      </c>
      <c r="C74" s="70">
        <v>276471</v>
      </c>
      <c r="D74" s="15">
        <v>290547</v>
      </c>
      <c r="E74" s="15">
        <v>288752</v>
      </c>
      <c r="F74" s="15">
        <v>285340</v>
      </c>
      <c r="G74" s="15">
        <v>286822</v>
      </c>
      <c r="H74" s="15">
        <v>286785</v>
      </c>
      <c r="I74" s="15">
        <v>289392</v>
      </c>
      <c r="J74" s="15">
        <v>288158</v>
      </c>
      <c r="K74" s="15">
        <v>278871</v>
      </c>
      <c r="L74" s="15">
        <v>296043</v>
      </c>
      <c r="M74" s="15">
        <v>274250</v>
      </c>
      <c r="N74" s="15">
        <v>291719</v>
      </c>
      <c r="O74" s="15">
        <f t="shared" si="7"/>
        <v>3433150</v>
      </c>
      <c r="P74" s="73">
        <v>1.09E-3</v>
      </c>
      <c r="R74" s="84">
        <f>P74*O74</f>
        <v>3742.1334999999999</v>
      </c>
    </row>
    <row r="75" spans="1:18">
      <c r="A75" s="53" t="s">
        <v>153</v>
      </c>
      <c r="B75" s="3" t="s">
        <v>134</v>
      </c>
      <c r="C75" s="70">
        <v>107921</v>
      </c>
      <c r="D75" s="15">
        <v>113134</v>
      </c>
      <c r="E75" s="15">
        <v>93288</v>
      </c>
      <c r="F75" s="15">
        <v>78692</v>
      </c>
      <c r="G75" s="15">
        <v>73504</v>
      </c>
      <c r="H75" s="15">
        <v>67123</v>
      </c>
      <c r="I75" s="15">
        <v>59224</v>
      </c>
      <c r="J75" s="15">
        <v>66326</v>
      </c>
      <c r="K75" s="15">
        <v>68501</v>
      </c>
      <c r="L75" s="15">
        <v>91363</v>
      </c>
      <c r="M75" s="15">
        <v>83603</v>
      </c>
      <c r="N75" s="15">
        <v>115636</v>
      </c>
      <c r="O75" s="15">
        <f t="shared" si="7"/>
        <v>1018315</v>
      </c>
      <c r="P75" s="73">
        <v>1.09E-3</v>
      </c>
      <c r="R75" s="84">
        <f>P75*O75</f>
        <v>1109.96335</v>
      </c>
    </row>
    <row r="76" spans="1:18">
      <c r="A76" s="53">
        <v>51</v>
      </c>
      <c r="B76" s="3" t="s">
        <v>135</v>
      </c>
      <c r="C76" s="70">
        <v>261534</v>
      </c>
      <c r="D76" s="15">
        <v>236821</v>
      </c>
      <c r="E76" s="15">
        <v>217887</v>
      </c>
      <c r="F76" s="15">
        <v>244442</v>
      </c>
      <c r="G76" s="15">
        <v>270529</v>
      </c>
      <c r="H76" s="15">
        <v>244741</v>
      </c>
      <c r="I76" s="15">
        <v>245152</v>
      </c>
      <c r="J76" s="15">
        <v>248212</v>
      </c>
      <c r="K76" s="15">
        <v>221114</v>
      </c>
      <c r="L76" s="15">
        <v>247975</v>
      </c>
      <c r="M76" s="15">
        <v>246781</v>
      </c>
      <c r="N76" s="15">
        <v>248442</v>
      </c>
      <c r="O76" s="15">
        <f t="shared" si="7"/>
        <v>2933630</v>
      </c>
      <c r="P76" s="73">
        <v>1.09E-3</v>
      </c>
      <c r="R76" s="84">
        <f>P76*O76</f>
        <v>3197.6567</v>
      </c>
    </row>
    <row r="77" spans="1:18">
      <c r="A77" s="53">
        <v>57</v>
      </c>
      <c r="B77" s="3" t="s">
        <v>136</v>
      </c>
      <c r="C77" s="70">
        <v>177159</v>
      </c>
      <c r="D77" s="15">
        <v>174004</v>
      </c>
      <c r="E77" s="15">
        <v>171585</v>
      </c>
      <c r="F77" s="15">
        <v>171220</v>
      </c>
      <c r="G77" s="15">
        <v>172424</v>
      </c>
      <c r="H77" s="15">
        <v>170016</v>
      </c>
      <c r="I77" s="15">
        <v>173034</v>
      </c>
      <c r="J77" s="15">
        <v>170420</v>
      </c>
      <c r="K77" s="15">
        <v>168890</v>
      </c>
      <c r="L77" s="15">
        <v>170578</v>
      </c>
      <c r="M77" s="15">
        <v>169577</v>
      </c>
      <c r="N77" s="15">
        <v>170320</v>
      </c>
      <c r="O77" s="15">
        <f t="shared" si="7"/>
        <v>2059227</v>
      </c>
      <c r="P77" s="73">
        <v>1.09E-3</v>
      </c>
      <c r="R77" s="84">
        <f>P77*O77</f>
        <v>2244.5574300000003</v>
      </c>
    </row>
    <row r="78" spans="1:18">
      <c r="B78" s="3" t="s">
        <v>118</v>
      </c>
      <c r="C78" s="70"/>
      <c r="D78" s="15"/>
      <c r="E78" s="15"/>
      <c r="F78" s="15"/>
      <c r="G78" s="15"/>
      <c r="H78" s="15"/>
      <c r="I78" s="15"/>
      <c r="J78" s="15"/>
      <c r="K78" s="15"/>
      <c r="L78" s="15">
        <v>0</v>
      </c>
      <c r="M78" s="15"/>
      <c r="N78" s="15"/>
      <c r="O78" s="69"/>
      <c r="P78" s="73"/>
      <c r="R78" s="84"/>
    </row>
    <row r="79" spans="1:18">
      <c r="B79" s="3" t="s">
        <v>119</v>
      </c>
      <c r="C79" s="70"/>
      <c r="D79" s="15">
        <v>0</v>
      </c>
      <c r="E79" s="15"/>
      <c r="F79" s="15"/>
      <c r="G79" s="15"/>
      <c r="H79" s="15"/>
      <c r="I79" s="15"/>
      <c r="J79" s="15"/>
      <c r="K79" s="15"/>
      <c r="L79" s="15">
        <v>0</v>
      </c>
      <c r="M79" s="15"/>
      <c r="N79" s="15"/>
      <c r="O79" s="69"/>
      <c r="P79" s="73"/>
      <c r="R79" s="84"/>
    </row>
    <row r="80" spans="1:18">
      <c r="A80" s="53" t="s">
        <v>31</v>
      </c>
      <c r="B80" s="3" t="s">
        <v>121</v>
      </c>
      <c r="C80" s="70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</row>
    <row r="81" spans="1:18">
      <c r="A81" s="53" t="s">
        <v>31</v>
      </c>
      <c r="C81" s="69">
        <f t="shared" ref="C81:O81" si="8">SUM(C72:C80)</f>
        <v>862201</v>
      </c>
      <c r="D81" s="69">
        <f t="shared" si="8"/>
        <v>853540</v>
      </c>
      <c r="E81" s="69">
        <f t="shared" si="8"/>
        <v>808784</v>
      </c>
      <c r="F81" s="69">
        <f t="shared" si="8"/>
        <v>816946</v>
      </c>
      <c r="G81" s="69">
        <f t="shared" si="8"/>
        <v>840487</v>
      </c>
      <c r="H81" s="69">
        <f t="shared" si="8"/>
        <v>805873</v>
      </c>
      <c r="I81" s="69">
        <f t="shared" si="8"/>
        <v>804480</v>
      </c>
      <c r="J81" s="69">
        <f t="shared" si="8"/>
        <v>810930</v>
      </c>
      <c r="K81" s="69">
        <f t="shared" si="8"/>
        <v>774898</v>
      </c>
      <c r="L81" s="69">
        <f t="shared" si="8"/>
        <v>843481</v>
      </c>
      <c r="M81" s="69">
        <f t="shared" si="8"/>
        <v>811733</v>
      </c>
      <c r="N81" s="69">
        <f t="shared" si="8"/>
        <v>863595</v>
      </c>
      <c r="O81" s="69">
        <f t="shared" si="8"/>
        <v>9896948</v>
      </c>
    </row>
    <row r="82" spans="1:18">
      <c r="A82" s="53" t="s">
        <v>31</v>
      </c>
      <c r="B82" s="3" t="s">
        <v>137</v>
      </c>
    </row>
    <row r="83" spans="1:18">
      <c r="A83" s="53" t="s">
        <v>31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122</v>
      </c>
    </row>
    <row r="84" spans="1:18">
      <c r="B84" s="85" t="s">
        <v>240</v>
      </c>
      <c r="C84" s="67"/>
      <c r="D84" s="68"/>
      <c r="E84" s="68"/>
      <c r="F84" s="68"/>
      <c r="G84" s="68"/>
      <c r="H84" s="68"/>
      <c r="I84" s="68"/>
      <c r="J84" s="68">
        <v>0</v>
      </c>
      <c r="K84" s="68"/>
      <c r="L84" s="68"/>
      <c r="M84" s="68">
        <v>0</v>
      </c>
      <c r="N84" s="68"/>
      <c r="O84" s="15">
        <f t="shared" ref="O84:O95" si="9">SUM(C84:N84)</f>
        <v>0</v>
      </c>
    </row>
    <row r="85" spans="1:18">
      <c r="A85" s="53" t="s">
        <v>31</v>
      </c>
      <c r="B85" s="3" t="s">
        <v>113</v>
      </c>
      <c r="C85" s="70">
        <v>0</v>
      </c>
      <c r="D85" s="15">
        <v>0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f t="shared" si="9"/>
        <v>0</v>
      </c>
    </row>
    <row r="86" spans="1:18">
      <c r="A86" s="53" t="s">
        <v>154</v>
      </c>
      <c r="B86" s="3" t="s">
        <v>225</v>
      </c>
      <c r="C86" s="70">
        <v>96033</v>
      </c>
      <c r="D86" s="15">
        <v>102581</v>
      </c>
      <c r="E86" s="15">
        <v>98161</v>
      </c>
      <c r="F86" s="15">
        <v>96801</v>
      </c>
      <c r="G86" s="15">
        <v>101713</v>
      </c>
      <c r="H86" s="15">
        <v>97522</v>
      </c>
      <c r="I86" s="15">
        <v>98076</v>
      </c>
      <c r="J86" s="15">
        <v>97431</v>
      </c>
      <c r="K86" s="15">
        <v>94196</v>
      </c>
      <c r="L86" s="15">
        <v>97685</v>
      </c>
      <c r="M86" s="15">
        <v>96036</v>
      </c>
      <c r="N86" s="15">
        <v>96187</v>
      </c>
      <c r="O86" s="15">
        <f t="shared" si="9"/>
        <v>1172422</v>
      </c>
      <c r="P86" s="73">
        <v>1.09E-3</v>
      </c>
      <c r="R86" s="84">
        <f>P86*O86</f>
        <v>1277.9399800000001</v>
      </c>
    </row>
    <row r="87" spans="1:18">
      <c r="A87" s="53">
        <v>16</v>
      </c>
      <c r="B87" s="3" t="s">
        <v>138</v>
      </c>
      <c r="C87" s="70">
        <v>208728854</v>
      </c>
      <c r="D87" s="15">
        <v>192294557</v>
      </c>
      <c r="E87" s="15">
        <v>139201527</v>
      </c>
      <c r="F87" s="15">
        <v>110523128</v>
      </c>
      <c r="G87" s="15">
        <v>97501475</v>
      </c>
      <c r="H87" s="15">
        <v>94591910</v>
      </c>
      <c r="I87" s="15">
        <v>114063547</v>
      </c>
      <c r="J87" s="15">
        <v>121993355</v>
      </c>
      <c r="K87" s="15">
        <v>102349329</v>
      </c>
      <c r="L87" s="15">
        <v>93719602</v>
      </c>
      <c r="M87" s="15">
        <v>122711460</v>
      </c>
      <c r="N87" s="15">
        <v>181663338</v>
      </c>
      <c r="O87" s="15">
        <f t="shared" si="9"/>
        <v>1579342082</v>
      </c>
      <c r="P87" s="73">
        <v>1.2199999999999999E-3</v>
      </c>
      <c r="R87" s="84">
        <f>P87*O87</f>
        <v>1926797.3400399999</v>
      </c>
    </row>
    <row r="88" spans="1:18">
      <c r="A88" s="53">
        <v>17</v>
      </c>
      <c r="B88" s="3" t="s">
        <v>139</v>
      </c>
      <c r="C88" s="70">
        <v>6943483</v>
      </c>
      <c r="D88" s="15">
        <v>6819158</v>
      </c>
      <c r="E88" s="15">
        <v>5017558</v>
      </c>
      <c r="F88" s="15">
        <v>3565575</v>
      </c>
      <c r="G88" s="15">
        <v>2801635</v>
      </c>
      <c r="H88" s="15">
        <v>2210918</v>
      </c>
      <c r="I88" s="15">
        <v>2418611</v>
      </c>
      <c r="J88" s="15">
        <v>2445134</v>
      </c>
      <c r="K88" s="15">
        <v>1554422</v>
      </c>
      <c r="L88" s="15">
        <v>1767989</v>
      </c>
      <c r="M88" s="15">
        <v>3674873</v>
      </c>
      <c r="N88" s="15">
        <v>6622568</v>
      </c>
      <c r="O88" s="15">
        <f t="shared" si="9"/>
        <v>45841924</v>
      </c>
      <c r="P88" s="73">
        <v>1.2199999999999999E-3</v>
      </c>
      <c r="R88" s="84">
        <f>P88*O88</f>
        <v>55927.147279999997</v>
      </c>
    </row>
    <row r="89" spans="1:18">
      <c r="A89" s="53">
        <v>18</v>
      </c>
      <c r="B89" s="3" t="s">
        <v>141</v>
      </c>
      <c r="C89" s="70">
        <v>277527</v>
      </c>
      <c r="D89" s="15">
        <v>282459</v>
      </c>
      <c r="E89" s="15">
        <v>220886</v>
      </c>
      <c r="F89" s="15">
        <v>205763</v>
      </c>
      <c r="G89" s="15">
        <v>191937</v>
      </c>
      <c r="H89" s="15">
        <v>205945</v>
      </c>
      <c r="I89" s="15">
        <v>247950</v>
      </c>
      <c r="J89" s="15">
        <v>250179</v>
      </c>
      <c r="K89" s="15">
        <v>213978</v>
      </c>
      <c r="L89" s="15">
        <v>188874</v>
      </c>
      <c r="M89" s="15">
        <v>201556</v>
      </c>
      <c r="N89" s="15">
        <v>257499</v>
      </c>
      <c r="O89" s="15">
        <f t="shared" si="9"/>
        <v>2744553</v>
      </c>
      <c r="P89" s="73">
        <v>1.2199999999999999E-3</v>
      </c>
      <c r="R89" s="84">
        <f>P89*O89</f>
        <v>3348.35466</v>
      </c>
    </row>
    <row r="90" spans="1:18">
      <c r="A90" s="53" t="s">
        <v>155</v>
      </c>
      <c r="B90" s="3" t="s">
        <v>142</v>
      </c>
      <c r="C90" s="70">
        <v>79539</v>
      </c>
      <c r="D90" s="15">
        <v>71861</v>
      </c>
      <c r="E90" s="15">
        <v>65956</v>
      </c>
      <c r="F90" s="15">
        <v>53835</v>
      </c>
      <c r="G90" s="15">
        <v>58265</v>
      </c>
      <c r="H90" s="15">
        <v>42371</v>
      </c>
      <c r="I90" s="15">
        <v>68542</v>
      </c>
      <c r="J90" s="15">
        <v>68348</v>
      </c>
      <c r="K90" s="15">
        <v>54179</v>
      </c>
      <c r="L90" s="15">
        <v>40639</v>
      </c>
      <c r="M90" s="15">
        <v>47570</v>
      </c>
      <c r="N90" s="15">
        <v>58886</v>
      </c>
      <c r="O90" s="15">
        <f t="shared" si="9"/>
        <v>709991</v>
      </c>
      <c r="P90" s="73">
        <v>1.2199999999999999E-3</v>
      </c>
      <c r="R90" s="84">
        <f>P90*O90</f>
        <v>866.18901999999991</v>
      </c>
    </row>
    <row r="91" spans="1:18">
      <c r="B91" s="3" t="s">
        <v>118</v>
      </c>
      <c r="C91" s="70">
        <v>0</v>
      </c>
      <c r="D91" s="15">
        <v>0</v>
      </c>
      <c r="E91" s="15">
        <v>0</v>
      </c>
      <c r="F91" s="15"/>
      <c r="G91" s="15"/>
      <c r="H91" s="15"/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f t="shared" si="9"/>
        <v>0</v>
      </c>
    </row>
    <row r="92" spans="1:18">
      <c r="B92" s="3" t="s">
        <v>119</v>
      </c>
      <c r="C92" s="70"/>
      <c r="D92" s="15"/>
      <c r="E92" s="15">
        <v>0</v>
      </c>
      <c r="F92" s="15">
        <v>0</v>
      </c>
      <c r="G92" s="15"/>
      <c r="H92" s="15"/>
      <c r="I92" s="15"/>
      <c r="J92" s="15"/>
      <c r="K92" s="15">
        <v>0</v>
      </c>
      <c r="L92" s="15">
        <v>0</v>
      </c>
      <c r="M92" s="15"/>
      <c r="N92" s="15"/>
      <c r="O92" s="15">
        <f t="shared" si="9"/>
        <v>0</v>
      </c>
    </row>
    <row r="93" spans="1:18">
      <c r="B93" s="3" t="s">
        <v>211</v>
      </c>
      <c r="C93" s="70">
        <v>0</v>
      </c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>
        <f t="shared" si="9"/>
        <v>0</v>
      </c>
    </row>
    <row r="94" spans="1:18">
      <c r="B94" s="3" t="s">
        <v>216</v>
      </c>
      <c r="C94" s="70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/>
      <c r="J94" s="15"/>
      <c r="K94" s="15"/>
      <c r="L94" s="15"/>
      <c r="M94" s="15"/>
      <c r="N94" s="15"/>
      <c r="O94" s="15">
        <f t="shared" si="9"/>
        <v>0</v>
      </c>
    </row>
    <row r="95" spans="1:18">
      <c r="B95" s="3" t="s">
        <v>219</v>
      </c>
      <c r="C95" s="70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/>
      <c r="J95" s="15"/>
      <c r="K95" s="15"/>
      <c r="L95" s="15"/>
      <c r="M95" s="15"/>
      <c r="N95" s="15"/>
      <c r="O95" s="15">
        <f t="shared" si="9"/>
        <v>0</v>
      </c>
    </row>
    <row r="96" spans="1:18">
      <c r="B96" s="3" t="s">
        <v>121</v>
      </c>
    </row>
    <row r="97" spans="3:18">
      <c r="C97" s="69">
        <f t="shared" ref="C97:O97" si="10">SUM(C84:C95)</f>
        <v>216125436</v>
      </c>
      <c r="D97" s="69">
        <f t="shared" si="10"/>
        <v>199570616</v>
      </c>
      <c r="E97" s="69">
        <f t="shared" si="10"/>
        <v>144604088</v>
      </c>
      <c r="F97" s="69">
        <f t="shared" si="10"/>
        <v>114445102</v>
      </c>
      <c r="G97" s="69">
        <f t="shared" si="10"/>
        <v>100655025</v>
      </c>
      <c r="H97" s="69">
        <f t="shared" si="10"/>
        <v>97148666</v>
      </c>
      <c r="I97" s="69">
        <f t="shared" si="10"/>
        <v>116896726</v>
      </c>
      <c r="J97" s="69">
        <f t="shared" si="10"/>
        <v>124854447</v>
      </c>
      <c r="K97" s="69">
        <f t="shared" si="10"/>
        <v>104266104</v>
      </c>
      <c r="L97" s="69">
        <f t="shared" si="10"/>
        <v>95814789</v>
      </c>
      <c r="M97" s="69">
        <f t="shared" si="10"/>
        <v>126731495</v>
      </c>
      <c r="N97" s="69">
        <f t="shared" si="10"/>
        <v>188698478</v>
      </c>
      <c r="O97" s="69">
        <f t="shared" si="10"/>
        <v>1629810972</v>
      </c>
      <c r="R97" s="84">
        <f>SUM(R8:R96)</f>
        <v>4474033.4386200001</v>
      </c>
    </row>
    <row r="99" spans="3:18">
      <c r="O99" s="69">
        <f>O97+O81+O69+O54+O33</f>
        <v>4093241027</v>
      </c>
    </row>
  </sheetData>
  <phoneticPr fontId="26" type="noConversion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69" bestFit="1" customWidth="1"/>
    <col min="16" max="16" width="12.75" style="69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231" t="s">
        <v>31</v>
      </c>
      <c r="B1" s="232"/>
      <c r="C1" s="232"/>
      <c r="D1" s="232"/>
      <c r="E1" s="233"/>
      <c r="F1" s="233"/>
      <c r="G1" s="232"/>
      <c r="H1" s="232"/>
      <c r="I1" s="233"/>
      <c r="J1" s="232"/>
      <c r="K1" s="232"/>
      <c r="M1" s="20"/>
      <c r="N1" s="20"/>
      <c r="O1" s="74"/>
      <c r="P1" s="74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</row>
    <row r="2" spans="1:31" ht="18">
      <c r="A2" s="1466" t="s">
        <v>567</v>
      </c>
      <c r="B2" s="1466"/>
      <c r="C2" s="1466"/>
      <c r="D2" s="1466"/>
      <c r="E2" s="1466"/>
      <c r="F2" s="1466"/>
      <c r="G2" s="1466"/>
      <c r="H2" s="232"/>
      <c r="I2" s="233"/>
      <c r="J2" s="232"/>
      <c r="K2" s="232"/>
      <c r="M2" s="20"/>
      <c r="N2" s="20"/>
      <c r="O2" s="74"/>
      <c r="P2" s="74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</row>
    <row r="3" spans="1:31" ht="18">
      <c r="A3" s="1466" t="s">
        <v>336</v>
      </c>
      <c r="B3" s="1466"/>
      <c r="C3" s="1466"/>
      <c r="D3" s="1466"/>
      <c r="E3" s="1466"/>
      <c r="F3" s="1466"/>
      <c r="G3" s="1466"/>
      <c r="H3" s="232"/>
      <c r="I3" s="233"/>
      <c r="J3" s="232"/>
      <c r="K3" s="232"/>
      <c r="M3" s="20"/>
      <c r="N3" s="20"/>
      <c r="O3" s="74"/>
      <c r="P3" s="74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</row>
    <row r="4" spans="1:31">
      <c r="A4" s="1467" t="s">
        <v>603</v>
      </c>
      <c r="B4" s="1467"/>
      <c r="C4" s="1467"/>
      <c r="D4" s="1467"/>
      <c r="E4" s="1467"/>
      <c r="F4" s="1467"/>
      <c r="G4" s="1467"/>
      <c r="H4" s="235"/>
      <c r="I4" s="236"/>
      <c r="J4" s="235"/>
      <c r="K4" s="235"/>
      <c r="M4" s="20"/>
      <c r="N4" s="20"/>
      <c r="O4" s="74"/>
      <c r="P4" s="74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</row>
    <row r="5" spans="1:31">
      <c r="A5" s="1468" t="s">
        <v>337</v>
      </c>
      <c r="B5" s="1468"/>
      <c r="C5" s="1468"/>
      <c r="D5" s="1468"/>
      <c r="E5" s="1468"/>
      <c r="F5" s="1468"/>
      <c r="G5" s="1468"/>
      <c r="H5" s="235"/>
      <c r="I5" s="236"/>
      <c r="J5" s="235"/>
      <c r="K5" s="235"/>
      <c r="M5" s="20"/>
      <c r="N5" s="20"/>
      <c r="O5" s="74"/>
      <c r="P5" s="74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</row>
    <row r="6" spans="1:31">
      <c r="A6" s="237"/>
      <c r="B6" s="235"/>
      <c r="C6" s="235"/>
      <c r="D6" s="235"/>
      <c r="E6" s="236"/>
      <c r="F6" s="236"/>
      <c r="G6" s="235"/>
      <c r="H6" s="235"/>
      <c r="I6" s="236"/>
      <c r="J6" s="235"/>
      <c r="K6" s="235"/>
      <c r="M6" s="20"/>
      <c r="N6" s="20"/>
      <c r="O6" s="74"/>
      <c r="P6" s="74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</row>
    <row r="7" spans="1:31">
      <c r="A7" s="237"/>
      <c r="B7" s="235"/>
      <c r="C7" s="235"/>
      <c r="D7" s="235"/>
      <c r="E7" s="236"/>
      <c r="F7" s="236"/>
      <c r="G7" s="235"/>
      <c r="H7" s="235"/>
      <c r="I7" s="236"/>
      <c r="J7" s="235"/>
      <c r="K7" s="235"/>
      <c r="M7" s="20"/>
      <c r="N7" s="20"/>
      <c r="O7" s="74"/>
      <c r="P7" s="74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</row>
    <row r="8" spans="1:31">
      <c r="A8" s="235"/>
      <c r="B8" s="235"/>
      <c r="C8" s="235"/>
      <c r="D8" s="235"/>
      <c r="E8" s="236"/>
      <c r="F8" s="236"/>
      <c r="G8" s="235"/>
      <c r="H8" s="235"/>
      <c r="I8" s="236"/>
      <c r="J8" s="235"/>
      <c r="K8" s="235"/>
      <c r="M8" s="20"/>
      <c r="N8" s="20"/>
      <c r="O8" s="74"/>
      <c r="P8" s="74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</row>
    <row r="9" spans="1:31">
      <c r="A9" s="238"/>
      <c r="B9" s="238"/>
      <c r="C9" s="239"/>
      <c r="D9" s="239"/>
      <c r="E9" s="240"/>
      <c r="F9" s="240"/>
      <c r="G9" s="241" t="s">
        <v>191</v>
      </c>
      <c r="H9" s="242"/>
      <c r="I9" s="240"/>
      <c r="J9" s="241"/>
      <c r="K9" s="241"/>
      <c r="M9" s="20"/>
      <c r="N9" s="20"/>
      <c r="O9" s="74"/>
      <c r="P9" s="74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</row>
    <row r="10" spans="1:31">
      <c r="A10" s="238"/>
      <c r="B10" s="238"/>
      <c r="C10" s="239" t="s">
        <v>338</v>
      </c>
      <c r="D10" s="239"/>
      <c r="E10" s="241" t="s">
        <v>361</v>
      </c>
      <c r="F10" s="240"/>
      <c r="G10" s="243" t="s">
        <v>339</v>
      </c>
      <c r="H10" s="242" t="s">
        <v>247</v>
      </c>
      <c r="I10" s="241" t="s">
        <v>296</v>
      </c>
      <c r="J10" s="239"/>
      <c r="K10" s="241" t="s">
        <v>296</v>
      </c>
      <c r="M10" s="20"/>
      <c r="N10" s="20"/>
      <c r="O10" s="74"/>
      <c r="P10" s="74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</row>
    <row r="11" spans="1:31">
      <c r="A11" s="238"/>
      <c r="B11" s="238"/>
      <c r="C11" s="244" t="s">
        <v>295</v>
      </c>
      <c r="D11" s="239" t="s">
        <v>338</v>
      </c>
      <c r="E11" s="245" t="s">
        <v>13</v>
      </c>
      <c r="F11" s="246"/>
      <c r="G11" s="245" t="s">
        <v>295</v>
      </c>
      <c r="H11" s="241" t="s">
        <v>339</v>
      </c>
      <c r="I11" s="245" t="s">
        <v>13</v>
      </c>
      <c r="J11" s="245"/>
      <c r="K11" s="245" t="s">
        <v>339</v>
      </c>
      <c r="M11" s="243"/>
      <c r="N11" s="20"/>
      <c r="O11" s="74"/>
      <c r="P11" s="74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</row>
    <row r="12" spans="1:31">
      <c r="A12" s="247" t="s">
        <v>341</v>
      </c>
      <c r="G12" s="248"/>
      <c r="H12" s="248"/>
      <c r="M12" s="20"/>
      <c r="N12" s="20"/>
      <c r="O12" s="74"/>
      <c r="P12" s="74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</row>
    <row r="13" spans="1:31">
      <c r="A13" s="3" t="s">
        <v>342</v>
      </c>
      <c r="G13" s="248"/>
      <c r="H13" s="248"/>
      <c r="M13" s="20"/>
      <c r="N13" s="20"/>
      <c r="O13" s="74"/>
      <c r="P13" s="74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</row>
    <row r="14" spans="1:31">
      <c r="G14" s="248"/>
      <c r="H14" s="248"/>
      <c r="M14" s="20"/>
      <c r="N14" s="20"/>
      <c r="O14" s="74"/>
      <c r="P14" s="74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</row>
    <row r="15" spans="1:31">
      <c r="A15" s="3" t="s">
        <v>343</v>
      </c>
      <c r="G15" s="248"/>
      <c r="H15" s="248"/>
      <c r="M15" s="20"/>
      <c r="N15" s="20"/>
      <c r="O15" s="74"/>
      <c r="P15" s="74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</row>
    <row r="16" spans="1:31">
      <c r="A16" s="3" t="s">
        <v>344</v>
      </c>
      <c r="C16" s="249">
        <f t="shared" ref="C16:D18" si="0">C33+C50+C67</f>
        <v>29903</v>
      </c>
      <c r="D16" s="249">
        <f t="shared" si="0"/>
        <v>31243</v>
      </c>
      <c r="E16" s="250">
        <v>9.6</v>
      </c>
      <c r="G16" s="2">
        <f t="shared" ref="G16:H18" si="1">G33+G50+G67</f>
        <v>287069</v>
      </c>
      <c r="H16" s="2">
        <f t="shared" si="1"/>
        <v>299933</v>
      </c>
      <c r="I16" s="250" t="e">
        <f>E16+E16*$P$27</f>
        <v>#REF!</v>
      </c>
      <c r="K16" s="2" t="e">
        <f>K33+K50+K67</f>
        <v>#REF!</v>
      </c>
      <c r="M16" s="84" t="e">
        <f>I16*D16</f>
        <v>#REF!</v>
      </c>
      <c r="O16" s="105"/>
      <c r="P16" s="251"/>
      <c r="Q16" s="251"/>
      <c r="R16" s="252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E16" s="84"/>
    </row>
    <row r="17" spans="1:31">
      <c r="A17" s="3" t="s">
        <v>345</v>
      </c>
      <c r="C17" s="249">
        <f t="shared" si="0"/>
        <v>4807</v>
      </c>
      <c r="D17" s="249">
        <f t="shared" si="0"/>
        <v>5092</v>
      </c>
      <c r="E17" s="250">
        <v>18.28</v>
      </c>
      <c r="G17" s="2">
        <f t="shared" si="1"/>
        <v>87872</v>
      </c>
      <c r="H17" s="2">
        <f t="shared" si="1"/>
        <v>93082</v>
      </c>
      <c r="I17" s="250" t="e">
        <f>E17+E17*$P$27</f>
        <v>#REF!</v>
      </c>
      <c r="K17" s="2" t="e">
        <f>K34+K51+K68</f>
        <v>#REF!</v>
      </c>
      <c r="M17" s="84" t="e">
        <f>I17*D17</f>
        <v>#REF!</v>
      </c>
      <c r="O17" s="105"/>
      <c r="P17" s="251"/>
      <c r="Q17" s="251"/>
      <c r="R17" s="252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E17" s="84"/>
    </row>
    <row r="18" spans="1:31">
      <c r="A18" s="3" t="s">
        <v>346</v>
      </c>
      <c r="C18" s="249">
        <f t="shared" si="0"/>
        <v>659</v>
      </c>
      <c r="D18" s="249">
        <f t="shared" si="0"/>
        <v>700</v>
      </c>
      <c r="E18" s="250">
        <v>37.82</v>
      </c>
      <c r="G18" s="2">
        <f t="shared" si="1"/>
        <v>24923</v>
      </c>
      <c r="H18" s="2">
        <f t="shared" si="1"/>
        <v>26474</v>
      </c>
      <c r="I18" s="250" t="e">
        <f>E18+E18*$P$27</f>
        <v>#REF!</v>
      </c>
      <c r="K18" s="2" t="e">
        <f>K35+K52+K69</f>
        <v>#REF!</v>
      </c>
      <c r="M18" s="84" t="e">
        <f>I18*D18</f>
        <v>#REF!</v>
      </c>
      <c r="O18" s="105"/>
      <c r="P18" s="251"/>
      <c r="Q18" s="251"/>
      <c r="R18" s="252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E18" s="84"/>
    </row>
    <row r="19" spans="1:31">
      <c r="A19" s="3" t="s">
        <v>347</v>
      </c>
      <c r="C19" s="249"/>
      <c r="D19" s="249"/>
      <c r="E19" s="250"/>
      <c r="G19" s="2"/>
      <c r="H19" s="2"/>
      <c r="I19" s="702"/>
      <c r="K19" s="2"/>
      <c r="M19" s="84"/>
      <c r="O19" s="3"/>
      <c r="P19" s="251"/>
      <c r="Q19" s="251"/>
      <c r="R19" s="253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E19" s="84"/>
    </row>
    <row r="20" spans="1:31">
      <c r="A20" s="3" t="s">
        <v>348</v>
      </c>
      <c r="C20" s="249">
        <f t="shared" ref="C20:D25" si="2">C37+C54+C71</f>
        <v>2083</v>
      </c>
      <c r="D20" s="249">
        <f t="shared" si="2"/>
        <v>2178</v>
      </c>
      <c r="E20" s="250">
        <v>10.92</v>
      </c>
      <c r="G20" s="2">
        <f t="shared" ref="G20:H23" si="3">G37+G54+G71</f>
        <v>22746</v>
      </c>
      <c r="H20" s="2">
        <f t="shared" si="3"/>
        <v>23783</v>
      </c>
      <c r="I20" s="250" t="e">
        <f>E20+E20*$P$27</f>
        <v>#REF!</v>
      </c>
      <c r="K20" s="2" t="e">
        <f>K37+K54+K71</f>
        <v>#REF!</v>
      </c>
      <c r="M20" s="84" t="e">
        <f>I20*D20</f>
        <v>#REF!</v>
      </c>
      <c r="O20" s="105"/>
      <c r="P20" s="251"/>
      <c r="Q20" s="251"/>
      <c r="R20" s="252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E20" s="84"/>
    </row>
    <row r="21" spans="1:31">
      <c r="A21" s="3" t="s">
        <v>349</v>
      </c>
      <c r="C21" s="249">
        <f t="shared" si="2"/>
        <v>1818</v>
      </c>
      <c r="D21" s="249">
        <f t="shared" si="2"/>
        <v>1921</v>
      </c>
      <c r="E21" s="250">
        <v>16.04</v>
      </c>
      <c r="G21" s="2">
        <f t="shared" si="3"/>
        <v>29160</v>
      </c>
      <c r="H21" s="2">
        <f t="shared" si="3"/>
        <v>30813</v>
      </c>
      <c r="I21" s="250" t="e">
        <f>E21+E21*$P$27</f>
        <v>#REF!</v>
      </c>
      <c r="K21" s="2" t="e">
        <f>K38+K55+K72</f>
        <v>#REF!</v>
      </c>
      <c r="M21" s="84" t="e">
        <f>I21*D21</f>
        <v>#REF!</v>
      </c>
      <c r="O21" s="105"/>
      <c r="P21" s="251"/>
      <c r="Q21" s="251"/>
      <c r="R21" s="252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E21" s="84"/>
    </row>
    <row r="22" spans="1:31">
      <c r="A22" s="3" t="s">
        <v>350</v>
      </c>
      <c r="C22" s="249">
        <f t="shared" si="2"/>
        <v>480</v>
      </c>
      <c r="D22" s="249">
        <f t="shared" si="2"/>
        <v>509</v>
      </c>
      <c r="E22" s="250">
        <v>25.88</v>
      </c>
      <c r="G22" s="2">
        <f t="shared" si="3"/>
        <v>12423</v>
      </c>
      <c r="H22" s="2">
        <f t="shared" si="3"/>
        <v>13173</v>
      </c>
      <c r="I22" s="250" t="e">
        <f>E22+E22*$P$27</f>
        <v>#REF!</v>
      </c>
      <c r="K22" s="2" t="e">
        <f>K39+K56+K73</f>
        <v>#REF!</v>
      </c>
      <c r="M22" s="84" t="e">
        <f>I22*D22</f>
        <v>#REF!</v>
      </c>
      <c r="O22" s="105"/>
      <c r="P22" s="251"/>
      <c r="Q22" s="251"/>
      <c r="R22" s="252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E22" s="84"/>
    </row>
    <row r="23" spans="1:31">
      <c r="A23" s="3" t="s">
        <v>351</v>
      </c>
      <c r="C23" s="249">
        <f t="shared" si="2"/>
        <v>623</v>
      </c>
      <c r="D23" s="249">
        <f t="shared" si="2"/>
        <v>658</v>
      </c>
      <c r="E23" s="254">
        <v>1</v>
      </c>
      <c r="F23" s="20"/>
      <c r="G23" s="2">
        <f t="shared" si="3"/>
        <v>623</v>
      </c>
      <c r="H23" s="2">
        <f t="shared" si="3"/>
        <v>658</v>
      </c>
      <c r="I23" s="250">
        <f>'Blocking - detail'!I23</f>
        <v>1</v>
      </c>
      <c r="J23" s="20"/>
      <c r="K23" s="2">
        <f>K40+K57+K74</f>
        <v>623</v>
      </c>
      <c r="M23" s="84">
        <f>I23*D23</f>
        <v>658</v>
      </c>
      <c r="O23" s="105"/>
      <c r="P23" s="3"/>
      <c r="Q23" s="251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E23" s="84"/>
    </row>
    <row r="24" spans="1:31">
      <c r="A24" s="3" t="s">
        <v>352</v>
      </c>
      <c r="C24" s="249">
        <f t="shared" si="2"/>
        <v>33244</v>
      </c>
      <c r="D24" s="249">
        <f t="shared" si="2"/>
        <v>2797.0833333333335</v>
      </c>
      <c r="E24" s="250"/>
      <c r="G24" s="2"/>
      <c r="H24" s="2"/>
      <c r="I24" s="250"/>
      <c r="K24" s="2"/>
      <c r="M24" s="84"/>
      <c r="O24" s="84"/>
      <c r="P24" s="3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E24" s="84"/>
    </row>
    <row r="25" spans="1:31">
      <c r="A25" s="3" t="s">
        <v>35</v>
      </c>
      <c r="C25" s="249">
        <f t="shared" si="2"/>
        <v>3613896</v>
      </c>
      <c r="D25" s="249">
        <f t="shared" si="2"/>
        <v>3794904.7279999279</v>
      </c>
      <c r="E25" s="254"/>
      <c r="F25" s="20"/>
      <c r="G25" s="2">
        <f>G42+G59+G76</f>
        <v>464816</v>
      </c>
      <c r="H25" s="2">
        <f>H42+H59+H76</f>
        <v>487916</v>
      </c>
      <c r="I25" s="254"/>
      <c r="J25" s="20"/>
      <c r="K25" s="255" t="e">
        <f>K42+K59+K76</f>
        <v>#REF!</v>
      </c>
      <c r="M25" s="84" t="e">
        <f>SUM(M16:M24)</f>
        <v>#REF!</v>
      </c>
      <c r="O25" s="256"/>
      <c r="P25" s="3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E25" s="84"/>
    </row>
    <row r="26" spans="1:31">
      <c r="A26" s="3" t="s">
        <v>353</v>
      </c>
      <c r="C26" s="249" t="e">
        <f>C43+C60+C77</f>
        <v>#REF!</v>
      </c>
      <c r="D26" s="249">
        <v>0</v>
      </c>
      <c r="E26" s="254"/>
      <c r="F26" s="20"/>
      <c r="G26" s="257" t="e">
        <f>G43+G60+G77</f>
        <v>#REF!</v>
      </c>
      <c r="H26" s="257">
        <v>0</v>
      </c>
      <c r="I26" s="254"/>
      <c r="J26" s="20"/>
      <c r="K26" s="257" t="e">
        <f>G26</f>
        <v>#REF!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E26" s="84"/>
    </row>
    <row r="27" spans="1:31" ht="16.5" thickBot="1">
      <c r="A27" s="3" t="s">
        <v>9</v>
      </c>
      <c r="C27" s="258" t="e">
        <f>C25+C26</f>
        <v>#REF!</v>
      </c>
      <c r="D27" s="258">
        <f>D25+D26</f>
        <v>3794904.7279999279</v>
      </c>
      <c r="E27" s="259"/>
      <c r="F27" s="259"/>
      <c r="G27" s="259" t="e">
        <f>G25+G26</f>
        <v>#REF!</v>
      </c>
      <c r="H27" s="259">
        <f>H25+H26</f>
        <v>487916</v>
      </c>
      <c r="I27" s="259"/>
      <c r="J27" s="259"/>
      <c r="K27" s="259" t="e">
        <f>K25+K26</f>
        <v>#REF!</v>
      </c>
      <c r="N27" s="3" t="s">
        <v>354</v>
      </c>
      <c r="O27" s="69" t="e">
        <f>#REF!*1000</f>
        <v>#REF!</v>
      </c>
      <c r="P27" s="14" t="e">
        <f>(O27-G27)/G27</f>
        <v>#REF!</v>
      </c>
      <c r="Q27" s="14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E27" s="84"/>
    </row>
    <row r="28" spans="1:31" ht="16.5" thickTop="1">
      <c r="C28" s="260"/>
      <c r="D28" s="260"/>
      <c r="E28" s="260"/>
      <c r="F28" s="260"/>
      <c r="G28" s="248"/>
      <c r="H28" s="248"/>
      <c r="I28" s="1" t="s">
        <v>31</v>
      </c>
      <c r="J28" s="260"/>
      <c r="K28" s="2" t="s">
        <v>31</v>
      </c>
      <c r="N28" s="3" t="s">
        <v>257</v>
      </c>
      <c r="O28" s="69" t="e">
        <f>O27-K27</f>
        <v>#REF!</v>
      </c>
      <c r="P28" s="14" t="e">
        <f>(O27-K27)/K27</f>
        <v>#REF!</v>
      </c>
      <c r="Q28" s="14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E28" s="84"/>
    </row>
    <row r="29" spans="1:31">
      <c r="A29" s="247" t="s">
        <v>341</v>
      </c>
      <c r="G29" s="248"/>
      <c r="H29" s="248"/>
      <c r="O29" s="261" t="s">
        <v>31</v>
      </c>
      <c r="P29" s="3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E29" s="84"/>
    </row>
    <row r="30" spans="1:31">
      <c r="A30" s="3" t="s">
        <v>355</v>
      </c>
      <c r="G30" s="248"/>
      <c r="H30" s="248"/>
      <c r="M30" s="263"/>
      <c r="N30" s="263"/>
      <c r="O30" s="263"/>
      <c r="P30" s="263"/>
      <c r="Q30" s="263"/>
      <c r="R30" s="263"/>
      <c r="S30" s="263"/>
      <c r="T30" s="263"/>
      <c r="U30" s="263"/>
      <c r="V30" s="263"/>
      <c r="W30" s="263"/>
      <c r="X30" s="263"/>
      <c r="Y30" s="20"/>
      <c r="Z30" s="20"/>
      <c r="AA30" s="20"/>
      <c r="AB30" s="20"/>
      <c r="AC30" s="20"/>
      <c r="AE30" s="84"/>
    </row>
    <row r="31" spans="1:31">
      <c r="E31" s="249"/>
      <c r="G31" s="248"/>
      <c r="H31" s="248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3"/>
      <c r="Y31" s="20"/>
      <c r="Z31" s="20"/>
      <c r="AA31" s="20"/>
      <c r="AB31" s="20"/>
      <c r="AC31" s="20"/>
      <c r="AE31" s="84"/>
    </row>
    <row r="32" spans="1:31">
      <c r="A32" s="3" t="s">
        <v>343</v>
      </c>
      <c r="G32" s="248"/>
      <c r="H32" s="248"/>
      <c r="M32" s="263"/>
      <c r="N32" s="263"/>
      <c r="O32" s="263"/>
      <c r="P32" s="74"/>
      <c r="Q32" s="264"/>
      <c r="R32" s="265"/>
      <c r="S32" s="266"/>
      <c r="T32" s="267"/>
      <c r="U32" s="263"/>
      <c r="V32" s="263"/>
      <c r="W32" s="263"/>
      <c r="X32" s="263"/>
      <c r="Y32" s="20"/>
      <c r="Z32" s="20"/>
      <c r="AA32" s="20"/>
      <c r="AB32" s="20"/>
      <c r="AC32" s="20"/>
      <c r="AE32" s="84"/>
    </row>
    <row r="33" spans="1:31">
      <c r="A33" s="3" t="s">
        <v>344</v>
      </c>
      <c r="C33" s="249">
        <f>13866+112</f>
        <v>13978</v>
      </c>
      <c r="D33" s="249">
        <f>ROUND(C33*($D$42/$C$42),0)</f>
        <v>14355</v>
      </c>
      <c r="E33" s="250">
        <f>$E$16</f>
        <v>9.6</v>
      </c>
      <c r="G33" s="2">
        <f>ROUND(E33*$C33,0)</f>
        <v>134189</v>
      </c>
      <c r="H33" s="2">
        <f>ROUND(E33*$D33,0)</f>
        <v>137808</v>
      </c>
      <c r="I33" s="250" t="e">
        <f>$I$16</f>
        <v>#REF!</v>
      </c>
      <c r="K33" s="2" t="e">
        <f>ROUND(I33*$C33,0)</f>
        <v>#REF!</v>
      </c>
      <c r="M33" s="20"/>
      <c r="N33" s="20"/>
      <c r="O33" s="266"/>
      <c r="P33" s="74"/>
      <c r="Q33" s="263"/>
      <c r="R33" s="268"/>
      <c r="S33" s="269"/>
      <c r="T33" s="263"/>
      <c r="U33" s="266"/>
      <c r="V33" s="266"/>
      <c r="W33" s="270"/>
      <c r="X33" s="266"/>
      <c r="Y33" s="20"/>
      <c r="Z33" s="20"/>
      <c r="AA33" s="20"/>
      <c r="AB33" s="20"/>
      <c r="AC33" s="20"/>
      <c r="AE33" s="84"/>
    </row>
    <row r="34" spans="1:31">
      <c r="A34" s="3" t="s">
        <v>345</v>
      </c>
      <c r="C34" s="249">
        <f>264+13</f>
        <v>277</v>
      </c>
      <c r="D34" s="249">
        <f>ROUND(C34*($D$42/$C$42),0)</f>
        <v>284</v>
      </c>
      <c r="E34" s="250">
        <f>$E$17</f>
        <v>18.28</v>
      </c>
      <c r="G34" s="2">
        <f>ROUND(E34*$C34,0)</f>
        <v>5064</v>
      </c>
      <c r="H34" s="2">
        <f>ROUND(E34*$D34,0)</f>
        <v>5192</v>
      </c>
      <c r="I34" s="250" t="e">
        <f>$I$17</f>
        <v>#REF!</v>
      </c>
      <c r="K34" s="2" t="e">
        <f>ROUND(I34*$C34,0)</f>
        <v>#REF!</v>
      </c>
      <c r="M34" s="20"/>
      <c r="N34" s="20"/>
      <c r="O34" s="266"/>
      <c r="P34" s="74"/>
      <c r="Q34" s="20"/>
      <c r="R34" s="272"/>
      <c r="S34" s="263"/>
      <c r="T34" s="263"/>
      <c r="U34" s="266"/>
      <c r="V34" s="266"/>
      <c r="W34" s="270"/>
      <c r="X34" s="266"/>
      <c r="Y34" s="20"/>
      <c r="Z34" s="20"/>
      <c r="AA34" s="20"/>
      <c r="AB34" s="20"/>
      <c r="AC34" s="20"/>
      <c r="AE34" s="84"/>
    </row>
    <row r="35" spans="1:31">
      <c r="A35" s="3" t="s">
        <v>346</v>
      </c>
      <c r="C35" s="249">
        <v>0</v>
      </c>
      <c r="D35" s="249">
        <f>ROUND(C35*($D$42/$C$42),0)</f>
        <v>0</v>
      </c>
      <c r="E35" s="250">
        <f>$E$18</f>
        <v>37.82</v>
      </c>
      <c r="G35" s="2">
        <f>ROUND(E35*$C35,0)</f>
        <v>0</v>
      </c>
      <c r="H35" s="2">
        <f>ROUND(E35*$D35,0)</f>
        <v>0</v>
      </c>
      <c r="I35" s="250" t="e">
        <f>$I$18</f>
        <v>#REF!</v>
      </c>
      <c r="K35" s="2" t="e">
        <f>ROUND(I35*$C35,0)</f>
        <v>#REF!</v>
      </c>
      <c r="M35" s="20"/>
      <c r="N35" s="20"/>
      <c r="O35" s="266"/>
      <c r="P35" s="74"/>
      <c r="Q35" s="20"/>
      <c r="R35" s="272"/>
      <c r="S35" s="263"/>
      <c r="T35" s="263"/>
      <c r="U35" s="266"/>
      <c r="V35" s="266"/>
      <c r="W35" s="270"/>
      <c r="X35" s="266"/>
      <c r="Y35" s="20"/>
      <c r="Z35" s="20"/>
      <c r="AA35" s="20"/>
      <c r="AB35" s="20"/>
      <c r="AC35" s="20"/>
      <c r="AE35" s="84"/>
    </row>
    <row r="36" spans="1:31">
      <c r="A36" s="3" t="s">
        <v>347</v>
      </c>
      <c r="C36" s="249"/>
      <c r="D36" s="249"/>
      <c r="E36" s="250"/>
      <c r="G36" s="2"/>
      <c r="H36" s="2"/>
      <c r="I36" s="250"/>
      <c r="K36" s="2"/>
      <c r="M36" s="20"/>
      <c r="N36" s="20"/>
      <c r="O36" s="266"/>
      <c r="P36" s="74"/>
      <c r="Q36" s="20"/>
      <c r="R36" s="272"/>
      <c r="S36" s="263"/>
      <c r="T36" s="263"/>
      <c r="U36" s="266"/>
      <c r="V36" s="266"/>
      <c r="W36" s="270"/>
      <c r="X36" s="266"/>
      <c r="Y36" s="20"/>
      <c r="Z36" s="20"/>
      <c r="AA36" s="20"/>
      <c r="AB36" s="20"/>
      <c r="AC36" s="20"/>
      <c r="AE36" s="84"/>
    </row>
    <row r="37" spans="1:31">
      <c r="A37" s="3" t="s">
        <v>348</v>
      </c>
      <c r="C37" s="249">
        <f>921</f>
        <v>921</v>
      </c>
      <c r="D37" s="249">
        <f>ROUND(C37*($D$42/$C$42),0)</f>
        <v>946</v>
      </c>
      <c r="E37" s="250">
        <f>$E$20</f>
        <v>10.92</v>
      </c>
      <c r="G37" s="2">
        <f>ROUND(E37*$C37,0)</f>
        <v>10057</v>
      </c>
      <c r="H37" s="2">
        <f>ROUND(E37*$D37,0)</f>
        <v>10330</v>
      </c>
      <c r="I37" s="250" t="e">
        <f>$I$20</f>
        <v>#REF!</v>
      </c>
      <c r="K37" s="2" t="e">
        <f>ROUND(I37*$C37,0)</f>
        <v>#REF!</v>
      </c>
      <c r="M37" s="20"/>
      <c r="N37" s="20"/>
      <c r="O37" s="266"/>
      <c r="P37" s="74"/>
      <c r="Q37" s="20"/>
      <c r="R37" s="272"/>
      <c r="S37" s="263"/>
      <c r="T37" s="263"/>
      <c r="U37" s="266"/>
      <c r="V37" s="266"/>
      <c r="W37" s="270"/>
      <c r="X37" s="266"/>
      <c r="Y37" s="20"/>
      <c r="Z37" s="20"/>
      <c r="AA37" s="20"/>
      <c r="AB37" s="20"/>
      <c r="AC37" s="20"/>
      <c r="AE37" s="84"/>
    </row>
    <row r="38" spans="1:31">
      <c r="A38" s="3" t="s">
        <v>349</v>
      </c>
      <c r="C38" s="249">
        <f>228</f>
        <v>228</v>
      </c>
      <c r="D38" s="249">
        <f>ROUND(C38*($D$42/$C$42),0)</f>
        <v>234</v>
      </c>
      <c r="E38" s="250">
        <f>$E$21</f>
        <v>16.04</v>
      </c>
      <c r="G38" s="2">
        <f>ROUND(E38*$C38,0)</f>
        <v>3657</v>
      </c>
      <c r="H38" s="2">
        <f>ROUND(E38*$D38,0)</f>
        <v>3753</v>
      </c>
      <c r="I38" s="250" t="e">
        <f>$I$21</f>
        <v>#REF!</v>
      </c>
      <c r="K38" s="2" t="e">
        <f>ROUND(I38*$C38,0)</f>
        <v>#REF!</v>
      </c>
      <c r="M38" s="20"/>
      <c r="N38" s="20"/>
      <c r="O38" s="266"/>
      <c r="P38" s="74"/>
      <c r="Q38" s="20"/>
      <c r="R38" s="272"/>
      <c r="S38" s="263"/>
      <c r="T38" s="263"/>
      <c r="U38" s="266"/>
      <c r="V38" s="266"/>
      <c r="W38" s="270"/>
      <c r="X38" s="266"/>
      <c r="Y38" s="20"/>
      <c r="Z38" s="20"/>
      <c r="AA38" s="20"/>
      <c r="AB38" s="20"/>
      <c r="AC38" s="20"/>
      <c r="AE38" s="84"/>
    </row>
    <row r="39" spans="1:31">
      <c r="A39" s="3" t="s">
        <v>350</v>
      </c>
      <c r="C39" s="249">
        <f>12</f>
        <v>12</v>
      </c>
      <c r="D39" s="249">
        <f>ROUND(C39*($D$42/$C$42),0)</f>
        <v>12</v>
      </c>
      <c r="E39" s="250">
        <f>$E$22</f>
        <v>25.88</v>
      </c>
      <c r="G39" s="2">
        <f>ROUND(E39*$C39,0)</f>
        <v>311</v>
      </c>
      <c r="H39" s="2">
        <f>ROUND(E39*$D39,0)</f>
        <v>311</v>
      </c>
      <c r="I39" s="250" t="e">
        <f>$I$22</f>
        <v>#REF!</v>
      </c>
      <c r="K39" s="2" t="e">
        <f>ROUND(I39*$C39,0)</f>
        <v>#REF!</v>
      </c>
      <c r="M39" s="20"/>
      <c r="N39" s="20"/>
      <c r="O39" s="266"/>
      <c r="P39" s="74"/>
      <c r="Q39" s="20"/>
      <c r="R39" s="272"/>
      <c r="S39" s="263"/>
      <c r="T39" s="263"/>
      <c r="U39" s="266"/>
      <c r="V39" s="266"/>
      <c r="W39" s="270"/>
      <c r="X39" s="266"/>
      <c r="Y39" s="20"/>
      <c r="Z39" s="20"/>
      <c r="AA39" s="20"/>
      <c r="AB39" s="20"/>
      <c r="AC39" s="20"/>
      <c r="AE39" s="84"/>
    </row>
    <row r="40" spans="1:31">
      <c r="A40" s="3" t="s">
        <v>351</v>
      </c>
      <c r="C40" s="249">
        <f>112+13</f>
        <v>125</v>
      </c>
      <c r="D40" s="249">
        <f>ROUND(C40*($D$42/$C$42),0)</f>
        <v>128</v>
      </c>
      <c r="E40" s="250">
        <f>$E$23</f>
        <v>1</v>
      </c>
      <c r="F40" s="20"/>
      <c r="G40" s="257">
        <f>ROUND(E40*$C40,0)</f>
        <v>125</v>
      </c>
      <c r="H40" s="257">
        <f>ROUND(E40*$D40,0)</f>
        <v>128</v>
      </c>
      <c r="I40" s="254">
        <f>$I$23</f>
        <v>1</v>
      </c>
      <c r="J40" s="20"/>
      <c r="K40" s="257">
        <f>ROUND(I40*$C40,0)</f>
        <v>125</v>
      </c>
      <c r="M40" s="263"/>
      <c r="N40" s="263"/>
      <c r="O40" s="266"/>
      <c r="P40" s="74"/>
      <c r="Q40" s="20"/>
      <c r="R40" s="263"/>
      <c r="S40" s="263"/>
      <c r="T40" s="263"/>
      <c r="U40" s="266"/>
      <c r="V40" s="266"/>
      <c r="W40" s="266"/>
      <c r="X40" s="266"/>
      <c r="Y40" s="20"/>
      <c r="Z40" s="20"/>
      <c r="AA40" s="20"/>
      <c r="AB40" s="20"/>
      <c r="AC40" s="20"/>
      <c r="AE40" s="84"/>
    </row>
    <row r="41" spans="1:31">
      <c r="A41" s="3" t="s">
        <v>352</v>
      </c>
      <c r="C41" s="249">
        <v>15099</v>
      </c>
      <c r="D41" s="249">
        <v>1276.1666666666667</v>
      </c>
      <c r="E41" s="250"/>
      <c r="G41" s="2"/>
      <c r="H41" s="2"/>
      <c r="I41" s="250"/>
      <c r="K41" s="2"/>
      <c r="M41" s="263"/>
      <c r="N41" s="263"/>
      <c r="O41" s="263"/>
      <c r="P41" s="263"/>
      <c r="Q41" s="263"/>
      <c r="R41" s="263"/>
      <c r="S41" s="263"/>
      <c r="T41" s="263"/>
      <c r="U41" s="273"/>
      <c r="V41" s="263"/>
      <c r="W41" s="263"/>
      <c r="X41" s="263"/>
      <c r="Y41" s="20"/>
      <c r="Z41" s="20"/>
      <c r="AA41" s="20"/>
      <c r="AB41" s="20"/>
      <c r="AC41" s="20"/>
      <c r="AE41" s="84"/>
    </row>
    <row r="42" spans="1:31">
      <c r="A42" s="3" t="s">
        <v>35</v>
      </c>
      <c r="C42" s="249">
        <v>1147205</v>
      </c>
      <c r="D42" s="249">
        <v>1178171.795773752</v>
      </c>
      <c r="E42" s="254"/>
      <c r="F42" s="20"/>
      <c r="G42" s="257">
        <f>SUM(G33:G40)</f>
        <v>153403</v>
      </c>
      <c r="H42" s="257">
        <f>SUM(H33:H40)</f>
        <v>157522</v>
      </c>
      <c r="I42" s="254"/>
      <c r="J42" s="20"/>
      <c r="K42" s="257" t="e">
        <f>SUM(K33:K40)</f>
        <v>#REF!</v>
      </c>
      <c r="M42" s="263"/>
      <c r="N42" s="263"/>
      <c r="O42" s="272"/>
      <c r="P42" s="263"/>
      <c r="Q42" s="20"/>
      <c r="R42" s="20"/>
      <c r="S42" s="20"/>
      <c r="T42" s="263"/>
      <c r="U42" s="263"/>
      <c r="V42" s="263"/>
      <c r="W42" s="263"/>
      <c r="X42" s="263"/>
      <c r="Y42" s="20"/>
      <c r="Z42" s="20"/>
      <c r="AA42" s="20"/>
      <c r="AB42" s="20"/>
      <c r="AC42" s="20"/>
      <c r="AE42" s="84"/>
    </row>
    <row r="43" spans="1:31">
      <c r="A43" s="3" t="s">
        <v>353</v>
      </c>
      <c r="C43" s="249" t="e">
        <f>#REF!</f>
        <v>#REF!</v>
      </c>
      <c r="D43" s="249">
        <v>0</v>
      </c>
      <c r="E43" s="254"/>
      <c r="F43" s="20"/>
      <c r="G43" s="257" t="e">
        <f>#REF!</f>
        <v>#REF!</v>
      </c>
      <c r="H43" s="257">
        <v>0</v>
      </c>
      <c r="I43" s="254"/>
      <c r="J43" s="20"/>
      <c r="K43" s="257" t="e">
        <f>G43</f>
        <v>#REF!</v>
      </c>
      <c r="M43" s="429"/>
      <c r="N43" s="429"/>
      <c r="O43" s="272"/>
      <c r="P43" s="263"/>
      <c r="Q43" s="263"/>
      <c r="R43" s="268"/>
      <c r="S43" s="266"/>
      <c r="T43" s="263"/>
      <c r="U43" s="263"/>
      <c r="V43" s="263"/>
      <c r="W43" s="263"/>
      <c r="X43" s="263"/>
      <c r="Y43" s="20"/>
      <c r="Z43" s="20"/>
      <c r="AA43" s="20"/>
      <c r="AB43" s="20"/>
      <c r="AC43" s="20"/>
      <c r="AE43" s="84"/>
    </row>
    <row r="44" spans="1:31" ht="16.5" thickBot="1">
      <c r="A44" s="3" t="s">
        <v>9</v>
      </c>
      <c r="C44" s="258" t="e">
        <f>C42+C43</f>
        <v>#REF!</v>
      </c>
      <c r="D44" s="258">
        <f>SUM(D42:D43)</f>
        <v>1178171.795773752</v>
      </c>
      <c r="E44" s="259"/>
      <c r="F44" s="259"/>
      <c r="G44" s="259" t="e">
        <f>G42+G43</f>
        <v>#REF!</v>
      </c>
      <c r="H44" s="259">
        <f>H42+H43</f>
        <v>157522</v>
      </c>
      <c r="I44" s="259"/>
      <c r="J44" s="259"/>
      <c r="K44" s="259" t="e">
        <f>K42+K43</f>
        <v>#REF!</v>
      </c>
      <c r="M44" s="396"/>
      <c r="N44" s="396"/>
      <c r="O44" s="455"/>
      <c r="P44" s="263"/>
      <c r="Q44" s="263"/>
      <c r="R44" s="263"/>
      <c r="S44" s="263"/>
      <c r="T44" s="263"/>
      <c r="U44" s="263"/>
      <c r="V44" s="263"/>
      <c r="W44" s="263"/>
      <c r="X44" s="263"/>
      <c r="Y44" s="20"/>
      <c r="Z44" s="20"/>
      <c r="AA44" s="20"/>
      <c r="AB44" s="20"/>
      <c r="AC44" s="20"/>
      <c r="AE44" s="84"/>
    </row>
    <row r="45" spans="1:31" ht="16.5" thickTop="1">
      <c r="C45" s="260"/>
      <c r="D45" s="260"/>
      <c r="E45" s="260"/>
      <c r="F45" s="260"/>
      <c r="G45" s="248"/>
      <c r="H45" s="248"/>
      <c r="I45" s="1" t="s">
        <v>31</v>
      </c>
      <c r="J45" s="260"/>
      <c r="K45" s="2" t="s">
        <v>31</v>
      </c>
      <c r="M45" s="20"/>
      <c r="N45" s="20"/>
      <c r="O45" s="74"/>
      <c r="P45" s="74"/>
      <c r="Q45" s="20"/>
      <c r="R45" s="20"/>
      <c r="S45" s="20"/>
      <c r="T45" s="263"/>
      <c r="U45" s="263"/>
      <c r="V45" s="263"/>
      <c r="W45" s="263"/>
      <c r="X45" s="263"/>
      <c r="Y45" s="20"/>
      <c r="Z45" s="20"/>
      <c r="AA45" s="20"/>
      <c r="AB45" s="20"/>
      <c r="AC45" s="20"/>
      <c r="AE45" s="84"/>
    </row>
    <row r="46" spans="1:31">
      <c r="A46" s="247" t="s">
        <v>341</v>
      </c>
      <c r="G46" s="248"/>
      <c r="H46" s="248"/>
      <c r="M46" s="20"/>
      <c r="N46" s="20"/>
      <c r="O46" s="74"/>
      <c r="P46" s="74"/>
      <c r="Q46" s="20"/>
      <c r="R46" s="20"/>
      <c r="S46" s="20"/>
      <c r="T46" s="263"/>
      <c r="U46" s="263"/>
      <c r="V46" s="263"/>
      <c r="W46" s="263"/>
      <c r="X46" s="263"/>
      <c r="Y46" s="20"/>
      <c r="Z46" s="20"/>
      <c r="AA46" s="20"/>
      <c r="AB46" s="20"/>
      <c r="AC46" s="20"/>
      <c r="AE46" s="84"/>
    </row>
    <row r="47" spans="1:31">
      <c r="A47" s="3" t="s">
        <v>356</v>
      </c>
      <c r="G47" s="248"/>
      <c r="H47" s="248"/>
      <c r="M47" s="263"/>
      <c r="N47" s="263"/>
      <c r="O47" s="263"/>
      <c r="P47" s="263"/>
      <c r="Q47" s="263"/>
      <c r="R47" s="263"/>
      <c r="S47" s="263"/>
      <c r="T47" s="263"/>
      <c r="U47" s="263"/>
      <c r="V47" s="263"/>
      <c r="W47" s="263"/>
      <c r="X47" s="263"/>
      <c r="Y47" s="20"/>
      <c r="Z47" s="20"/>
      <c r="AA47" s="20"/>
      <c r="AB47" s="20"/>
      <c r="AC47" s="20"/>
      <c r="AE47" s="84"/>
    </row>
    <row r="48" spans="1:31">
      <c r="G48" s="248"/>
      <c r="H48" s="248"/>
      <c r="M48" s="263"/>
      <c r="N48" s="263"/>
      <c r="O48" s="263"/>
      <c r="P48" s="263"/>
      <c r="Q48" s="263"/>
      <c r="R48" s="263"/>
      <c r="S48" s="263"/>
      <c r="T48" s="263"/>
      <c r="U48" s="263"/>
      <c r="V48" s="263"/>
      <c r="W48" s="263"/>
      <c r="X48" s="263"/>
      <c r="Y48" s="20"/>
      <c r="Z48" s="20"/>
      <c r="AA48" s="20"/>
      <c r="AB48" s="20"/>
      <c r="AC48" s="20"/>
      <c r="AE48" s="84"/>
    </row>
    <row r="49" spans="1:31">
      <c r="A49" s="3" t="s">
        <v>343</v>
      </c>
      <c r="G49" s="248"/>
      <c r="H49" s="248"/>
      <c r="M49" s="263"/>
      <c r="N49" s="263"/>
      <c r="O49" s="263"/>
      <c r="P49" s="74"/>
      <c r="Q49" s="264"/>
      <c r="R49" s="265"/>
      <c r="S49" s="266"/>
      <c r="T49" s="267"/>
      <c r="U49" s="263"/>
      <c r="V49" s="263"/>
      <c r="W49" s="263"/>
      <c r="X49" s="263"/>
      <c r="Y49" s="20"/>
      <c r="Z49" s="20"/>
      <c r="AA49" s="20"/>
      <c r="AB49" s="20"/>
      <c r="AC49" s="20"/>
      <c r="AE49" s="84"/>
    </row>
    <row r="50" spans="1:31">
      <c r="A50" s="3" t="s">
        <v>344</v>
      </c>
      <c r="C50" s="249">
        <f>8606+13+6615+38</f>
        <v>15272</v>
      </c>
      <c r="D50" s="249">
        <f>ROUND(C50*($D$59/$C$59),0)</f>
        <v>16186</v>
      </c>
      <c r="E50" s="250">
        <f>$E$16</f>
        <v>9.6</v>
      </c>
      <c r="G50" s="2">
        <f>ROUND(E50*$C50,0)</f>
        <v>146611</v>
      </c>
      <c r="H50" s="2">
        <f>ROUND(E50*$D50,0)</f>
        <v>155386</v>
      </c>
      <c r="I50" s="250" t="e">
        <f>$I$16</f>
        <v>#REF!</v>
      </c>
      <c r="K50" s="2" t="e">
        <f>ROUND(I50*$C50,0)</f>
        <v>#REF!</v>
      </c>
      <c r="M50" s="20"/>
      <c r="N50" s="20"/>
      <c r="O50" s="266"/>
      <c r="P50" s="74"/>
      <c r="Q50" s="263"/>
      <c r="R50" s="268"/>
      <c r="S50" s="269"/>
      <c r="T50" s="263"/>
      <c r="U50" s="266"/>
      <c r="V50" s="266"/>
      <c r="W50" s="270"/>
      <c r="X50" s="266"/>
      <c r="Y50" s="20"/>
      <c r="Z50" s="20"/>
      <c r="AA50" s="20"/>
      <c r="AB50" s="20"/>
      <c r="AC50" s="20"/>
      <c r="AE50" s="84"/>
    </row>
    <row r="51" spans="1:31">
      <c r="A51" s="3" t="s">
        <v>345</v>
      </c>
      <c r="C51" s="249">
        <f>3424+252+432</f>
        <v>4108</v>
      </c>
      <c r="D51" s="249">
        <f>ROUND(C51*($D$59/$C$59),0)</f>
        <v>4354</v>
      </c>
      <c r="E51" s="250">
        <f>$E$17</f>
        <v>18.28</v>
      </c>
      <c r="G51" s="2">
        <f>ROUND(E51*$C51,0)</f>
        <v>75094</v>
      </c>
      <c r="H51" s="2">
        <f>ROUND(E51*$D51,0)</f>
        <v>79591</v>
      </c>
      <c r="I51" s="250" t="e">
        <f>$I$17</f>
        <v>#REF!</v>
      </c>
      <c r="K51" s="2" t="e">
        <f>ROUND(I51*$C51,0)</f>
        <v>#REF!</v>
      </c>
      <c r="M51" s="20"/>
      <c r="N51" s="20"/>
      <c r="O51" s="266"/>
      <c r="P51" s="74"/>
      <c r="Q51" s="20"/>
      <c r="R51" s="272"/>
      <c r="S51" s="263"/>
      <c r="T51" s="263"/>
      <c r="U51" s="266"/>
      <c r="V51" s="266"/>
      <c r="W51" s="270"/>
      <c r="X51" s="266"/>
      <c r="Y51" s="20"/>
      <c r="Z51" s="20"/>
      <c r="AA51" s="20"/>
      <c r="AB51" s="20"/>
      <c r="AC51" s="20"/>
      <c r="AE51" s="84"/>
    </row>
    <row r="52" spans="1:31">
      <c r="A52" s="3" t="s">
        <v>346</v>
      </c>
      <c r="C52" s="249">
        <f>512+51+36+12</f>
        <v>611</v>
      </c>
      <c r="D52" s="249">
        <f>ROUND(C52*($D$59/$C$59),0)</f>
        <v>648</v>
      </c>
      <c r="E52" s="250">
        <f>$E$18</f>
        <v>37.82</v>
      </c>
      <c r="G52" s="2">
        <f>ROUND(E52*$C52,0)</f>
        <v>23108</v>
      </c>
      <c r="H52" s="2">
        <f>ROUND(E52*$D52,0)</f>
        <v>24507</v>
      </c>
      <c r="I52" s="250" t="e">
        <f>$I$18</f>
        <v>#REF!</v>
      </c>
      <c r="K52" s="2" t="e">
        <f>ROUND(I52*$C52,0)</f>
        <v>#REF!</v>
      </c>
      <c r="M52" s="20"/>
      <c r="N52" s="20"/>
      <c r="O52" s="266"/>
      <c r="P52" s="74"/>
      <c r="Q52" s="20"/>
      <c r="R52" s="272"/>
      <c r="S52" s="263"/>
      <c r="T52" s="263"/>
      <c r="U52" s="266"/>
      <c r="V52" s="266"/>
      <c r="W52" s="270"/>
      <c r="X52" s="266"/>
      <c r="Y52" s="20"/>
      <c r="Z52" s="20"/>
      <c r="AA52" s="20"/>
      <c r="AB52" s="20"/>
      <c r="AC52" s="20"/>
      <c r="AE52" s="84"/>
    </row>
    <row r="53" spans="1:31">
      <c r="A53" s="3" t="s">
        <v>347</v>
      </c>
      <c r="C53" s="249"/>
      <c r="D53" s="249"/>
      <c r="E53" s="250"/>
      <c r="G53" s="2"/>
      <c r="H53" s="2"/>
      <c r="I53" s="250"/>
      <c r="K53" s="2"/>
      <c r="M53" s="20"/>
      <c r="N53" s="20"/>
      <c r="O53" s="266"/>
      <c r="P53" s="74"/>
      <c r="Q53" s="20"/>
      <c r="R53" s="272"/>
      <c r="S53" s="263"/>
      <c r="T53" s="263"/>
      <c r="U53" s="266"/>
      <c r="V53" s="266"/>
      <c r="W53" s="270"/>
      <c r="X53" s="266"/>
      <c r="Y53" s="20"/>
      <c r="Z53" s="20"/>
      <c r="AA53" s="20"/>
      <c r="AB53" s="20"/>
      <c r="AC53" s="20"/>
      <c r="AE53" s="84"/>
    </row>
    <row r="54" spans="1:31">
      <c r="A54" s="3" t="s">
        <v>348</v>
      </c>
      <c r="C54" s="249">
        <f>649+501</f>
        <v>1150</v>
      </c>
      <c r="D54" s="249">
        <f>ROUND(C54*($D$59/$C$59),0)</f>
        <v>1219</v>
      </c>
      <c r="E54" s="250">
        <f>$E$20</f>
        <v>10.92</v>
      </c>
      <c r="G54" s="2">
        <f>ROUND(E54*$C54,0)</f>
        <v>12558</v>
      </c>
      <c r="H54" s="2">
        <f>ROUND(E54*$D54,0)</f>
        <v>13311</v>
      </c>
      <c r="I54" s="250" t="e">
        <f>$I$20</f>
        <v>#REF!</v>
      </c>
      <c r="K54" s="2" t="e">
        <f>ROUND(I54*$C54,0)</f>
        <v>#REF!</v>
      </c>
      <c r="M54" s="20"/>
      <c r="N54" s="20"/>
      <c r="O54" s="266"/>
      <c r="P54" s="74"/>
      <c r="Q54" s="20"/>
      <c r="R54" s="272"/>
      <c r="S54" s="263"/>
      <c r="T54" s="263"/>
      <c r="U54" s="266"/>
      <c r="V54" s="266"/>
      <c r="W54" s="270"/>
      <c r="X54" s="266"/>
      <c r="Y54" s="20"/>
      <c r="Z54" s="20"/>
      <c r="AA54" s="20"/>
      <c r="AB54" s="20"/>
      <c r="AC54" s="20"/>
      <c r="AE54" s="84"/>
    </row>
    <row r="55" spans="1:31">
      <c r="A55" s="3" t="s">
        <v>349</v>
      </c>
      <c r="C55" s="249">
        <f>1253+229</f>
        <v>1482</v>
      </c>
      <c r="D55" s="249">
        <f>ROUND(C55*($D$59/$C$59),0)</f>
        <v>1571</v>
      </c>
      <c r="E55" s="250">
        <f>$E$21</f>
        <v>16.04</v>
      </c>
      <c r="G55" s="2">
        <f>ROUND(E55*$C55,0)</f>
        <v>23771</v>
      </c>
      <c r="H55" s="2">
        <f>ROUND(E55*$D55,0)</f>
        <v>25199</v>
      </c>
      <c r="I55" s="250" t="e">
        <f>$I$21</f>
        <v>#REF!</v>
      </c>
      <c r="K55" s="2" t="e">
        <f>ROUND(I55*$C55,0)</f>
        <v>#REF!</v>
      </c>
      <c r="M55" s="20"/>
      <c r="N55" s="20"/>
      <c r="O55" s="266"/>
      <c r="P55" s="74"/>
      <c r="Q55" s="20"/>
      <c r="R55" s="272"/>
      <c r="S55" s="263"/>
      <c r="T55" s="263"/>
      <c r="U55" s="266"/>
      <c r="V55" s="266"/>
      <c r="W55" s="270"/>
      <c r="X55" s="266"/>
      <c r="Y55" s="20"/>
      <c r="Z55" s="20"/>
      <c r="AA55" s="20"/>
      <c r="AB55" s="20"/>
      <c r="AC55" s="20"/>
      <c r="AE55" s="84"/>
    </row>
    <row r="56" spans="1:31">
      <c r="A56" s="3" t="s">
        <v>350</v>
      </c>
      <c r="C56" s="249">
        <f>384+48</f>
        <v>432</v>
      </c>
      <c r="D56" s="249">
        <f>ROUND(C56*($D$59/$C$59),0)</f>
        <v>458</v>
      </c>
      <c r="E56" s="250">
        <f>$E$22</f>
        <v>25.88</v>
      </c>
      <c r="G56" s="2">
        <f>ROUND(E56*$C56,0)</f>
        <v>11180</v>
      </c>
      <c r="H56" s="2">
        <f>ROUND(E56*$D56,0)</f>
        <v>11853</v>
      </c>
      <c r="I56" s="250" t="e">
        <f>$I$22</f>
        <v>#REF!</v>
      </c>
      <c r="K56" s="2" t="e">
        <f>ROUND(I56*$C56,0)</f>
        <v>#REF!</v>
      </c>
      <c r="M56" s="20"/>
      <c r="N56" s="20"/>
      <c r="O56" s="266"/>
      <c r="P56" s="74"/>
      <c r="Q56" s="20"/>
      <c r="R56" s="272"/>
      <c r="S56" s="263"/>
      <c r="T56" s="263"/>
      <c r="U56" s="266"/>
      <c r="V56" s="266"/>
      <c r="W56" s="270"/>
      <c r="X56" s="266"/>
      <c r="Y56" s="20"/>
      <c r="Z56" s="20"/>
      <c r="AA56" s="20"/>
      <c r="AB56" s="20"/>
      <c r="AC56" s="20"/>
      <c r="AE56" s="84"/>
    </row>
    <row r="57" spans="1:31">
      <c r="A57" s="3" t="s">
        <v>351</v>
      </c>
      <c r="C57" s="249">
        <f>13+252+51+38+12</f>
        <v>366</v>
      </c>
      <c r="D57" s="249">
        <f>ROUND(C57*($D$59/$C$59),0)</f>
        <v>388</v>
      </c>
      <c r="E57" s="250">
        <f>$E$23</f>
        <v>1</v>
      </c>
      <c r="F57" s="20"/>
      <c r="G57" s="257">
        <f>ROUND(E57*$C57,0)</f>
        <v>366</v>
      </c>
      <c r="H57" s="257">
        <f>ROUND(E57*$D57,0)</f>
        <v>388</v>
      </c>
      <c r="I57" s="254">
        <f>$I$23</f>
        <v>1</v>
      </c>
      <c r="J57" s="20"/>
      <c r="K57" s="257">
        <f>ROUND(I57*$C57,0)</f>
        <v>366</v>
      </c>
      <c r="M57" s="263"/>
      <c r="N57" s="263"/>
      <c r="O57" s="266"/>
      <c r="P57" s="74"/>
      <c r="Q57" s="20"/>
      <c r="R57" s="263"/>
      <c r="S57" s="263"/>
      <c r="T57" s="263"/>
      <c r="U57" s="266"/>
      <c r="V57" s="266"/>
      <c r="W57" s="266"/>
      <c r="X57" s="266"/>
      <c r="Y57" s="20"/>
      <c r="Z57" s="20"/>
      <c r="AA57" s="20"/>
      <c r="AB57" s="20"/>
      <c r="AC57" s="20"/>
      <c r="AE57" s="84"/>
    </row>
    <row r="58" spans="1:31">
      <c r="A58" s="3" t="s">
        <v>352</v>
      </c>
      <c r="C58" s="249">
        <f>10688+6709</f>
        <v>17397</v>
      </c>
      <c r="D58" s="249">
        <v>1459</v>
      </c>
      <c r="E58" s="250"/>
      <c r="G58" s="2"/>
      <c r="H58" s="2"/>
      <c r="I58" s="250"/>
      <c r="K58" s="2"/>
      <c r="M58" s="263"/>
      <c r="N58" s="263"/>
      <c r="O58" s="263"/>
      <c r="P58" s="263"/>
      <c r="Q58" s="263"/>
      <c r="R58" s="263"/>
      <c r="S58" s="263"/>
      <c r="T58" s="263"/>
      <c r="U58" s="273"/>
      <c r="V58" s="263"/>
      <c r="W58" s="263"/>
      <c r="X58" s="263"/>
      <c r="Y58" s="20"/>
      <c r="Z58" s="20"/>
      <c r="AA58" s="20"/>
      <c r="AB58" s="20"/>
      <c r="AC58" s="20"/>
      <c r="AE58" s="84"/>
    </row>
    <row r="59" spans="1:31">
      <c r="A59" s="3" t="s">
        <v>35</v>
      </c>
      <c r="C59" s="249">
        <f>1679522+631102</f>
        <v>2310624</v>
      </c>
      <c r="D59" s="249">
        <v>2448984.1343942713</v>
      </c>
      <c r="E59" s="254"/>
      <c r="F59" s="20"/>
      <c r="G59" s="257">
        <f>SUM(G50:G57)</f>
        <v>292688</v>
      </c>
      <c r="H59" s="257">
        <f>SUM(H50:H57)</f>
        <v>310235</v>
      </c>
      <c r="I59" s="254"/>
      <c r="J59" s="20"/>
      <c r="K59" s="257" t="e">
        <f>SUM(K50:K57)</f>
        <v>#REF!</v>
      </c>
      <c r="M59" s="263"/>
      <c r="N59" s="263"/>
      <c r="O59" s="272"/>
      <c r="P59" s="263"/>
      <c r="Q59" s="20"/>
      <c r="R59" s="20"/>
      <c r="S59" s="20"/>
      <c r="T59" s="263"/>
      <c r="U59" s="263"/>
      <c r="V59" s="263"/>
      <c r="W59" s="263"/>
      <c r="X59" s="263"/>
      <c r="Y59" s="20"/>
      <c r="Z59" s="20"/>
      <c r="AA59" s="20"/>
      <c r="AB59" s="20"/>
      <c r="AC59" s="20"/>
      <c r="AE59" s="84"/>
    </row>
    <row r="60" spans="1:31">
      <c r="A60" s="3" t="s">
        <v>353</v>
      </c>
      <c r="C60" s="249" t="e">
        <f>#REF!</f>
        <v>#REF!</v>
      </c>
      <c r="D60" s="249">
        <v>0</v>
      </c>
      <c r="E60" s="254"/>
      <c r="F60" s="20"/>
      <c r="G60" s="257" t="e">
        <f>#REF!</f>
        <v>#REF!</v>
      </c>
      <c r="H60" s="257">
        <v>0</v>
      </c>
      <c r="I60" s="254"/>
      <c r="J60" s="20"/>
      <c r="K60" s="257" t="e">
        <f>G60</f>
        <v>#REF!</v>
      </c>
      <c r="M60" s="429"/>
      <c r="N60" s="429"/>
      <c r="O60" s="272"/>
      <c r="P60" s="263"/>
      <c r="Q60" s="263"/>
      <c r="R60" s="268"/>
      <c r="S60" s="266"/>
      <c r="T60" s="263"/>
      <c r="U60" s="263"/>
      <c r="V60" s="263"/>
      <c r="W60" s="263"/>
      <c r="X60" s="263"/>
      <c r="Y60" s="20"/>
      <c r="Z60" s="20"/>
      <c r="AA60" s="20"/>
      <c r="AB60" s="20"/>
      <c r="AC60" s="20"/>
      <c r="AE60" s="84"/>
    </row>
    <row r="61" spans="1:31" ht="16.5" thickBot="1">
      <c r="A61" s="3" t="s">
        <v>9</v>
      </c>
      <c r="C61" s="258" t="e">
        <f>C59+C60</f>
        <v>#REF!</v>
      </c>
      <c r="D61" s="258">
        <f>SUM(D59:D60)</f>
        <v>2448984.1343942713</v>
      </c>
      <c r="E61" s="259"/>
      <c r="F61" s="259"/>
      <c r="G61" s="259" t="e">
        <f>G59+G60</f>
        <v>#REF!</v>
      </c>
      <c r="H61" s="259">
        <f>H59+H60</f>
        <v>310235</v>
      </c>
      <c r="I61" s="259"/>
      <c r="J61" s="259"/>
      <c r="K61" s="259" t="e">
        <f>K59+K60</f>
        <v>#REF!</v>
      </c>
      <c r="M61" s="396"/>
      <c r="N61" s="396"/>
      <c r="O61" s="455"/>
      <c r="P61" s="263"/>
      <c r="Q61" s="263"/>
      <c r="R61" s="263"/>
      <c r="S61" s="263"/>
      <c r="T61" s="263"/>
      <c r="U61" s="263"/>
      <c r="V61" s="263"/>
      <c r="W61" s="263"/>
      <c r="X61" s="263"/>
      <c r="Y61" s="20"/>
      <c r="Z61" s="20"/>
      <c r="AA61" s="20"/>
      <c r="AB61" s="20"/>
      <c r="AC61" s="20"/>
      <c r="AE61" s="84"/>
    </row>
    <row r="62" spans="1:31" ht="16.5" thickTop="1">
      <c r="C62" s="260"/>
      <c r="D62" s="260"/>
      <c r="E62" s="260"/>
      <c r="F62" s="260"/>
      <c r="G62" s="248"/>
      <c r="H62" s="248"/>
      <c r="I62" s="1" t="s">
        <v>31</v>
      </c>
      <c r="J62" s="260"/>
      <c r="K62" s="2" t="s">
        <v>31</v>
      </c>
      <c r="M62" s="20"/>
      <c r="N62" s="20"/>
      <c r="O62" s="74"/>
      <c r="P62" s="74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E62" s="84"/>
    </row>
    <row r="63" spans="1:31">
      <c r="A63" s="247" t="s">
        <v>341</v>
      </c>
      <c r="G63" s="248"/>
      <c r="H63" s="248"/>
      <c r="M63" s="20"/>
      <c r="N63" s="20"/>
      <c r="O63" s="74"/>
      <c r="P63" s="74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E63" s="84"/>
    </row>
    <row r="64" spans="1:31">
      <c r="A64" s="3" t="s">
        <v>357</v>
      </c>
      <c r="G64" s="248"/>
      <c r="H64" s="248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0"/>
      <c r="Z64" s="20"/>
      <c r="AA64" s="20"/>
      <c r="AB64" s="20"/>
      <c r="AC64" s="20"/>
      <c r="AE64" s="84"/>
    </row>
    <row r="65" spans="1:31">
      <c r="G65" s="248"/>
      <c r="H65" s="248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0"/>
      <c r="Z65" s="20"/>
      <c r="AA65" s="20"/>
      <c r="AB65" s="20"/>
      <c r="AC65" s="20"/>
      <c r="AE65" s="84"/>
    </row>
    <row r="66" spans="1:31">
      <c r="A66" s="3" t="s">
        <v>343</v>
      </c>
      <c r="G66" s="248"/>
      <c r="H66" s="248"/>
      <c r="M66" s="263"/>
      <c r="N66" s="263"/>
      <c r="O66" s="263"/>
      <c r="P66" s="74"/>
      <c r="Q66" s="264"/>
      <c r="R66" s="265"/>
      <c r="S66" s="266"/>
      <c r="T66" s="267"/>
      <c r="U66" s="263"/>
      <c r="V66" s="263"/>
      <c r="W66" s="263"/>
      <c r="X66" s="263"/>
      <c r="Y66" s="20"/>
      <c r="Z66" s="20"/>
      <c r="AA66" s="20"/>
      <c r="AB66" s="20"/>
      <c r="AC66" s="20"/>
      <c r="AE66" s="84"/>
    </row>
    <row r="67" spans="1:31">
      <c r="A67" s="3" t="s">
        <v>344</v>
      </c>
      <c r="C67" s="249">
        <f>329+192+132</f>
        <v>653</v>
      </c>
      <c r="D67" s="249">
        <f>ROUND(C67*($D$76/$C$76),0)</f>
        <v>702</v>
      </c>
      <c r="E67" s="250">
        <f>$E$16</f>
        <v>9.6</v>
      </c>
      <c r="G67" s="2">
        <f>ROUND(E67*$C67,0)</f>
        <v>6269</v>
      </c>
      <c r="H67" s="2">
        <f>ROUND(E67*$D67,0)</f>
        <v>6739</v>
      </c>
      <c r="I67" s="250" t="e">
        <f>$I$16</f>
        <v>#REF!</v>
      </c>
      <c r="K67" s="2" t="e">
        <f>ROUND(I67*$C67,0)</f>
        <v>#REF!</v>
      </c>
      <c r="M67" s="20"/>
      <c r="N67" s="20"/>
      <c r="O67" s="266"/>
      <c r="P67" s="74"/>
      <c r="Q67" s="263"/>
      <c r="R67" s="268"/>
      <c r="S67" s="269"/>
      <c r="T67" s="263"/>
      <c r="U67" s="266"/>
      <c r="V67" s="266"/>
      <c r="W67" s="270"/>
      <c r="X67" s="266"/>
      <c r="Y67" s="20"/>
      <c r="Z67" s="20"/>
      <c r="AA67" s="20"/>
      <c r="AB67" s="20"/>
      <c r="AC67" s="20"/>
      <c r="AE67" s="84"/>
    </row>
    <row r="68" spans="1:31">
      <c r="A68" s="3" t="s">
        <v>345</v>
      </c>
      <c r="C68" s="249">
        <f>386+36</f>
        <v>422</v>
      </c>
      <c r="D68" s="249">
        <f>ROUND(C68*($D$76/$C$76),0)</f>
        <v>454</v>
      </c>
      <c r="E68" s="250">
        <f>$E$17</f>
        <v>18.28</v>
      </c>
      <c r="G68" s="2">
        <f>ROUND(E68*$C68,0)</f>
        <v>7714</v>
      </c>
      <c r="H68" s="2">
        <f>ROUND(E68*$D68,0)</f>
        <v>8299</v>
      </c>
      <c r="I68" s="250" t="e">
        <f>$I$17</f>
        <v>#REF!</v>
      </c>
      <c r="K68" s="2" t="e">
        <f>ROUND(I68*$C68,0)</f>
        <v>#REF!</v>
      </c>
      <c r="M68" s="20"/>
      <c r="N68" s="20"/>
      <c r="O68" s="266"/>
      <c r="P68" s="74"/>
      <c r="Q68" s="20"/>
      <c r="R68" s="272"/>
      <c r="S68" s="263"/>
      <c r="T68" s="263"/>
      <c r="U68" s="266"/>
      <c r="V68" s="266"/>
      <c r="W68" s="270"/>
      <c r="X68" s="266"/>
      <c r="Y68" s="20"/>
      <c r="Z68" s="20"/>
      <c r="AA68" s="20"/>
      <c r="AB68" s="20"/>
      <c r="AC68" s="20"/>
      <c r="AE68" s="84"/>
    </row>
    <row r="69" spans="1:31">
      <c r="A69" s="3" t="s">
        <v>346</v>
      </c>
      <c r="C69" s="249">
        <f>48</f>
        <v>48</v>
      </c>
      <c r="D69" s="249">
        <f>ROUND(C69*($D$76/$C$76),0)</f>
        <v>52</v>
      </c>
      <c r="E69" s="250">
        <f>$E$18</f>
        <v>37.82</v>
      </c>
      <c r="G69" s="2">
        <f>ROUND(E69*$C69,0)</f>
        <v>1815</v>
      </c>
      <c r="H69" s="2">
        <f>ROUND(E69*$D69,0)</f>
        <v>1967</v>
      </c>
      <c r="I69" s="250" t="e">
        <f>$I$18</f>
        <v>#REF!</v>
      </c>
      <c r="K69" s="2" t="e">
        <f>ROUND(I69*$C69,0)</f>
        <v>#REF!</v>
      </c>
      <c r="M69" s="20"/>
      <c r="N69" s="20"/>
      <c r="O69" s="266"/>
      <c r="P69" s="74"/>
      <c r="Q69" s="20"/>
      <c r="R69" s="272"/>
      <c r="S69" s="263"/>
      <c r="T69" s="263"/>
      <c r="U69" s="266"/>
      <c r="V69" s="266"/>
      <c r="W69" s="270"/>
      <c r="X69" s="266"/>
      <c r="Y69" s="20"/>
      <c r="Z69" s="20"/>
      <c r="AA69" s="20"/>
      <c r="AB69" s="20"/>
      <c r="AC69" s="20"/>
      <c r="AE69" s="84"/>
    </row>
    <row r="70" spans="1:31">
      <c r="A70" s="3" t="s">
        <v>347</v>
      </c>
      <c r="C70" s="249"/>
      <c r="D70" s="249"/>
      <c r="E70" s="250"/>
      <c r="G70" s="2"/>
      <c r="H70" s="2"/>
      <c r="I70" s="250"/>
      <c r="K70" s="2"/>
      <c r="M70" s="20"/>
      <c r="N70" s="20"/>
      <c r="O70" s="266"/>
      <c r="P70" s="74"/>
      <c r="Q70" s="20"/>
      <c r="R70" s="272"/>
      <c r="S70" s="263"/>
      <c r="T70" s="263"/>
      <c r="U70" s="266"/>
      <c r="V70" s="266"/>
      <c r="W70" s="270"/>
      <c r="X70" s="266"/>
      <c r="Y70" s="20"/>
      <c r="Z70" s="20"/>
      <c r="AA70" s="20"/>
      <c r="AB70" s="20"/>
      <c r="AC70" s="20"/>
      <c r="AE70" s="84"/>
    </row>
    <row r="71" spans="1:31">
      <c r="A71" s="3" t="s">
        <v>348</v>
      </c>
      <c r="C71" s="249">
        <f>12</f>
        <v>12</v>
      </c>
      <c r="D71" s="249">
        <f>ROUND(C71*($D$76/$C$76),0)</f>
        <v>13</v>
      </c>
      <c r="E71" s="250">
        <f>$E$20</f>
        <v>10.92</v>
      </c>
      <c r="G71" s="2">
        <f>ROUND(E71*$C71,0)</f>
        <v>131</v>
      </c>
      <c r="H71" s="2">
        <f>ROUND(E71*$D71,0)</f>
        <v>142</v>
      </c>
      <c r="I71" s="250" t="e">
        <f>$I$20</f>
        <v>#REF!</v>
      </c>
      <c r="K71" s="2" t="e">
        <f>ROUND(I71*$C71,0)</f>
        <v>#REF!</v>
      </c>
      <c r="M71" s="20"/>
      <c r="N71" s="20"/>
      <c r="O71" s="266"/>
      <c r="P71" s="74"/>
      <c r="Q71" s="20"/>
      <c r="R71" s="272"/>
      <c r="S71" s="263"/>
      <c r="T71" s="263"/>
      <c r="U71" s="266"/>
      <c r="V71" s="266"/>
      <c r="W71" s="270"/>
      <c r="X71" s="266"/>
      <c r="Y71" s="20"/>
      <c r="Z71" s="20"/>
      <c r="AA71" s="20"/>
      <c r="AB71" s="20"/>
      <c r="AC71" s="20"/>
      <c r="AE71" s="84"/>
    </row>
    <row r="72" spans="1:31">
      <c r="A72" s="3" t="s">
        <v>349</v>
      </c>
      <c r="C72" s="249">
        <f>96+12</f>
        <v>108</v>
      </c>
      <c r="D72" s="249">
        <f>ROUND(C72*($D$76/$C$76),0)</f>
        <v>116</v>
      </c>
      <c r="E72" s="250">
        <f>$E$21</f>
        <v>16.04</v>
      </c>
      <c r="G72" s="2">
        <f>ROUND(E72*$C72,0)</f>
        <v>1732</v>
      </c>
      <c r="H72" s="2">
        <f>ROUND(E72*$D72,0)</f>
        <v>1861</v>
      </c>
      <c r="I72" s="250" t="e">
        <f>$I$21</f>
        <v>#REF!</v>
      </c>
      <c r="K72" s="2" t="e">
        <f>ROUND(I72*$C72,0)</f>
        <v>#REF!</v>
      </c>
      <c r="M72" s="20"/>
      <c r="N72" s="20"/>
      <c r="O72" s="266"/>
      <c r="P72" s="74"/>
      <c r="Q72" s="20"/>
      <c r="R72" s="272"/>
      <c r="S72" s="263"/>
      <c r="T72" s="263"/>
      <c r="U72" s="266"/>
      <c r="V72" s="266"/>
      <c r="W72" s="270"/>
      <c r="X72" s="266"/>
      <c r="Y72" s="20"/>
      <c r="Z72" s="20"/>
      <c r="AA72" s="20"/>
      <c r="AB72" s="20"/>
      <c r="AC72" s="20"/>
      <c r="AE72" s="84"/>
    </row>
    <row r="73" spans="1:31">
      <c r="A73" s="3" t="s">
        <v>350</v>
      </c>
      <c r="C73" s="249">
        <f>36</f>
        <v>36</v>
      </c>
      <c r="D73" s="249">
        <f>ROUND(C73*($D$76/$C$76),0)</f>
        <v>39</v>
      </c>
      <c r="E73" s="250">
        <f>$E$22</f>
        <v>25.88</v>
      </c>
      <c r="G73" s="2">
        <f>ROUND(E73*$C73,0)</f>
        <v>932</v>
      </c>
      <c r="H73" s="2">
        <f>ROUND(E73*$D73,0)</f>
        <v>1009</v>
      </c>
      <c r="I73" s="250" t="e">
        <f>$I$22</f>
        <v>#REF!</v>
      </c>
      <c r="K73" s="2" t="e">
        <f>ROUND(I73*$C73,0)</f>
        <v>#REF!</v>
      </c>
      <c r="M73" s="20"/>
      <c r="N73" s="20"/>
      <c r="O73" s="266"/>
      <c r="P73" s="74"/>
      <c r="Q73" s="20"/>
      <c r="R73" s="272"/>
      <c r="S73" s="263"/>
      <c r="T73" s="263"/>
      <c r="U73" s="266"/>
      <c r="V73" s="266"/>
      <c r="W73" s="270"/>
      <c r="X73" s="266"/>
      <c r="Y73" s="20"/>
      <c r="Z73" s="20"/>
      <c r="AA73" s="20"/>
      <c r="AB73" s="20"/>
      <c r="AC73" s="20"/>
      <c r="AE73" s="84"/>
    </row>
    <row r="74" spans="1:31">
      <c r="A74" s="3" t="s">
        <v>351</v>
      </c>
      <c r="C74" s="249">
        <f>132</f>
        <v>132</v>
      </c>
      <c r="D74" s="249">
        <f>ROUND(C74*($D$76/$C$76),0)</f>
        <v>142</v>
      </c>
      <c r="E74" s="250">
        <f>$E$23</f>
        <v>1</v>
      </c>
      <c r="F74" s="20"/>
      <c r="G74" s="257">
        <f>ROUND(E74*$C74,0)</f>
        <v>132</v>
      </c>
      <c r="H74" s="257">
        <f>ROUND(E74*$D74,0)</f>
        <v>142</v>
      </c>
      <c r="I74" s="254">
        <f>$I$23</f>
        <v>1</v>
      </c>
      <c r="J74" s="20"/>
      <c r="K74" s="257">
        <f>ROUND(I74*$C74,0)</f>
        <v>132</v>
      </c>
      <c r="M74" s="263"/>
      <c r="N74" s="263"/>
      <c r="O74" s="266"/>
      <c r="P74" s="74"/>
      <c r="Q74" s="20"/>
      <c r="R74" s="263"/>
      <c r="S74" s="263"/>
      <c r="T74" s="263"/>
      <c r="U74" s="266"/>
      <c r="V74" s="266"/>
      <c r="W74" s="266"/>
      <c r="X74" s="266"/>
      <c r="Y74" s="20"/>
      <c r="Z74" s="20"/>
      <c r="AA74" s="20"/>
      <c r="AB74" s="20"/>
      <c r="AC74" s="20"/>
      <c r="AE74" s="84"/>
    </row>
    <row r="75" spans="1:31">
      <c r="A75" s="3" t="s">
        <v>352</v>
      </c>
      <c r="C75" s="249">
        <f>520+228</f>
        <v>748</v>
      </c>
      <c r="D75" s="249">
        <v>61.916666666666664</v>
      </c>
      <c r="E75" s="250"/>
      <c r="G75" s="2"/>
      <c r="H75" s="2"/>
      <c r="I75" s="250"/>
      <c r="K75" s="2"/>
      <c r="M75" s="263"/>
      <c r="N75" s="263"/>
      <c r="O75" s="263"/>
      <c r="P75" s="263"/>
      <c r="Q75" s="263"/>
      <c r="R75" s="263"/>
      <c r="S75" s="263"/>
      <c r="T75" s="263"/>
      <c r="U75" s="273"/>
      <c r="V75" s="263"/>
      <c r="W75" s="263"/>
      <c r="X75" s="263"/>
      <c r="Y75" s="20"/>
      <c r="Z75" s="20"/>
      <c r="AA75" s="20"/>
      <c r="AB75" s="20"/>
      <c r="AC75" s="20"/>
      <c r="AE75" s="84"/>
    </row>
    <row r="76" spans="1:31">
      <c r="A76" s="3" t="s">
        <v>35</v>
      </c>
      <c r="C76" s="249">
        <f>124900+31167</f>
        <v>156067</v>
      </c>
      <c r="D76" s="249">
        <v>167748.79783190461</v>
      </c>
      <c r="E76" s="254"/>
      <c r="F76" s="20"/>
      <c r="G76" s="257">
        <f>SUM(G67:G74)</f>
        <v>18725</v>
      </c>
      <c r="H76" s="257">
        <f>SUM(H67:H74)</f>
        <v>20159</v>
      </c>
      <c r="I76" s="254"/>
      <c r="J76" s="20"/>
      <c r="K76" s="257" t="e">
        <f>SUM(K67:K74)</f>
        <v>#REF!</v>
      </c>
      <c r="M76" s="263"/>
      <c r="N76" s="263"/>
      <c r="O76" s="272"/>
      <c r="P76" s="263"/>
      <c r="Q76" s="20"/>
      <c r="R76" s="20"/>
      <c r="S76" s="20"/>
      <c r="T76" s="263"/>
      <c r="U76" s="263"/>
      <c r="V76" s="263"/>
      <c r="W76" s="263"/>
      <c r="X76" s="263"/>
      <c r="Y76" s="20"/>
      <c r="Z76" s="20"/>
      <c r="AA76" s="20"/>
      <c r="AB76" s="20"/>
      <c r="AC76" s="20"/>
      <c r="AE76" s="84"/>
    </row>
    <row r="77" spans="1:31">
      <c r="A77" s="3" t="s">
        <v>353</v>
      </c>
      <c r="C77" s="249" t="e">
        <f>#REF!</f>
        <v>#REF!</v>
      </c>
      <c r="D77" s="249">
        <v>0</v>
      </c>
      <c r="E77" s="254"/>
      <c r="F77" s="20"/>
      <c r="G77" s="257" t="e">
        <f>#REF!</f>
        <v>#REF!</v>
      </c>
      <c r="H77" s="257">
        <v>0</v>
      </c>
      <c r="I77" s="254"/>
      <c r="J77" s="20"/>
      <c r="K77" s="257" t="e">
        <f>G77</f>
        <v>#REF!</v>
      </c>
      <c r="M77" s="429"/>
      <c r="N77" s="429"/>
      <c r="O77" s="272"/>
      <c r="P77" s="263"/>
      <c r="Q77" s="263"/>
      <c r="R77" s="268"/>
      <c r="S77" s="266"/>
      <c r="T77" s="263"/>
      <c r="U77" s="263"/>
      <c r="V77" s="263"/>
      <c r="W77" s="263"/>
      <c r="X77" s="263"/>
      <c r="Y77" s="20"/>
      <c r="Z77" s="20"/>
      <c r="AA77" s="20"/>
      <c r="AB77" s="20"/>
      <c r="AC77" s="20"/>
      <c r="AE77" s="84"/>
    </row>
    <row r="78" spans="1:31" ht="16.5" thickBot="1">
      <c r="A78" s="3" t="s">
        <v>9</v>
      </c>
      <c r="C78" s="258" t="e">
        <f>C76+C77</f>
        <v>#REF!</v>
      </c>
      <c r="D78" s="258">
        <f>SUM(D76:D77)</f>
        <v>167748.79783190461</v>
      </c>
      <c r="E78" s="259"/>
      <c r="F78" s="259"/>
      <c r="G78" s="259" t="e">
        <f>G76+G77</f>
        <v>#REF!</v>
      </c>
      <c r="H78" s="259">
        <f>H76+H77</f>
        <v>20159</v>
      </c>
      <c r="I78" s="259"/>
      <c r="J78" s="259"/>
      <c r="K78" s="259" t="e">
        <f>K76+K77</f>
        <v>#REF!</v>
      </c>
      <c r="M78" s="396"/>
      <c r="N78" s="396"/>
      <c r="O78" s="455"/>
      <c r="P78" s="263"/>
      <c r="Q78" s="263"/>
      <c r="R78" s="263"/>
      <c r="S78" s="263"/>
      <c r="T78" s="263"/>
      <c r="U78" s="263"/>
      <c r="V78" s="263"/>
      <c r="W78" s="263"/>
      <c r="X78" s="263"/>
      <c r="Y78" s="20"/>
      <c r="Z78" s="20"/>
      <c r="AA78" s="20"/>
      <c r="AB78" s="20"/>
      <c r="AC78" s="20"/>
      <c r="AE78" s="84"/>
    </row>
    <row r="79" spans="1:31" ht="16.5" thickTop="1">
      <c r="C79" s="260"/>
      <c r="D79" s="260"/>
      <c r="E79" s="260"/>
      <c r="F79" s="260"/>
      <c r="G79" s="248"/>
      <c r="H79" s="248"/>
      <c r="I79" s="1" t="s">
        <v>31</v>
      </c>
      <c r="J79" s="260"/>
      <c r="K79" s="2" t="s">
        <v>31</v>
      </c>
      <c r="M79" s="20"/>
      <c r="N79" s="20"/>
      <c r="O79" s="74"/>
      <c r="P79" s="74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E79" s="84"/>
    </row>
    <row r="80" spans="1:31">
      <c r="A80" s="278" t="s">
        <v>358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20"/>
      <c r="N80" s="20"/>
      <c r="O80" s="74"/>
      <c r="P80" s="74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E80" s="84"/>
    </row>
    <row r="81" spans="1:31">
      <c r="A81" s="1" t="s">
        <v>359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456"/>
      <c r="N81" s="456"/>
      <c r="O81" s="74"/>
      <c r="P81" s="74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E81" s="84"/>
    </row>
    <row r="82" spans="1:31">
      <c r="A82" s="282"/>
      <c r="B82" s="1"/>
      <c r="C82" s="1"/>
      <c r="D82" s="1"/>
      <c r="E82" s="21"/>
      <c r="F82" s="21"/>
      <c r="G82" s="1"/>
      <c r="H82" s="1"/>
      <c r="I82" s="21"/>
      <c r="J82" s="1"/>
      <c r="K82" s="1"/>
      <c r="M82" s="20"/>
      <c r="N82" s="20"/>
      <c r="O82" s="74"/>
      <c r="P82" s="74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E82" s="84"/>
    </row>
    <row r="83" spans="1:31">
      <c r="A83" s="1" t="s">
        <v>360</v>
      </c>
      <c r="B83" s="1"/>
      <c r="C83" s="21">
        <f t="shared" ref="C83:D90" si="4">C96+C109+C122+C135</f>
        <v>1229595</v>
      </c>
      <c r="D83" s="21">
        <f t="shared" si="4"/>
        <v>1221387</v>
      </c>
      <c r="E83" s="283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283">
        <v>6.75</v>
      </c>
      <c r="J83" s="1"/>
      <c r="K83" s="2">
        <f t="shared" ref="K83:K89" si="6">K96+K109+K122+K135</f>
        <v>8299768</v>
      </c>
      <c r="M83" s="84">
        <f>I83*D83</f>
        <v>8244362.25</v>
      </c>
      <c r="O83" s="14">
        <f t="shared" ref="O83:O88" si="7">(I83-E83)/E83</f>
        <v>0.125</v>
      </c>
      <c r="T83" s="3" t="s">
        <v>361</v>
      </c>
      <c r="U83" s="3" t="s">
        <v>296</v>
      </c>
      <c r="V83" s="3" t="s">
        <v>362</v>
      </c>
      <c r="W83" s="3" t="s">
        <v>305</v>
      </c>
      <c r="X83" s="20"/>
      <c r="Y83" s="20"/>
      <c r="Z83" s="20"/>
      <c r="AA83" s="20"/>
      <c r="AB83" s="20"/>
      <c r="AC83" s="20"/>
      <c r="AE83" s="84"/>
    </row>
    <row r="84" spans="1:31">
      <c r="A84" s="1" t="s">
        <v>363</v>
      </c>
      <c r="B84" s="1"/>
      <c r="C84" s="21" t="e">
        <f t="shared" si="4"/>
        <v>#REF!</v>
      </c>
      <c r="D84" s="21">
        <f t="shared" si="4"/>
        <v>670554218.28816807</v>
      </c>
      <c r="E84" s="284">
        <v>4.9139999999999997</v>
      </c>
      <c r="F84" s="1" t="s">
        <v>364</v>
      </c>
      <c r="G84" s="2" t="e">
        <f t="shared" si="5"/>
        <v>#REF!</v>
      </c>
      <c r="H84" s="2">
        <f t="shared" si="5"/>
        <v>32951033</v>
      </c>
      <c r="I84" s="284">
        <v>5.4039999999999999</v>
      </c>
      <c r="J84" s="1" t="s">
        <v>364</v>
      </c>
      <c r="K84" s="2" t="e">
        <f t="shared" si="6"/>
        <v>#REF!</v>
      </c>
      <c r="M84" s="84">
        <f>(I84/100)*D84</f>
        <v>36236749.956292599</v>
      </c>
      <c r="O84" s="14">
        <f t="shared" si="7"/>
        <v>9.9715099715099759E-2</v>
      </c>
      <c r="Q84" s="222">
        <f>(E85-E84)/E84</f>
        <v>0.57733007733007746</v>
      </c>
      <c r="S84" s="3" t="s">
        <v>20</v>
      </c>
      <c r="T84" s="84">
        <f>H83</f>
        <v>7328322</v>
      </c>
      <c r="U84" s="84">
        <f>K83</f>
        <v>8299768</v>
      </c>
      <c r="V84" s="106">
        <v>10560201.731189568</v>
      </c>
      <c r="W84" s="222">
        <f>U84/V84</f>
        <v>0.78594786456461585</v>
      </c>
      <c r="X84" s="20"/>
      <c r="Y84" s="20"/>
      <c r="Z84" s="20"/>
      <c r="AA84" s="20"/>
      <c r="AB84" s="20"/>
      <c r="AC84" s="20"/>
      <c r="AE84" s="84"/>
    </row>
    <row r="85" spans="1:31">
      <c r="A85" s="1" t="s">
        <v>365</v>
      </c>
      <c r="B85" s="1"/>
      <c r="C85" s="21" t="e">
        <f t="shared" si="4"/>
        <v>#REF!</v>
      </c>
      <c r="D85" s="21">
        <f t="shared" si="4"/>
        <v>958583102.59308743</v>
      </c>
      <c r="E85" s="284">
        <v>7.7510000000000003</v>
      </c>
      <c r="F85" s="1" t="s">
        <v>364</v>
      </c>
      <c r="G85" s="2" t="e">
        <f t="shared" si="5"/>
        <v>#REF!</v>
      </c>
      <c r="H85" s="2">
        <f t="shared" si="5"/>
        <v>74299776</v>
      </c>
      <c r="I85" s="284">
        <f>ROUND((E85/E84*I84),3)-0.003</f>
        <v>8.520999999999999</v>
      </c>
      <c r="J85" s="1" t="s">
        <v>364</v>
      </c>
      <c r="K85" s="2" t="e">
        <f t="shared" si="6"/>
        <v>#REF!</v>
      </c>
      <c r="M85" s="84">
        <f>(I85/100)*D85</f>
        <v>81680866.171956971</v>
      </c>
      <c r="N85" s="285"/>
      <c r="O85" s="14">
        <f t="shared" si="7"/>
        <v>9.9342020384466351E-2</v>
      </c>
      <c r="Q85" s="222">
        <f>(I85-I84)/I84</f>
        <v>0.57679496669133956</v>
      </c>
      <c r="S85" s="3" t="s">
        <v>366</v>
      </c>
      <c r="T85" s="106">
        <f>E84*(D84+D85)/100</f>
        <v>80055807.948104903</v>
      </c>
      <c r="U85" s="106">
        <f>I84*(D84+D85)/100</f>
        <v>88038580.820423052</v>
      </c>
      <c r="V85" s="106">
        <v>74901422.706720337</v>
      </c>
      <c r="W85" s="222">
        <f>U85/V85</f>
        <v>1.1753926379361552</v>
      </c>
      <c r="X85" s="20"/>
      <c r="Y85" s="20"/>
      <c r="Z85" s="20"/>
      <c r="AA85" s="20"/>
      <c r="AB85" s="20"/>
      <c r="AC85" s="20"/>
      <c r="AE85" s="84"/>
    </row>
    <row r="86" spans="1:31">
      <c r="A86" s="1" t="s">
        <v>367</v>
      </c>
      <c r="B86" s="1"/>
      <c r="C86" s="21">
        <f t="shared" si="4"/>
        <v>5923</v>
      </c>
      <c r="D86" s="21">
        <f t="shared" si="4"/>
        <v>6971.808259255954</v>
      </c>
      <c r="E86" s="286">
        <v>1.55</v>
      </c>
      <c r="F86" s="1"/>
      <c r="G86" s="2">
        <f t="shared" si="5"/>
        <v>9181</v>
      </c>
      <c r="H86" s="2">
        <f t="shared" si="5"/>
        <v>10806</v>
      </c>
      <c r="I86" s="286">
        <v>1.65</v>
      </c>
      <c r="J86" s="1"/>
      <c r="K86" s="2">
        <f t="shared" si="6"/>
        <v>9773</v>
      </c>
      <c r="M86" s="84">
        <f>I86*D86</f>
        <v>11503.483627772324</v>
      </c>
      <c r="O86" s="14">
        <f t="shared" si="7"/>
        <v>6.4516129032257979E-2</v>
      </c>
      <c r="S86" s="3" t="s">
        <v>368</v>
      </c>
      <c r="T86" s="84">
        <f>H84+H85-T85</f>
        <v>27195001.051895097</v>
      </c>
      <c r="U86" s="84" t="e">
        <f>K84+K85-U85</f>
        <v>#REF!</v>
      </c>
      <c r="V86" s="106">
        <v>33130328.65840701</v>
      </c>
      <c r="W86" s="222" t="e">
        <f>U86/V86</f>
        <v>#REF!</v>
      </c>
      <c r="X86" s="20"/>
      <c r="Y86" s="20"/>
      <c r="Z86" s="20"/>
      <c r="AA86" s="20"/>
      <c r="AB86" s="20"/>
      <c r="AC86" s="20"/>
      <c r="AE86" s="84"/>
    </row>
    <row r="87" spans="1:31">
      <c r="A87" s="288" t="s">
        <v>369</v>
      </c>
      <c r="B87" s="288"/>
      <c r="C87" s="21">
        <f t="shared" si="4"/>
        <v>979</v>
      </c>
      <c r="D87" s="21">
        <f t="shared" si="4"/>
        <v>1152.184035507054</v>
      </c>
      <c r="E87" s="286">
        <v>3</v>
      </c>
      <c r="F87" s="288"/>
      <c r="G87" s="2">
        <f t="shared" si="5"/>
        <v>2937</v>
      </c>
      <c r="H87" s="2">
        <f t="shared" si="5"/>
        <v>3457</v>
      </c>
      <c r="I87" s="286">
        <f>ROUND(I86/E86*E87,2)+0.01</f>
        <v>3.1999999999999997</v>
      </c>
      <c r="J87" s="288"/>
      <c r="K87" s="2">
        <f t="shared" si="6"/>
        <v>3132</v>
      </c>
      <c r="M87" s="84">
        <f>I87*D87</f>
        <v>3686.9889136225725</v>
      </c>
      <c r="O87" s="14">
        <f t="shared" si="7"/>
        <v>6.6666666666666582E-2</v>
      </c>
      <c r="X87" s="20"/>
      <c r="Y87" s="20"/>
      <c r="Z87" s="20"/>
      <c r="AA87" s="20"/>
      <c r="AB87" s="20"/>
      <c r="AC87" s="20"/>
      <c r="AE87" s="84"/>
    </row>
    <row r="88" spans="1:31">
      <c r="A88" s="288" t="s">
        <v>370</v>
      </c>
      <c r="B88" s="288"/>
      <c r="C88" s="21">
        <f t="shared" si="4"/>
        <v>70</v>
      </c>
      <c r="D88" s="21">
        <f t="shared" si="4"/>
        <v>82.551683985472636</v>
      </c>
      <c r="E88" s="289">
        <v>-1.55</v>
      </c>
      <c r="F88" s="288"/>
      <c r="G88" s="2">
        <f t="shared" si="5"/>
        <v>-108</v>
      </c>
      <c r="H88" s="2">
        <f t="shared" si="5"/>
        <v>-128</v>
      </c>
      <c r="I88" s="289">
        <f>-I86</f>
        <v>-1.65</v>
      </c>
      <c r="J88" s="288"/>
      <c r="K88" s="2">
        <f t="shared" si="6"/>
        <v>-115</v>
      </c>
      <c r="M88" s="84">
        <f>I88*D88</f>
        <v>-136.21027857602985</v>
      </c>
      <c r="O88" s="14">
        <f t="shared" si="7"/>
        <v>6.4516129032257979E-2</v>
      </c>
      <c r="X88" s="20"/>
      <c r="Y88" s="20"/>
      <c r="Z88" s="20"/>
      <c r="AA88" s="20"/>
      <c r="AB88" s="20"/>
      <c r="AC88" s="20"/>
      <c r="AE88" s="84"/>
    </row>
    <row r="89" spans="1:31">
      <c r="A89" s="1" t="s">
        <v>371</v>
      </c>
      <c r="B89" s="290"/>
      <c r="C89" s="21" t="e">
        <f t="shared" si="4"/>
        <v>#REF!</v>
      </c>
      <c r="D89" s="21">
        <f t="shared" si="4"/>
        <v>1629137320.8812554</v>
      </c>
      <c r="E89" s="291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84">
        <f>SUM(M83:M88)</f>
        <v>126177032.64051239</v>
      </c>
      <c r="O89" s="14"/>
      <c r="X89" s="20"/>
      <c r="Y89" s="20"/>
      <c r="Z89" s="20"/>
      <c r="AA89" s="20"/>
      <c r="AB89" s="20"/>
      <c r="AC89" s="20"/>
      <c r="AE89" s="84"/>
    </row>
    <row r="90" spans="1:31">
      <c r="A90" s="1" t="s">
        <v>353</v>
      </c>
      <c r="B90" s="292"/>
      <c r="C90" s="293" t="e">
        <f t="shared" si="4"/>
        <v>#REF!</v>
      </c>
      <c r="D90" s="293">
        <f t="shared" si="4"/>
        <v>0</v>
      </c>
      <c r="E90" s="294"/>
      <c r="F90" s="294"/>
      <c r="G90" s="295" t="e">
        <f t="shared" si="5"/>
        <v>#REF!</v>
      </c>
      <c r="H90" s="295">
        <f t="shared" si="5"/>
        <v>0</v>
      </c>
      <c r="I90" s="294"/>
      <c r="J90" s="294"/>
      <c r="K90" s="295" t="e">
        <f>G90</f>
        <v>#REF!</v>
      </c>
      <c r="X90" s="20"/>
      <c r="Y90" s="20"/>
      <c r="Z90" s="20"/>
      <c r="AA90" s="20"/>
      <c r="AB90" s="20"/>
      <c r="AC90" s="20"/>
      <c r="AE90" s="84"/>
    </row>
    <row r="91" spans="1:31" ht="16.5" thickBot="1">
      <c r="A91" s="1" t="s">
        <v>372</v>
      </c>
      <c r="B91" s="1"/>
      <c r="C91" s="296" t="e">
        <f>C89+C90</f>
        <v>#REF!</v>
      </c>
      <c r="D91" s="296">
        <f>D84+D85+D90</f>
        <v>1629137320.8812556</v>
      </c>
      <c r="E91" s="297"/>
      <c r="F91" s="297"/>
      <c r="G91" s="297" t="e">
        <f>G89+G90</f>
        <v>#REF!</v>
      </c>
      <c r="H91" s="297">
        <f>H89+H90</f>
        <v>114593266</v>
      </c>
      <c r="I91" s="297"/>
      <c r="J91" s="297"/>
      <c r="K91" s="297" t="e">
        <f>K89+K90</f>
        <v>#REF!</v>
      </c>
      <c r="N91" s="3" t="s">
        <v>354</v>
      </c>
      <c r="O91" s="69" t="e">
        <f>#REF!*1000</f>
        <v>#REF!</v>
      </c>
      <c r="X91" s="20"/>
      <c r="Y91" s="20"/>
      <c r="Z91" s="20"/>
      <c r="AA91" s="20"/>
      <c r="AB91" s="20"/>
      <c r="AC91" s="20"/>
      <c r="AE91" s="84"/>
    </row>
    <row r="92" spans="1:31" ht="16.5" thickTop="1">
      <c r="A92" s="1"/>
      <c r="B92" s="298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257</v>
      </c>
      <c r="O92" s="69" t="e">
        <f>O91-K91</f>
        <v>#REF!</v>
      </c>
      <c r="P92" s="299" t="e">
        <f>(O91-K91)/K91</f>
        <v>#REF!</v>
      </c>
      <c r="X92" s="20"/>
      <c r="Y92" s="20"/>
      <c r="Z92" s="20"/>
      <c r="AA92" s="20"/>
      <c r="AB92" s="20"/>
      <c r="AC92" s="20"/>
      <c r="AE92" s="84"/>
    </row>
    <row r="93" spans="1:31">
      <c r="A93" s="278" t="s">
        <v>373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M93" s="20"/>
      <c r="N93" s="20"/>
      <c r="O93" s="226"/>
      <c r="P93" s="74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E93" s="84"/>
    </row>
    <row r="94" spans="1:31">
      <c r="A94" s="1" t="s">
        <v>320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M94" s="20"/>
      <c r="N94" s="20"/>
      <c r="O94" s="74"/>
      <c r="P94" s="74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E94" s="84"/>
    </row>
    <row r="95" spans="1:31">
      <c r="A95" s="282"/>
      <c r="B95" s="1"/>
      <c r="C95" s="1"/>
      <c r="D95" s="1"/>
      <c r="E95" s="21"/>
      <c r="F95" s="21"/>
      <c r="G95" s="1"/>
      <c r="H95" s="1"/>
      <c r="I95" s="21"/>
      <c r="J95" s="1"/>
      <c r="K95" s="1"/>
      <c r="M95" s="20"/>
      <c r="N95" s="20"/>
      <c r="O95" s="74"/>
      <c r="P95" s="74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E95" s="84"/>
    </row>
    <row r="96" spans="1:31">
      <c r="A96" s="1" t="s">
        <v>360</v>
      </c>
      <c r="B96" s="1"/>
      <c r="C96" s="21">
        <f>1191112+6</f>
        <v>1191118</v>
      </c>
      <c r="D96" s="21">
        <f>1191112+6</f>
        <v>1191118</v>
      </c>
      <c r="E96" s="283">
        <f>$E$83</f>
        <v>6</v>
      </c>
      <c r="F96" s="1"/>
      <c r="G96" s="2">
        <f>ROUND(E96*$C96,0)</f>
        <v>7146708</v>
      </c>
      <c r="H96" s="2">
        <f>ROUND(E96*$D96,0)</f>
        <v>7146708</v>
      </c>
      <c r="I96" s="283">
        <f>$I$83</f>
        <v>6.75</v>
      </c>
      <c r="J96" s="1"/>
      <c r="K96" s="2">
        <f>ROUND(I96*$C96,0)</f>
        <v>8040047</v>
      </c>
      <c r="M96" s="20"/>
      <c r="N96" s="20"/>
      <c r="O96" s="74"/>
      <c r="P96" s="74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E96" s="84"/>
    </row>
    <row r="97" spans="1:31">
      <c r="A97" s="1" t="s">
        <v>363</v>
      </c>
      <c r="B97" s="1"/>
      <c r="C97" s="21" t="e">
        <f>652855208+600+#REF!*1000</f>
        <v>#REF!</v>
      </c>
      <c r="D97" s="21">
        <f>652855208+600</f>
        <v>652855808</v>
      </c>
      <c r="E97" s="284">
        <f>$E$84</f>
        <v>4.9139999999999997</v>
      </c>
      <c r="F97" s="1" t="s">
        <v>364</v>
      </c>
      <c r="G97" s="2" t="e">
        <f>ROUND(E97*$C97/100,0)</f>
        <v>#REF!</v>
      </c>
      <c r="H97" s="2">
        <f>ROUND(E97*$D97/100,0)</f>
        <v>32081334</v>
      </c>
      <c r="I97" s="284">
        <f>$I$84</f>
        <v>5.4039999999999999</v>
      </c>
      <c r="J97" s="1" t="s">
        <v>364</v>
      </c>
      <c r="K97" s="2" t="e">
        <f>ROUND(I97*$C97/100,0)</f>
        <v>#REF!</v>
      </c>
      <c r="M97" s="20"/>
      <c r="N97" s="20"/>
      <c r="O97" s="74"/>
      <c r="P97" s="74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E97" s="84"/>
    </row>
    <row r="98" spans="1:31">
      <c r="A98" s="1" t="s">
        <v>365</v>
      </c>
      <c r="B98" s="21"/>
      <c r="C98" s="21" t="e">
        <f>1582245854+1297-C97+#REF!*1000</f>
        <v>#REF!</v>
      </c>
      <c r="D98" s="21">
        <f>1582245854+1297-D97</f>
        <v>929391343</v>
      </c>
      <c r="E98" s="284">
        <f>$E$85</f>
        <v>7.7510000000000003</v>
      </c>
      <c r="F98" s="1" t="s">
        <v>364</v>
      </c>
      <c r="G98" s="2" t="e">
        <f>ROUND(E98*$C98/100,0)</f>
        <v>#REF!</v>
      </c>
      <c r="H98" s="2">
        <f>ROUND(E98*$D98/100,0)</f>
        <v>72037123</v>
      </c>
      <c r="I98" s="284">
        <f>$I$85</f>
        <v>8.520999999999999</v>
      </c>
      <c r="J98" s="1" t="s">
        <v>364</v>
      </c>
      <c r="K98" s="2" t="e">
        <f>ROUND(I98*$C98/100,0)</f>
        <v>#REF!</v>
      </c>
      <c r="M98" s="20"/>
      <c r="N98" s="20"/>
      <c r="O98" s="74"/>
      <c r="P98" s="74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E98" s="84"/>
    </row>
    <row r="99" spans="1:31">
      <c r="A99" s="1" t="s">
        <v>367</v>
      </c>
      <c r="B99" s="1"/>
      <c r="C99" s="21">
        <v>0</v>
      </c>
      <c r="D99" s="21">
        <v>0</v>
      </c>
      <c r="E99" s="286">
        <f>$E$86</f>
        <v>1.55</v>
      </c>
      <c r="F99" s="1"/>
      <c r="G99" s="2">
        <f>ROUND(E99*$C99,0)</f>
        <v>0</v>
      </c>
      <c r="H99" s="2">
        <v>0</v>
      </c>
      <c r="I99" s="286">
        <f>$I$86</f>
        <v>1.65</v>
      </c>
      <c r="J99" s="1"/>
      <c r="K99" s="2">
        <f>ROUND(I99*$C99,0)</f>
        <v>0</v>
      </c>
      <c r="M99" s="20"/>
      <c r="N99" s="20"/>
      <c r="O99" s="74"/>
      <c r="P99" s="74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E99" s="84"/>
    </row>
    <row r="100" spans="1:31">
      <c r="A100" s="288" t="s">
        <v>369</v>
      </c>
      <c r="B100" s="288"/>
      <c r="C100" s="21">
        <v>0</v>
      </c>
      <c r="D100" s="21">
        <v>0</v>
      </c>
      <c r="E100" s="286">
        <f>$E$87</f>
        <v>3</v>
      </c>
      <c r="F100" s="288"/>
      <c r="G100" s="2">
        <f>ROUND(E100*$C100,0)</f>
        <v>0</v>
      </c>
      <c r="H100" s="2">
        <v>0</v>
      </c>
      <c r="I100" s="286">
        <f>$I$87</f>
        <v>3.1999999999999997</v>
      </c>
      <c r="J100" s="288"/>
      <c r="K100" s="2">
        <f>ROUND(I100*$C100,0)</f>
        <v>0</v>
      </c>
      <c r="M100" s="20"/>
      <c r="N100" s="20"/>
      <c r="O100" s="74"/>
      <c r="P100" s="74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E100" s="84"/>
    </row>
    <row r="101" spans="1:31">
      <c r="A101" s="288" t="s">
        <v>370</v>
      </c>
      <c r="B101" s="288"/>
      <c r="C101" s="21">
        <v>0</v>
      </c>
      <c r="D101" s="21">
        <v>0</v>
      </c>
      <c r="E101" s="289">
        <f>-E99</f>
        <v>-1.55</v>
      </c>
      <c r="F101" s="288"/>
      <c r="G101" s="2">
        <f>ROUND(E101*$C101,0)</f>
        <v>0</v>
      </c>
      <c r="H101" s="2">
        <v>0</v>
      </c>
      <c r="I101" s="289">
        <f>-I99</f>
        <v>-1.65</v>
      </c>
      <c r="J101" s="288"/>
      <c r="K101" s="2">
        <f>ROUND(I101*$C101,0)</f>
        <v>0</v>
      </c>
      <c r="M101" s="20"/>
      <c r="N101" s="20"/>
      <c r="O101" s="74"/>
      <c r="P101" s="74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E101" s="84"/>
    </row>
    <row r="102" spans="1:31">
      <c r="A102" s="1" t="s">
        <v>371</v>
      </c>
      <c r="B102" s="290"/>
      <c r="C102" s="21" t="e">
        <f>SUM(C97:C98)</f>
        <v>#REF!</v>
      </c>
      <c r="D102" s="21">
        <f>SUM(D97:D98)</f>
        <v>1582247151</v>
      </c>
      <c r="E102" s="291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20"/>
      <c r="N102" s="20"/>
      <c r="O102" s="51"/>
      <c r="P102" s="74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E102" s="84"/>
    </row>
    <row r="103" spans="1:31">
      <c r="A103" s="1" t="s">
        <v>353</v>
      </c>
      <c r="B103" s="292"/>
      <c r="C103" s="302" t="e">
        <f>#REF!</f>
        <v>#REF!</v>
      </c>
      <c r="D103" s="293">
        <v>0</v>
      </c>
      <c r="E103" s="294"/>
      <c r="F103" s="294"/>
      <c r="G103" s="295" t="e">
        <f>#REF!</f>
        <v>#REF!</v>
      </c>
      <c r="H103" s="293">
        <v>0</v>
      </c>
      <c r="I103" s="294"/>
      <c r="J103" s="294"/>
      <c r="K103" s="295" t="e">
        <f>G103</f>
        <v>#REF!</v>
      </c>
      <c r="M103" s="429"/>
      <c r="N103" s="429"/>
      <c r="O103" s="272"/>
      <c r="P103" s="74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E103" s="84"/>
    </row>
    <row r="104" spans="1:31" ht="16.5" thickBot="1">
      <c r="A104" s="1" t="s">
        <v>372</v>
      </c>
      <c r="B104" s="1"/>
      <c r="C104" s="296" t="e">
        <f>C102+C103</f>
        <v>#REF!</v>
      </c>
      <c r="D104" s="296">
        <f>SUM(D102:D103)</f>
        <v>1582247151</v>
      </c>
      <c r="E104" s="297"/>
      <c r="F104" s="297"/>
      <c r="G104" s="297" t="e">
        <f>G102+G103</f>
        <v>#REF!</v>
      </c>
      <c r="H104" s="303">
        <f>SUM(H102:H103)</f>
        <v>111265165</v>
      </c>
      <c r="I104" s="297"/>
      <c r="J104" s="297"/>
      <c r="K104" s="297" t="e">
        <f>K102+K103</f>
        <v>#REF!</v>
      </c>
      <c r="M104" s="396"/>
      <c r="N104" s="396"/>
      <c r="O104" s="455"/>
      <c r="P104" s="74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E104" s="84"/>
    </row>
    <row r="105" spans="1:31" ht="16.5" thickTop="1">
      <c r="A105" s="1"/>
      <c r="B105" s="298"/>
      <c r="C105" s="21"/>
      <c r="D105" s="21"/>
      <c r="E105" s="21"/>
      <c r="F105" s="21"/>
      <c r="I105" s="1" t="s">
        <v>31</v>
      </c>
      <c r="J105" s="1"/>
      <c r="K105" s="2" t="s">
        <v>31</v>
      </c>
      <c r="M105" s="20"/>
      <c r="N105" s="20"/>
      <c r="O105" s="74"/>
      <c r="P105" s="74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E105" s="84"/>
    </row>
    <row r="106" spans="1:31">
      <c r="A106" s="278" t="s">
        <v>374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M106" s="20"/>
      <c r="N106" s="20"/>
      <c r="O106" s="74"/>
      <c r="P106" s="74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E106" s="84"/>
    </row>
    <row r="107" spans="1:31">
      <c r="A107" s="1" t="s">
        <v>320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M107" s="20"/>
      <c r="N107" s="20"/>
      <c r="O107" s="74"/>
      <c r="P107" s="74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E107" s="84"/>
    </row>
    <row r="108" spans="1:31">
      <c r="A108" s="282"/>
      <c r="B108" s="1"/>
      <c r="C108" s="1"/>
      <c r="D108" s="1"/>
      <c r="E108" s="21"/>
      <c r="F108" s="21"/>
      <c r="G108" s="1"/>
      <c r="H108" s="1"/>
      <c r="I108" s="21"/>
      <c r="J108" s="1"/>
      <c r="K108" s="1"/>
      <c r="M108" s="20"/>
      <c r="N108" s="20"/>
      <c r="O108" s="74"/>
      <c r="P108" s="74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E108" s="84"/>
    </row>
    <row r="109" spans="1:31">
      <c r="A109" s="1" t="s">
        <v>360</v>
      </c>
      <c r="B109" s="1"/>
      <c r="C109" s="21">
        <f>36986</f>
        <v>36986</v>
      </c>
      <c r="D109" s="21">
        <v>28799</v>
      </c>
      <c r="E109" s="283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283">
        <f>$I$83</f>
        <v>6.75</v>
      </c>
      <c r="J109" s="1"/>
      <c r="K109" s="2">
        <f>ROUND(I109*$C109,0)</f>
        <v>249656</v>
      </c>
      <c r="M109" s="20"/>
      <c r="N109" s="20"/>
      <c r="O109" s="74"/>
      <c r="P109" s="74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E109" s="84"/>
    </row>
    <row r="110" spans="1:31">
      <c r="A110" s="1" t="s">
        <v>363</v>
      </c>
      <c r="B110" s="1"/>
      <c r="C110" s="21">
        <f>21464809</f>
        <v>21464809</v>
      </c>
      <c r="D110" s="21">
        <v>16847282.170853201</v>
      </c>
      <c r="E110" s="284">
        <f>$E$84</f>
        <v>4.9139999999999997</v>
      </c>
      <c r="F110" s="1" t="s">
        <v>364</v>
      </c>
      <c r="G110" s="2">
        <f>ROUND(E110*$C110/100,0)</f>
        <v>1054781</v>
      </c>
      <c r="H110" s="2">
        <f>ROUND(E110*$D110/100,0)</f>
        <v>827875</v>
      </c>
      <c r="I110" s="284">
        <f>$I$84</f>
        <v>5.4039999999999999</v>
      </c>
      <c r="J110" s="1" t="s">
        <v>364</v>
      </c>
      <c r="K110" s="2">
        <f>ROUND(I110*$C110/100,0)</f>
        <v>1159958</v>
      </c>
      <c r="M110" s="20"/>
      <c r="N110" s="20"/>
      <c r="O110" s="74"/>
      <c r="P110" s="74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E110" s="84"/>
    </row>
    <row r="111" spans="1:31">
      <c r="A111" s="1" t="s">
        <v>365</v>
      </c>
      <c r="B111" s="1"/>
      <c r="C111" s="21">
        <f>55153831-C110</f>
        <v>33689022</v>
      </c>
      <c r="D111" s="21">
        <v>26441812.722120248</v>
      </c>
      <c r="E111" s="284">
        <f>$E$85</f>
        <v>7.7510000000000003</v>
      </c>
      <c r="F111" s="1" t="s">
        <v>364</v>
      </c>
      <c r="G111" s="2">
        <f>ROUND(E111*$C111/100,0)</f>
        <v>2611236</v>
      </c>
      <c r="H111" s="2">
        <f>ROUND(E111*$D111/100,0)</f>
        <v>2049505</v>
      </c>
      <c r="I111" s="284">
        <f>$I$85</f>
        <v>8.520999999999999</v>
      </c>
      <c r="J111" s="1" t="s">
        <v>364</v>
      </c>
      <c r="K111" s="2">
        <f>ROUND(I111*$C111/100,0)</f>
        <v>2870642</v>
      </c>
      <c r="M111" s="20"/>
      <c r="N111" s="20"/>
      <c r="O111" s="74"/>
      <c r="P111" s="74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E111" s="84"/>
    </row>
    <row r="112" spans="1:31">
      <c r="A112" s="1" t="s">
        <v>367</v>
      </c>
      <c r="B112" s="1"/>
      <c r="C112" s="21">
        <v>0</v>
      </c>
      <c r="D112" s="21">
        <v>0</v>
      </c>
      <c r="E112" s="286">
        <f>$E$86</f>
        <v>1.55</v>
      </c>
      <c r="F112" s="1"/>
      <c r="G112" s="2">
        <f>ROUND(E112*$C112,0)</f>
        <v>0</v>
      </c>
      <c r="H112" s="2">
        <v>0</v>
      </c>
      <c r="I112" s="286">
        <f>$I$86</f>
        <v>1.65</v>
      </c>
      <c r="J112" s="1"/>
      <c r="K112" s="2">
        <f>ROUND(I112*$C112,0)</f>
        <v>0</v>
      </c>
      <c r="M112" s="20"/>
      <c r="N112" s="20"/>
      <c r="O112" s="74"/>
      <c r="P112" s="74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E112" s="84"/>
    </row>
    <row r="113" spans="1:31">
      <c r="A113" s="288" t="s">
        <v>369</v>
      </c>
      <c r="B113" s="288"/>
      <c r="C113" s="21">
        <v>0</v>
      </c>
      <c r="D113" s="21">
        <v>0</v>
      </c>
      <c r="E113" s="286">
        <f>$E$87</f>
        <v>3</v>
      </c>
      <c r="F113" s="288"/>
      <c r="G113" s="2">
        <f>ROUND(E113*$C113,0)</f>
        <v>0</v>
      </c>
      <c r="H113" s="2">
        <v>0</v>
      </c>
      <c r="I113" s="286">
        <f>$I$87</f>
        <v>3.1999999999999997</v>
      </c>
      <c r="J113" s="288"/>
      <c r="K113" s="2">
        <f>ROUND(I113*$C113,0)</f>
        <v>0</v>
      </c>
      <c r="M113" s="20"/>
      <c r="N113" s="20"/>
      <c r="O113" s="74"/>
      <c r="P113" s="74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E113" s="84"/>
    </row>
    <row r="114" spans="1:31">
      <c r="A114" s="288" t="s">
        <v>370</v>
      </c>
      <c r="B114" s="288"/>
      <c r="C114" s="21">
        <v>0</v>
      </c>
      <c r="D114" s="21">
        <v>0</v>
      </c>
      <c r="E114" s="289">
        <f>-E112</f>
        <v>-1.55</v>
      </c>
      <c r="F114" s="288"/>
      <c r="G114" s="2">
        <f>ROUND(E114*$C114,0)</f>
        <v>0</v>
      </c>
      <c r="H114" s="2">
        <v>0</v>
      </c>
      <c r="I114" s="289">
        <f>-I112</f>
        <v>-1.65</v>
      </c>
      <c r="J114" s="288"/>
      <c r="K114" s="2">
        <f>ROUND(I114*$C114,0)</f>
        <v>0</v>
      </c>
      <c r="M114" s="20"/>
      <c r="N114" s="20"/>
      <c r="O114" s="74"/>
      <c r="P114" s="74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E114" s="84"/>
    </row>
    <row r="115" spans="1:31">
      <c r="A115" s="1" t="s">
        <v>371</v>
      </c>
      <c r="B115" s="1"/>
      <c r="C115" s="21">
        <f>SUM(C110:C111)</f>
        <v>55153831</v>
      </c>
      <c r="D115" s="21">
        <v>43289094.892973453</v>
      </c>
      <c r="E115" s="291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20"/>
      <c r="N115" s="20"/>
      <c r="O115" s="74"/>
      <c r="P115" s="74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E115" s="84"/>
    </row>
    <row r="116" spans="1:31">
      <c r="A116" s="1" t="s">
        <v>353</v>
      </c>
      <c r="B116" s="1"/>
      <c r="C116" s="302" t="e">
        <f>#REF!</f>
        <v>#REF!</v>
      </c>
      <c r="D116" s="293">
        <v>0</v>
      </c>
      <c r="E116" s="294"/>
      <c r="F116" s="294"/>
      <c r="G116" s="295" t="e">
        <f>#REF!</f>
        <v>#REF!</v>
      </c>
      <c r="H116" s="293">
        <v>0</v>
      </c>
      <c r="I116" s="294"/>
      <c r="J116" s="294"/>
      <c r="K116" s="295" t="e">
        <f>G116</f>
        <v>#REF!</v>
      </c>
      <c r="M116" s="429"/>
      <c r="N116" s="429"/>
      <c r="O116" s="272"/>
      <c r="P116" s="74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E116" s="84"/>
    </row>
    <row r="117" spans="1:31" ht="16.5" thickBot="1">
      <c r="A117" s="1" t="s">
        <v>372</v>
      </c>
      <c r="B117" s="1"/>
      <c r="C117" s="296" t="e">
        <f>C115+C116</f>
        <v>#REF!</v>
      </c>
      <c r="D117" s="296">
        <f>SUM(D115:D116)</f>
        <v>43289094.892973453</v>
      </c>
      <c r="E117" s="297"/>
      <c r="F117" s="297"/>
      <c r="G117" s="297" t="e">
        <f>G115+G116</f>
        <v>#REF!</v>
      </c>
      <c r="H117" s="303">
        <f>SUM(H115:H116)</f>
        <v>3050174</v>
      </c>
      <c r="I117" s="297"/>
      <c r="J117" s="297"/>
      <c r="K117" s="297" t="e">
        <f>K115+K116</f>
        <v>#REF!</v>
      </c>
      <c r="M117" s="396"/>
      <c r="N117" s="396"/>
      <c r="O117" s="455"/>
      <c r="P117" s="74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E117" s="84"/>
    </row>
    <row r="118" spans="1:31" ht="16.5" thickTop="1">
      <c r="A118" s="1"/>
      <c r="B118" s="298"/>
      <c r="C118" s="21"/>
      <c r="D118" s="21"/>
      <c r="E118" s="21"/>
      <c r="F118" s="21"/>
      <c r="I118" s="1" t="s">
        <v>31</v>
      </c>
      <c r="J118" s="1"/>
      <c r="K118" s="2" t="s">
        <v>31</v>
      </c>
      <c r="M118" s="20"/>
      <c r="N118" s="20"/>
      <c r="O118" s="74"/>
      <c r="P118" s="74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E118" s="84"/>
    </row>
    <row r="119" spans="1:31">
      <c r="A119" s="278" t="s">
        <v>375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M119" s="20"/>
      <c r="N119" s="20"/>
      <c r="O119" s="74"/>
      <c r="P119" s="74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E119" s="84"/>
    </row>
    <row r="120" spans="1:31">
      <c r="A120" s="1" t="s">
        <v>320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M120" s="20"/>
      <c r="N120" s="20"/>
      <c r="O120" s="74"/>
      <c r="P120" s="74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E120" s="84"/>
    </row>
    <row r="121" spans="1:31">
      <c r="A121" s="282"/>
      <c r="B121" s="1"/>
      <c r="C121" s="1"/>
      <c r="D121" s="1"/>
      <c r="E121" s="21"/>
      <c r="F121" s="21"/>
      <c r="G121" s="1"/>
      <c r="H121" s="1"/>
      <c r="I121" s="21"/>
      <c r="J121" s="1"/>
      <c r="K121" s="1"/>
      <c r="M121" s="20"/>
      <c r="N121" s="20"/>
      <c r="O121" s="74"/>
      <c r="P121" s="74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E121" s="84"/>
    </row>
    <row r="122" spans="1:31">
      <c r="A122" s="1" t="s">
        <v>360</v>
      </c>
      <c r="B122" s="1"/>
      <c r="C122" s="21">
        <v>1189</v>
      </c>
      <c r="D122" s="21">
        <v>1155</v>
      </c>
      <c r="E122" s="283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283">
        <f>$I$83</f>
        <v>6.75</v>
      </c>
      <c r="J122" s="1"/>
      <c r="K122" s="2">
        <f>ROUND(I122*$C122,0)</f>
        <v>8026</v>
      </c>
      <c r="M122" s="20"/>
      <c r="N122" s="20"/>
      <c r="O122" s="74"/>
      <c r="P122" s="74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E122" s="84"/>
    </row>
    <row r="123" spans="1:31">
      <c r="A123" s="1" t="s">
        <v>363</v>
      </c>
      <c r="B123" s="1"/>
      <c r="C123" s="21" t="e">
        <f>651938+#REF!*1000</f>
        <v>#REF!</v>
      </c>
      <c r="D123" s="21">
        <v>640984.27568677999</v>
      </c>
      <c r="E123" s="284">
        <f>$E$84</f>
        <v>4.9139999999999997</v>
      </c>
      <c r="F123" s="1" t="s">
        <v>364</v>
      </c>
      <c r="G123" s="2" t="e">
        <f>ROUND(E123*$C123/100,0)</f>
        <v>#REF!</v>
      </c>
      <c r="H123" s="2">
        <f>ROUND(E123*$D123/100,0)</f>
        <v>31498</v>
      </c>
      <c r="I123" s="284">
        <f>$I$84</f>
        <v>5.4039999999999999</v>
      </c>
      <c r="J123" s="1" t="s">
        <v>364</v>
      </c>
      <c r="K123" s="2" t="e">
        <f>ROUND(I123*$C123/100,0)</f>
        <v>#REF!</v>
      </c>
      <c r="M123" s="20"/>
      <c r="N123" s="20"/>
      <c r="O123" s="74"/>
      <c r="P123" s="74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E123" s="84"/>
    </row>
    <row r="124" spans="1:31">
      <c r="A124" s="1" t="s">
        <v>365</v>
      </c>
      <c r="B124" s="1"/>
      <c r="C124" s="21" t="e">
        <f>2681515-C123+#REF!*1000+#REF!*1000</f>
        <v>#REF!</v>
      </c>
      <c r="D124" s="21">
        <v>2201637.146921176</v>
      </c>
      <c r="E124" s="284">
        <f>$E$85</f>
        <v>7.7510000000000003</v>
      </c>
      <c r="F124" s="1" t="s">
        <v>364</v>
      </c>
      <c r="G124" s="2" t="e">
        <f>ROUND(E124*$C124/100,0)</f>
        <v>#REF!</v>
      </c>
      <c r="H124" s="2">
        <f>ROUND(E124*$D124/100,0)</f>
        <v>170649</v>
      </c>
      <c r="I124" s="284">
        <f>$I$85</f>
        <v>8.520999999999999</v>
      </c>
      <c r="J124" s="1" t="s">
        <v>364</v>
      </c>
      <c r="K124" s="2" t="e">
        <f>ROUND(I124*$C124/100,0)</f>
        <v>#REF!</v>
      </c>
      <c r="M124" s="20"/>
      <c r="N124" s="20"/>
      <c r="O124" s="74"/>
      <c r="P124" s="74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E124" s="84"/>
    </row>
    <row r="125" spans="1:31">
      <c r="A125" s="1" t="s">
        <v>367</v>
      </c>
      <c r="B125" s="1"/>
      <c r="C125" s="21">
        <v>4907</v>
      </c>
      <c r="D125" s="21">
        <v>5762.7171576037508</v>
      </c>
      <c r="E125" s="286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286">
        <f>$I$86</f>
        <v>1.65</v>
      </c>
      <c r="J125" s="1"/>
      <c r="K125" s="2">
        <f>ROUND(I125*$C125,0)</f>
        <v>8097</v>
      </c>
      <c r="M125" s="20"/>
      <c r="N125" s="20"/>
      <c r="O125" s="74"/>
      <c r="P125" s="74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E125" s="84"/>
    </row>
    <row r="126" spans="1:31">
      <c r="A126" s="288" t="s">
        <v>369</v>
      </c>
      <c r="B126" s="288"/>
      <c r="C126" s="21">
        <v>822</v>
      </c>
      <c r="D126" s="21">
        <v>965.3461388934752</v>
      </c>
      <c r="E126" s="286">
        <f>$E$87</f>
        <v>3</v>
      </c>
      <c r="F126" s="288"/>
      <c r="G126" s="2">
        <f>ROUND(E126*$C126,0)</f>
        <v>2466</v>
      </c>
      <c r="H126" s="2">
        <f>ROUND(E126*$D126,0)</f>
        <v>2896</v>
      </c>
      <c r="I126" s="286">
        <f>$I$87</f>
        <v>3.1999999999999997</v>
      </c>
      <c r="J126" s="288"/>
      <c r="K126" s="2">
        <f>ROUND(I126*$C126,0)</f>
        <v>2630</v>
      </c>
      <c r="M126" s="20"/>
      <c r="N126" s="20"/>
      <c r="O126" s="74"/>
      <c r="P126" s="74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E126" s="84"/>
    </row>
    <row r="127" spans="1:31">
      <c r="A127" s="288" t="s">
        <v>370</v>
      </c>
      <c r="B127" s="288"/>
      <c r="C127" s="21">
        <v>48</v>
      </c>
      <c r="D127" s="21">
        <v>56.370577453633587</v>
      </c>
      <c r="E127" s="289">
        <f>-E125</f>
        <v>-1.55</v>
      </c>
      <c r="F127" s="288"/>
      <c r="G127" s="2">
        <f>ROUND(E127*$C127,0)</f>
        <v>-74</v>
      </c>
      <c r="H127" s="2">
        <f>ROUND(E127*$D127,0)</f>
        <v>-87</v>
      </c>
      <c r="I127" s="289">
        <f>-I125</f>
        <v>-1.65</v>
      </c>
      <c r="J127" s="288"/>
      <c r="K127" s="2">
        <f>ROUND(I127*$C127,0)</f>
        <v>-79</v>
      </c>
      <c r="M127" s="20"/>
      <c r="N127" s="20"/>
      <c r="O127" s="74"/>
      <c r="P127" s="74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E127" s="84"/>
    </row>
    <row r="128" spans="1:31">
      <c r="A128" s="1" t="s">
        <v>371</v>
      </c>
      <c r="B128" s="290"/>
      <c r="C128" s="21" t="e">
        <f>SUM(C123:C124)</f>
        <v>#REF!</v>
      </c>
      <c r="D128" s="21">
        <v>2842621.4226079565</v>
      </c>
      <c r="E128" s="291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20"/>
      <c r="N128" s="20"/>
      <c r="O128" s="74"/>
      <c r="P128" s="74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E128" s="84"/>
    </row>
    <row r="129" spans="1:31">
      <c r="A129" s="1" t="s">
        <v>353</v>
      </c>
      <c r="B129" s="25"/>
      <c r="C129" s="302" t="e">
        <f>#REF!</f>
        <v>#REF!</v>
      </c>
      <c r="D129" s="293">
        <v>0</v>
      </c>
      <c r="E129" s="294"/>
      <c r="F129" s="294"/>
      <c r="G129" s="295" t="e">
        <f>#REF!</f>
        <v>#REF!</v>
      </c>
      <c r="H129" s="295">
        <v>0</v>
      </c>
      <c r="I129" s="294"/>
      <c r="J129" s="294"/>
      <c r="K129" s="295" t="e">
        <f>G129</f>
        <v>#REF!</v>
      </c>
      <c r="M129" s="429"/>
      <c r="N129" s="429"/>
      <c r="O129" s="272"/>
      <c r="P129" s="74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E129" s="84"/>
    </row>
    <row r="130" spans="1:31" ht="16.5" thickBot="1">
      <c r="A130" s="1" t="s">
        <v>372</v>
      </c>
      <c r="B130" s="1"/>
      <c r="C130" s="296" t="e">
        <f>C128+C129</f>
        <v>#REF!</v>
      </c>
      <c r="D130" s="296">
        <f>SUM(D128:D129)</f>
        <v>2842621.4226079565</v>
      </c>
      <c r="E130" s="297"/>
      <c r="F130" s="297"/>
      <c r="G130" s="297" t="e">
        <f>G128+G129</f>
        <v>#REF!</v>
      </c>
      <c r="H130" s="297">
        <f>H128+H129</f>
        <v>220818</v>
      </c>
      <c r="I130" s="297"/>
      <c r="J130" s="297"/>
      <c r="K130" s="297" t="e">
        <f>K128+K129</f>
        <v>#REF!</v>
      </c>
      <c r="M130" s="396"/>
      <c r="N130" s="396"/>
      <c r="O130" s="455"/>
      <c r="P130" s="74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E130" s="84"/>
    </row>
    <row r="131" spans="1:31" ht="16.5" thickTop="1">
      <c r="A131" s="1"/>
      <c r="B131" s="298"/>
      <c r="C131" s="21"/>
      <c r="D131" s="21"/>
      <c r="E131" s="21"/>
      <c r="F131" s="21"/>
      <c r="I131" s="1" t="s">
        <v>31</v>
      </c>
      <c r="J131" s="1"/>
      <c r="K131" s="2" t="s">
        <v>31</v>
      </c>
      <c r="M131" s="20"/>
      <c r="N131" s="20"/>
      <c r="O131" s="74"/>
      <c r="P131" s="74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E131" s="84"/>
    </row>
    <row r="132" spans="1:31">
      <c r="A132" s="278" t="s">
        <v>376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M132" s="20"/>
      <c r="N132" s="20"/>
      <c r="O132" s="74"/>
      <c r="P132" s="74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E132" s="84"/>
    </row>
    <row r="133" spans="1:31">
      <c r="A133" s="1" t="s">
        <v>320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M133" s="20"/>
      <c r="N133" s="20"/>
      <c r="O133" s="74"/>
      <c r="P133" s="74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E133" s="84"/>
    </row>
    <row r="134" spans="1:31">
      <c r="A134" s="282"/>
      <c r="B134" s="1"/>
      <c r="C134" s="1"/>
      <c r="D134" s="1"/>
      <c r="E134" s="21"/>
      <c r="F134" s="21"/>
      <c r="G134" s="1"/>
      <c r="H134" s="1"/>
      <c r="I134" s="21"/>
      <c r="J134" s="1"/>
      <c r="K134" s="1"/>
      <c r="M134" s="20"/>
      <c r="N134" s="20"/>
      <c r="O134" s="74"/>
      <c r="P134" s="74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E134" s="84"/>
    </row>
    <row r="135" spans="1:31">
      <c r="A135" s="1" t="s">
        <v>360</v>
      </c>
      <c r="B135" s="1"/>
      <c r="C135" s="21">
        <v>302</v>
      </c>
      <c r="D135" s="21">
        <v>315</v>
      </c>
      <c r="E135" s="283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283">
        <f>$I$83</f>
        <v>6.75</v>
      </c>
      <c r="J135" s="1"/>
      <c r="K135" s="2">
        <f>ROUND(I135*$C135,0)</f>
        <v>2039</v>
      </c>
      <c r="M135" s="20"/>
      <c r="N135" s="20"/>
      <c r="O135" s="74"/>
      <c r="P135" s="74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E135" s="84"/>
    </row>
    <row r="136" spans="1:31">
      <c r="A136" s="1" t="s">
        <v>363</v>
      </c>
      <c r="B136" s="1"/>
      <c r="C136" s="21">
        <v>176584</v>
      </c>
      <c r="D136" s="21">
        <v>210143.84162810302</v>
      </c>
      <c r="E136" s="284">
        <f>$E$84</f>
        <v>4.9139999999999997</v>
      </c>
      <c r="F136" s="1" t="s">
        <v>364</v>
      </c>
      <c r="G136" s="2">
        <f>ROUND(E136*$C136/100,0)</f>
        <v>8677</v>
      </c>
      <c r="H136" s="2">
        <f>ROUND(E136*$D136/100,0)</f>
        <v>10326</v>
      </c>
      <c r="I136" s="284">
        <f>$I$84</f>
        <v>5.4039999999999999</v>
      </c>
      <c r="J136" s="1" t="s">
        <v>364</v>
      </c>
      <c r="K136" s="2">
        <f>ROUND(I136*$C136/100,0)</f>
        <v>9543</v>
      </c>
      <c r="M136" s="20"/>
      <c r="N136" s="20"/>
      <c r="O136" s="74"/>
      <c r="P136" s="74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E136" s="84"/>
    </row>
    <row r="137" spans="1:31">
      <c r="A137" s="1" t="s">
        <v>365</v>
      </c>
      <c r="B137" s="1"/>
      <c r="C137" s="21">
        <f>637329-C136</f>
        <v>460745</v>
      </c>
      <c r="D137" s="21">
        <v>548309.72404600831</v>
      </c>
      <c r="E137" s="284">
        <f>$E$85</f>
        <v>7.7510000000000003</v>
      </c>
      <c r="F137" s="1" t="s">
        <v>364</v>
      </c>
      <c r="G137" s="2">
        <f>ROUND(E137*$C137/100,0)</f>
        <v>35712</v>
      </c>
      <c r="H137" s="2">
        <f>ROUND(E137*$D137/100,0)</f>
        <v>42499</v>
      </c>
      <c r="I137" s="284">
        <f>$I$85</f>
        <v>8.520999999999999</v>
      </c>
      <c r="J137" s="1" t="s">
        <v>364</v>
      </c>
      <c r="K137" s="2">
        <f>ROUND(I137*$C137/100,0)</f>
        <v>39260</v>
      </c>
      <c r="M137" s="20"/>
      <c r="N137" s="20"/>
      <c r="O137" s="74"/>
      <c r="P137" s="74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E137" s="84"/>
    </row>
    <row r="138" spans="1:31">
      <c r="A138" s="1" t="s">
        <v>367</v>
      </c>
      <c r="B138" s="1"/>
      <c r="C138" s="21">
        <v>1016</v>
      </c>
      <c r="D138" s="21">
        <v>1209.0911016522034</v>
      </c>
      <c r="E138" s="286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286">
        <f>$I$86</f>
        <v>1.65</v>
      </c>
      <c r="J138" s="1"/>
      <c r="K138" s="2">
        <f>ROUND(I138*$C138,0)</f>
        <v>1676</v>
      </c>
      <c r="M138" s="20"/>
      <c r="N138" s="20"/>
      <c r="O138" s="74"/>
      <c r="P138" s="74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E138" s="84"/>
    </row>
    <row r="139" spans="1:31">
      <c r="A139" s="288" t="s">
        <v>369</v>
      </c>
      <c r="B139" s="288"/>
      <c r="C139" s="21">
        <v>157</v>
      </c>
      <c r="D139" s="21">
        <v>186.83789661357866</v>
      </c>
      <c r="E139" s="286">
        <f>$E$87</f>
        <v>3</v>
      </c>
      <c r="F139" s="288"/>
      <c r="G139" s="2">
        <f>ROUND(E139*$C139,0)</f>
        <v>471</v>
      </c>
      <c r="H139" s="2">
        <f>ROUND(E139*$D139,0)</f>
        <v>561</v>
      </c>
      <c r="I139" s="286">
        <f>$I$87</f>
        <v>3.1999999999999997</v>
      </c>
      <c r="J139" s="288"/>
      <c r="K139" s="2">
        <f>ROUND(I139*$C139,0)</f>
        <v>502</v>
      </c>
      <c r="M139" s="20"/>
      <c r="N139" s="20"/>
      <c r="O139" s="74"/>
      <c r="P139" s="74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E139" s="84"/>
    </row>
    <row r="140" spans="1:31">
      <c r="A140" s="288" t="s">
        <v>370</v>
      </c>
      <c r="B140" s="288"/>
      <c r="C140" s="21">
        <v>22</v>
      </c>
      <c r="D140" s="21">
        <v>26.181106531839049</v>
      </c>
      <c r="E140" s="289">
        <f>-E138</f>
        <v>-1.55</v>
      </c>
      <c r="F140" s="288"/>
      <c r="G140" s="2">
        <f>ROUND(E140*$C140,0)</f>
        <v>-34</v>
      </c>
      <c r="H140" s="2">
        <f>ROUND(E140*$D140,0)</f>
        <v>-41</v>
      </c>
      <c r="I140" s="289">
        <f>-I138</f>
        <v>-1.65</v>
      </c>
      <c r="J140" s="288"/>
      <c r="K140" s="2">
        <f>ROUND(I140*$C140,0)</f>
        <v>-36</v>
      </c>
      <c r="M140" s="20"/>
      <c r="N140" s="20"/>
      <c r="O140" s="74"/>
      <c r="P140" s="74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E140" s="84"/>
    </row>
    <row r="141" spans="1:31">
      <c r="A141" s="1" t="s">
        <v>371</v>
      </c>
      <c r="B141" s="1"/>
      <c r="C141" s="21">
        <f>SUM(C136:C137)</f>
        <v>637329</v>
      </c>
      <c r="D141" s="21">
        <v>758453.56567411136</v>
      </c>
      <c r="E141" s="291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20"/>
      <c r="N141" s="20"/>
      <c r="O141" s="74"/>
      <c r="P141" s="74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E141" s="84"/>
    </row>
    <row r="142" spans="1:31">
      <c r="A142" s="1" t="s">
        <v>353</v>
      </c>
      <c r="B142" s="1"/>
      <c r="C142" s="302" t="e">
        <f>#REF!</f>
        <v>#REF!</v>
      </c>
      <c r="D142" s="293">
        <v>0</v>
      </c>
      <c r="E142" s="294"/>
      <c r="F142" s="294"/>
      <c r="G142" s="295" t="e">
        <f>#REF!</f>
        <v>#REF!</v>
      </c>
      <c r="H142" s="295">
        <v>0</v>
      </c>
      <c r="I142" s="294"/>
      <c r="J142" s="294"/>
      <c r="K142" s="295" t="e">
        <f>G142</f>
        <v>#REF!</v>
      </c>
      <c r="M142" s="429"/>
      <c r="N142" s="429"/>
      <c r="O142" s="272"/>
      <c r="P142" s="74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E142" s="84"/>
    </row>
    <row r="143" spans="1:31" ht="16.5" thickBot="1">
      <c r="A143" s="1" t="s">
        <v>372</v>
      </c>
      <c r="B143" s="1"/>
      <c r="C143" s="296" t="e">
        <f>C141+C142</f>
        <v>#REF!</v>
      </c>
      <c r="D143" s="296">
        <f>SUM(D141:D142)</f>
        <v>758453.56567411136</v>
      </c>
      <c r="E143" s="297"/>
      <c r="F143" s="297"/>
      <c r="G143" s="297" t="e">
        <f>G141+G142</f>
        <v>#REF!</v>
      </c>
      <c r="H143" s="297">
        <f>H141+H142</f>
        <v>57109</v>
      </c>
      <c r="I143" s="297"/>
      <c r="J143" s="297"/>
      <c r="K143" s="297" t="e">
        <f>K141+K142</f>
        <v>#REF!</v>
      </c>
      <c r="M143" s="396"/>
      <c r="N143" s="396"/>
      <c r="O143" s="455"/>
      <c r="P143" s="74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E143" s="84"/>
    </row>
    <row r="144" spans="1:31" ht="16.5" thickTop="1">
      <c r="A144" s="1"/>
      <c r="B144" s="298"/>
      <c r="C144" s="21"/>
      <c r="D144" s="21"/>
      <c r="E144" s="21"/>
      <c r="F144" s="21"/>
      <c r="I144" s="1" t="s">
        <v>31</v>
      </c>
      <c r="J144" s="1"/>
      <c r="K144" s="2" t="s">
        <v>31</v>
      </c>
      <c r="M144" s="20"/>
      <c r="N144" s="20"/>
      <c r="O144" s="74"/>
      <c r="P144" s="74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E144" s="84"/>
    </row>
    <row r="145" spans="1:31">
      <c r="A145" s="278" t="s">
        <v>377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M145" s="20"/>
      <c r="N145" s="20"/>
      <c r="O145" s="74"/>
      <c r="P145" s="74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E145" s="84"/>
    </row>
    <row r="146" spans="1:31">
      <c r="A146" s="1" t="s">
        <v>378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20"/>
      <c r="N146" s="20"/>
      <c r="O146" s="74"/>
      <c r="P146" s="74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20"/>
      <c r="N147" s="20"/>
      <c r="P147" s="74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E147" s="84"/>
    </row>
    <row r="148" spans="1:31">
      <c r="A148" s="1" t="s">
        <v>379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20"/>
      <c r="N148" s="20"/>
      <c r="O148" s="74"/>
      <c r="P148" s="74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E148" s="84"/>
    </row>
    <row r="149" spans="1:31">
      <c r="A149" s="1" t="s">
        <v>380</v>
      </c>
      <c r="B149" s="1"/>
      <c r="C149" s="21">
        <f>C384</f>
        <v>1</v>
      </c>
      <c r="D149" s="21">
        <f>D384</f>
        <v>1</v>
      </c>
      <c r="E149" s="283">
        <v>90.36</v>
      </c>
      <c r="F149" s="2"/>
      <c r="G149" s="2">
        <f t="shared" ref="G149:H151" si="8">G355</f>
        <v>90</v>
      </c>
      <c r="H149" s="2">
        <f t="shared" si="8"/>
        <v>90</v>
      </c>
      <c r="I149" s="283">
        <f>I153*12</f>
        <v>96</v>
      </c>
      <c r="J149" s="1"/>
      <c r="K149" s="2">
        <f>K355</f>
        <v>96</v>
      </c>
      <c r="M149" s="84">
        <f>I149*D149</f>
        <v>96</v>
      </c>
      <c r="O149" s="14">
        <f>(I149-E149)/E149</f>
        <v>6.2416998671978759E-2</v>
      </c>
      <c r="T149" s="3" t="s">
        <v>361</v>
      </c>
      <c r="U149" s="3" t="s">
        <v>296</v>
      </c>
      <c r="V149" s="3" t="s">
        <v>362</v>
      </c>
      <c r="W149" s="3" t="s">
        <v>305</v>
      </c>
      <c r="X149" s="20"/>
      <c r="Y149" s="20"/>
      <c r="Z149" s="20"/>
      <c r="AA149" s="20"/>
      <c r="AB149" s="20"/>
      <c r="AC149" s="20"/>
      <c r="AE149" s="84"/>
    </row>
    <row r="150" spans="1:31">
      <c r="A150" s="1" t="s">
        <v>381</v>
      </c>
      <c r="B150" s="1"/>
      <c r="C150" s="21">
        <f>C356</f>
        <v>107</v>
      </c>
      <c r="D150" s="21">
        <f>D356</f>
        <v>109.09090909090909</v>
      </c>
      <c r="E150" s="283">
        <v>134.16</v>
      </c>
      <c r="F150" s="2"/>
      <c r="G150" s="2">
        <f t="shared" si="8"/>
        <v>14355</v>
      </c>
      <c r="H150" s="2">
        <f t="shared" si="8"/>
        <v>14635</v>
      </c>
      <c r="I150" s="283">
        <f>I154*12</f>
        <v>142.53386454183266</v>
      </c>
      <c r="J150" s="1"/>
      <c r="K150" s="2">
        <f>K356</f>
        <v>15252</v>
      </c>
      <c r="M150" s="84">
        <f>I150*D150</f>
        <v>15549.148859109018</v>
      </c>
      <c r="N150" s="84"/>
      <c r="O150" s="14">
        <f>(I150-E150)/E150</f>
        <v>6.2416998671978682E-2</v>
      </c>
      <c r="S150" s="3" t="s">
        <v>20</v>
      </c>
      <c r="T150" s="84">
        <f>H149+H150+H153+H154</f>
        <v>1828725</v>
      </c>
      <c r="U150" s="84">
        <f>K149+K150+K153+K154</f>
        <v>1959163</v>
      </c>
      <c r="V150" s="106">
        <v>1916638.7857408486</v>
      </c>
      <c r="W150" s="222">
        <f>U150/V150</f>
        <v>1.0221868693128393</v>
      </c>
      <c r="X150" s="20"/>
      <c r="Y150" s="20"/>
      <c r="Z150" s="20"/>
      <c r="AA150" s="20"/>
      <c r="AB150" s="20"/>
      <c r="AC150" s="20"/>
      <c r="AE150" s="84"/>
    </row>
    <row r="151" spans="1:31">
      <c r="A151" s="1" t="s">
        <v>382</v>
      </c>
      <c r="B151" s="1"/>
      <c r="C151" s="21">
        <f>C357</f>
        <v>4321</v>
      </c>
      <c r="D151" s="21">
        <f>D357</f>
        <v>1974</v>
      </c>
      <c r="E151" s="283">
        <v>9.36</v>
      </c>
      <c r="F151" s="2"/>
      <c r="G151" s="2">
        <f t="shared" si="8"/>
        <v>40445</v>
      </c>
      <c r="H151" s="2">
        <f t="shared" si="8"/>
        <v>18476</v>
      </c>
      <c r="I151" s="283">
        <v>9.94</v>
      </c>
      <c r="J151" s="1"/>
      <c r="K151" s="2">
        <f>K357</f>
        <v>42951</v>
      </c>
      <c r="M151" s="84">
        <f>I151*D151</f>
        <v>19621.559999999998</v>
      </c>
      <c r="O151" s="14">
        <f>(I151-E151)/E151</f>
        <v>6.1965811965811975E-2</v>
      </c>
      <c r="R151" s="3" t="s">
        <v>31</v>
      </c>
      <c r="S151" s="3" t="s">
        <v>394</v>
      </c>
      <c r="T151" s="84" t="e">
        <f>H155</f>
        <v>#REF!</v>
      </c>
      <c r="U151" s="84">
        <f>K155</f>
        <v>1061210</v>
      </c>
      <c r="V151" s="106">
        <v>5367292.197431691</v>
      </c>
      <c r="W151" s="222">
        <f>U151/V151</f>
        <v>0.19771794807590329</v>
      </c>
      <c r="X151" s="20"/>
      <c r="Y151" s="20"/>
      <c r="Z151" s="20"/>
      <c r="AA151" s="20"/>
      <c r="AB151" s="20"/>
      <c r="AC151" s="20"/>
      <c r="AE151" s="84"/>
    </row>
    <row r="152" spans="1:31">
      <c r="A152" s="1" t="s">
        <v>383</v>
      </c>
      <c r="B152" s="1"/>
      <c r="C152" s="304"/>
      <c r="D152" s="304"/>
      <c r="E152" s="2"/>
      <c r="F152" s="2"/>
      <c r="G152" s="1"/>
      <c r="H152" s="1"/>
      <c r="I152" s="2"/>
      <c r="J152" s="1"/>
      <c r="K152" s="1"/>
      <c r="O152" s="305"/>
      <c r="S152" s="3" t="s">
        <v>366</v>
      </c>
      <c r="T152" s="84" t="e">
        <f>SUM(H159:H161)-Q159</f>
        <v>#REF!</v>
      </c>
      <c r="U152" s="84" t="e">
        <f>SUM(K159:K161)-R159</f>
        <v>#REF!</v>
      </c>
      <c r="V152" s="106">
        <v>26743743.576655678</v>
      </c>
      <c r="W152" s="222" t="e">
        <f>U152/V152</f>
        <v>#REF!</v>
      </c>
      <c r="X152" s="20"/>
      <c r="Y152" s="20"/>
      <c r="Z152" s="20"/>
      <c r="AA152" s="20"/>
      <c r="AB152" s="20"/>
      <c r="AC152" s="20"/>
      <c r="AE152" s="84"/>
    </row>
    <row r="153" spans="1:31">
      <c r="A153" s="1" t="s">
        <v>380</v>
      </c>
      <c r="B153" s="1"/>
      <c r="C153" s="304">
        <f t="shared" ref="C153:D155" si="9">C183+C267</f>
        <v>153375</v>
      </c>
      <c r="D153" s="304">
        <f t="shared" si="9"/>
        <v>152066</v>
      </c>
      <c r="E153" s="283">
        <v>7.53</v>
      </c>
      <c r="F153" s="306"/>
      <c r="G153" s="307">
        <f t="shared" ref="G153:H155" si="10">G183+G267</f>
        <v>1154913</v>
      </c>
      <c r="H153" s="307">
        <f t="shared" si="10"/>
        <v>1145056</v>
      </c>
      <c r="I153" s="283">
        <v>8</v>
      </c>
      <c r="J153" s="308"/>
      <c r="K153" s="307">
        <f>K183+K267</f>
        <v>1227000</v>
      </c>
      <c r="M153" s="84">
        <f>I153*D153</f>
        <v>1216528</v>
      </c>
      <c r="O153" s="14">
        <f>(I153-E153)/E153</f>
        <v>6.2416998671978717E-2</v>
      </c>
      <c r="S153" s="3" t="s">
        <v>396</v>
      </c>
      <c r="T153" s="84" t="e">
        <f>H158+Q159</f>
        <v>#REF!</v>
      </c>
      <c r="U153" s="84" t="e">
        <f>K158+R159</f>
        <v>#REF!</v>
      </c>
      <c r="V153" s="106">
        <v>4454867.4522770187</v>
      </c>
      <c r="W153" s="222" t="e">
        <f>U153/V153</f>
        <v>#REF!</v>
      </c>
      <c r="X153" s="20"/>
      <c r="Y153" s="20"/>
      <c r="Z153" s="20"/>
      <c r="AA153" s="20"/>
      <c r="AB153" s="20"/>
      <c r="AC153" s="20"/>
      <c r="AE153" s="84"/>
    </row>
    <row r="154" spans="1:31">
      <c r="A154" s="1" t="s">
        <v>381</v>
      </c>
      <c r="B154" s="1"/>
      <c r="C154" s="304">
        <f t="shared" si="9"/>
        <v>60349</v>
      </c>
      <c r="D154" s="304">
        <f t="shared" si="9"/>
        <v>59834</v>
      </c>
      <c r="E154" s="283">
        <v>11.18</v>
      </c>
      <c r="F154" s="309"/>
      <c r="G154" s="307">
        <f t="shared" si="10"/>
        <v>674702</v>
      </c>
      <c r="H154" s="307">
        <f t="shared" si="10"/>
        <v>668944</v>
      </c>
      <c r="I154" s="283">
        <f>I153/E153*E154</f>
        <v>11.877822045152721</v>
      </c>
      <c r="J154" s="310"/>
      <c r="K154" s="307">
        <f>K184+K268</f>
        <v>716815</v>
      </c>
      <c r="M154" s="84">
        <f>I154*D154</f>
        <v>710697.60424966784</v>
      </c>
      <c r="O154" s="14">
        <f>(I154-E154)/E154</f>
        <v>6.2416998671978627E-2</v>
      </c>
      <c r="Q154" s="84"/>
      <c r="V154" s="20"/>
      <c r="W154" s="20"/>
      <c r="X154" s="20"/>
      <c r="Y154" s="20"/>
      <c r="Z154" s="20"/>
      <c r="AA154" s="20"/>
      <c r="AB154" s="20"/>
      <c r="AC154" s="20"/>
      <c r="AE154" s="84"/>
    </row>
    <row r="155" spans="1:31">
      <c r="A155" s="1" t="s">
        <v>382</v>
      </c>
      <c r="B155" s="1"/>
      <c r="C155" s="304">
        <f t="shared" si="9"/>
        <v>1278566</v>
      </c>
      <c r="D155" s="304" t="e">
        <f t="shared" si="9"/>
        <v>#REF!</v>
      </c>
      <c r="E155" s="283">
        <v>0.78</v>
      </c>
      <c r="F155" s="309"/>
      <c r="G155" s="307">
        <f t="shared" si="10"/>
        <v>997281</v>
      </c>
      <c r="H155" s="307" t="e">
        <f t="shared" si="10"/>
        <v>#REF!</v>
      </c>
      <c r="I155" s="283">
        <v>0.83</v>
      </c>
      <c r="J155" s="310"/>
      <c r="K155" s="307">
        <f>K185+K269</f>
        <v>1061210</v>
      </c>
      <c r="M155" s="84" t="e">
        <f>I155*D155</f>
        <v>#REF!</v>
      </c>
      <c r="O155" s="14">
        <f>(I155-E155)/E155</f>
        <v>6.4102564102564014E-2</v>
      </c>
      <c r="R155" s="15"/>
      <c r="S155" s="15"/>
      <c r="V155" s="20"/>
      <c r="W155" s="20"/>
      <c r="X155" s="20"/>
      <c r="Y155" s="20"/>
      <c r="Z155" s="20"/>
      <c r="AA155" s="20"/>
      <c r="AB155" s="20"/>
      <c r="AC155" s="20"/>
      <c r="AE155" s="84"/>
    </row>
    <row r="156" spans="1:31">
      <c r="A156" s="1" t="s">
        <v>384</v>
      </c>
      <c r="B156" s="1"/>
      <c r="C156" s="304">
        <f>SUM(C153:C154)</f>
        <v>213724</v>
      </c>
      <c r="D156" s="304">
        <f>SUM(D153:D154)</f>
        <v>211900</v>
      </c>
      <c r="E156" s="283"/>
      <c r="F156" s="306"/>
      <c r="G156" s="307"/>
      <c r="H156" s="307"/>
      <c r="I156" s="283"/>
      <c r="J156" s="308"/>
      <c r="K156" s="307"/>
      <c r="O156" s="305"/>
      <c r="V156" s="20"/>
      <c r="W156" s="20"/>
      <c r="X156" s="20"/>
      <c r="Y156" s="20"/>
      <c r="Z156" s="20"/>
      <c r="AA156" s="20"/>
      <c r="AB156" s="20"/>
      <c r="AC156" s="20"/>
      <c r="AE156" s="84"/>
    </row>
    <row r="157" spans="1:31">
      <c r="A157" s="1" t="s">
        <v>352</v>
      </c>
      <c r="B157" s="1"/>
      <c r="C157" s="304">
        <f t="shared" ref="C157:C162" si="11">C186+C271+C359</f>
        <v>211679</v>
      </c>
      <c r="D157" s="304">
        <f>D186+D271+D358</f>
        <v>208713.84090909091</v>
      </c>
      <c r="E157" s="283"/>
      <c r="F157" s="306"/>
      <c r="G157" s="307"/>
      <c r="H157" s="307"/>
      <c r="I157" s="283"/>
      <c r="J157" s="308"/>
      <c r="K157" s="307"/>
      <c r="O157" s="305"/>
      <c r="V157" s="20"/>
      <c r="W157" s="20"/>
      <c r="X157" s="20"/>
      <c r="Y157" s="20"/>
      <c r="Z157" s="20"/>
      <c r="AA157" s="20"/>
      <c r="AB157" s="20"/>
      <c r="AC157" s="20"/>
      <c r="AE157" s="84"/>
    </row>
    <row r="158" spans="1:31">
      <c r="A158" s="1" t="s">
        <v>385</v>
      </c>
      <c r="B158" s="1"/>
      <c r="C158" s="304">
        <f t="shared" si="11"/>
        <v>834211</v>
      </c>
      <c r="D158" s="304" t="e">
        <f>D187+D272+D360</f>
        <v>#REF!</v>
      </c>
      <c r="E158" s="283">
        <v>2.88</v>
      </c>
      <c r="F158" s="308"/>
      <c r="G158" s="307">
        <f t="shared" ref="G158:H162" si="12">G187+G272+G360</f>
        <v>2402528</v>
      </c>
      <c r="H158" s="307" t="e">
        <f t="shared" si="12"/>
        <v>#REF!</v>
      </c>
      <c r="I158" s="283">
        <v>2.97</v>
      </c>
      <c r="J158" s="308"/>
      <c r="K158" s="307">
        <f>K187+K272+K360</f>
        <v>2477606</v>
      </c>
      <c r="M158" s="84" t="e">
        <f>I158*D158</f>
        <v>#REF!</v>
      </c>
      <c r="O158" s="14">
        <f>(I158-E158)/E158</f>
        <v>3.1250000000000104E-2</v>
      </c>
      <c r="Q158" s="3" t="s">
        <v>386</v>
      </c>
      <c r="V158" s="20"/>
      <c r="W158" s="20"/>
      <c r="X158" s="20"/>
      <c r="Y158" s="20"/>
      <c r="Z158" s="20"/>
      <c r="AA158" s="20"/>
      <c r="AB158" s="20"/>
      <c r="AC158" s="20"/>
      <c r="AE158" s="84"/>
    </row>
    <row r="159" spans="1:31">
      <c r="A159" s="1" t="s">
        <v>387</v>
      </c>
      <c r="B159" s="1"/>
      <c r="C159" s="304" t="e">
        <f t="shared" si="11"/>
        <v>#REF!</v>
      </c>
      <c r="D159" s="304" t="e">
        <f>D188+D273+D361</f>
        <v>#REF!</v>
      </c>
      <c r="E159" s="284">
        <v>8.0890000000000004</v>
      </c>
      <c r="F159" s="308" t="s">
        <v>364</v>
      </c>
      <c r="G159" s="307" t="e">
        <f t="shared" si="12"/>
        <v>#REF!</v>
      </c>
      <c r="H159" s="307" t="e">
        <f t="shared" si="12"/>
        <v>#REF!</v>
      </c>
      <c r="I159" s="284">
        <v>8.8109999999999999</v>
      </c>
      <c r="J159" s="308" t="s">
        <v>364</v>
      </c>
      <c r="K159" s="307" t="e">
        <f>K188+K273+K361</f>
        <v>#REF!</v>
      </c>
      <c r="M159" s="84" t="e">
        <f>(I159/100)*D159</f>
        <v>#REF!</v>
      </c>
      <c r="O159" s="14">
        <f>(I159-E159)/E159</f>
        <v>8.9257015700333731E-2</v>
      </c>
      <c r="Q159" s="221" t="e">
        <f>H159+H160-(D159+D160)*E161/100</f>
        <v>#REF!</v>
      </c>
      <c r="R159" s="221" t="e">
        <f>K159+K160-(D159+D160)*I161/100</f>
        <v>#REF!</v>
      </c>
      <c r="V159" s="20"/>
      <c r="W159" s="20"/>
      <c r="X159" s="20"/>
      <c r="Y159" s="20"/>
      <c r="Z159" s="20"/>
      <c r="AA159" s="20"/>
      <c r="AB159" s="20"/>
      <c r="AC159" s="20"/>
      <c r="AE159" s="84"/>
    </row>
    <row r="160" spans="1:31">
      <c r="A160" s="1" t="s">
        <v>388</v>
      </c>
      <c r="B160" s="1"/>
      <c r="C160" s="304" t="e">
        <f t="shared" si="11"/>
        <v>#REF!</v>
      </c>
      <c r="D160" s="304" t="e">
        <f>D189+D274+D362</f>
        <v>#REF!</v>
      </c>
      <c r="E160" s="284">
        <v>5.5839999999999996</v>
      </c>
      <c r="F160" s="308" t="s">
        <v>364</v>
      </c>
      <c r="G160" s="307" t="e">
        <f t="shared" si="12"/>
        <v>#REF!</v>
      </c>
      <c r="H160" s="307" t="e">
        <f t="shared" si="12"/>
        <v>#REF!</v>
      </c>
      <c r="I160" s="284">
        <f>ROUND(I159/E159*E160,3)</f>
        <v>6.0819999999999999</v>
      </c>
      <c r="J160" s="308" t="s">
        <v>364</v>
      </c>
      <c r="K160" s="307" t="e">
        <f>K189+K274+K362</f>
        <v>#REF!</v>
      </c>
      <c r="M160" s="84" t="e">
        <f>(I160/100)*D160</f>
        <v>#REF!</v>
      </c>
      <c r="N160" s="314"/>
      <c r="O160" s="14">
        <f>(I160-E160)/E160</f>
        <v>8.9183381088825259E-2</v>
      </c>
      <c r="V160" s="20"/>
      <c r="W160" s="20"/>
      <c r="X160" s="20"/>
      <c r="Y160" s="20"/>
      <c r="Z160" s="20"/>
      <c r="AA160" s="20"/>
      <c r="AB160" s="20"/>
      <c r="AC160" s="20"/>
      <c r="AE160" s="84"/>
    </row>
    <row r="161" spans="1:31">
      <c r="A161" s="1" t="s">
        <v>389</v>
      </c>
      <c r="B161" s="1"/>
      <c r="C161" s="304" t="e">
        <f t="shared" si="11"/>
        <v>#REF!</v>
      </c>
      <c r="D161" s="304" t="e">
        <f>D190+D275+D363</f>
        <v>#REF!</v>
      </c>
      <c r="E161" s="284">
        <v>4.8099999999999996</v>
      </c>
      <c r="F161" s="308" t="s">
        <v>364</v>
      </c>
      <c r="G161" s="307" t="e">
        <f t="shared" si="12"/>
        <v>#REF!</v>
      </c>
      <c r="H161" s="307" t="e">
        <f t="shared" si="12"/>
        <v>#REF!</v>
      </c>
      <c r="I161" s="284">
        <f>ROUND(I159/E159*E161,3)+0.001</f>
        <v>5.24</v>
      </c>
      <c r="J161" s="308" t="s">
        <v>364</v>
      </c>
      <c r="K161" s="307" t="e">
        <f>K190+K275+K363</f>
        <v>#REF!</v>
      </c>
      <c r="M161" s="84" t="e">
        <f>(I161/100)*D161</f>
        <v>#REF!</v>
      </c>
      <c r="N161" s="285"/>
      <c r="O161" s="14">
        <f>(I161-E161)/E161</f>
        <v>8.9397089397089527E-2</v>
      </c>
      <c r="Q161" s="84" t="e">
        <f>K159+K160+K161-R159</f>
        <v>#REF!</v>
      </c>
      <c r="V161" s="20"/>
      <c r="W161" s="20"/>
      <c r="X161" s="20"/>
      <c r="Y161" s="20"/>
      <c r="Z161" s="20"/>
      <c r="AA161" s="20"/>
      <c r="AB161" s="20"/>
      <c r="AC161" s="20"/>
      <c r="AE161" s="84"/>
    </row>
    <row r="162" spans="1:31">
      <c r="A162" s="1" t="s">
        <v>390</v>
      </c>
      <c r="B162" s="1"/>
      <c r="C162" s="304">
        <f t="shared" si="11"/>
        <v>93898</v>
      </c>
      <c r="D162" s="304" t="e">
        <f>D191+D276+D364</f>
        <v>#REF!</v>
      </c>
      <c r="E162" s="315">
        <v>45</v>
      </c>
      <c r="F162" s="306" t="s">
        <v>364</v>
      </c>
      <c r="G162" s="307">
        <f t="shared" si="12"/>
        <v>42254</v>
      </c>
      <c r="H162" s="307" t="e">
        <f t="shared" si="12"/>
        <v>#REF!</v>
      </c>
      <c r="I162" s="315">
        <v>50</v>
      </c>
      <c r="J162" s="308" t="s">
        <v>364</v>
      </c>
      <c r="K162" s="307">
        <f>K191+K276+K364</f>
        <v>46950</v>
      </c>
      <c r="M162" s="84" t="e">
        <f>(I162/100)*D162</f>
        <v>#REF!</v>
      </c>
      <c r="O162" s="14">
        <f>(I162-E162)/E162</f>
        <v>0.1111111111111111</v>
      </c>
      <c r="V162" s="20"/>
      <c r="W162" s="20"/>
      <c r="X162" s="20"/>
      <c r="Y162" s="20"/>
      <c r="Z162" s="20"/>
      <c r="AA162" s="20"/>
      <c r="AB162" s="20"/>
      <c r="AC162" s="20"/>
      <c r="AE162" s="84"/>
    </row>
    <row r="163" spans="1:31">
      <c r="A163" s="316" t="s">
        <v>391</v>
      </c>
      <c r="B163" s="1"/>
      <c r="C163" s="304"/>
      <c r="D163" s="304"/>
      <c r="E163" s="317">
        <v>-0.01</v>
      </c>
      <c r="F163" s="306"/>
      <c r="G163" s="307"/>
      <c r="H163" s="307"/>
      <c r="I163" s="317">
        <v>-0.01</v>
      </c>
      <c r="J163" s="308"/>
      <c r="K163" s="307"/>
      <c r="O163" s="318"/>
      <c r="V163" s="20"/>
      <c r="W163" s="20"/>
      <c r="X163" s="20"/>
      <c r="Y163" s="20"/>
      <c r="Z163" s="20"/>
      <c r="AA163" s="20"/>
      <c r="AB163" s="20"/>
      <c r="AC163" s="20"/>
      <c r="AE163" s="84"/>
    </row>
    <row r="164" spans="1:31">
      <c r="A164" s="1" t="s">
        <v>380</v>
      </c>
      <c r="B164" s="1"/>
      <c r="C164" s="304">
        <f t="shared" ref="C164:D175" si="13">C193+C278+C366</f>
        <v>48</v>
      </c>
      <c r="D164" s="304">
        <f t="shared" si="13"/>
        <v>48</v>
      </c>
      <c r="E164" s="319">
        <f>E153</f>
        <v>7.53</v>
      </c>
      <c r="F164" s="306"/>
      <c r="G164" s="307">
        <f t="shared" ref="G164:H175" si="14">G193+G278+G366</f>
        <v>-4</v>
      </c>
      <c r="H164" s="307">
        <f t="shared" si="14"/>
        <v>-4</v>
      </c>
      <c r="I164" s="319">
        <f>I153</f>
        <v>8</v>
      </c>
      <c r="J164" s="306"/>
      <c r="K164" s="307">
        <f t="shared" ref="K164:K174" si="15">K193+K278+K366</f>
        <v>-4</v>
      </c>
      <c r="M164" s="84">
        <f>-(I164/100)*D164</f>
        <v>-3.84</v>
      </c>
      <c r="V164" s="20"/>
      <c r="W164" s="20"/>
      <c r="X164" s="20"/>
      <c r="Y164" s="20"/>
      <c r="Z164" s="20"/>
      <c r="AA164" s="20"/>
      <c r="AB164" s="20"/>
      <c r="AC164" s="20"/>
      <c r="AE164" s="84"/>
    </row>
    <row r="165" spans="1:31">
      <c r="A165" s="1" t="s">
        <v>381</v>
      </c>
      <c r="B165" s="1"/>
      <c r="C165" s="304">
        <f t="shared" si="13"/>
        <v>93</v>
      </c>
      <c r="D165" s="304">
        <f t="shared" si="13"/>
        <v>92</v>
      </c>
      <c r="E165" s="319">
        <f>E154</f>
        <v>11.18</v>
      </c>
      <c r="F165" s="306"/>
      <c r="G165" s="307">
        <f t="shared" si="14"/>
        <v>-10</v>
      </c>
      <c r="H165" s="307">
        <f t="shared" si="14"/>
        <v>-10</v>
      </c>
      <c r="I165" s="319">
        <f>I154</f>
        <v>11.877822045152721</v>
      </c>
      <c r="J165" s="306"/>
      <c r="K165" s="307">
        <f t="shared" si="15"/>
        <v>-11</v>
      </c>
      <c r="M165" s="84">
        <f>-(I165/100)*D165</f>
        <v>-10.927596281540502</v>
      </c>
      <c r="X165" s="20"/>
      <c r="Y165" s="20"/>
      <c r="Z165" s="20"/>
      <c r="AA165" s="20"/>
      <c r="AB165" s="20"/>
      <c r="AC165" s="20"/>
      <c r="AE165" s="84"/>
    </row>
    <row r="166" spans="1:31">
      <c r="A166" s="1" t="s">
        <v>392</v>
      </c>
      <c r="B166" s="1"/>
      <c r="C166" s="304">
        <f t="shared" si="13"/>
        <v>3543</v>
      </c>
      <c r="D166" s="304" t="e">
        <f t="shared" si="13"/>
        <v>#REF!</v>
      </c>
      <c r="E166" s="319">
        <f>E155</f>
        <v>0.78</v>
      </c>
      <c r="F166" s="306"/>
      <c r="G166" s="307">
        <f t="shared" si="14"/>
        <v>-28</v>
      </c>
      <c r="H166" s="307" t="e">
        <f t="shared" si="14"/>
        <v>#REF!</v>
      </c>
      <c r="I166" s="319">
        <f>I155</f>
        <v>0.83</v>
      </c>
      <c r="J166" s="306"/>
      <c r="K166" s="307">
        <f t="shared" si="15"/>
        <v>-29</v>
      </c>
      <c r="M166" s="84" t="e">
        <f>-(I166/100)*D166</f>
        <v>#REF!</v>
      </c>
      <c r="X166" s="20"/>
      <c r="Y166" s="20"/>
      <c r="Z166" s="20"/>
      <c r="AA166" s="20"/>
      <c r="AB166" s="20"/>
      <c r="AC166" s="20"/>
      <c r="AE166" s="84"/>
    </row>
    <row r="167" spans="1:31">
      <c r="A167" s="1" t="s">
        <v>393</v>
      </c>
      <c r="B167" s="1"/>
      <c r="C167" s="304">
        <f t="shared" si="13"/>
        <v>1576</v>
      </c>
      <c r="D167" s="304" t="e">
        <f t="shared" si="13"/>
        <v>#REF!</v>
      </c>
      <c r="E167" s="319">
        <f>E158</f>
        <v>2.88</v>
      </c>
      <c r="F167" s="308"/>
      <c r="G167" s="307">
        <f t="shared" si="14"/>
        <v>-45</v>
      </c>
      <c r="H167" s="307" t="e">
        <f t="shared" si="14"/>
        <v>#REF!</v>
      </c>
      <c r="I167" s="319">
        <f>I158</f>
        <v>2.97</v>
      </c>
      <c r="J167" s="308"/>
      <c r="K167" s="307">
        <f t="shared" si="15"/>
        <v>-47</v>
      </c>
      <c r="M167" s="84" t="e">
        <f>-(I167/100)*D167</f>
        <v>#REF!</v>
      </c>
      <c r="X167" s="20"/>
      <c r="Y167" s="20"/>
      <c r="Z167" s="20"/>
      <c r="AA167" s="20"/>
      <c r="AB167" s="20"/>
      <c r="AC167" s="20"/>
      <c r="AE167" s="84"/>
    </row>
    <row r="168" spans="1:31">
      <c r="A168" s="1" t="s">
        <v>395</v>
      </c>
      <c r="B168" s="1"/>
      <c r="C168" s="304">
        <f t="shared" si="13"/>
        <v>84935</v>
      </c>
      <c r="D168" s="304" t="e">
        <f t="shared" si="13"/>
        <v>#REF!</v>
      </c>
      <c r="E168" s="320">
        <f>E159</f>
        <v>8.0890000000000004</v>
      </c>
      <c r="F168" s="308" t="s">
        <v>364</v>
      </c>
      <c r="G168" s="307">
        <f t="shared" si="14"/>
        <v>-69</v>
      </c>
      <c r="H168" s="307" t="e">
        <f t="shared" si="14"/>
        <v>#REF!</v>
      </c>
      <c r="I168" s="320">
        <f>I159</f>
        <v>8.8109999999999999</v>
      </c>
      <c r="J168" s="308" t="s">
        <v>364</v>
      </c>
      <c r="K168" s="307">
        <f t="shared" si="15"/>
        <v>-75</v>
      </c>
      <c r="M168" s="84" t="e">
        <f>-((I168/100)*D168)/100</f>
        <v>#REF!</v>
      </c>
      <c r="X168" s="20"/>
      <c r="Y168" s="20"/>
      <c r="Z168" s="20"/>
      <c r="AA168" s="20"/>
      <c r="AB168" s="20"/>
      <c r="AC168" s="20"/>
      <c r="AE168" s="84"/>
    </row>
    <row r="169" spans="1:31">
      <c r="A169" s="1" t="s">
        <v>388</v>
      </c>
      <c r="B169" s="1"/>
      <c r="C169" s="304">
        <f t="shared" si="13"/>
        <v>270692</v>
      </c>
      <c r="D169" s="304" t="e">
        <f t="shared" si="13"/>
        <v>#REF!</v>
      </c>
      <c r="E169" s="320">
        <f>E160</f>
        <v>5.5839999999999996</v>
      </c>
      <c r="F169" s="308" t="s">
        <v>364</v>
      </c>
      <c r="G169" s="307">
        <f t="shared" si="14"/>
        <v>-151</v>
      </c>
      <c r="H169" s="307" t="e">
        <f t="shared" si="14"/>
        <v>#REF!</v>
      </c>
      <c r="I169" s="320">
        <f>I160</f>
        <v>6.0819999999999999</v>
      </c>
      <c r="J169" s="308" t="s">
        <v>364</v>
      </c>
      <c r="K169" s="307">
        <f t="shared" si="15"/>
        <v>-165</v>
      </c>
      <c r="M169" s="84" t="e">
        <f>-((I169/100)*D169)/100</f>
        <v>#REF!</v>
      </c>
      <c r="X169" s="20"/>
      <c r="Y169" s="20"/>
      <c r="Z169" s="20"/>
      <c r="AA169" s="20"/>
      <c r="AB169" s="20"/>
      <c r="AC169" s="20"/>
      <c r="AE169" s="84"/>
    </row>
    <row r="170" spans="1:31">
      <c r="A170" s="1" t="s">
        <v>389</v>
      </c>
      <c r="B170" s="1"/>
      <c r="C170" s="304">
        <f t="shared" si="13"/>
        <v>65960</v>
      </c>
      <c r="D170" s="304" t="e">
        <f t="shared" si="13"/>
        <v>#REF!</v>
      </c>
      <c r="E170" s="320">
        <f>E161</f>
        <v>4.8099999999999996</v>
      </c>
      <c r="F170" s="308" t="s">
        <v>364</v>
      </c>
      <c r="G170" s="307">
        <f t="shared" si="14"/>
        <v>-32</v>
      </c>
      <c r="H170" s="307" t="e">
        <f t="shared" si="14"/>
        <v>#REF!</v>
      </c>
      <c r="I170" s="320">
        <f>I161</f>
        <v>5.24</v>
      </c>
      <c r="J170" s="308" t="s">
        <v>364</v>
      </c>
      <c r="K170" s="307">
        <f t="shared" si="15"/>
        <v>-35</v>
      </c>
      <c r="M170" s="84" t="e">
        <f>-((I170/100)*D170)/100</f>
        <v>#REF!</v>
      </c>
      <c r="V170" s="20"/>
      <c r="W170" s="20"/>
      <c r="X170" s="20"/>
      <c r="Y170" s="20"/>
      <c r="Z170" s="20"/>
      <c r="AA170" s="20"/>
      <c r="AB170" s="20"/>
      <c r="AC170" s="20"/>
      <c r="AE170" s="84"/>
    </row>
    <row r="171" spans="1:31">
      <c r="A171" s="1" t="s">
        <v>390</v>
      </c>
      <c r="B171" s="1"/>
      <c r="C171" s="304">
        <f t="shared" si="13"/>
        <v>2996</v>
      </c>
      <c r="D171" s="304" t="e">
        <f t="shared" si="13"/>
        <v>#REF!</v>
      </c>
      <c r="E171" s="321">
        <f>E162</f>
        <v>45</v>
      </c>
      <c r="F171" s="308" t="s">
        <v>364</v>
      </c>
      <c r="G171" s="307">
        <f t="shared" si="14"/>
        <v>-13</v>
      </c>
      <c r="H171" s="307" t="e">
        <f t="shared" si="14"/>
        <v>#REF!</v>
      </c>
      <c r="I171" s="321">
        <f>I162</f>
        <v>50</v>
      </c>
      <c r="J171" s="308" t="s">
        <v>364</v>
      </c>
      <c r="K171" s="307">
        <f t="shared" si="15"/>
        <v>-15</v>
      </c>
      <c r="M171" s="84" t="e">
        <f>-((I171/100)*D171)/100</f>
        <v>#REF!</v>
      </c>
      <c r="V171" s="20"/>
      <c r="W171" s="20"/>
      <c r="X171" s="20"/>
      <c r="Y171" s="20"/>
      <c r="Z171" s="20"/>
      <c r="AA171" s="20"/>
      <c r="AB171" s="20"/>
      <c r="AC171" s="20"/>
      <c r="AE171" s="84"/>
    </row>
    <row r="172" spans="1:31">
      <c r="A172" s="1" t="s">
        <v>397</v>
      </c>
      <c r="B172" s="1"/>
      <c r="C172" s="304">
        <f t="shared" si="13"/>
        <v>108</v>
      </c>
      <c r="D172" s="304" t="e">
        <f t="shared" si="13"/>
        <v>#REF!</v>
      </c>
      <c r="E172" s="322">
        <f>'Blocking - detail'!E172</f>
        <v>60</v>
      </c>
      <c r="F172" s="306"/>
      <c r="G172" s="307">
        <f t="shared" si="14"/>
        <v>6480</v>
      </c>
      <c r="H172" s="307" t="e">
        <f t="shared" si="14"/>
        <v>#REF!</v>
      </c>
      <c r="I172" s="322">
        <f>'Blocking - detail'!$I$172</f>
        <v>60</v>
      </c>
      <c r="J172" s="308"/>
      <c r="K172" s="307">
        <f t="shared" si="15"/>
        <v>6480</v>
      </c>
      <c r="M172" s="84" t="e">
        <f>I172*D172</f>
        <v>#REF!</v>
      </c>
      <c r="V172" s="20"/>
      <c r="W172" s="20"/>
      <c r="X172" s="20"/>
      <c r="Y172" s="20"/>
      <c r="Z172" s="20"/>
      <c r="AA172" s="20"/>
      <c r="AB172" s="20"/>
      <c r="AC172" s="20"/>
      <c r="AE172" s="84"/>
    </row>
    <row r="173" spans="1:31">
      <c r="A173" s="1" t="s">
        <v>398</v>
      </c>
      <c r="B173" s="1"/>
      <c r="C173" s="304">
        <f t="shared" si="13"/>
        <v>3624</v>
      </c>
      <c r="D173" s="304" t="e">
        <f t="shared" si="13"/>
        <v>#REF!</v>
      </c>
      <c r="E173" s="324">
        <f>'Blocking - detail'!E173</f>
        <v>-30</v>
      </c>
      <c r="F173" s="306" t="s">
        <v>364</v>
      </c>
      <c r="G173" s="307">
        <f t="shared" si="14"/>
        <v>-1087</v>
      </c>
      <c r="H173" s="307" t="e">
        <f t="shared" si="14"/>
        <v>#REF!</v>
      </c>
      <c r="I173" s="324">
        <f>'Blocking - detail'!$I$173</f>
        <v>-30</v>
      </c>
      <c r="J173" s="308" t="s">
        <v>364</v>
      </c>
      <c r="K173" s="307">
        <f t="shared" si="15"/>
        <v>-1087</v>
      </c>
      <c r="M173" s="84" t="e">
        <f>(I173/100)*D173</f>
        <v>#REF!</v>
      </c>
      <c r="Q173" s="279"/>
      <c r="V173" s="20"/>
      <c r="W173" s="20"/>
      <c r="X173" s="20"/>
      <c r="Y173" s="20"/>
      <c r="Z173" s="20"/>
      <c r="AA173" s="20"/>
      <c r="AB173" s="20"/>
      <c r="AC173" s="20"/>
      <c r="AE173" s="84"/>
    </row>
    <row r="174" spans="1:31">
      <c r="A174" s="1" t="s">
        <v>371</v>
      </c>
      <c r="B174" s="249"/>
      <c r="C174" s="304" t="e">
        <f t="shared" si="13"/>
        <v>#REF!</v>
      </c>
      <c r="D174" s="304">
        <f t="shared" si="13"/>
        <v>529663208.81107259</v>
      </c>
      <c r="E174" s="315"/>
      <c r="F174" s="2"/>
      <c r="G174" s="307" t="e">
        <f t="shared" si="14"/>
        <v>#REF!</v>
      </c>
      <c r="H174" s="307" t="e">
        <f t="shared" si="14"/>
        <v>#REF!</v>
      </c>
      <c r="I174" s="315"/>
      <c r="J174" s="308"/>
      <c r="K174" s="307" t="e">
        <f t="shared" si="15"/>
        <v>#REF!</v>
      </c>
      <c r="M174" s="84" t="e">
        <f>SUM(M149:M173)</f>
        <v>#REF!</v>
      </c>
      <c r="V174" s="20"/>
      <c r="W174" s="20"/>
      <c r="X174" s="20"/>
      <c r="Y174" s="20"/>
      <c r="Z174" s="20"/>
      <c r="AA174" s="20"/>
      <c r="AB174" s="20"/>
      <c r="AC174" s="20"/>
      <c r="AE174" s="84"/>
    </row>
    <row r="175" spans="1:31">
      <c r="A175" s="1" t="s">
        <v>353</v>
      </c>
      <c r="B175" s="25"/>
      <c r="C175" s="325" t="e">
        <f t="shared" si="13"/>
        <v>#REF!</v>
      </c>
      <c r="D175" s="325">
        <f t="shared" si="13"/>
        <v>0</v>
      </c>
      <c r="E175" s="294"/>
      <c r="F175" s="294"/>
      <c r="G175" s="326" t="e">
        <f t="shared" si="14"/>
        <v>#REF!</v>
      </c>
      <c r="H175" s="326">
        <f t="shared" si="14"/>
        <v>0</v>
      </c>
      <c r="I175" s="294"/>
      <c r="J175" s="294"/>
      <c r="K175" s="326" t="e">
        <f>G175</f>
        <v>#REF!</v>
      </c>
      <c r="M175" s="274"/>
      <c r="V175" s="20"/>
      <c r="W175" s="20"/>
      <c r="X175" s="20"/>
      <c r="Y175" s="20"/>
      <c r="Z175" s="20"/>
      <c r="AA175" s="20"/>
      <c r="AB175" s="20"/>
      <c r="AC175" s="20"/>
      <c r="AE175" s="84"/>
    </row>
    <row r="176" spans="1:31" ht="16.5" thickBot="1">
      <c r="A176" s="1" t="s">
        <v>372</v>
      </c>
      <c r="B176" s="1"/>
      <c r="C176" s="296" t="e">
        <f>SUM(C174:C175)</f>
        <v>#REF!</v>
      </c>
      <c r="D176" s="296">
        <f>SUM(D174:D175)</f>
        <v>529663208.81107259</v>
      </c>
      <c r="E176" s="327"/>
      <c r="F176" s="328"/>
      <c r="G176" s="329" t="e">
        <f>G174+G175</f>
        <v>#REF!</v>
      </c>
      <c r="H176" s="329" t="e">
        <f>H174+H175</f>
        <v>#REF!</v>
      </c>
      <c r="I176" s="457"/>
      <c r="J176" s="330"/>
      <c r="K176" s="329" t="e">
        <f>K174+K175</f>
        <v>#REF!</v>
      </c>
      <c r="M176" s="276"/>
      <c r="N176" s="3" t="s">
        <v>399</v>
      </c>
      <c r="O176" s="84" t="e">
        <f>#REF!*1000</f>
        <v>#REF!</v>
      </c>
      <c r="P176" s="14"/>
      <c r="V176" s="20"/>
      <c r="W176" s="20"/>
      <c r="X176" s="20"/>
      <c r="Y176" s="20"/>
      <c r="Z176" s="20"/>
      <c r="AA176" s="20"/>
      <c r="AB176" s="20"/>
      <c r="AC176" s="20"/>
      <c r="AE176" s="84"/>
    </row>
    <row r="177" spans="1:31" ht="16.5" thickTop="1">
      <c r="A177" s="1"/>
      <c r="B177" s="1"/>
      <c r="C177" s="21"/>
      <c r="D177" s="21"/>
      <c r="E177" s="322"/>
      <c r="F177" s="2"/>
      <c r="G177" s="2"/>
      <c r="H177" s="2"/>
      <c r="I177" s="322"/>
      <c r="J177" s="1"/>
      <c r="K177" s="2" t="s">
        <v>31</v>
      </c>
      <c r="N177" s="3" t="s">
        <v>257</v>
      </c>
      <c r="O177" s="84" t="e">
        <f>O176-K176</f>
        <v>#REF!</v>
      </c>
      <c r="P177" s="261" t="e">
        <f>(O176-K176)/K176</f>
        <v>#REF!</v>
      </c>
      <c r="V177" s="20"/>
      <c r="W177" s="20"/>
      <c r="X177" s="20"/>
      <c r="Y177" s="20"/>
      <c r="Z177" s="20"/>
      <c r="AA177" s="20"/>
      <c r="AB177" s="20"/>
      <c r="AC177" s="20"/>
      <c r="AE177" s="84"/>
    </row>
    <row r="178" spans="1:31">
      <c r="A178" s="1"/>
      <c r="B178" s="1"/>
      <c r="C178" s="21"/>
      <c r="D178" s="21"/>
      <c r="E178" s="322"/>
      <c r="F178" s="2"/>
      <c r="G178" s="2"/>
      <c r="H178" s="2"/>
      <c r="I178" s="322"/>
      <c r="J178" s="1"/>
      <c r="V178" s="20"/>
      <c r="W178" s="20"/>
      <c r="X178" s="20"/>
      <c r="Y178" s="20"/>
      <c r="Z178" s="20"/>
      <c r="AA178" s="20"/>
      <c r="AB178" s="20"/>
      <c r="AC178" s="20"/>
      <c r="AE178" s="84"/>
    </row>
    <row r="179" spans="1:31">
      <c r="A179" s="278" t="s">
        <v>377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O179" s="331" t="s">
        <v>31</v>
      </c>
      <c r="P179" s="14"/>
      <c r="V179" s="20"/>
      <c r="W179" s="20"/>
      <c r="X179" s="20"/>
      <c r="Y179" s="20"/>
      <c r="Z179" s="20"/>
      <c r="AA179" s="20"/>
      <c r="AB179" s="20"/>
      <c r="AC179" s="20"/>
      <c r="AE179" s="84"/>
    </row>
    <row r="180" spans="1:31">
      <c r="A180" s="1" t="s">
        <v>400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01"/>
      <c r="N180" s="401"/>
      <c r="O180" s="74"/>
      <c r="P180" s="74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01"/>
      <c r="N181" s="401"/>
      <c r="O181" s="74"/>
      <c r="P181" s="74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E181" s="84"/>
    </row>
    <row r="182" spans="1:31">
      <c r="A182" s="1" t="s">
        <v>383</v>
      </c>
      <c r="B182" s="1"/>
      <c r="C182" s="304"/>
      <c r="D182" s="304"/>
      <c r="E182" s="2"/>
      <c r="F182" s="2"/>
      <c r="G182" s="1"/>
      <c r="H182" s="1"/>
      <c r="I182" s="2"/>
      <c r="J182" s="1"/>
      <c r="K182" s="1"/>
      <c r="M182" s="20"/>
      <c r="N182" s="20"/>
      <c r="O182" s="74"/>
      <c r="P182" s="74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E182" s="84"/>
    </row>
    <row r="183" spans="1:31">
      <c r="A183" s="1" t="s">
        <v>380</v>
      </c>
      <c r="B183" s="1"/>
      <c r="C183" s="304">
        <f t="shared" ref="C183:D185" si="16">C211+C239</f>
        <v>148451</v>
      </c>
      <c r="D183" s="304">
        <f t="shared" si="16"/>
        <v>147153</v>
      </c>
      <c r="E183" s="283">
        <f>$E$153</f>
        <v>7.53</v>
      </c>
      <c r="F183" s="306"/>
      <c r="G183" s="2">
        <f t="shared" ref="G183:H185" si="17">G211+G239</f>
        <v>1117836</v>
      </c>
      <c r="H183" s="2">
        <f t="shared" si="17"/>
        <v>1108062</v>
      </c>
      <c r="I183" s="283">
        <f>$I$153</f>
        <v>8</v>
      </c>
      <c r="J183" s="308"/>
      <c r="K183" s="2">
        <f>K211+K239</f>
        <v>1187608</v>
      </c>
      <c r="M183" s="20"/>
      <c r="N183" s="20"/>
      <c r="O183" s="74"/>
      <c r="P183" s="74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E183" s="84"/>
    </row>
    <row r="184" spans="1:31">
      <c r="A184" s="1" t="s">
        <v>381</v>
      </c>
      <c r="B184" s="1"/>
      <c r="C184" s="304">
        <f t="shared" si="16"/>
        <v>60349</v>
      </c>
      <c r="D184" s="304">
        <f t="shared" si="16"/>
        <v>59834</v>
      </c>
      <c r="E184" s="283">
        <f>$E$154</f>
        <v>11.18</v>
      </c>
      <c r="F184" s="309"/>
      <c r="G184" s="2">
        <f t="shared" si="17"/>
        <v>674702</v>
      </c>
      <c r="H184" s="2">
        <f t="shared" si="17"/>
        <v>668944</v>
      </c>
      <c r="I184" s="283">
        <f>$I$154</f>
        <v>11.877822045152721</v>
      </c>
      <c r="J184" s="310"/>
      <c r="K184" s="2">
        <f>K212+K240</f>
        <v>716815</v>
      </c>
      <c r="M184" s="20"/>
      <c r="N184" s="20"/>
      <c r="O184" s="74"/>
      <c r="P184" s="74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E184" s="84"/>
    </row>
    <row r="185" spans="1:31">
      <c r="A185" s="1" t="s">
        <v>382</v>
      </c>
      <c r="B185" s="1"/>
      <c r="C185" s="304">
        <f t="shared" si="16"/>
        <v>1278566</v>
      </c>
      <c r="D185" s="304" t="e">
        <f t="shared" si="16"/>
        <v>#REF!</v>
      </c>
      <c r="E185" s="283">
        <f>$E$155</f>
        <v>0.78</v>
      </c>
      <c r="F185" s="309"/>
      <c r="G185" s="2">
        <f t="shared" si="17"/>
        <v>997281</v>
      </c>
      <c r="H185" s="2" t="e">
        <f t="shared" si="17"/>
        <v>#REF!</v>
      </c>
      <c r="I185" s="283">
        <f>$I$155</f>
        <v>0.83</v>
      </c>
      <c r="J185" s="310"/>
      <c r="K185" s="2">
        <f>K213+K241</f>
        <v>1061210</v>
      </c>
      <c r="M185" s="20"/>
      <c r="N185" s="20"/>
      <c r="O185" s="74"/>
      <c r="P185" s="74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E185" s="84"/>
    </row>
    <row r="186" spans="1:31">
      <c r="A186" s="1" t="s">
        <v>384</v>
      </c>
      <c r="B186" s="1"/>
      <c r="C186" s="304">
        <f>SUM(C183:C184)</f>
        <v>208800</v>
      </c>
      <c r="D186" s="304">
        <f>SUM(D183:D184)</f>
        <v>206987</v>
      </c>
      <c r="E186" s="283"/>
      <c r="F186" s="306"/>
      <c r="G186" s="2"/>
      <c r="H186" s="2"/>
      <c r="I186" s="283"/>
      <c r="J186" s="308"/>
      <c r="K186" s="2"/>
      <c r="M186" s="20"/>
      <c r="N186" s="20"/>
      <c r="O186" s="74"/>
      <c r="P186" s="74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E186" s="84"/>
    </row>
    <row r="187" spans="1:31">
      <c r="A187" s="1" t="s">
        <v>385</v>
      </c>
      <c r="B187" s="1"/>
      <c r="C187" s="304">
        <f t="shared" ref="C187:D191" si="18">C215+C243</f>
        <v>822251</v>
      </c>
      <c r="D187" s="304" t="e">
        <f t="shared" si="18"/>
        <v>#REF!</v>
      </c>
      <c r="E187" s="311">
        <f>$E$158</f>
        <v>2.88</v>
      </c>
      <c r="F187" s="308"/>
      <c r="G187" s="2">
        <f t="shared" ref="G187:H191" si="19">G215+G243</f>
        <v>2368083</v>
      </c>
      <c r="H187" s="2" t="e">
        <f t="shared" si="19"/>
        <v>#REF!</v>
      </c>
      <c r="I187" s="311">
        <f>$I$158</f>
        <v>2.97</v>
      </c>
      <c r="J187" s="308"/>
      <c r="K187" s="2">
        <f>K215+K243</f>
        <v>2442085</v>
      </c>
      <c r="M187" s="20"/>
      <c r="N187" s="20"/>
      <c r="O187" s="74"/>
      <c r="P187" s="74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E187" s="84"/>
    </row>
    <row r="188" spans="1:31">
      <c r="A188" s="1" t="s">
        <v>387</v>
      </c>
      <c r="B188" s="1"/>
      <c r="C188" s="304" t="e">
        <f t="shared" si="18"/>
        <v>#REF!</v>
      </c>
      <c r="D188" s="304" t="e">
        <f t="shared" si="18"/>
        <v>#REF!</v>
      </c>
      <c r="E188" s="284">
        <f>$E$159</f>
        <v>8.0890000000000004</v>
      </c>
      <c r="F188" s="308" t="s">
        <v>364</v>
      </c>
      <c r="G188" s="2" t="e">
        <f t="shared" si="19"/>
        <v>#REF!</v>
      </c>
      <c r="H188" s="2" t="e">
        <f t="shared" si="19"/>
        <v>#REF!</v>
      </c>
      <c r="I188" s="284">
        <f>$I$159</f>
        <v>8.8109999999999999</v>
      </c>
      <c r="J188" s="308" t="s">
        <v>364</v>
      </c>
      <c r="K188" s="2" t="e">
        <f>K216+K244</f>
        <v>#REF!</v>
      </c>
      <c r="M188" s="20"/>
      <c r="N188" s="20"/>
      <c r="O188" s="74"/>
      <c r="P188" s="74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E188" s="84"/>
    </row>
    <row r="189" spans="1:31">
      <c r="A189" s="1" t="s">
        <v>388</v>
      </c>
      <c r="B189" s="1"/>
      <c r="C189" s="304" t="e">
        <f t="shared" si="18"/>
        <v>#REF!</v>
      </c>
      <c r="D189" s="304" t="e">
        <f t="shared" si="18"/>
        <v>#REF!</v>
      </c>
      <c r="E189" s="284">
        <f>$E$160</f>
        <v>5.5839999999999996</v>
      </c>
      <c r="F189" s="308" t="s">
        <v>364</v>
      </c>
      <c r="G189" s="2" t="e">
        <f t="shared" si="19"/>
        <v>#REF!</v>
      </c>
      <c r="H189" s="2" t="e">
        <f t="shared" si="19"/>
        <v>#REF!</v>
      </c>
      <c r="I189" s="284">
        <f>$I$160</f>
        <v>6.0819999999999999</v>
      </c>
      <c r="J189" s="308" t="s">
        <v>364</v>
      </c>
      <c r="K189" s="2" t="e">
        <f>K217+K245</f>
        <v>#REF!</v>
      </c>
      <c r="M189" s="20"/>
      <c r="N189" s="20"/>
      <c r="O189" s="74"/>
      <c r="P189" s="74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E189" s="84"/>
    </row>
    <row r="190" spans="1:31">
      <c r="A190" s="1" t="s">
        <v>389</v>
      </c>
      <c r="B190" s="1"/>
      <c r="C190" s="304" t="e">
        <f t="shared" si="18"/>
        <v>#REF!</v>
      </c>
      <c r="D190" s="304" t="e">
        <f t="shared" si="18"/>
        <v>#REF!</v>
      </c>
      <c r="E190" s="284">
        <f>$E$161</f>
        <v>4.8099999999999996</v>
      </c>
      <c r="F190" s="308" t="s">
        <v>364</v>
      </c>
      <c r="G190" s="2" t="e">
        <f t="shared" si="19"/>
        <v>#REF!</v>
      </c>
      <c r="H190" s="2" t="e">
        <f t="shared" si="19"/>
        <v>#REF!</v>
      </c>
      <c r="I190" s="284">
        <f>$I$161</f>
        <v>5.24</v>
      </c>
      <c r="J190" s="308" t="s">
        <v>364</v>
      </c>
      <c r="K190" s="2" t="e">
        <f>K218+K246</f>
        <v>#REF!</v>
      </c>
      <c r="M190" s="20"/>
      <c r="N190" s="20"/>
      <c r="O190" s="74"/>
      <c r="P190" s="74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E190" s="84"/>
    </row>
    <row r="191" spans="1:31">
      <c r="A191" s="1" t="s">
        <v>390</v>
      </c>
      <c r="B191" s="1"/>
      <c r="C191" s="304">
        <f t="shared" si="18"/>
        <v>92358</v>
      </c>
      <c r="D191" s="304" t="e">
        <f t="shared" si="18"/>
        <v>#REF!</v>
      </c>
      <c r="E191" s="315">
        <f>$E$162</f>
        <v>45</v>
      </c>
      <c r="F191" s="306" t="s">
        <v>364</v>
      </c>
      <c r="G191" s="2">
        <f t="shared" si="19"/>
        <v>41561</v>
      </c>
      <c r="H191" s="2" t="e">
        <f t="shared" si="19"/>
        <v>#REF!</v>
      </c>
      <c r="I191" s="315">
        <f>$I$162</f>
        <v>50</v>
      </c>
      <c r="J191" s="308" t="s">
        <v>364</v>
      </c>
      <c r="K191" s="2">
        <f>K219+K247</f>
        <v>46180</v>
      </c>
      <c r="M191" s="20"/>
      <c r="N191" s="20"/>
      <c r="O191" s="74"/>
      <c r="P191" s="74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E191" s="84"/>
    </row>
    <row r="192" spans="1:31">
      <c r="A192" s="316" t="s">
        <v>391</v>
      </c>
      <c r="B192" s="1"/>
      <c r="C192" s="304"/>
      <c r="D192" s="304"/>
      <c r="E192" s="317">
        <v>-0.01</v>
      </c>
      <c r="F192" s="306"/>
      <c r="G192" s="2"/>
      <c r="H192" s="2"/>
      <c r="I192" s="317">
        <v>-0.01</v>
      </c>
      <c r="J192" s="308"/>
      <c r="K192" s="2"/>
      <c r="M192" s="20"/>
      <c r="N192" s="20"/>
      <c r="O192" s="74"/>
      <c r="P192" s="74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E192" s="84"/>
    </row>
    <row r="193" spans="1:31">
      <c r="A193" s="1" t="s">
        <v>380</v>
      </c>
      <c r="B193" s="1"/>
      <c r="C193" s="304">
        <f t="shared" ref="C193:D204" si="20">C221+C249</f>
        <v>48</v>
      </c>
      <c r="D193" s="304">
        <f t="shared" si="20"/>
        <v>48</v>
      </c>
      <c r="E193" s="319">
        <f>E183</f>
        <v>7.53</v>
      </c>
      <c r="F193" s="306"/>
      <c r="G193" s="2">
        <f t="shared" ref="G193:H204" si="21">G221+G249</f>
        <v>-4</v>
      </c>
      <c r="H193" s="2">
        <f t="shared" si="21"/>
        <v>-4</v>
      </c>
      <c r="I193" s="319">
        <f>I183</f>
        <v>8</v>
      </c>
      <c r="J193" s="306"/>
      <c r="K193" s="2">
        <f t="shared" ref="K193:K203" si="22">K221+K249</f>
        <v>-4</v>
      </c>
      <c r="M193" s="20"/>
      <c r="N193" s="20"/>
      <c r="O193" s="74"/>
      <c r="P193" s="74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E193" s="84"/>
    </row>
    <row r="194" spans="1:31">
      <c r="A194" s="1" t="s">
        <v>381</v>
      </c>
      <c r="B194" s="1"/>
      <c r="C194" s="304">
        <f t="shared" si="20"/>
        <v>93</v>
      </c>
      <c r="D194" s="304">
        <f t="shared" si="20"/>
        <v>92</v>
      </c>
      <c r="E194" s="319">
        <f>E184</f>
        <v>11.18</v>
      </c>
      <c r="F194" s="306"/>
      <c r="G194" s="2">
        <f t="shared" si="21"/>
        <v>-10</v>
      </c>
      <c r="H194" s="2">
        <f t="shared" si="21"/>
        <v>-10</v>
      </c>
      <c r="I194" s="319">
        <f>I184</f>
        <v>11.877822045152721</v>
      </c>
      <c r="J194" s="306"/>
      <c r="K194" s="2">
        <f t="shared" si="22"/>
        <v>-11</v>
      </c>
      <c r="M194" s="20"/>
      <c r="N194" s="20"/>
      <c r="O194" s="74"/>
      <c r="P194" s="74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E194" s="84"/>
    </row>
    <row r="195" spans="1:31">
      <c r="A195" s="1" t="s">
        <v>392</v>
      </c>
      <c r="B195" s="1"/>
      <c r="C195" s="304">
        <f t="shared" si="20"/>
        <v>3543</v>
      </c>
      <c r="D195" s="304" t="e">
        <f t="shared" si="20"/>
        <v>#REF!</v>
      </c>
      <c r="E195" s="319">
        <f>E185</f>
        <v>0.78</v>
      </c>
      <c r="F195" s="306"/>
      <c r="G195" s="2">
        <f t="shared" si="21"/>
        <v>-28</v>
      </c>
      <c r="H195" s="2" t="e">
        <f t="shared" si="21"/>
        <v>#REF!</v>
      </c>
      <c r="I195" s="319">
        <f>I185</f>
        <v>0.83</v>
      </c>
      <c r="J195" s="306"/>
      <c r="K195" s="2">
        <f t="shared" si="22"/>
        <v>-29</v>
      </c>
      <c r="M195" s="20"/>
      <c r="N195" s="20"/>
      <c r="O195" s="74"/>
      <c r="P195" s="74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E195" s="84"/>
    </row>
    <row r="196" spans="1:31">
      <c r="A196" s="1" t="s">
        <v>393</v>
      </c>
      <c r="B196" s="1"/>
      <c r="C196" s="304">
        <f t="shared" si="20"/>
        <v>1576</v>
      </c>
      <c r="D196" s="304" t="e">
        <f t="shared" si="20"/>
        <v>#REF!</v>
      </c>
      <c r="E196" s="319">
        <f>E187</f>
        <v>2.88</v>
      </c>
      <c r="F196" s="308"/>
      <c r="G196" s="2">
        <f t="shared" si="21"/>
        <v>-45</v>
      </c>
      <c r="H196" s="2" t="e">
        <f t="shared" si="21"/>
        <v>#REF!</v>
      </c>
      <c r="I196" s="319">
        <f>I187</f>
        <v>2.97</v>
      </c>
      <c r="J196" s="308"/>
      <c r="K196" s="2">
        <f t="shared" si="22"/>
        <v>-47</v>
      </c>
      <c r="M196" s="20"/>
      <c r="N196" s="20"/>
      <c r="O196" s="74"/>
      <c r="P196" s="74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E196" s="84"/>
    </row>
    <row r="197" spans="1:31">
      <c r="A197" s="1" t="s">
        <v>395</v>
      </c>
      <c r="B197" s="1"/>
      <c r="C197" s="304">
        <f t="shared" si="20"/>
        <v>84935</v>
      </c>
      <c r="D197" s="304" t="e">
        <f t="shared" si="20"/>
        <v>#REF!</v>
      </c>
      <c r="E197" s="320">
        <f>E188</f>
        <v>8.0890000000000004</v>
      </c>
      <c r="F197" s="308" t="s">
        <v>364</v>
      </c>
      <c r="G197" s="2">
        <f t="shared" si="21"/>
        <v>-69</v>
      </c>
      <c r="H197" s="2" t="e">
        <f t="shared" si="21"/>
        <v>#REF!</v>
      </c>
      <c r="I197" s="320">
        <f>I188</f>
        <v>8.8109999999999999</v>
      </c>
      <c r="J197" s="308" t="s">
        <v>364</v>
      </c>
      <c r="K197" s="2">
        <f t="shared" si="22"/>
        <v>-75</v>
      </c>
      <c r="M197" s="20"/>
      <c r="N197" s="20"/>
      <c r="O197" s="74"/>
      <c r="P197" s="74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E197" s="84"/>
    </row>
    <row r="198" spans="1:31">
      <c r="A198" s="1" t="s">
        <v>388</v>
      </c>
      <c r="B198" s="1"/>
      <c r="C198" s="304">
        <f t="shared" si="20"/>
        <v>270692</v>
      </c>
      <c r="D198" s="304" t="e">
        <f t="shared" si="20"/>
        <v>#REF!</v>
      </c>
      <c r="E198" s="320">
        <f>E189</f>
        <v>5.5839999999999996</v>
      </c>
      <c r="F198" s="308" t="s">
        <v>364</v>
      </c>
      <c r="G198" s="2">
        <f t="shared" si="21"/>
        <v>-151</v>
      </c>
      <c r="H198" s="2" t="e">
        <f t="shared" si="21"/>
        <v>#REF!</v>
      </c>
      <c r="I198" s="320">
        <f>I189</f>
        <v>6.0819999999999999</v>
      </c>
      <c r="J198" s="308" t="s">
        <v>364</v>
      </c>
      <c r="K198" s="2">
        <f t="shared" si="22"/>
        <v>-165</v>
      </c>
      <c r="M198" s="20"/>
      <c r="N198" s="20"/>
      <c r="O198" s="74"/>
      <c r="P198" s="74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E198" s="84"/>
    </row>
    <row r="199" spans="1:31">
      <c r="A199" s="1" t="s">
        <v>389</v>
      </c>
      <c r="B199" s="1"/>
      <c r="C199" s="304">
        <f t="shared" si="20"/>
        <v>65960</v>
      </c>
      <c r="D199" s="304" t="e">
        <f t="shared" si="20"/>
        <v>#REF!</v>
      </c>
      <c r="E199" s="320">
        <f>E190</f>
        <v>4.8099999999999996</v>
      </c>
      <c r="F199" s="308" t="s">
        <v>364</v>
      </c>
      <c r="G199" s="2">
        <f t="shared" si="21"/>
        <v>-32</v>
      </c>
      <c r="H199" s="2" t="e">
        <f t="shared" si="21"/>
        <v>#REF!</v>
      </c>
      <c r="I199" s="320">
        <f>I190</f>
        <v>5.24</v>
      </c>
      <c r="J199" s="308" t="s">
        <v>364</v>
      </c>
      <c r="K199" s="2">
        <f t="shared" si="22"/>
        <v>-35</v>
      </c>
      <c r="M199" s="20"/>
      <c r="N199" s="20"/>
      <c r="O199" s="74"/>
      <c r="P199" s="74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E199" s="84"/>
    </row>
    <row r="200" spans="1:31">
      <c r="A200" s="1" t="s">
        <v>390</v>
      </c>
      <c r="B200" s="1"/>
      <c r="C200" s="304">
        <f t="shared" si="20"/>
        <v>2996</v>
      </c>
      <c r="D200" s="304" t="e">
        <f t="shared" si="20"/>
        <v>#REF!</v>
      </c>
      <c r="E200" s="321">
        <f>E191</f>
        <v>45</v>
      </c>
      <c r="F200" s="308" t="s">
        <v>364</v>
      </c>
      <c r="G200" s="2">
        <f t="shared" si="21"/>
        <v>-13</v>
      </c>
      <c r="H200" s="2" t="e">
        <f t="shared" si="21"/>
        <v>#REF!</v>
      </c>
      <c r="I200" s="321">
        <f>I191</f>
        <v>50</v>
      </c>
      <c r="J200" s="308" t="s">
        <v>364</v>
      </c>
      <c r="K200" s="2">
        <f t="shared" si="22"/>
        <v>-15</v>
      </c>
      <c r="M200" s="20"/>
      <c r="N200" s="20"/>
      <c r="O200" s="74"/>
      <c r="P200" s="74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E200" s="84"/>
    </row>
    <row r="201" spans="1:31">
      <c r="A201" s="1" t="s">
        <v>397</v>
      </c>
      <c r="B201" s="1"/>
      <c r="C201" s="304">
        <f t="shared" si="20"/>
        <v>108</v>
      </c>
      <c r="D201" s="304" t="e">
        <f t="shared" si="20"/>
        <v>#REF!</v>
      </c>
      <c r="E201" s="322">
        <f>$E$172</f>
        <v>60</v>
      </c>
      <c r="F201" s="306"/>
      <c r="G201" s="2">
        <f t="shared" si="21"/>
        <v>6480</v>
      </c>
      <c r="H201" s="2" t="e">
        <f t="shared" si="21"/>
        <v>#REF!</v>
      </c>
      <c r="I201" s="322">
        <f>$I$172</f>
        <v>60</v>
      </c>
      <c r="J201" s="308"/>
      <c r="K201" s="2">
        <f t="shared" si="22"/>
        <v>6480</v>
      </c>
      <c r="M201" s="20"/>
      <c r="N201" s="20"/>
      <c r="O201" s="74"/>
      <c r="P201" s="7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E201" s="84"/>
    </row>
    <row r="202" spans="1:31">
      <c r="A202" s="1" t="s">
        <v>398</v>
      </c>
      <c r="B202" s="1"/>
      <c r="C202" s="304">
        <f t="shared" si="20"/>
        <v>3624</v>
      </c>
      <c r="D202" s="304" t="e">
        <f t="shared" si="20"/>
        <v>#REF!</v>
      </c>
      <c r="E202" s="324">
        <f>$E$173</f>
        <v>-30</v>
      </c>
      <c r="F202" s="306" t="s">
        <v>364</v>
      </c>
      <c r="G202" s="2">
        <f t="shared" si="21"/>
        <v>-1087</v>
      </c>
      <c r="H202" s="2" t="e">
        <f t="shared" si="21"/>
        <v>#REF!</v>
      </c>
      <c r="I202" s="324">
        <f>$I$173</f>
        <v>-30</v>
      </c>
      <c r="J202" s="308" t="s">
        <v>364</v>
      </c>
      <c r="K202" s="2">
        <f t="shared" si="22"/>
        <v>-1087</v>
      </c>
      <c r="M202" s="20"/>
      <c r="N202" s="20"/>
      <c r="O202" s="74"/>
      <c r="P202" s="74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E202" s="84"/>
    </row>
    <row r="203" spans="1:31">
      <c r="A203" s="1" t="s">
        <v>371</v>
      </c>
      <c r="B203" s="249"/>
      <c r="C203" s="304" t="e">
        <f t="shared" si="20"/>
        <v>#REF!</v>
      </c>
      <c r="D203" s="304">
        <f t="shared" si="20"/>
        <v>527850595.24192303</v>
      </c>
      <c r="E203" s="315"/>
      <c r="F203" s="2"/>
      <c r="G203" s="2" t="e">
        <f t="shared" si="21"/>
        <v>#REF!</v>
      </c>
      <c r="H203" s="2" t="e">
        <f t="shared" si="21"/>
        <v>#REF!</v>
      </c>
      <c r="I203" s="315"/>
      <c r="J203" s="308"/>
      <c r="K203" s="2" t="e">
        <f t="shared" si="22"/>
        <v>#REF!</v>
      </c>
      <c r="M203" s="20"/>
      <c r="N203" s="20"/>
      <c r="O203" s="74"/>
      <c r="P203" s="74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E203" s="84"/>
    </row>
    <row r="204" spans="1:31">
      <c r="A204" s="1" t="s">
        <v>353</v>
      </c>
      <c r="B204" s="332"/>
      <c r="C204" s="325" t="e">
        <f t="shared" si="20"/>
        <v>#REF!</v>
      </c>
      <c r="D204" s="325">
        <f t="shared" si="20"/>
        <v>0</v>
      </c>
      <c r="E204" s="294"/>
      <c r="F204" s="294"/>
      <c r="G204" s="326" t="e">
        <f t="shared" si="21"/>
        <v>#REF!</v>
      </c>
      <c r="H204" s="326">
        <f t="shared" si="21"/>
        <v>0</v>
      </c>
      <c r="I204" s="294"/>
      <c r="J204" s="294"/>
      <c r="K204" s="326" t="e">
        <f>G204</f>
        <v>#REF!</v>
      </c>
      <c r="M204" s="429"/>
      <c r="N204" s="429"/>
      <c r="O204" s="272"/>
      <c r="P204" s="74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E204" s="84"/>
    </row>
    <row r="205" spans="1:31" ht="16.5" thickBot="1">
      <c r="A205" s="1" t="s">
        <v>372</v>
      </c>
      <c r="B205" s="1"/>
      <c r="C205" s="296" t="e">
        <f>SUM(C203:C204)</f>
        <v>#REF!</v>
      </c>
      <c r="D205" s="296">
        <f>SUM(D203:D204)</f>
        <v>527850595.24192303</v>
      </c>
      <c r="E205" s="327"/>
      <c r="F205" s="328"/>
      <c r="G205" s="329" t="e">
        <f>G203+G204</f>
        <v>#REF!</v>
      </c>
      <c r="H205" s="329" t="e">
        <f>H203+H204</f>
        <v>#REF!</v>
      </c>
      <c r="I205" s="327"/>
      <c r="J205" s="330"/>
      <c r="K205" s="329" t="e">
        <f>K203+K204</f>
        <v>#REF!</v>
      </c>
      <c r="M205" s="396"/>
      <c r="N205" s="396"/>
      <c r="O205" s="455"/>
      <c r="P205" s="74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E205" s="84"/>
    </row>
    <row r="206" spans="1:31" ht="16.5" thickTop="1">
      <c r="A206" s="1"/>
      <c r="B206" s="1"/>
      <c r="C206" s="21"/>
      <c r="D206" s="21"/>
      <c r="E206" s="322"/>
      <c r="F206" s="2"/>
      <c r="G206" s="2"/>
      <c r="H206" s="2"/>
      <c r="I206" s="322"/>
      <c r="J206" s="1"/>
      <c r="K206" s="2" t="s">
        <v>31</v>
      </c>
      <c r="M206" s="20"/>
      <c r="N206" s="20"/>
      <c r="O206" s="74"/>
      <c r="P206" s="74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E206" s="84"/>
    </row>
    <row r="207" spans="1:31">
      <c r="A207" s="278" t="s">
        <v>377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M207" s="20"/>
      <c r="N207" s="20"/>
      <c r="O207" s="74"/>
      <c r="P207" s="74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E207" s="84"/>
    </row>
    <row r="208" spans="1:31">
      <c r="A208" s="1" t="s">
        <v>401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M208" s="20"/>
      <c r="N208" s="20"/>
      <c r="O208" s="74"/>
      <c r="P208" s="74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E208" s="84"/>
    </row>
    <row r="209" spans="1:31">
      <c r="A209" s="333" t="s">
        <v>402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M209" s="20"/>
      <c r="N209" s="20"/>
      <c r="O209" s="74"/>
      <c r="P209" s="74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E209" s="84"/>
    </row>
    <row r="210" spans="1:31">
      <c r="A210" s="1" t="s">
        <v>383</v>
      </c>
      <c r="B210" s="1"/>
      <c r="C210" s="304"/>
      <c r="D210" s="304"/>
      <c r="E210" s="2"/>
      <c r="F210" s="2"/>
      <c r="G210" s="1"/>
      <c r="H210" s="1"/>
      <c r="I210" s="2"/>
      <c r="J210" s="1"/>
      <c r="K210" s="1"/>
      <c r="M210" s="20"/>
      <c r="N210" s="20"/>
      <c r="O210" s="74"/>
      <c r="P210" s="74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E210" s="84"/>
    </row>
    <row r="211" spans="1:31">
      <c r="A211" s="1" t="s">
        <v>380</v>
      </c>
      <c r="B211" s="1"/>
      <c r="C211" s="304">
        <f>31559+48+114515+12+1+4</f>
        <v>146139</v>
      </c>
      <c r="D211" s="304">
        <v>144846</v>
      </c>
      <c r="E211" s="283">
        <f>$E$153</f>
        <v>7.53</v>
      </c>
      <c r="F211" s="306"/>
      <c r="G211" s="2">
        <f>ROUND(E211*$C211,0)</f>
        <v>1100427</v>
      </c>
      <c r="H211" s="2">
        <f>ROUND(E211*$D211,0)</f>
        <v>1090690</v>
      </c>
      <c r="I211" s="283">
        <f>$I$153</f>
        <v>8</v>
      </c>
      <c r="J211" s="308"/>
      <c r="K211" s="2">
        <f>ROUND(I211*$C211,0)</f>
        <v>1169112</v>
      </c>
      <c r="M211" s="20"/>
      <c r="N211" s="20"/>
      <c r="O211" s="74"/>
      <c r="P211" s="74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E211" s="84"/>
    </row>
    <row r="212" spans="1:31">
      <c r="A212" s="1" t="s">
        <v>381</v>
      </c>
      <c r="B212" s="1"/>
      <c r="C212" s="304">
        <f>11+7148+42+33+60+49632</f>
        <v>56926</v>
      </c>
      <c r="D212" s="304">
        <v>56418</v>
      </c>
      <c r="E212" s="283">
        <f>$E$154</f>
        <v>11.18</v>
      </c>
      <c r="F212" s="309"/>
      <c r="G212" s="2">
        <f>ROUND(E212*$C212,0)</f>
        <v>636433</v>
      </c>
      <c r="H212" s="2">
        <f>ROUND(E212*$D212,0)</f>
        <v>630753</v>
      </c>
      <c r="I212" s="283">
        <f>$I$154</f>
        <v>11.877822045152721</v>
      </c>
      <c r="J212" s="310"/>
      <c r="K212" s="2">
        <f>ROUND(I212*$C212,0)</f>
        <v>676157</v>
      </c>
      <c r="M212" s="20"/>
      <c r="N212" s="20"/>
      <c r="O212" s="74"/>
      <c r="P212" s="74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E212" s="84"/>
    </row>
    <row r="213" spans="1:31">
      <c r="A213" s="1" t="s">
        <v>382</v>
      </c>
      <c r="B213" s="1"/>
      <c r="C213" s="304">
        <f>19363+72181+143+261091+506+425+2975+845224</f>
        <v>1201908</v>
      </c>
      <c r="D213" s="304" t="e">
        <f>ROUND(($D$231/'Billing Determinants (2)'!$C$231)*C213,0)</f>
        <v>#REF!</v>
      </c>
      <c r="E213" s="283">
        <f>$E$155</f>
        <v>0.78</v>
      </c>
      <c r="F213" s="309"/>
      <c r="G213" s="2">
        <f>ROUND(E213*$C213,0)</f>
        <v>937488</v>
      </c>
      <c r="H213" s="2" t="e">
        <f>ROUND(E213*$D213,0)</f>
        <v>#REF!</v>
      </c>
      <c r="I213" s="283">
        <f>$I$155</f>
        <v>0.83</v>
      </c>
      <c r="J213" s="310"/>
      <c r="K213" s="2">
        <f>ROUND(I213*$C213,0)</f>
        <v>997584</v>
      </c>
      <c r="M213" s="20"/>
      <c r="N213" s="20"/>
      <c r="O213" s="74"/>
      <c r="P213" s="74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E213" s="84"/>
    </row>
    <row r="214" spans="1:31">
      <c r="A214" s="1" t="s">
        <v>384</v>
      </c>
      <c r="B214" s="1"/>
      <c r="C214" s="304">
        <f>SUM(C211:C212)</f>
        <v>203065</v>
      </c>
      <c r="D214" s="304">
        <f>SUM(D211:D212)</f>
        <v>201264</v>
      </c>
      <c r="E214" s="283"/>
      <c r="F214" s="306"/>
      <c r="G214" s="2"/>
      <c r="H214" s="2"/>
      <c r="I214" s="283"/>
      <c r="J214" s="308"/>
      <c r="K214" s="2"/>
      <c r="M214" s="20"/>
      <c r="N214" s="20"/>
      <c r="O214" s="74"/>
      <c r="P214" s="74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E214" s="84"/>
    </row>
    <row r="215" spans="1:31">
      <c r="A215" s="1" t="s">
        <v>385</v>
      </c>
      <c r="B215" s="1"/>
      <c r="C215" s="304">
        <f>12010+42566+76+150357+258+319+1181+570824</f>
        <v>777591</v>
      </c>
      <c r="D215" s="304" t="e">
        <f>ROUND(($D$231/'Billing Determinants (2)'!$C$231)*C215,0)</f>
        <v>#REF!</v>
      </c>
      <c r="E215" s="311">
        <f>$E$158</f>
        <v>2.88</v>
      </c>
      <c r="F215" s="308"/>
      <c r="G215" s="2">
        <f>ROUND(E215*$C215,0)</f>
        <v>2239462</v>
      </c>
      <c r="H215" s="2" t="e">
        <f>ROUND(E215*$D215,0)</f>
        <v>#REF!</v>
      </c>
      <c r="I215" s="311">
        <f>$I$158</f>
        <v>2.97</v>
      </c>
      <c r="J215" s="308"/>
      <c r="K215" s="2">
        <f>ROUND(I215*$C215,0)</f>
        <v>2309445</v>
      </c>
      <c r="M215" s="20"/>
      <c r="N215" s="20"/>
      <c r="O215" s="74"/>
      <c r="P215" s="74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E215" s="84"/>
    </row>
    <row r="216" spans="1:31">
      <c r="A216" s="1" t="s">
        <v>387</v>
      </c>
      <c r="B216" s="304"/>
      <c r="C216" s="304" t="e">
        <f>10637140+2511+3968456+48093+68224697+41262+14709+22133+40160890+910+1497+3016+#REF!*1000</f>
        <v>#REF!</v>
      </c>
      <c r="D216" s="304" t="e">
        <f>ROUND(($D$231/$C$231)*C216,0)</f>
        <v>#REF!</v>
      </c>
      <c r="E216" s="284">
        <f>$E$159</f>
        <v>8.0890000000000004</v>
      </c>
      <c r="F216" s="308" t="s">
        <v>364</v>
      </c>
      <c r="G216" s="2" t="e">
        <f>ROUND(E216*$C216/100,0)</f>
        <v>#REF!</v>
      </c>
      <c r="H216" s="2" t="e">
        <f>ROUND(E216*$D216/100,0)</f>
        <v>#REF!</v>
      </c>
      <c r="I216" s="284">
        <f>$I$159</f>
        <v>8.8109999999999999</v>
      </c>
      <c r="J216" s="308" t="s">
        <v>364</v>
      </c>
      <c r="K216" s="2" t="e">
        <f>ROUND(I216*$C216/100,0)</f>
        <v>#REF!</v>
      </c>
      <c r="M216" s="458"/>
      <c r="N216" s="458"/>
      <c r="O216" s="74"/>
      <c r="P216" s="74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E216" s="84"/>
    </row>
    <row r="217" spans="1:31">
      <c r="A217" s="1" t="s">
        <v>388</v>
      </c>
      <c r="B217" s="304"/>
      <c r="C217" s="304" t="e">
        <f>6716987+667+10550295+89698+100459984+191610+96267+84727+156443365+471+#REF!*1000</f>
        <v>#REF!</v>
      </c>
      <c r="D217" s="304" t="e">
        <f>ROUND(($D$231/'Billing Determinants (2)'!$C$231)*C217,0)</f>
        <v>#REF!</v>
      </c>
      <c r="E217" s="284">
        <f>$E$160</f>
        <v>5.5839999999999996</v>
      </c>
      <c r="F217" s="308" t="s">
        <v>364</v>
      </c>
      <c r="G217" s="2" t="e">
        <f>ROUND(E217*$C217/100,0)</f>
        <v>#REF!</v>
      </c>
      <c r="H217" s="2" t="e">
        <f>ROUND(E217*$D217/100,0)</f>
        <v>#REF!</v>
      </c>
      <c r="I217" s="284">
        <f>$I$160</f>
        <v>6.0819999999999999</v>
      </c>
      <c r="J217" s="308" t="s">
        <v>364</v>
      </c>
      <c r="K217" s="2" t="e">
        <f>ROUND(I217*$C217/100,0)</f>
        <v>#REF!</v>
      </c>
      <c r="M217" s="458"/>
      <c r="N217" s="458"/>
      <c r="O217" s="74"/>
      <c r="P217" s="74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E217" s="84"/>
    </row>
    <row r="218" spans="1:31">
      <c r="A218" s="1" t="s">
        <v>389</v>
      </c>
      <c r="B218" s="304"/>
      <c r="C218" s="304" t="e">
        <f>974972+8370324+11474735+34390+61460+4500+93253467+#REF!*1000</f>
        <v>#REF!</v>
      </c>
      <c r="D218" s="304" t="e">
        <f>ROUND(($D$231/'Billing Determinants (2)'!$C$231)*C218,0)</f>
        <v>#REF!</v>
      </c>
      <c r="E218" s="284">
        <f>$E$161</f>
        <v>4.8099999999999996</v>
      </c>
      <c r="F218" s="308" t="s">
        <v>364</v>
      </c>
      <c r="G218" s="2" t="e">
        <f>ROUND(E218*$C218/100,0)</f>
        <v>#REF!</v>
      </c>
      <c r="H218" s="2" t="e">
        <f>ROUND(E218*$D218/100,0)</f>
        <v>#REF!</v>
      </c>
      <c r="I218" s="284">
        <f>$I$161</f>
        <v>5.24</v>
      </c>
      <c r="J218" s="308" t="s">
        <v>364</v>
      </c>
      <c r="K218" s="2" t="e">
        <f>ROUND(I218*$C218/100,0)</f>
        <v>#REF!</v>
      </c>
      <c r="M218" s="458"/>
      <c r="N218" s="458"/>
      <c r="O218" s="74"/>
      <c r="P218" s="74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E218" s="84"/>
    </row>
    <row r="219" spans="1:31">
      <c r="A219" s="1" t="s">
        <v>390</v>
      </c>
      <c r="B219" s="21"/>
      <c r="C219" s="304">
        <f>1+8222+516+2+2994+65942</f>
        <v>77677</v>
      </c>
      <c r="D219" s="304" t="e">
        <f>ROUND(($D$231/'Billing Determinants (2)'!$C$231)*C219,0)</f>
        <v>#REF!</v>
      </c>
      <c r="E219" s="315">
        <f>$E$162</f>
        <v>45</v>
      </c>
      <c r="F219" s="306" t="s">
        <v>364</v>
      </c>
      <c r="G219" s="2">
        <f>ROUND(E219*$C219/100,0)</f>
        <v>34955</v>
      </c>
      <c r="H219" s="2" t="e">
        <f>ROUND(E219*$D219/100,0)</f>
        <v>#REF!</v>
      </c>
      <c r="I219" s="315">
        <f>$I$162</f>
        <v>50</v>
      </c>
      <c r="J219" s="308" t="s">
        <v>364</v>
      </c>
      <c r="K219" s="2">
        <f>ROUND(I219*$C219/100,0)</f>
        <v>38839</v>
      </c>
      <c r="M219" s="20"/>
      <c r="N219" s="20"/>
      <c r="O219" s="74"/>
      <c r="P219" s="74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E219" s="84"/>
    </row>
    <row r="220" spans="1:31">
      <c r="A220" s="316" t="s">
        <v>391</v>
      </c>
      <c r="B220" s="21"/>
      <c r="C220" s="304"/>
      <c r="D220" s="304"/>
      <c r="E220" s="317">
        <v>-0.01</v>
      </c>
      <c r="F220" s="306"/>
      <c r="G220" s="2"/>
      <c r="H220" s="2"/>
      <c r="I220" s="317">
        <v>-0.01</v>
      </c>
      <c r="J220" s="308"/>
      <c r="K220" s="2"/>
      <c r="M220" s="20"/>
      <c r="N220" s="20"/>
      <c r="O220" s="74"/>
      <c r="P220" s="74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E220" s="84"/>
    </row>
    <row r="221" spans="1:31">
      <c r="A221" s="1" t="s">
        <v>380</v>
      </c>
      <c r="B221" s="1"/>
      <c r="C221" s="304">
        <f>48</f>
        <v>48</v>
      </c>
      <c r="D221" s="304">
        <v>48</v>
      </c>
      <c r="E221" s="319">
        <f>E211</f>
        <v>7.53</v>
      </c>
      <c r="F221" s="306"/>
      <c r="G221" s="2">
        <f>-ROUND(E221*$C221/100,0)</f>
        <v>-4</v>
      </c>
      <c r="H221" s="2">
        <f>-ROUND(E221*$D221/100,0)</f>
        <v>-4</v>
      </c>
      <c r="I221" s="319">
        <f>I211</f>
        <v>8</v>
      </c>
      <c r="J221" s="306"/>
      <c r="K221" s="2">
        <f>-ROUND(I221*$C221/100,0)</f>
        <v>-4</v>
      </c>
      <c r="M221" s="20"/>
      <c r="N221" s="20"/>
      <c r="O221" s="74"/>
      <c r="P221" s="74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E221" s="84"/>
    </row>
    <row r="222" spans="1:31">
      <c r="A222" s="1" t="s">
        <v>381</v>
      </c>
      <c r="B222" s="1"/>
      <c r="C222" s="304">
        <f>33+60</f>
        <v>93</v>
      </c>
      <c r="D222" s="304">
        <v>92</v>
      </c>
      <c r="E222" s="319">
        <f>E212</f>
        <v>11.18</v>
      </c>
      <c r="F222" s="306"/>
      <c r="G222" s="2">
        <f>-ROUND(E222*$C222/100,0)</f>
        <v>-10</v>
      </c>
      <c r="H222" s="2">
        <f>-ROUND(E222*$D222/100,0)</f>
        <v>-10</v>
      </c>
      <c r="I222" s="319">
        <f>I212</f>
        <v>11.877822045152721</v>
      </c>
      <c r="J222" s="306"/>
      <c r="K222" s="2">
        <f>-ROUND(I222*$C222/100,0)</f>
        <v>-11</v>
      </c>
      <c r="M222" s="20"/>
      <c r="N222" s="20"/>
      <c r="O222" s="74"/>
      <c r="P222" s="74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E222" s="84"/>
    </row>
    <row r="223" spans="1:31">
      <c r="A223" s="1" t="s">
        <v>392</v>
      </c>
      <c r="B223" s="1"/>
      <c r="C223" s="304">
        <f>143+425+2975</f>
        <v>3543</v>
      </c>
      <c r="D223" s="304" t="e">
        <f>ROUND(($D$231/'Billing Determinants (2)'!$C$231)*C223,0)</f>
        <v>#REF!</v>
      </c>
      <c r="E223" s="319">
        <f>E213</f>
        <v>0.78</v>
      </c>
      <c r="F223" s="306"/>
      <c r="G223" s="2">
        <f>-ROUND(E223*$C223/100,0)</f>
        <v>-28</v>
      </c>
      <c r="H223" s="2" t="e">
        <f>-ROUND(E223*$D223/100,0)</f>
        <v>#REF!</v>
      </c>
      <c r="I223" s="319">
        <f>I213</f>
        <v>0.83</v>
      </c>
      <c r="J223" s="306"/>
      <c r="K223" s="2">
        <f>-ROUND(I223*$C223/100,0)</f>
        <v>-29</v>
      </c>
      <c r="M223" s="20"/>
      <c r="N223" s="20"/>
      <c r="O223" s="74"/>
      <c r="P223" s="74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E223" s="84"/>
    </row>
    <row r="224" spans="1:31">
      <c r="A224" s="1" t="s">
        <v>403</v>
      </c>
      <c r="B224" s="1"/>
      <c r="C224" s="304">
        <f>76+319+1181</f>
        <v>1576</v>
      </c>
      <c r="D224" s="304" t="e">
        <f>ROUND(($D$231/'Billing Determinants (2)'!$C$231)*C224,0)</f>
        <v>#REF!</v>
      </c>
      <c r="E224" s="319">
        <f>E215</f>
        <v>2.88</v>
      </c>
      <c r="F224" s="308"/>
      <c r="G224" s="2">
        <f>-ROUND(E224*$C224/100,0)</f>
        <v>-45</v>
      </c>
      <c r="H224" s="2" t="e">
        <f>-ROUND(E224*$D224/100,0)</f>
        <v>#REF!</v>
      </c>
      <c r="I224" s="319">
        <f>I215</f>
        <v>2.97</v>
      </c>
      <c r="J224" s="308"/>
      <c r="K224" s="2">
        <f>-ROUND(I224*$C224/100,0)</f>
        <v>-47</v>
      </c>
      <c r="M224" s="20"/>
      <c r="N224" s="20"/>
      <c r="O224" s="74"/>
      <c r="P224" s="74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E224" s="84"/>
    </row>
    <row r="225" spans="1:31">
      <c r="A225" s="1" t="s">
        <v>395</v>
      </c>
      <c r="B225" s="1"/>
      <c r="C225" s="304">
        <f>48093+14709+22133</f>
        <v>84935</v>
      </c>
      <c r="D225" s="304" t="e">
        <f>ROUND(($D$231/'Billing Determinants (2)'!$C$231)*C225,0)</f>
        <v>#REF!</v>
      </c>
      <c r="E225" s="320">
        <f>E216</f>
        <v>8.0890000000000004</v>
      </c>
      <c r="F225" s="308" t="s">
        <v>364</v>
      </c>
      <c r="G225" s="2">
        <f>ROUND(E225*$C225/100*E220,0)</f>
        <v>-69</v>
      </c>
      <c r="H225" s="2" t="e">
        <f>ROUND(E225*$D225/100*E220,0)</f>
        <v>#REF!</v>
      </c>
      <c r="I225" s="320">
        <f>I216</f>
        <v>8.8109999999999999</v>
      </c>
      <c r="J225" s="308" t="s">
        <v>364</v>
      </c>
      <c r="K225" s="2">
        <f>ROUND(I225*$C225/100*I220,0)</f>
        <v>-75</v>
      </c>
      <c r="M225" s="20"/>
      <c r="N225" s="20"/>
      <c r="O225" s="74"/>
      <c r="P225" s="74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E225" s="84"/>
    </row>
    <row r="226" spans="1:31">
      <c r="A226" s="1" t="s">
        <v>388</v>
      </c>
      <c r="B226" s="1"/>
      <c r="C226" s="304">
        <f>89698+96267+84727</f>
        <v>270692</v>
      </c>
      <c r="D226" s="304" t="e">
        <f>ROUND(($D$231/'Billing Determinants (2)'!$C$231)*C226,0)</f>
        <v>#REF!</v>
      </c>
      <c r="E226" s="320">
        <f>E217</f>
        <v>5.5839999999999996</v>
      </c>
      <c r="F226" s="308" t="s">
        <v>364</v>
      </c>
      <c r="G226" s="2">
        <f>ROUND(E226*$C226/100*E220,0)</f>
        <v>-151</v>
      </c>
      <c r="H226" s="2" t="e">
        <f>ROUND(E226*$D226/100*E220,0)</f>
        <v>#REF!</v>
      </c>
      <c r="I226" s="320">
        <f>I217</f>
        <v>6.0819999999999999</v>
      </c>
      <c r="J226" s="308" t="s">
        <v>364</v>
      </c>
      <c r="K226" s="2">
        <f>ROUND(I226*$C226/100*I220,0)</f>
        <v>-165</v>
      </c>
      <c r="M226" s="20"/>
      <c r="N226" s="20"/>
      <c r="O226" s="74"/>
      <c r="P226" s="74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E226" s="84"/>
    </row>
    <row r="227" spans="1:31">
      <c r="A227" s="1" t="s">
        <v>389</v>
      </c>
      <c r="B227" s="1"/>
      <c r="C227" s="304">
        <f>137791+172436+111360-C225-C226</f>
        <v>65960</v>
      </c>
      <c r="D227" s="304" t="e">
        <f>ROUND(($D$231/'Billing Determinants (2)'!$C$231)*C227,0)</f>
        <v>#REF!</v>
      </c>
      <c r="E227" s="320">
        <f>E218</f>
        <v>4.8099999999999996</v>
      </c>
      <c r="F227" s="308" t="s">
        <v>364</v>
      </c>
      <c r="G227" s="2">
        <f>ROUND(E227*$C227/100*E220,0)</f>
        <v>-32</v>
      </c>
      <c r="H227" s="2" t="e">
        <f>ROUND(E227*$D227/100*E220,0)</f>
        <v>#REF!</v>
      </c>
      <c r="I227" s="320">
        <f>I218</f>
        <v>5.24</v>
      </c>
      <c r="J227" s="308" t="s">
        <v>364</v>
      </c>
      <c r="K227" s="2">
        <f>ROUND(I227*$C227/100*I220,0)</f>
        <v>-35</v>
      </c>
      <c r="M227" s="20"/>
      <c r="N227" s="20"/>
      <c r="O227" s="74"/>
      <c r="P227" s="74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E227" s="84"/>
    </row>
    <row r="228" spans="1:31">
      <c r="A228" s="1" t="s">
        <v>390</v>
      </c>
      <c r="B228" s="1"/>
      <c r="C228" s="304">
        <f>2+2994</f>
        <v>2996</v>
      </c>
      <c r="D228" s="304" t="e">
        <f>ROUND(($D$231/'Billing Determinants (2)'!$C$231)*C228,0)</f>
        <v>#REF!</v>
      </c>
      <c r="E228" s="321">
        <f>E219</f>
        <v>45</v>
      </c>
      <c r="F228" s="308" t="s">
        <v>364</v>
      </c>
      <c r="G228" s="2">
        <f>ROUND(E228*$C228/100*E220,0)</f>
        <v>-13</v>
      </c>
      <c r="H228" s="2" t="e">
        <f>ROUND(E228*$D228/100*E220,0)</f>
        <v>#REF!</v>
      </c>
      <c r="I228" s="321">
        <f>I219</f>
        <v>50</v>
      </c>
      <c r="J228" s="308" t="s">
        <v>364</v>
      </c>
      <c r="K228" s="2">
        <f>ROUND(I228*$C228/100*I220,0)</f>
        <v>-15</v>
      </c>
      <c r="M228" s="20"/>
      <c r="N228" s="20"/>
      <c r="O228" s="74"/>
      <c r="P228" s="74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E228" s="84"/>
    </row>
    <row r="229" spans="1:31">
      <c r="A229" s="1" t="s">
        <v>397</v>
      </c>
      <c r="B229" s="1"/>
      <c r="C229" s="304">
        <f>48+60</f>
        <v>108</v>
      </c>
      <c r="D229" s="304" t="e">
        <f>ROUND(($D$231/'Billing Determinants (2)'!$C$231)*C229,0)</f>
        <v>#REF!</v>
      </c>
      <c r="E229" s="322">
        <f>$E$172</f>
        <v>60</v>
      </c>
      <c r="F229" s="306"/>
      <c r="G229" s="2">
        <f>ROUND(E229*$C229,0)</f>
        <v>6480</v>
      </c>
      <c r="H229" s="2" t="e">
        <f>ROUND(E229*$D229,0)</f>
        <v>#REF!</v>
      </c>
      <c r="I229" s="322">
        <f>$I$172</f>
        <v>60</v>
      </c>
      <c r="J229" s="308"/>
      <c r="K229" s="2">
        <f>ROUND(I229*$C229,0)</f>
        <v>6480</v>
      </c>
      <c r="M229" s="20"/>
      <c r="N229" s="20"/>
      <c r="O229" s="74"/>
      <c r="P229" s="74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E229" s="84"/>
    </row>
    <row r="230" spans="1:31">
      <c r="A230" s="1" t="s">
        <v>398</v>
      </c>
      <c r="B230" s="1"/>
      <c r="C230" s="304">
        <f>143+506+2975</f>
        <v>3624</v>
      </c>
      <c r="D230" s="304" t="e">
        <f>ROUND(($D$231/'Billing Determinants (2)'!$C$231)*C230,0)</f>
        <v>#REF!</v>
      </c>
      <c r="E230" s="324">
        <f>$E$173</f>
        <v>-30</v>
      </c>
      <c r="F230" s="306" t="s">
        <v>364</v>
      </c>
      <c r="G230" s="2">
        <f>ROUND(E230*$C230/100,0)</f>
        <v>-1087</v>
      </c>
      <c r="H230" s="2" t="e">
        <f>ROUND(E230*$D230/100,0)</f>
        <v>#REF!</v>
      </c>
      <c r="I230" s="324">
        <f>$I$173</f>
        <v>-30</v>
      </c>
      <c r="J230" s="308" t="s">
        <v>364</v>
      </c>
      <c r="K230" s="2">
        <f>ROUND(I230*$C230/100,0)</f>
        <v>-1087</v>
      </c>
      <c r="M230" s="20"/>
      <c r="N230" s="20"/>
      <c r="O230" s="74"/>
      <c r="P230" s="74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E230" s="84"/>
    </row>
    <row r="231" spans="1:31">
      <c r="A231" s="1" t="s">
        <v>371</v>
      </c>
      <c r="B231" s="292"/>
      <c r="C231" s="304" t="e">
        <f>SUM(C216:C218)</f>
        <v>#REF!</v>
      </c>
      <c r="D231" s="304">
        <v>505220047.82638693</v>
      </c>
      <c r="E231" s="315"/>
      <c r="F231" s="2"/>
      <c r="G231" s="2" t="e">
        <f>SUM(G211:G230)</f>
        <v>#REF!</v>
      </c>
      <c r="H231" s="2" t="e">
        <f>SUM(H211:H230)</f>
        <v>#REF!</v>
      </c>
      <c r="I231" s="315"/>
      <c r="J231" s="308"/>
      <c r="K231" s="2" t="e">
        <f>SUM(K211:K230)</f>
        <v>#REF!</v>
      </c>
      <c r="M231" s="401"/>
      <c r="N231" s="401"/>
      <c r="O231" s="74"/>
      <c r="P231" s="74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E231" s="84"/>
    </row>
    <row r="232" spans="1:31">
      <c r="A232" s="1" t="s">
        <v>353</v>
      </c>
      <c r="B232" s="1"/>
      <c r="C232" s="334" t="e">
        <f>#REF!</f>
        <v>#REF!</v>
      </c>
      <c r="D232" s="325">
        <v>0</v>
      </c>
      <c r="E232" s="294"/>
      <c r="F232" s="294"/>
      <c r="G232" s="326" t="e">
        <f>#REF!</f>
        <v>#REF!</v>
      </c>
      <c r="H232" s="326">
        <v>0</v>
      </c>
      <c r="I232" s="294"/>
      <c r="J232" s="294"/>
      <c r="K232" s="326" t="e">
        <f>G232</f>
        <v>#REF!</v>
      </c>
      <c r="M232" s="429"/>
      <c r="N232" s="429"/>
      <c r="O232" s="272"/>
      <c r="P232" s="74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E232" s="84"/>
    </row>
    <row r="233" spans="1:31" ht="16.5" thickBot="1">
      <c r="A233" s="1" t="s">
        <v>372</v>
      </c>
      <c r="B233" s="1"/>
      <c r="C233" s="296" t="e">
        <f>SUM(C231:C232)</f>
        <v>#REF!</v>
      </c>
      <c r="D233" s="296">
        <f>SUM(D231:D232)</f>
        <v>505220047.82638693</v>
      </c>
      <c r="E233" s="327"/>
      <c r="F233" s="328"/>
      <c r="G233" s="329" t="e">
        <f>G231+G232</f>
        <v>#REF!</v>
      </c>
      <c r="H233" s="329" t="e">
        <f>H231+H232</f>
        <v>#REF!</v>
      </c>
      <c r="I233" s="327"/>
      <c r="J233" s="330"/>
      <c r="K233" s="329" t="e">
        <f>K231+K232</f>
        <v>#REF!</v>
      </c>
      <c r="M233" s="396"/>
      <c r="N233" s="396"/>
      <c r="O233" s="455"/>
      <c r="P233" s="74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E233" s="84"/>
    </row>
    <row r="234" spans="1:31" ht="16.5" thickTop="1">
      <c r="A234" s="1"/>
      <c r="B234" s="1"/>
      <c r="C234" s="21"/>
      <c r="D234" s="21"/>
      <c r="E234" s="322"/>
      <c r="F234" s="2"/>
      <c r="G234" s="2"/>
      <c r="H234" s="2"/>
      <c r="I234" s="322"/>
      <c r="J234" s="1"/>
      <c r="K234" s="2" t="s">
        <v>31</v>
      </c>
      <c r="M234" s="20"/>
      <c r="N234" s="20"/>
      <c r="O234" s="74"/>
      <c r="P234" s="74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E234" s="84"/>
    </row>
    <row r="235" spans="1:31">
      <c r="A235" s="278" t="s">
        <v>377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M235" s="20"/>
      <c r="N235" s="20"/>
      <c r="O235" s="74"/>
      <c r="P235" s="74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E235" s="84"/>
    </row>
    <row r="236" spans="1:31">
      <c r="A236" s="1" t="s">
        <v>404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M236" s="20"/>
      <c r="N236" s="20"/>
      <c r="O236" s="74"/>
      <c r="P236" s="74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20"/>
      <c r="N237" s="20"/>
      <c r="O237" s="74"/>
      <c r="P237" s="74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E237" s="84"/>
    </row>
    <row r="238" spans="1:31">
      <c r="A238" s="1" t="s">
        <v>383</v>
      </c>
      <c r="B238" s="1"/>
      <c r="C238" s="304"/>
      <c r="D238" s="304"/>
      <c r="E238" s="2"/>
      <c r="F238" s="2"/>
      <c r="G238" s="1"/>
      <c r="H238" s="1"/>
      <c r="I238" s="2"/>
      <c r="J238" s="1"/>
      <c r="K238" s="1"/>
      <c r="M238" s="20"/>
      <c r="N238" s="20"/>
      <c r="O238" s="74"/>
      <c r="P238" s="74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E238" s="84"/>
    </row>
    <row r="239" spans="1:31">
      <c r="A239" s="1" t="s">
        <v>380</v>
      </c>
      <c r="B239" s="1"/>
      <c r="C239" s="304">
        <f>564+1748</f>
        <v>2312</v>
      </c>
      <c r="D239" s="304">
        <f>ROUND(($D$242/'Billing Determinants (2)'!$C$242)*C239,0)</f>
        <v>2307</v>
      </c>
      <c r="E239" s="283">
        <f>$E$153</f>
        <v>7.53</v>
      </c>
      <c r="F239" s="306"/>
      <c r="G239" s="2">
        <f>ROUND(E239*$C239,0)</f>
        <v>17409</v>
      </c>
      <c r="H239" s="2">
        <f>ROUND(E239*$D239,0)</f>
        <v>17372</v>
      </c>
      <c r="I239" s="283">
        <f>$I$153</f>
        <v>8</v>
      </c>
      <c r="J239" s="308"/>
      <c r="K239" s="2">
        <f>ROUND(I239*$C239,0)</f>
        <v>18496</v>
      </c>
      <c r="M239" s="20"/>
      <c r="N239" s="20"/>
      <c r="O239" s="74"/>
      <c r="P239" s="74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E239" s="84"/>
    </row>
    <row r="240" spans="1:31">
      <c r="A240" s="1" t="s">
        <v>381</v>
      </c>
      <c r="B240" s="1"/>
      <c r="C240" s="304">
        <f>690+2733</f>
        <v>3423</v>
      </c>
      <c r="D240" s="304">
        <f>ROUND(($D$242/'Billing Determinants (2)'!$C$242)*C240,0)</f>
        <v>3416</v>
      </c>
      <c r="E240" s="283">
        <f>$E$154</f>
        <v>11.18</v>
      </c>
      <c r="F240" s="309"/>
      <c r="G240" s="2">
        <f>ROUND(E240*$C240,0)</f>
        <v>38269</v>
      </c>
      <c r="H240" s="2">
        <f>ROUND(E240*$D240,0)</f>
        <v>38191</v>
      </c>
      <c r="I240" s="283">
        <f>$I$154</f>
        <v>11.877822045152721</v>
      </c>
      <c r="J240" s="310"/>
      <c r="K240" s="2">
        <f>ROUND(I240*$C240,0)</f>
        <v>40658</v>
      </c>
      <c r="M240" s="20"/>
      <c r="N240" s="20"/>
      <c r="O240" s="74"/>
      <c r="P240" s="74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E240" s="84"/>
    </row>
    <row r="241" spans="1:31">
      <c r="A241" s="1" t="s">
        <v>382</v>
      </c>
      <c r="B241" s="1"/>
      <c r="C241" s="304">
        <f>878+12793+3580+59407</f>
        <v>76658</v>
      </c>
      <c r="D241" s="304">
        <f>ROUND(($D$259/$C$259)*C241,0)</f>
        <v>86045</v>
      </c>
      <c r="E241" s="283">
        <f>$E$155</f>
        <v>0.78</v>
      </c>
      <c r="F241" s="309"/>
      <c r="G241" s="2">
        <f>ROUND(E241*$C241,0)</f>
        <v>59793</v>
      </c>
      <c r="H241" s="2">
        <f>ROUND(E241*$D241,0)</f>
        <v>67115</v>
      </c>
      <c r="I241" s="283">
        <f>$I$155</f>
        <v>0.83</v>
      </c>
      <c r="J241" s="310"/>
      <c r="K241" s="2">
        <f>ROUND(I241*$C241,0)</f>
        <v>63626</v>
      </c>
      <c r="M241" s="20"/>
      <c r="N241" s="20"/>
      <c r="O241" s="74"/>
      <c r="P241" s="74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E241" s="84"/>
    </row>
    <row r="242" spans="1:31">
      <c r="A242" s="1" t="s">
        <v>384</v>
      </c>
      <c r="B242" s="1"/>
      <c r="C242" s="304">
        <f>SUM(C239:C240)</f>
        <v>5735</v>
      </c>
      <c r="D242" s="304">
        <v>5723</v>
      </c>
      <c r="E242" s="283"/>
      <c r="F242" s="306"/>
      <c r="G242" s="2"/>
      <c r="H242" s="2"/>
      <c r="I242" s="283"/>
      <c r="J242" s="308"/>
      <c r="K242" s="2"/>
      <c r="M242" s="20"/>
      <c r="N242" s="20"/>
      <c r="O242" s="74"/>
      <c r="P242" s="74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E242" s="84"/>
    </row>
    <row r="243" spans="1:31">
      <c r="A243" s="1" t="s">
        <v>385</v>
      </c>
      <c r="B243" s="1"/>
      <c r="C243" s="304">
        <f>571+5841+2000+36248</f>
        <v>44660</v>
      </c>
      <c r="D243" s="304">
        <f>ROUND(($D$259/$C$259)*C243,0)</f>
        <v>50129</v>
      </c>
      <c r="E243" s="311">
        <f>$E$158</f>
        <v>2.88</v>
      </c>
      <c r="F243" s="308"/>
      <c r="G243" s="2">
        <f>ROUND(E243*$C243,0)</f>
        <v>128621</v>
      </c>
      <c r="H243" s="2">
        <f>ROUND(E243*$D243,0)</f>
        <v>144372</v>
      </c>
      <c r="I243" s="311">
        <f>$I$158</f>
        <v>2.97</v>
      </c>
      <c r="J243" s="308"/>
      <c r="K243" s="2">
        <f>ROUND(I243*$C243,0)</f>
        <v>132640</v>
      </c>
      <c r="M243" s="20"/>
      <c r="N243" s="20"/>
      <c r="O243" s="74"/>
      <c r="P243" s="74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E243" s="84"/>
    </row>
    <row r="244" spans="1:31">
      <c r="A244" s="1" t="s">
        <v>387</v>
      </c>
      <c r="B244" s="1"/>
      <c r="C244" s="304">
        <f>194181+404382+1030706+2158260</f>
        <v>3787529</v>
      </c>
      <c r="D244" s="304">
        <f>ROUND(($D$259/$C$259)*C244,0)</f>
        <v>4251317</v>
      </c>
      <c r="E244" s="284">
        <f>$E$159</f>
        <v>8.0890000000000004</v>
      </c>
      <c r="F244" s="308" t="s">
        <v>364</v>
      </c>
      <c r="G244" s="2">
        <f>ROUND(E244*$C244/100,0)</f>
        <v>306373</v>
      </c>
      <c r="H244" s="2">
        <f>ROUND(E244*$D244/100,0)</f>
        <v>343889</v>
      </c>
      <c r="I244" s="284">
        <f>$I$159</f>
        <v>8.8109999999999999</v>
      </c>
      <c r="J244" s="308" t="s">
        <v>364</v>
      </c>
      <c r="K244" s="2">
        <f>ROUND(I244*$C244/100,0)</f>
        <v>333719</v>
      </c>
      <c r="M244" s="20"/>
      <c r="N244" s="20"/>
      <c r="O244" s="74"/>
      <c r="P244" s="74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E244" s="84"/>
    </row>
    <row r="245" spans="1:31">
      <c r="A245" s="1" t="s">
        <v>388</v>
      </c>
      <c r="B245" s="1"/>
      <c r="C245" s="304">
        <f>303929+1124643+1689326+8117436</f>
        <v>11235334</v>
      </c>
      <c r="D245" s="304">
        <f>ROUND(($D$259/$C$259)*C245,0)</f>
        <v>12611116</v>
      </c>
      <c r="E245" s="284">
        <f>$E$160</f>
        <v>5.5839999999999996</v>
      </c>
      <c r="F245" s="308" t="s">
        <v>364</v>
      </c>
      <c r="G245" s="2">
        <f>ROUND(E245*$C245/100,0)</f>
        <v>627381</v>
      </c>
      <c r="H245" s="2">
        <f>ROUND(E245*$D245/100,0)</f>
        <v>704205</v>
      </c>
      <c r="I245" s="284">
        <f>$I$160</f>
        <v>6.0819999999999999</v>
      </c>
      <c r="J245" s="308" t="s">
        <v>364</v>
      </c>
      <c r="K245" s="2">
        <f>ROUND(I245*$C245/100,0)</f>
        <v>683333</v>
      </c>
      <c r="M245" s="20"/>
      <c r="N245" s="20"/>
      <c r="O245" s="74"/>
      <c r="P245" s="74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E245" s="84"/>
    </row>
    <row r="246" spans="1:31">
      <c r="A246" s="1" t="s">
        <v>389</v>
      </c>
      <c r="B246" s="1"/>
      <c r="C246" s="304">
        <f>570154+2394034+2847736+14349793-C245-C244</f>
        <v>5138854</v>
      </c>
      <c r="D246" s="304">
        <f>ROUND(($D$259/$C$259)*C246,0)</f>
        <v>5768114</v>
      </c>
      <c r="E246" s="284">
        <f>$E$161</f>
        <v>4.8099999999999996</v>
      </c>
      <c r="F246" s="308" t="s">
        <v>364</v>
      </c>
      <c r="G246" s="2">
        <f>ROUND(E246*$C246/100,0)</f>
        <v>247179</v>
      </c>
      <c r="H246" s="2">
        <f>ROUND(E246*$D246/100,0)</f>
        <v>277446</v>
      </c>
      <c r="I246" s="284">
        <f>$I$161</f>
        <v>5.24</v>
      </c>
      <c r="J246" s="308" t="s">
        <v>364</v>
      </c>
      <c r="K246" s="2">
        <f>ROUND(I246*$C246/100,0)</f>
        <v>269276</v>
      </c>
      <c r="M246" s="20"/>
      <c r="N246" s="20"/>
      <c r="O246" s="74"/>
      <c r="P246" s="74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E246" s="84"/>
    </row>
    <row r="247" spans="1:31">
      <c r="A247" s="1" t="s">
        <v>390</v>
      </c>
      <c r="B247" s="1"/>
      <c r="C247" s="304">
        <f>2748+11933</f>
        <v>14681</v>
      </c>
      <c r="D247" s="304">
        <f>ROUND(($D$259/$C$259)*C247,0)</f>
        <v>16479</v>
      </c>
      <c r="E247" s="315">
        <f>$E$162</f>
        <v>45</v>
      </c>
      <c r="F247" s="306" t="s">
        <v>364</v>
      </c>
      <c r="G247" s="2">
        <f>ROUND(E247*$C247/100,0)</f>
        <v>6606</v>
      </c>
      <c r="H247" s="2">
        <f>ROUND(E247*$D247/100,0)</f>
        <v>7416</v>
      </c>
      <c r="I247" s="315">
        <f>$I$162</f>
        <v>50</v>
      </c>
      <c r="J247" s="308" t="s">
        <v>364</v>
      </c>
      <c r="K247" s="2">
        <f>ROUND(I247*$C247/100,0)</f>
        <v>7341</v>
      </c>
      <c r="M247" s="20"/>
      <c r="N247" s="20"/>
      <c r="O247" s="74"/>
      <c r="P247" s="74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E247" s="84"/>
    </row>
    <row r="248" spans="1:31">
      <c r="A248" s="316" t="s">
        <v>391</v>
      </c>
      <c r="B248" s="1"/>
      <c r="C248" s="304"/>
      <c r="D248" s="304"/>
      <c r="E248" s="317">
        <v>-0.01</v>
      </c>
      <c r="F248" s="306"/>
      <c r="G248" s="2"/>
      <c r="H248" s="2"/>
      <c r="I248" s="317">
        <v>-0.01</v>
      </c>
      <c r="J248" s="308"/>
      <c r="K248" s="2"/>
      <c r="M248" s="20"/>
      <c r="N248" s="20"/>
      <c r="O248" s="74"/>
      <c r="P248" s="74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E248" s="84"/>
    </row>
    <row r="249" spans="1:31">
      <c r="A249" s="1" t="s">
        <v>380</v>
      </c>
      <c r="B249" s="1"/>
      <c r="C249" s="304">
        <v>0</v>
      </c>
      <c r="D249" s="304">
        <f t="shared" ref="D249:D258" si="23">ROUND(($D$259/$C$259)*C249,0)</f>
        <v>0</v>
      </c>
      <c r="E249" s="319">
        <f>E239</f>
        <v>7.53</v>
      </c>
      <c r="F249" s="306"/>
      <c r="G249" s="2">
        <f>-ROUND(E249*$C249/100,0)</f>
        <v>0</v>
      </c>
      <c r="H249" s="2">
        <f>-ROUND(E249*$D249/100,0)</f>
        <v>0</v>
      </c>
      <c r="I249" s="319">
        <f>I239</f>
        <v>8</v>
      </c>
      <c r="J249" s="306"/>
      <c r="K249" s="2">
        <f>-ROUND(I249*$C249/100,0)</f>
        <v>0</v>
      </c>
      <c r="M249" s="20"/>
      <c r="N249" s="20"/>
      <c r="O249" s="74"/>
      <c r="P249" s="74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E249" s="84"/>
    </row>
    <row r="250" spans="1:31">
      <c r="A250" s="1" t="s">
        <v>381</v>
      </c>
      <c r="B250" s="1"/>
      <c r="C250" s="304">
        <v>0</v>
      </c>
      <c r="D250" s="304">
        <f t="shared" si="23"/>
        <v>0</v>
      </c>
      <c r="E250" s="319">
        <f>E240</f>
        <v>11.18</v>
      </c>
      <c r="F250" s="306"/>
      <c r="G250" s="2">
        <f>-ROUND(E250*$C250/100,0)</f>
        <v>0</v>
      </c>
      <c r="H250" s="2">
        <f>-ROUND(E250*$D250/100,0)</f>
        <v>0</v>
      </c>
      <c r="I250" s="319">
        <f>I240</f>
        <v>11.877822045152721</v>
      </c>
      <c r="J250" s="306"/>
      <c r="K250" s="2">
        <f>-ROUND(I250*$C250/100,0)</f>
        <v>0</v>
      </c>
      <c r="M250" s="20"/>
      <c r="N250" s="20"/>
      <c r="O250" s="74"/>
      <c r="P250" s="74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E250" s="84"/>
    </row>
    <row r="251" spans="1:31">
      <c r="A251" s="1" t="s">
        <v>392</v>
      </c>
      <c r="B251" s="1"/>
      <c r="C251" s="304">
        <v>0</v>
      </c>
      <c r="D251" s="304">
        <f t="shared" si="23"/>
        <v>0</v>
      </c>
      <c r="E251" s="319">
        <f>E241</f>
        <v>0.78</v>
      </c>
      <c r="F251" s="306"/>
      <c r="G251" s="2">
        <f>-ROUND(E251*$C251/100,0)</f>
        <v>0</v>
      </c>
      <c r="H251" s="2">
        <f>-ROUND(E251*$D251/100,0)</f>
        <v>0</v>
      </c>
      <c r="I251" s="319">
        <f>I241</f>
        <v>0.83</v>
      </c>
      <c r="J251" s="306"/>
      <c r="K251" s="2">
        <f>-ROUND(I251*$C251/100,0)</f>
        <v>0</v>
      </c>
      <c r="M251" s="20"/>
      <c r="N251" s="20"/>
      <c r="O251" s="74"/>
      <c r="P251" s="74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E251" s="84"/>
    </row>
    <row r="252" spans="1:31">
      <c r="A252" s="1" t="s">
        <v>393</v>
      </c>
      <c r="B252" s="1"/>
      <c r="C252" s="304">
        <v>0</v>
      </c>
      <c r="D252" s="304">
        <f t="shared" si="23"/>
        <v>0</v>
      </c>
      <c r="E252" s="319">
        <f>E243</f>
        <v>2.88</v>
      </c>
      <c r="F252" s="308"/>
      <c r="G252" s="2">
        <f>-ROUND(E252*$C252/100,0)</f>
        <v>0</v>
      </c>
      <c r="H252" s="2">
        <f>-ROUND(E252*$D252/100,0)</f>
        <v>0</v>
      </c>
      <c r="I252" s="319">
        <f>I243</f>
        <v>2.97</v>
      </c>
      <c r="J252" s="308"/>
      <c r="K252" s="2">
        <f>-ROUND(I252*$C252/100,0)</f>
        <v>0</v>
      </c>
      <c r="M252" s="20"/>
      <c r="N252" s="20"/>
      <c r="O252" s="74"/>
      <c r="P252" s="74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E252" s="84"/>
    </row>
    <row r="253" spans="1:31">
      <c r="A253" s="1" t="s">
        <v>395</v>
      </c>
      <c r="B253" s="1"/>
      <c r="C253" s="304">
        <v>0</v>
      </c>
      <c r="D253" s="304">
        <f t="shared" si="23"/>
        <v>0</v>
      </c>
      <c r="E253" s="320">
        <f>E244</f>
        <v>8.0890000000000004</v>
      </c>
      <c r="F253" s="308" t="s">
        <v>364</v>
      </c>
      <c r="G253" s="2">
        <f>ROUND(E253*$C253/100*E248,0)</f>
        <v>0</v>
      </c>
      <c r="H253" s="2">
        <f>ROUND(E253*$D253/100*E248,0)</f>
        <v>0</v>
      </c>
      <c r="I253" s="320">
        <f>I244</f>
        <v>8.8109999999999999</v>
      </c>
      <c r="J253" s="308" t="s">
        <v>364</v>
      </c>
      <c r="K253" s="2">
        <f>ROUND(I253*$C253/100*I248,0)</f>
        <v>0</v>
      </c>
      <c r="M253" s="20"/>
      <c r="N253" s="20"/>
      <c r="O253" s="74"/>
      <c r="P253" s="74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E253" s="84"/>
    </row>
    <row r="254" spans="1:31">
      <c r="A254" s="1" t="s">
        <v>388</v>
      </c>
      <c r="B254" s="1"/>
      <c r="C254" s="304">
        <v>0</v>
      </c>
      <c r="D254" s="304">
        <f t="shared" si="23"/>
        <v>0</v>
      </c>
      <c r="E254" s="320">
        <f>E245</f>
        <v>5.5839999999999996</v>
      </c>
      <c r="F254" s="308" t="s">
        <v>364</v>
      </c>
      <c r="G254" s="2">
        <f>ROUND(E254*$C254/100*E248,0)</f>
        <v>0</v>
      </c>
      <c r="H254" s="2">
        <f>ROUND(E254*$D254/100*E248,0)</f>
        <v>0</v>
      </c>
      <c r="I254" s="320">
        <f>I245</f>
        <v>6.0819999999999999</v>
      </c>
      <c r="J254" s="308" t="s">
        <v>364</v>
      </c>
      <c r="K254" s="2">
        <f>ROUND(I254*$C254/100*I248,0)</f>
        <v>0</v>
      </c>
      <c r="M254" s="20"/>
      <c r="N254" s="20"/>
      <c r="O254" s="74"/>
      <c r="P254" s="74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E254" s="84"/>
    </row>
    <row r="255" spans="1:31">
      <c r="A255" s="1" t="s">
        <v>389</v>
      </c>
      <c r="B255" s="1"/>
      <c r="C255" s="304">
        <v>0</v>
      </c>
      <c r="D255" s="304">
        <f t="shared" si="23"/>
        <v>0</v>
      </c>
      <c r="E255" s="320">
        <f>E246</f>
        <v>4.8099999999999996</v>
      </c>
      <c r="F255" s="308" t="s">
        <v>364</v>
      </c>
      <c r="G255" s="2">
        <f>ROUND(E255*$C255/100*E248,0)</f>
        <v>0</v>
      </c>
      <c r="H255" s="2">
        <f>ROUND(E255*$D255/100*E248,0)</f>
        <v>0</v>
      </c>
      <c r="I255" s="320">
        <f>I246</f>
        <v>5.24</v>
      </c>
      <c r="J255" s="308" t="s">
        <v>364</v>
      </c>
      <c r="K255" s="2">
        <f>ROUND(I255*$C255/100*I248,0)</f>
        <v>0</v>
      </c>
      <c r="M255" s="20"/>
      <c r="N255" s="20"/>
      <c r="O255" s="74"/>
      <c r="P255" s="74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E255" s="84"/>
    </row>
    <row r="256" spans="1:31">
      <c r="A256" s="1" t="s">
        <v>390</v>
      </c>
      <c r="B256" s="1"/>
      <c r="C256" s="304">
        <v>0</v>
      </c>
      <c r="D256" s="304">
        <f t="shared" si="23"/>
        <v>0</v>
      </c>
      <c r="E256" s="321">
        <f>E247</f>
        <v>45</v>
      </c>
      <c r="F256" s="308" t="s">
        <v>364</v>
      </c>
      <c r="G256" s="2">
        <f>ROUND(E256*$C256/100*E248,0)</f>
        <v>0</v>
      </c>
      <c r="H256" s="2">
        <f>ROUND(E256*$D256/100*E248,0)</f>
        <v>0</v>
      </c>
      <c r="I256" s="321">
        <f>I247</f>
        <v>50</v>
      </c>
      <c r="J256" s="308" t="s">
        <v>364</v>
      </c>
      <c r="K256" s="2">
        <f>ROUND(I256*$C256/100*I248,0)</f>
        <v>0</v>
      </c>
      <c r="M256" s="20"/>
      <c r="N256" s="20"/>
      <c r="O256" s="74"/>
      <c r="P256" s="74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E256" s="84"/>
    </row>
    <row r="257" spans="1:31">
      <c r="A257" s="1" t="s">
        <v>397</v>
      </c>
      <c r="B257" s="1"/>
      <c r="C257" s="304">
        <v>0</v>
      </c>
      <c r="D257" s="304">
        <f t="shared" si="23"/>
        <v>0</v>
      </c>
      <c r="E257" s="322">
        <f>$E$172</f>
        <v>60</v>
      </c>
      <c r="F257" s="306"/>
      <c r="G257" s="2">
        <f>ROUND(E257*$C257,0)</f>
        <v>0</v>
      </c>
      <c r="H257" s="2">
        <f>ROUND(E257*$D257,0)</f>
        <v>0</v>
      </c>
      <c r="I257" s="322">
        <f>$I$172</f>
        <v>60</v>
      </c>
      <c r="J257" s="308"/>
      <c r="K257" s="2">
        <f>ROUND(I257*$C257,0)</f>
        <v>0</v>
      </c>
      <c r="M257" s="20"/>
      <c r="N257" s="20"/>
      <c r="O257" s="74"/>
      <c r="P257" s="74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E257" s="84"/>
    </row>
    <row r="258" spans="1:31">
      <c r="A258" s="1" t="s">
        <v>398</v>
      </c>
      <c r="B258" s="1"/>
      <c r="C258" s="304">
        <v>0</v>
      </c>
      <c r="D258" s="304">
        <f t="shared" si="23"/>
        <v>0</v>
      </c>
      <c r="E258" s="324">
        <f>$E$173</f>
        <v>-30</v>
      </c>
      <c r="F258" s="306" t="s">
        <v>364</v>
      </c>
      <c r="G258" s="2">
        <f>ROUND(E258*$C258/100,0)</f>
        <v>0</v>
      </c>
      <c r="H258" s="2">
        <f>ROUND(E258*$D258/100,0)</f>
        <v>0</v>
      </c>
      <c r="I258" s="324">
        <f>$I$173</f>
        <v>-30</v>
      </c>
      <c r="J258" s="308" t="s">
        <v>364</v>
      </c>
      <c r="K258" s="2">
        <f>ROUND(I258*$C258/100,0)</f>
        <v>0</v>
      </c>
      <c r="M258" s="20"/>
      <c r="N258" s="20"/>
      <c r="O258" s="74"/>
      <c r="P258" s="74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E258" s="84"/>
    </row>
    <row r="259" spans="1:31">
      <c r="A259" s="1" t="s">
        <v>371</v>
      </c>
      <c r="B259" s="1"/>
      <c r="C259" s="304">
        <f>SUM(C244:C246)</f>
        <v>20161717</v>
      </c>
      <c r="D259" s="304">
        <v>22630547.415536091</v>
      </c>
      <c r="E259" s="315"/>
      <c r="F259" s="2"/>
      <c r="G259" s="2">
        <f>SUM(G239:G258)</f>
        <v>1431631</v>
      </c>
      <c r="H259" s="2">
        <f>SUM(H239:H258)</f>
        <v>1600006</v>
      </c>
      <c r="I259" s="315"/>
      <c r="J259" s="308"/>
      <c r="K259" s="2">
        <f>SUM(K239:K258)</f>
        <v>1549089</v>
      </c>
      <c r="M259" s="20"/>
      <c r="N259" s="20"/>
      <c r="O259" s="74"/>
      <c r="P259" s="74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E259" s="84"/>
    </row>
    <row r="260" spans="1:31">
      <c r="A260" s="1" t="s">
        <v>353</v>
      </c>
      <c r="B260" s="1"/>
      <c r="C260" s="334" t="e">
        <f>#REF!</f>
        <v>#REF!</v>
      </c>
      <c r="D260" s="325">
        <v>0</v>
      </c>
      <c r="E260" s="294"/>
      <c r="F260" s="294"/>
      <c r="G260" s="326" t="e">
        <f>#REF!</f>
        <v>#REF!</v>
      </c>
      <c r="H260" s="326">
        <v>0</v>
      </c>
      <c r="I260" s="294"/>
      <c r="J260" s="294"/>
      <c r="K260" s="326" t="e">
        <f>G260</f>
        <v>#REF!</v>
      </c>
      <c r="M260" s="429"/>
      <c r="N260" s="429"/>
      <c r="O260" s="272"/>
      <c r="P260" s="74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E260" s="84"/>
    </row>
    <row r="261" spans="1:31" ht="16.5" thickBot="1">
      <c r="A261" s="1" t="s">
        <v>372</v>
      </c>
      <c r="B261" s="1"/>
      <c r="C261" s="296" t="e">
        <f>SUM(C259:C260)</f>
        <v>#REF!</v>
      </c>
      <c r="D261" s="296">
        <f>SUM(D259:D260)</f>
        <v>22630547.415536091</v>
      </c>
      <c r="E261" s="327"/>
      <c r="F261" s="328"/>
      <c r="G261" s="329" t="e">
        <f>G259+G260</f>
        <v>#REF!</v>
      </c>
      <c r="H261" s="329">
        <f>H259+H260</f>
        <v>1600006</v>
      </c>
      <c r="I261" s="327"/>
      <c r="J261" s="330"/>
      <c r="K261" s="329" t="e">
        <f>K259+K260</f>
        <v>#REF!</v>
      </c>
      <c r="M261" s="396"/>
      <c r="N261" s="396"/>
      <c r="O261" s="455"/>
      <c r="P261" s="74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E261" s="84"/>
    </row>
    <row r="262" spans="1:31" ht="16.5" thickTop="1">
      <c r="A262" s="1"/>
      <c r="B262" s="1"/>
      <c r="C262" s="335"/>
      <c r="D262" s="335"/>
      <c r="E262" s="336"/>
      <c r="F262" s="337"/>
      <c r="G262" s="307"/>
      <c r="H262" s="307"/>
      <c r="I262" s="336"/>
      <c r="J262" s="23"/>
      <c r="K262" s="307"/>
      <c r="M262" s="20"/>
      <c r="N262" s="20"/>
      <c r="O262" s="74"/>
      <c r="P262" s="74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E262" s="84"/>
    </row>
    <row r="263" spans="1:31">
      <c r="A263" s="278" t="s">
        <v>405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M263" s="20"/>
      <c r="N263" s="20"/>
      <c r="O263" s="74"/>
      <c r="P263" s="7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E263" s="84"/>
    </row>
    <row r="264" spans="1:31">
      <c r="A264" s="1" t="s">
        <v>400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20"/>
      <c r="N264" s="20"/>
      <c r="O264" s="74"/>
      <c r="P264" s="74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20"/>
      <c r="N265" s="20"/>
      <c r="O265" s="74"/>
      <c r="P265" s="74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E265" s="84"/>
    </row>
    <row r="266" spans="1:31">
      <c r="A266" s="1" t="s">
        <v>383</v>
      </c>
      <c r="B266" s="1"/>
      <c r="C266" s="304"/>
      <c r="D266" s="304"/>
      <c r="E266" s="2"/>
      <c r="F266" s="2"/>
      <c r="G266" s="1"/>
      <c r="H266" s="1"/>
      <c r="I266" s="2"/>
      <c r="J266" s="1"/>
      <c r="K266" s="1"/>
      <c r="M266" s="20"/>
      <c r="N266" s="20"/>
      <c r="O266" s="74"/>
      <c r="P266" s="74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E266" s="84"/>
    </row>
    <row r="267" spans="1:31">
      <c r="A267" s="1" t="s">
        <v>406</v>
      </c>
      <c r="B267" s="1"/>
      <c r="C267" s="304">
        <f t="shared" ref="C267:D269" si="24">C296+C325</f>
        <v>4924</v>
      </c>
      <c r="D267" s="304">
        <f t="shared" si="24"/>
        <v>4913</v>
      </c>
      <c r="E267" s="283">
        <f>$E$153</f>
        <v>7.53</v>
      </c>
      <c r="F267" s="306"/>
      <c r="G267" s="2">
        <f t="shared" ref="G267:H269" si="25">G296+G325</f>
        <v>37077</v>
      </c>
      <c r="H267" s="2">
        <f t="shared" si="25"/>
        <v>36994</v>
      </c>
      <c r="I267" s="283">
        <f>$I$153</f>
        <v>8</v>
      </c>
      <c r="J267" s="308"/>
      <c r="K267" s="2">
        <f>K296+K325</f>
        <v>39392</v>
      </c>
      <c r="M267" s="20"/>
      <c r="N267" s="20"/>
      <c r="O267" s="74"/>
      <c r="P267" s="74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E267" s="84"/>
    </row>
    <row r="268" spans="1:31">
      <c r="A268" s="1" t="s">
        <v>381</v>
      </c>
      <c r="B268" s="1"/>
      <c r="C268" s="304">
        <f t="shared" si="24"/>
        <v>0</v>
      </c>
      <c r="D268" s="304">
        <f t="shared" si="24"/>
        <v>0</v>
      </c>
      <c r="E268" s="283">
        <f>$E$154</f>
        <v>11.18</v>
      </c>
      <c r="F268" s="309"/>
      <c r="G268" s="2">
        <f t="shared" si="25"/>
        <v>0</v>
      </c>
      <c r="H268" s="2">
        <f t="shared" si="25"/>
        <v>0</v>
      </c>
      <c r="I268" s="283">
        <f>$I$154</f>
        <v>11.877822045152721</v>
      </c>
      <c r="J268" s="310"/>
      <c r="K268" s="2">
        <f>K297+K326</f>
        <v>0</v>
      </c>
      <c r="M268" s="20"/>
      <c r="N268" s="20"/>
      <c r="O268" s="74"/>
      <c r="P268" s="74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E268" s="84"/>
    </row>
    <row r="269" spans="1:31">
      <c r="A269" s="1" t="s">
        <v>382</v>
      </c>
      <c r="B269" s="1"/>
      <c r="C269" s="304">
        <f t="shared" si="24"/>
        <v>0</v>
      </c>
      <c r="D269" s="304">
        <f t="shared" si="24"/>
        <v>0</v>
      </c>
      <c r="E269" s="283">
        <f>$E$155</f>
        <v>0.78</v>
      </c>
      <c r="F269" s="309"/>
      <c r="G269" s="2">
        <f t="shared" si="25"/>
        <v>0</v>
      </c>
      <c r="H269" s="2">
        <f t="shared" si="25"/>
        <v>0</v>
      </c>
      <c r="I269" s="283">
        <f>$I$155</f>
        <v>0.83</v>
      </c>
      <c r="J269" s="310"/>
      <c r="K269" s="2">
        <f>K298+K327</f>
        <v>0</v>
      </c>
      <c r="M269" s="20"/>
      <c r="N269" s="20"/>
      <c r="O269" s="74"/>
      <c r="P269" s="74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E269" s="84"/>
    </row>
    <row r="270" spans="1:31">
      <c r="A270" s="1" t="s">
        <v>384</v>
      </c>
      <c r="B270" s="1"/>
      <c r="C270" s="304">
        <f>SUM(C267:C268)</f>
        <v>4924</v>
      </c>
      <c r="D270" s="304">
        <f>SUM(D267:D268)</f>
        <v>4913</v>
      </c>
      <c r="E270" s="283"/>
      <c r="F270" s="306"/>
      <c r="G270" s="2"/>
      <c r="H270" s="2"/>
      <c r="I270" s="283"/>
      <c r="J270" s="308"/>
      <c r="K270" s="2"/>
      <c r="M270" s="20"/>
      <c r="N270" s="20"/>
      <c r="O270" s="74"/>
      <c r="P270" s="74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E270" s="84"/>
    </row>
    <row r="271" spans="1:31">
      <c r="A271" s="1" t="s">
        <v>352</v>
      </c>
      <c r="B271" s="1"/>
      <c r="C271" s="304">
        <f t="shared" ref="C271:D276" si="26">C300+C329</f>
        <v>1621</v>
      </c>
      <c r="D271" s="304">
        <f t="shared" si="26"/>
        <v>1617</v>
      </c>
      <c r="E271" s="283"/>
      <c r="F271" s="306"/>
      <c r="G271" s="2"/>
      <c r="H271" s="2"/>
      <c r="I271" s="283"/>
      <c r="J271" s="308"/>
      <c r="K271" s="2"/>
      <c r="M271" s="20"/>
      <c r="N271" s="20"/>
      <c r="O271" s="74"/>
      <c r="P271" s="74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E271" s="84"/>
    </row>
    <row r="272" spans="1:31">
      <c r="A272" s="1" t="s">
        <v>385</v>
      </c>
      <c r="B272" s="1"/>
      <c r="C272" s="304">
        <f t="shared" si="26"/>
        <v>0</v>
      </c>
      <c r="D272" s="304">
        <f t="shared" si="26"/>
        <v>0</v>
      </c>
      <c r="E272" s="311">
        <f>$E$158</f>
        <v>2.88</v>
      </c>
      <c r="F272" s="308"/>
      <c r="G272" s="2">
        <f t="shared" ref="G272:H276" si="27">G301+G330</f>
        <v>0</v>
      </c>
      <c r="H272" s="2">
        <f t="shared" si="27"/>
        <v>0</v>
      </c>
      <c r="I272" s="311">
        <f>$I$158</f>
        <v>2.97</v>
      </c>
      <c r="J272" s="308"/>
      <c r="K272" s="2">
        <f>K301+K330</f>
        <v>0</v>
      </c>
      <c r="M272" s="20"/>
      <c r="N272" s="20"/>
      <c r="O272" s="74"/>
      <c r="P272" s="74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E272" s="84"/>
    </row>
    <row r="273" spans="1:31">
      <c r="A273" s="1" t="s">
        <v>387</v>
      </c>
      <c r="B273" s="1"/>
      <c r="C273" s="304">
        <f t="shared" si="26"/>
        <v>1398823</v>
      </c>
      <c r="D273" s="304">
        <f t="shared" si="26"/>
        <v>1445705</v>
      </c>
      <c r="E273" s="284">
        <f>$E$159</f>
        <v>8.0890000000000004</v>
      </c>
      <c r="F273" s="308" t="s">
        <v>364</v>
      </c>
      <c r="G273" s="2">
        <f t="shared" si="27"/>
        <v>113151</v>
      </c>
      <c r="H273" s="2">
        <f t="shared" si="27"/>
        <v>116943</v>
      </c>
      <c r="I273" s="284">
        <f>$I$159</f>
        <v>8.8109999999999999</v>
      </c>
      <c r="J273" s="308" t="s">
        <v>364</v>
      </c>
      <c r="K273" s="2">
        <f>K302+K331</f>
        <v>123250</v>
      </c>
      <c r="M273" s="20"/>
      <c r="N273" s="20"/>
      <c r="O273" s="74"/>
      <c r="P273" s="74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E273" s="84"/>
    </row>
    <row r="274" spans="1:31">
      <c r="A274" s="1" t="s">
        <v>388</v>
      </c>
      <c r="B274" s="1"/>
      <c r="C274" s="304">
        <f t="shared" si="26"/>
        <v>64813</v>
      </c>
      <c r="D274" s="304">
        <f t="shared" si="26"/>
        <v>66790</v>
      </c>
      <c r="E274" s="284">
        <f>$E$160</f>
        <v>5.5839999999999996</v>
      </c>
      <c r="F274" s="308" t="s">
        <v>364</v>
      </c>
      <c r="G274" s="2">
        <f t="shared" si="27"/>
        <v>3619</v>
      </c>
      <c r="H274" s="2">
        <f t="shared" si="27"/>
        <v>3730</v>
      </c>
      <c r="I274" s="284">
        <f>$I$160</f>
        <v>6.0819999999999999</v>
      </c>
      <c r="J274" s="308" t="s">
        <v>364</v>
      </c>
      <c r="K274" s="2">
        <f>K303+K332</f>
        <v>3942</v>
      </c>
      <c r="M274" s="20"/>
      <c r="N274" s="20"/>
      <c r="O274" s="74"/>
      <c r="P274" s="74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E274" s="84"/>
    </row>
    <row r="275" spans="1:31">
      <c r="A275" s="1" t="s">
        <v>389</v>
      </c>
      <c r="B275" s="1"/>
      <c r="C275" s="304">
        <f t="shared" si="26"/>
        <v>0</v>
      </c>
      <c r="D275" s="304">
        <f t="shared" si="26"/>
        <v>0</v>
      </c>
      <c r="E275" s="284">
        <f>$E$161</f>
        <v>4.8099999999999996</v>
      </c>
      <c r="F275" s="308" t="s">
        <v>364</v>
      </c>
      <c r="G275" s="2">
        <f t="shared" si="27"/>
        <v>0</v>
      </c>
      <c r="H275" s="2">
        <f t="shared" si="27"/>
        <v>0</v>
      </c>
      <c r="I275" s="284">
        <f>$I$161</f>
        <v>5.24</v>
      </c>
      <c r="J275" s="308" t="s">
        <v>364</v>
      </c>
      <c r="K275" s="2">
        <f>K304+K333</f>
        <v>0</v>
      </c>
      <c r="M275" s="20"/>
      <c r="N275" s="20"/>
      <c r="O275" s="74"/>
      <c r="P275" s="74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E275" s="84"/>
    </row>
    <row r="276" spans="1:31">
      <c r="A276" s="1" t="s">
        <v>390</v>
      </c>
      <c r="B276" s="1"/>
      <c r="C276" s="304">
        <f t="shared" si="26"/>
        <v>0</v>
      </c>
      <c r="D276" s="304">
        <f t="shared" si="26"/>
        <v>0</v>
      </c>
      <c r="E276" s="315">
        <f>$E$162</f>
        <v>45</v>
      </c>
      <c r="F276" s="306" t="s">
        <v>364</v>
      </c>
      <c r="G276" s="2">
        <f t="shared" si="27"/>
        <v>0</v>
      </c>
      <c r="H276" s="2">
        <f t="shared" si="27"/>
        <v>0</v>
      </c>
      <c r="I276" s="315">
        <f>$I$162</f>
        <v>50</v>
      </c>
      <c r="J276" s="308" t="s">
        <v>364</v>
      </c>
      <c r="K276" s="2">
        <f>K305+K334</f>
        <v>0</v>
      </c>
      <c r="M276" s="20"/>
      <c r="N276" s="20"/>
      <c r="O276" s="74"/>
      <c r="P276" s="74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E276" s="84"/>
    </row>
    <row r="277" spans="1:31">
      <c r="A277" s="316" t="s">
        <v>391</v>
      </c>
      <c r="B277" s="1"/>
      <c r="C277" s="304"/>
      <c r="D277" s="304"/>
      <c r="E277" s="317">
        <v>-0.01</v>
      </c>
      <c r="F277" s="306"/>
      <c r="G277" s="2"/>
      <c r="H277" s="2"/>
      <c r="I277" s="317">
        <v>-0.01</v>
      </c>
      <c r="J277" s="308"/>
      <c r="K277" s="2"/>
      <c r="M277" s="20"/>
      <c r="N277" s="20"/>
      <c r="O277" s="74"/>
      <c r="P277" s="74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E277" s="84"/>
    </row>
    <row r="278" spans="1:31">
      <c r="A278" s="1" t="s">
        <v>380</v>
      </c>
      <c r="B278" s="1"/>
      <c r="C278" s="304">
        <v>0</v>
      </c>
      <c r="D278" s="304">
        <v>0</v>
      </c>
      <c r="E278" s="319">
        <f>E267</f>
        <v>7.53</v>
      </c>
      <c r="F278" s="306"/>
      <c r="G278" s="2">
        <f t="shared" ref="G278:H289" si="28">G307+G336</f>
        <v>0</v>
      </c>
      <c r="H278" s="2">
        <f t="shared" si="28"/>
        <v>0</v>
      </c>
      <c r="I278" s="319">
        <f>I267</f>
        <v>8</v>
      </c>
      <c r="J278" s="306"/>
      <c r="K278" s="2">
        <f t="shared" ref="K278:K288" si="29">K307+K336</f>
        <v>0</v>
      </c>
      <c r="M278" s="20"/>
      <c r="N278" s="20"/>
      <c r="O278" s="74"/>
      <c r="P278" s="74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E278" s="84"/>
    </row>
    <row r="279" spans="1:31">
      <c r="A279" s="1" t="s">
        <v>381</v>
      </c>
      <c r="B279" s="1"/>
      <c r="C279" s="304">
        <v>0</v>
      </c>
      <c r="D279" s="304">
        <v>0</v>
      </c>
      <c r="E279" s="319">
        <f>E268</f>
        <v>11.18</v>
      </c>
      <c r="F279" s="306"/>
      <c r="G279" s="2">
        <f t="shared" si="28"/>
        <v>0</v>
      </c>
      <c r="H279" s="2">
        <f t="shared" si="28"/>
        <v>0</v>
      </c>
      <c r="I279" s="319">
        <f>I268</f>
        <v>11.877822045152721</v>
      </c>
      <c r="J279" s="306"/>
      <c r="K279" s="2">
        <f t="shared" si="29"/>
        <v>0</v>
      </c>
      <c r="M279" s="20"/>
      <c r="N279" s="20"/>
      <c r="O279" s="74"/>
      <c r="P279" s="74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E279" s="84"/>
    </row>
    <row r="280" spans="1:31">
      <c r="A280" s="1" t="s">
        <v>392</v>
      </c>
      <c r="B280" s="1"/>
      <c r="C280" s="304">
        <v>0</v>
      </c>
      <c r="D280" s="304">
        <v>0</v>
      </c>
      <c r="E280" s="319">
        <f>E269</f>
        <v>0.78</v>
      </c>
      <c r="F280" s="306"/>
      <c r="G280" s="2">
        <f t="shared" si="28"/>
        <v>0</v>
      </c>
      <c r="H280" s="2">
        <f t="shared" si="28"/>
        <v>0</v>
      </c>
      <c r="I280" s="319">
        <f>I269</f>
        <v>0.83</v>
      </c>
      <c r="J280" s="306"/>
      <c r="K280" s="2">
        <f t="shared" si="29"/>
        <v>0</v>
      </c>
      <c r="M280" s="20"/>
      <c r="N280" s="20"/>
      <c r="O280" s="74"/>
      <c r="P280" s="74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E280" s="84"/>
    </row>
    <row r="281" spans="1:31">
      <c r="A281" s="1" t="s">
        <v>393</v>
      </c>
      <c r="B281" s="1"/>
      <c r="C281" s="304">
        <v>0</v>
      </c>
      <c r="D281" s="304">
        <v>0</v>
      </c>
      <c r="E281" s="319">
        <f>E272</f>
        <v>2.88</v>
      </c>
      <c r="F281" s="308"/>
      <c r="G281" s="2">
        <f t="shared" si="28"/>
        <v>0</v>
      </c>
      <c r="H281" s="2">
        <f t="shared" si="28"/>
        <v>0</v>
      </c>
      <c r="I281" s="319">
        <f>I272</f>
        <v>2.97</v>
      </c>
      <c r="J281" s="308"/>
      <c r="K281" s="2">
        <f t="shared" si="29"/>
        <v>0</v>
      </c>
      <c r="M281" s="20"/>
      <c r="N281" s="20"/>
      <c r="O281" s="74"/>
      <c r="P281" s="74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E281" s="84"/>
    </row>
    <row r="282" spans="1:31">
      <c r="A282" s="1" t="s">
        <v>395</v>
      </c>
      <c r="B282" s="1"/>
      <c r="C282" s="304">
        <v>0</v>
      </c>
      <c r="D282" s="304">
        <v>0</v>
      </c>
      <c r="E282" s="320">
        <f>E273</f>
        <v>8.0890000000000004</v>
      </c>
      <c r="F282" s="308" t="s">
        <v>364</v>
      </c>
      <c r="G282" s="2">
        <f t="shared" si="28"/>
        <v>0</v>
      </c>
      <c r="H282" s="2">
        <f t="shared" si="28"/>
        <v>0</v>
      </c>
      <c r="I282" s="320">
        <f>I273</f>
        <v>8.8109999999999999</v>
      </c>
      <c r="J282" s="308" t="s">
        <v>364</v>
      </c>
      <c r="K282" s="2">
        <f t="shared" si="29"/>
        <v>0</v>
      </c>
      <c r="M282" s="20"/>
      <c r="N282" s="20"/>
      <c r="O282" s="74"/>
      <c r="P282" s="74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E282" s="84"/>
    </row>
    <row r="283" spans="1:31">
      <c r="A283" s="1" t="s">
        <v>388</v>
      </c>
      <c r="B283" s="1"/>
      <c r="C283" s="304">
        <v>0</v>
      </c>
      <c r="D283" s="304">
        <v>0</v>
      </c>
      <c r="E283" s="320">
        <f>E274</f>
        <v>5.5839999999999996</v>
      </c>
      <c r="F283" s="308" t="s">
        <v>364</v>
      </c>
      <c r="G283" s="2">
        <f t="shared" si="28"/>
        <v>0</v>
      </c>
      <c r="H283" s="2">
        <f t="shared" si="28"/>
        <v>0</v>
      </c>
      <c r="I283" s="320">
        <f>I274</f>
        <v>6.0819999999999999</v>
      </c>
      <c r="J283" s="308" t="s">
        <v>364</v>
      </c>
      <c r="K283" s="2">
        <f t="shared" si="29"/>
        <v>0</v>
      </c>
      <c r="M283" s="20"/>
      <c r="N283" s="20"/>
      <c r="O283" s="74"/>
      <c r="P283" s="74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E283" s="84"/>
    </row>
    <row r="284" spans="1:31">
      <c r="A284" s="1" t="s">
        <v>389</v>
      </c>
      <c r="B284" s="1"/>
      <c r="C284" s="304">
        <v>0</v>
      </c>
      <c r="D284" s="304">
        <v>0</v>
      </c>
      <c r="E284" s="320">
        <f>E275</f>
        <v>4.8099999999999996</v>
      </c>
      <c r="F284" s="308" t="s">
        <v>364</v>
      </c>
      <c r="G284" s="2">
        <f t="shared" si="28"/>
        <v>0</v>
      </c>
      <c r="H284" s="2">
        <f t="shared" si="28"/>
        <v>0</v>
      </c>
      <c r="I284" s="320">
        <f>I275</f>
        <v>5.24</v>
      </c>
      <c r="J284" s="308" t="s">
        <v>364</v>
      </c>
      <c r="K284" s="2">
        <f t="shared" si="29"/>
        <v>0</v>
      </c>
      <c r="M284" s="20"/>
      <c r="N284" s="20"/>
      <c r="O284" s="74"/>
      <c r="P284" s="74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E284" s="84"/>
    </row>
    <row r="285" spans="1:31">
      <c r="A285" s="1" t="s">
        <v>390</v>
      </c>
      <c r="B285" s="1"/>
      <c r="C285" s="304">
        <v>0</v>
      </c>
      <c r="D285" s="304">
        <v>0</v>
      </c>
      <c r="E285" s="321">
        <f>E276</f>
        <v>45</v>
      </c>
      <c r="F285" s="308" t="s">
        <v>364</v>
      </c>
      <c r="G285" s="2">
        <f t="shared" si="28"/>
        <v>0</v>
      </c>
      <c r="H285" s="2">
        <f t="shared" si="28"/>
        <v>0</v>
      </c>
      <c r="I285" s="321">
        <f>I276</f>
        <v>50</v>
      </c>
      <c r="J285" s="308" t="s">
        <v>364</v>
      </c>
      <c r="K285" s="2">
        <f t="shared" si="29"/>
        <v>0</v>
      </c>
      <c r="M285" s="20"/>
      <c r="N285" s="20"/>
      <c r="O285" s="74"/>
      <c r="P285" s="74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E285" s="84"/>
    </row>
    <row r="286" spans="1:31">
      <c r="A286" s="1" t="s">
        <v>397</v>
      </c>
      <c r="B286" s="1"/>
      <c r="C286" s="304">
        <v>0</v>
      </c>
      <c r="D286" s="304">
        <v>0</v>
      </c>
      <c r="E286" s="322">
        <f>$E$172</f>
        <v>60</v>
      </c>
      <c r="F286" s="306"/>
      <c r="G286" s="2">
        <f t="shared" si="28"/>
        <v>0</v>
      </c>
      <c r="H286" s="2">
        <f t="shared" si="28"/>
        <v>0</v>
      </c>
      <c r="I286" s="322">
        <f>$I$172</f>
        <v>60</v>
      </c>
      <c r="J286" s="308"/>
      <c r="K286" s="2">
        <f t="shared" si="29"/>
        <v>0</v>
      </c>
      <c r="M286" s="20"/>
      <c r="N286" s="20"/>
      <c r="O286" s="74"/>
      <c r="P286" s="74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E286" s="84"/>
    </row>
    <row r="287" spans="1:31">
      <c r="A287" s="1" t="s">
        <v>398</v>
      </c>
      <c r="B287" s="1"/>
      <c r="C287" s="304">
        <v>0</v>
      </c>
      <c r="D287" s="304">
        <v>0</v>
      </c>
      <c r="E287" s="324">
        <f>$E$173</f>
        <v>-30</v>
      </c>
      <c r="F287" s="306" t="s">
        <v>364</v>
      </c>
      <c r="G287" s="2">
        <f t="shared" si="28"/>
        <v>0</v>
      </c>
      <c r="H287" s="2">
        <f t="shared" si="28"/>
        <v>0</v>
      </c>
      <c r="I287" s="324">
        <f>$I$173</f>
        <v>-30</v>
      </c>
      <c r="J287" s="308" t="s">
        <v>364</v>
      </c>
      <c r="K287" s="2">
        <f t="shared" si="29"/>
        <v>0</v>
      </c>
      <c r="M287" s="20"/>
      <c r="N287" s="20"/>
      <c r="O287" s="74"/>
      <c r="P287" s="74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E287" s="84"/>
    </row>
    <row r="288" spans="1:31">
      <c r="A288" s="1" t="s">
        <v>371</v>
      </c>
      <c r="B288" s="1"/>
      <c r="C288" s="304">
        <f>C317+C346</f>
        <v>1463636</v>
      </c>
      <c r="D288" s="304">
        <f>D317+D346</f>
        <v>1512494.9193898283</v>
      </c>
      <c r="E288" s="315"/>
      <c r="F288" s="2"/>
      <c r="G288" s="2">
        <f t="shared" si="28"/>
        <v>153847</v>
      </c>
      <c r="H288" s="2">
        <f t="shared" si="28"/>
        <v>157667</v>
      </c>
      <c r="I288" s="315"/>
      <c r="J288" s="308"/>
      <c r="K288" s="2">
        <f t="shared" si="29"/>
        <v>166584</v>
      </c>
      <c r="M288" s="20"/>
      <c r="N288" s="20"/>
      <c r="O288" s="74"/>
      <c r="P288" s="74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E288" s="84"/>
    </row>
    <row r="289" spans="1:31">
      <c r="A289" s="1" t="s">
        <v>353</v>
      </c>
      <c r="B289" s="1"/>
      <c r="C289" s="325" t="e">
        <f>C318+C347</f>
        <v>#REF!</v>
      </c>
      <c r="D289" s="325">
        <f>D318+D347</f>
        <v>0</v>
      </c>
      <c r="E289" s="294"/>
      <c r="F289" s="294"/>
      <c r="G289" s="326" t="e">
        <f t="shared" si="28"/>
        <v>#REF!</v>
      </c>
      <c r="H289" s="326">
        <f t="shared" si="28"/>
        <v>0</v>
      </c>
      <c r="I289" s="294"/>
      <c r="J289" s="294"/>
      <c r="K289" s="326" t="e">
        <f>G289</f>
        <v>#REF!</v>
      </c>
      <c r="M289" s="429"/>
      <c r="N289" s="429"/>
      <c r="O289" s="272"/>
      <c r="P289" s="74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E289" s="84"/>
    </row>
    <row r="290" spans="1:31" ht="16.5" thickBot="1">
      <c r="A290" s="1" t="s">
        <v>372</v>
      </c>
      <c r="B290" s="1"/>
      <c r="C290" s="296" t="e">
        <f>SUM(C288:C289)</f>
        <v>#REF!</v>
      </c>
      <c r="D290" s="296">
        <f>SUM(D288:D289)</f>
        <v>1512494.9193898283</v>
      </c>
      <c r="E290" s="327"/>
      <c r="F290" s="328"/>
      <c r="G290" s="329" t="e">
        <f>G288+G289</f>
        <v>#REF!</v>
      </c>
      <c r="H290" s="329">
        <f>H288+H289</f>
        <v>157667</v>
      </c>
      <c r="I290" s="327"/>
      <c r="J290" s="330"/>
      <c r="K290" s="329" t="e">
        <f>K288+K289</f>
        <v>#REF!</v>
      </c>
      <c r="M290" s="396"/>
      <c r="N290" s="396"/>
      <c r="O290" s="455"/>
      <c r="P290" s="74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E290" s="84"/>
    </row>
    <row r="291" spans="1:31" ht="16.5" thickTop="1">
      <c r="A291" s="1"/>
      <c r="B291" s="1"/>
      <c r="C291" s="21"/>
      <c r="D291" s="21"/>
      <c r="E291" s="322"/>
      <c r="F291" s="2"/>
      <c r="G291" s="2"/>
      <c r="H291" s="2"/>
      <c r="I291" s="322"/>
      <c r="J291" s="1"/>
      <c r="K291" s="2" t="s">
        <v>31</v>
      </c>
      <c r="M291" s="20"/>
      <c r="N291" s="20"/>
      <c r="O291" s="74"/>
      <c r="P291" s="74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E291" s="84"/>
    </row>
    <row r="292" spans="1:31">
      <c r="A292" s="278" t="s">
        <v>405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M292" s="20"/>
      <c r="N292" s="20"/>
      <c r="O292" s="74"/>
      <c r="P292" s="74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E292" s="84"/>
    </row>
    <row r="293" spans="1:31">
      <c r="A293" s="1" t="s">
        <v>401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20"/>
      <c r="N293" s="20"/>
      <c r="O293" s="74"/>
      <c r="P293" s="74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20"/>
      <c r="N294" s="20"/>
      <c r="O294" s="74"/>
      <c r="P294" s="74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E294" s="84"/>
    </row>
    <row r="295" spans="1:31">
      <c r="A295" s="1" t="s">
        <v>383</v>
      </c>
      <c r="B295" s="1"/>
      <c r="C295" s="304"/>
      <c r="D295" s="304"/>
      <c r="E295" s="2"/>
      <c r="F295" s="2"/>
      <c r="G295" s="1"/>
      <c r="H295" s="1"/>
      <c r="I295" s="2"/>
      <c r="J295" s="1"/>
      <c r="K295" s="1"/>
      <c r="M295" s="20"/>
      <c r="N295" s="20"/>
      <c r="O295" s="74"/>
      <c r="P295" s="74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E295" s="84"/>
    </row>
    <row r="296" spans="1:31">
      <c r="A296" s="1" t="s">
        <v>406</v>
      </c>
      <c r="B296" s="1"/>
      <c r="C296" s="304">
        <f>3953+455</f>
        <v>4408</v>
      </c>
      <c r="D296" s="304">
        <f>ROUND((D300/C300)*C296,0)</f>
        <v>4397</v>
      </c>
      <c r="E296" s="283">
        <f>$E$153</f>
        <v>7.53</v>
      </c>
      <c r="F296" s="306"/>
      <c r="G296" s="2">
        <f>ROUND(E296*$C296,0)</f>
        <v>33192</v>
      </c>
      <c r="H296" s="2">
        <f>ROUND(E296*$D296,0)</f>
        <v>33109</v>
      </c>
      <c r="I296" s="283">
        <f>$I$153</f>
        <v>8</v>
      </c>
      <c r="J296" s="308"/>
      <c r="K296" s="2">
        <f>ROUND(I296*$C296,0)</f>
        <v>35264</v>
      </c>
      <c r="M296" s="20"/>
      <c r="N296" s="20"/>
      <c r="O296" s="74"/>
      <c r="P296" s="74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E296" s="84"/>
    </row>
    <row r="297" spans="1:31">
      <c r="A297" s="1" t="s">
        <v>381</v>
      </c>
      <c r="B297" s="1"/>
      <c r="C297" s="304">
        <v>0</v>
      </c>
      <c r="D297" s="304">
        <v>0</v>
      </c>
      <c r="E297" s="283">
        <f>$E$154</f>
        <v>11.18</v>
      </c>
      <c r="F297" s="309"/>
      <c r="G297" s="2">
        <f>ROUND(E297*$C297,0)</f>
        <v>0</v>
      </c>
      <c r="H297" s="2">
        <f>ROUND(E297*$D297,0)</f>
        <v>0</v>
      </c>
      <c r="I297" s="283">
        <f>$I$154</f>
        <v>11.877822045152721</v>
      </c>
      <c r="J297" s="310"/>
      <c r="K297" s="2">
        <f>ROUND(I297*$C297,0)</f>
        <v>0</v>
      </c>
      <c r="M297" s="20"/>
      <c r="N297" s="20"/>
      <c r="O297" s="74"/>
      <c r="P297" s="74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E297" s="84"/>
    </row>
    <row r="298" spans="1:31">
      <c r="A298" s="1" t="s">
        <v>382</v>
      </c>
      <c r="B298" s="1"/>
      <c r="C298" s="304">
        <v>0</v>
      </c>
      <c r="D298" s="304">
        <v>0</v>
      </c>
      <c r="E298" s="283">
        <f>$E$155</f>
        <v>0.78</v>
      </c>
      <c r="F298" s="309"/>
      <c r="G298" s="2">
        <f>ROUND(E298*$C298,0)</f>
        <v>0</v>
      </c>
      <c r="H298" s="2">
        <f>ROUND(E298*$D298,0)</f>
        <v>0</v>
      </c>
      <c r="I298" s="283">
        <f>$I$155</f>
        <v>0.83</v>
      </c>
      <c r="J298" s="310"/>
      <c r="K298" s="2">
        <f>ROUND(I298*$C298,0)</f>
        <v>0</v>
      </c>
      <c r="M298" s="20"/>
      <c r="N298" s="20"/>
      <c r="O298" s="74"/>
      <c r="P298" s="74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E298" s="84"/>
    </row>
    <row r="299" spans="1:31">
      <c r="A299" s="1" t="s">
        <v>384</v>
      </c>
      <c r="B299" s="1"/>
      <c r="C299" s="304">
        <f>SUM(C296:C297)</f>
        <v>4408</v>
      </c>
      <c r="D299" s="304">
        <f>ROUND((D300/C300)*C299,0)</f>
        <v>4397</v>
      </c>
      <c r="E299" s="283"/>
      <c r="F299" s="306"/>
      <c r="G299" s="2"/>
      <c r="H299" s="2"/>
      <c r="I299" s="283"/>
      <c r="J299" s="308"/>
      <c r="K299" s="2"/>
      <c r="M299" s="20"/>
      <c r="N299" s="20"/>
      <c r="O299" s="74"/>
      <c r="P299" s="74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E299" s="84"/>
    </row>
    <row r="300" spans="1:31">
      <c r="A300" s="1" t="s">
        <v>352</v>
      </c>
      <c r="B300" s="1"/>
      <c r="C300" s="304">
        <f>108+1465</f>
        <v>1573</v>
      </c>
      <c r="D300" s="304">
        <v>1569</v>
      </c>
      <c r="E300" s="283"/>
      <c r="F300" s="306"/>
      <c r="G300" s="2"/>
      <c r="H300" s="2"/>
      <c r="I300" s="283"/>
      <c r="J300" s="308"/>
      <c r="K300" s="2"/>
      <c r="M300" s="20"/>
      <c r="N300" s="20"/>
      <c r="O300" s="74"/>
      <c r="P300" s="74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E300" s="84"/>
    </row>
    <row r="301" spans="1:31">
      <c r="A301" s="1" t="s">
        <v>385</v>
      </c>
      <c r="B301" s="1"/>
      <c r="C301" s="304">
        <v>0</v>
      </c>
      <c r="D301" s="304">
        <v>0</v>
      </c>
      <c r="E301" s="311">
        <f>$E$158</f>
        <v>2.88</v>
      </c>
      <c r="F301" s="308"/>
      <c r="G301" s="2">
        <f>ROUND(E301*$C301,0)</f>
        <v>0</v>
      </c>
      <c r="H301" s="2">
        <f>ROUND(E301*$D301,0)</f>
        <v>0</v>
      </c>
      <c r="I301" s="311">
        <f>$I$158</f>
        <v>2.97</v>
      </c>
      <c r="J301" s="308"/>
      <c r="K301" s="2">
        <f>ROUND(I301*$C301,0)</f>
        <v>0</v>
      </c>
      <c r="M301" s="20"/>
      <c r="N301" s="20"/>
      <c r="O301" s="74"/>
      <c r="P301" s="74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E301" s="84"/>
    </row>
    <row r="302" spans="1:31">
      <c r="A302" s="1" t="s">
        <v>387</v>
      </c>
      <c r="B302" s="1"/>
      <c r="C302" s="304">
        <f>36361+1146150+183000</f>
        <v>1365511</v>
      </c>
      <c r="D302" s="304">
        <f>ROUND(($D$317/'Billing Determinants (2)'!$C$317)*C302,0)</f>
        <v>1407168</v>
      </c>
      <c r="E302" s="284">
        <f>$E$159</f>
        <v>8.0890000000000004</v>
      </c>
      <c r="F302" s="308" t="s">
        <v>364</v>
      </c>
      <c r="G302" s="2">
        <f>ROUND(E302*$C302/100,0)</f>
        <v>110456</v>
      </c>
      <c r="H302" s="2">
        <f>ROUND(E302*$D302/100,0)</f>
        <v>113826</v>
      </c>
      <c r="I302" s="284">
        <f>$I$159</f>
        <v>8.8109999999999999</v>
      </c>
      <c r="J302" s="308" t="s">
        <v>364</v>
      </c>
      <c r="K302" s="2">
        <f>ROUND(I302*$C302/100,0)</f>
        <v>120315</v>
      </c>
      <c r="M302" s="20"/>
      <c r="N302" s="20"/>
      <c r="O302" s="74"/>
      <c r="P302" s="74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E302" s="84"/>
    </row>
    <row r="303" spans="1:31">
      <c r="A303" s="1" t="s">
        <v>388</v>
      </c>
      <c r="B303" s="21"/>
      <c r="C303" s="304">
        <f>64813</f>
        <v>64813</v>
      </c>
      <c r="D303" s="304">
        <f>ROUND(($D$317/'Billing Determinants (2)'!$C$317)*C303,0)</f>
        <v>66790</v>
      </c>
      <c r="E303" s="284">
        <f>$E$160</f>
        <v>5.5839999999999996</v>
      </c>
      <c r="F303" s="308" t="s">
        <v>364</v>
      </c>
      <c r="G303" s="2">
        <f>ROUND(E303*$C303/100,0)</f>
        <v>3619</v>
      </c>
      <c r="H303" s="2">
        <f>ROUND(E303*$D303/100,0)</f>
        <v>3730</v>
      </c>
      <c r="I303" s="284">
        <f>$I$160</f>
        <v>6.0819999999999999</v>
      </c>
      <c r="J303" s="308" t="s">
        <v>364</v>
      </c>
      <c r="K303" s="2">
        <f>ROUND(I303*$C303/100,0)</f>
        <v>3942</v>
      </c>
      <c r="M303" s="20"/>
      <c r="N303" s="20"/>
      <c r="O303" s="74"/>
      <c r="P303" s="74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E303" s="84"/>
    </row>
    <row r="304" spans="1:31">
      <c r="A304" s="1" t="s">
        <v>389</v>
      </c>
      <c r="B304" s="1"/>
      <c r="C304" s="304">
        <f>36361+1210963+183000-C302-C303</f>
        <v>0</v>
      </c>
      <c r="D304" s="304">
        <f>ROUND(($D$317/'Billing Determinants (2)'!$C$317)*C304,0)</f>
        <v>0</v>
      </c>
      <c r="E304" s="284">
        <f>$E$161</f>
        <v>4.8099999999999996</v>
      </c>
      <c r="F304" s="308" t="s">
        <v>364</v>
      </c>
      <c r="G304" s="2">
        <f>ROUND(E304*$C304/100,0)</f>
        <v>0</v>
      </c>
      <c r="H304" s="2">
        <f>ROUND(E304*$D304/100,0)</f>
        <v>0</v>
      </c>
      <c r="I304" s="284">
        <f>$I$161</f>
        <v>5.24</v>
      </c>
      <c r="J304" s="308" t="s">
        <v>364</v>
      </c>
      <c r="K304" s="2">
        <f>ROUND(I304*$C304/100,0)</f>
        <v>0</v>
      </c>
      <c r="M304" s="20"/>
      <c r="N304" s="20"/>
      <c r="O304" s="74"/>
      <c r="P304" s="74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E304" s="84"/>
    </row>
    <row r="305" spans="1:31">
      <c r="A305" s="1" t="s">
        <v>390</v>
      </c>
      <c r="B305" s="1"/>
      <c r="C305" s="304">
        <v>0</v>
      </c>
      <c r="D305" s="304">
        <f>ROUND(($D$317/'Billing Determinants (2)'!$C$317)*C305,0)</f>
        <v>0</v>
      </c>
      <c r="E305" s="315">
        <f>$E$162</f>
        <v>45</v>
      </c>
      <c r="F305" s="306" t="s">
        <v>364</v>
      </c>
      <c r="G305" s="2">
        <f>ROUND(E305*$C305/100,0)</f>
        <v>0</v>
      </c>
      <c r="H305" s="2">
        <f>ROUND(E305*$D305/100,0)</f>
        <v>0</v>
      </c>
      <c r="I305" s="315">
        <f>$I$162</f>
        <v>50</v>
      </c>
      <c r="J305" s="308" t="s">
        <v>364</v>
      </c>
      <c r="K305" s="2">
        <f>ROUND(I305*$C305/100,0)</f>
        <v>0</v>
      </c>
      <c r="M305" s="20"/>
      <c r="N305" s="20"/>
      <c r="O305" s="74"/>
      <c r="P305" s="74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E305" s="84"/>
    </row>
    <row r="306" spans="1:31">
      <c r="A306" s="316" t="s">
        <v>391</v>
      </c>
      <c r="B306" s="1"/>
      <c r="C306" s="304"/>
      <c r="D306" s="304"/>
      <c r="E306" s="317">
        <v>-0.01</v>
      </c>
      <c r="F306" s="306"/>
      <c r="G306" s="2"/>
      <c r="H306" s="2"/>
      <c r="I306" s="317">
        <v>-0.01</v>
      </c>
      <c r="J306" s="308"/>
      <c r="K306" s="2"/>
      <c r="M306" s="20"/>
      <c r="N306" s="20"/>
      <c r="O306" s="74"/>
      <c r="P306" s="74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E306" s="84"/>
    </row>
    <row r="307" spans="1:31">
      <c r="A307" s="1" t="s">
        <v>380</v>
      </c>
      <c r="B307" s="1"/>
      <c r="C307" s="304">
        <v>0</v>
      </c>
      <c r="D307" s="304">
        <v>0</v>
      </c>
      <c r="E307" s="319">
        <f>E296</f>
        <v>7.53</v>
      </c>
      <c r="F307" s="306"/>
      <c r="G307" s="2">
        <f>-ROUND(E307*$C307/100,0)</f>
        <v>0</v>
      </c>
      <c r="H307" s="2">
        <f t="shared" ref="H307:H316" si="30">-ROUND(E307*$D307/100,0)</f>
        <v>0</v>
      </c>
      <c r="I307" s="319">
        <f>I296</f>
        <v>8</v>
      </c>
      <c r="J307" s="306"/>
      <c r="K307" s="2">
        <f>-ROUND(I307*$C307/100,0)</f>
        <v>0</v>
      </c>
      <c r="M307" s="20"/>
      <c r="N307" s="20"/>
      <c r="O307" s="74"/>
      <c r="P307" s="74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E307" s="84"/>
    </row>
    <row r="308" spans="1:31">
      <c r="A308" s="1" t="s">
        <v>381</v>
      </c>
      <c r="B308" s="1"/>
      <c r="C308" s="304">
        <v>0</v>
      </c>
      <c r="D308" s="304">
        <v>0</v>
      </c>
      <c r="E308" s="319">
        <f>E297</f>
        <v>11.18</v>
      </c>
      <c r="F308" s="306"/>
      <c r="G308" s="2">
        <f>-ROUND(E308*$C308/100,0)</f>
        <v>0</v>
      </c>
      <c r="H308" s="2">
        <f t="shared" si="30"/>
        <v>0</v>
      </c>
      <c r="I308" s="319">
        <f>I297</f>
        <v>11.877822045152721</v>
      </c>
      <c r="J308" s="306"/>
      <c r="K308" s="2">
        <f>-ROUND(I308*$C308/100,0)</f>
        <v>0</v>
      </c>
      <c r="M308" s="20"/>
      <c r="N308" s="20"/>
      <c r="O308" s="74"/>
      <c r="P308" s="74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E308" s="84"/>
    </row>
    <row r="309" spans="1:31">
      <c r="A309" s="1" t="s">
        <v>392</v>
      </c>
      <c r="B309" s="1"/>
      <c r="C309" s="304">
        <v>0</v>
      </c>
      <c r="D309" s="304">
        <f>ROUND(($D$317/'Billing Determinants (2)'!$C$317)*C309,0)</f>
        <v>0</v>
      </c>
      <c r="E309" s="319">
        <f>E298</f>
        <v>0.78</v>
      </c>
      <c r="F309" s="306"/>
      <c r="G309" s="2">
        <f>-ROUND(E309*$C309/100,0)</f>
        <v>0</v>
      </c>
      <c r="H309" s="2">
        <f t="shared" si="30"/>
        <v>0</v>
      </c>
      <c r="I309" s="319">
        <f>I298</f>
        <v>0.83</v>
      </c>
      <c r="J309" s="306"/>
      <c r="K309" s="2">
        <f>-ROUND(I309*$C309/100,0)</f>
        <v>0</v>
      </c>
      <c r="M309" s="20"/>
      <c r="N309" s="20"/>
      <c r="O309" s="74"/>
      <c r="P309" s="74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E309" s="84"/>
    </row>
    <row r="310" spans="1:31">
      <c r="A310" s="1" t="s">
        <v>393</v>
      </c>
      <c r="B310" s="1"/>
      <c r="C310" s="304">
        <v>0</v>
      </c>
      <c r="D310" s="304">
        <f>ROUND(($D$317/'Billing Determinants (2)'!$C$317)*C310,0)</f>
        <v>0</v>
      </c>
      <c r="E310" s="319">
        <f>E301</f>
        <v>2.88</v>
      </c>
      <c r="F310" s="308"/>
      <c r="G310" s="2">
        <f>-ROUND(E310*$C310/100,0)</f>
        <v>0</v>
      </c>
      <c r="H310" s="2">
        <f t="shared" si="30"/>
        <v>0</v>
      </c>
      <c r="I310" s="319">
        <f>I301</f>
        <v>2.97</v>
      </c>
      <c r="J310" s="308"/>
      <c r="K310" s="2">
        <f>-ROUND(I310*$C310/100,0)</f>
        <v>0</v>
      </c>
      <c r="M310" s="20"/>
      <c r="N310" s="20"/>
      <c r="O310" s="74"/>
      <c r="P310" s="74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E310" s="84"/>
    </row>
    <row r="311" spans="1:31">
      <c r="A311" s="1" t="s">
        <v>395</v>
      </c>
      <c r="B311" s="1"/>
      <c r="C311" s="304">
        <v>0</v>
      </c>
      <c r="D311" s="304">
        <f>ROUND(($D$317/'Billing Determinants (2)'!$C$317)*C311,0)</f>
        <v>0</v>
      </c>
      <c r="E311" s="320">
        <f>E302</f>
        <v>8.0890000000000004</v>
      </c>
      <c r="F311" s="308" t="s">
        <v>364</v>
      </c>
      <c r="G311" s="2">
        <f>ROUND(E311*$C311/100*E306,0)</f>
        <v>0</v>
      </c>
      <c r="H311" s="2">
        <f t="shared" si="30"/>
        <v>0</v>
      </c>
      <c r="I311" s="320">
        <f>I302</f>
        <v>8.8109999999999999</v>
      </c>
      <c r="J311" s="308" t="s">
        <v>364</v>
      </c>
      <c r="K311" s="2">
        <f>ROUND(I311*$C311/100*I306,0)</f>
        <v>0</v>
      </c>
      <c r="M311" s="20"/>
      <c r="N311" s="20"/>
      <c r="O311" s="74"/>
      <c r="P311" s="74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E311" s="84"/>
    </row>
    <row r="312" spans="1:31">
      <c r="A312" s="1" t="s">
        <v>388</v>
      </c>
      <c r="B312" s="1"/>
      <c r="C312" s="304">
        <v>0</v>
      </c>
      <c r="D312" s="304">
        <f>ROUND(($D$317/'Billing Determinants (2)'!$C$317)*C312,0)</f>
        <v>0</v>
      </c>
      <c r="E312" s="320">
        <f>E303</f>
        <v>5.5839999999999996</v>
      </c>
      <c r="F312" s="308" t="s">
        <v>364</v>
      </c>
      <c r="G312" s="2">
        <f>ROUND(E312*$C312/100*E306,0)</f>
        <v>0</v>
      </c>
      <c r="H312" s="2">
        <f t="shared" si="30"/>
        <v>0</v>
      </c>
      <c r="I312" s="320">
        <f>I303</f>
        <v>6.0819999999999999</v>
      </c>
      <c r="J312" s="308" t="s">
        <v>364</v>
      </c>
      <c r="K312" s="2">
        <f>ROUND(I312*$C312/100*I306,0)</f>
        <v>0</v>
      </c>
      <c r="M312" s="20"/>
      <c r="N312" s="20"/>
      <c r="O312" s="74"/>
      <c r="P312" s="74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E312" s="84"/>
    </row>
    <row r="313" spans="1:31">
      <c r="A313" s="1" t="s">
        <v>389</v>
      </c>
      <c r="B313" s="1"/>
      <c r="C313" s="304">
        <v>0</v>
      </c>
      <c r="D313" s="304">
        <f>ROUND(($D$317/'Billing Determinants (2)'!$C$317)*C313,0)</f>
        <v>0</v>
      </c>
      <c r="E313" s="320">
        <f>E304</f>
        <v>4.8099999999999996</v>
      </c>
      <c r="F313" s="308" t="s">
        <v>364</v>
      </c>
      <c r="G313" s="2">
        <f>ROUND(E313*$C313/100*E306,0)</f>
        <v>0</v>
      </c>
      <c r="H313" s="2">
        <f t="shared" si="30"/>
        <v>0</v>
      </c>
      <c r="I313" s="320">
        <f>I304</f>
        <v>5.24</v>
      </c>
      <c r="J313" s="308" t="s">
        <v>364</v>
      </c>
      <c r="K313" s="2">
        <f>ROUND(I313*$C313/100*I306,0)</f>
        <v>0</v>
      </c>
      <c r="M313" s="20"/>
      <c r="N313" s="20"/>
      <c r="O313" s="74"/>
      <c r="P313" s="74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E313" s="84"/>
    </row>
    <row r="314" spans="1:31">
      <c r="A314" s="1" t="s">
        <v>390</v>
      </c>
      <c r="B314" s="1"/>
      <c r="C314" s="304">
        <v>0</v>
      </c>
      <c r="D314" s="304">
        <f>ROUND(($D$317/'Billing Determinants (2)'!$C$317)*C314,0)</f>
        <v>0</v>
      </c>
      <c r="E314" s="321">
        <f>E305</f>
        <v>45</v>
      </c>
      <c r="F314" s="308" t="s">
        <v>364</v>
      </c>
      <c r="G314" s="2">
        <f>ROUND(E314*$C314/100*E306,0)</f>
        <v>0</v>
      </c>
      <c r="H314" s="2">
        <f t="shared" si="30"/>
        <v>0</v>
      </c>
      <c r="I314" s="321">
        <f>I305</f>
        <v>50</v>
      </c>
      <c r="J314" s="308" t="s">
        <v>364</v>
      </c>
      <c r="K314" s="2">
        <f>ROUND(I314*$C314/100*I306,0)</f>
        <v>0</v>
      </c>
      <c r="M314" s="20"/>
      <c r="N314" s="20"/>
      <c r="O314" s="74"/>
      <c r="P314" s="74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E314" s="84"/>
    </row>
    <row r="315" spans="1:31">
      <c r="A315" s="1" t="s">
        <v>397</v>
      </c>
      <c r="B315" s="1"/>
      <c r="C315" s="304">
        <v>0</v>
      </c>
      <c r="D315" s="304">
        <f>ROUND(($D$317/'Billing Determinants (2)'!$C$317)*C315,0)</f>
        <v>0</v>
      </c>
      <c r="E315" s="322">
        <f>$E$172</f>
        <v>60</v>
      </c>
      <c r="F315" s="306"/>
      <c r="G315" s="2">
        <f>ROUND(E315*$C315,0)</f>
        <v>0</v>
      </c>
      <c r="H315" s="2">
        <f t="shared" si="30"/>
        <v>0</v>
      </c>
      <c r="I315" s="322">
        <f>$I$172</f>
        <v>60</v>
      </c>
      <c r="J315" s="308"/>
      <c r="K315" s="2">
        <f>ROUND(I315*$C315,0)</f>
        <v>0</v>
      </c>
      <c r="M315" s="20"/>
      <c r="N315" s="20"/>
      <c r="O315" s="74"/>
      <c r="P315" s="74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E315" s="84"/>
    </row>
    <row r="316" spans="1:31">
      <c r="A316" s="1" t="s">
        <v>398</v>
      </c>
      <c r="B316" s="1"/>
      <c r="C316" s="304">
        <v>0</v>
      </c>
      <c r="D316" s="304">
        <f>ROUND(($D$317/'Billing Determinants (2)'!$C$317)*C316,0)</f>
        <v>0</v>
      </c>
      <c r="E316" s="324">
        <f>$E$173</f>
        <v>-30</v>
      </c>
      <c r="F316" s="306" t="s">
        <v>364</v>
      </c>
      <c r="G316" s="2">
        <f>ROUND(E316*$C316/100,0)</f>
        <v>0</v>
      </c>
      <c r="H316" s="2">
        <f t="shared" si="30"/>
        <v>0</v>
      </c>
      <c r="I316" s="324">
        <f>$I$173</f>
        <v>-30</v>
      </c>
      <c r="J316" s="308" t="s">
        <v>364</v>
      </c>
      <c r="K316" s="2">
        <f>ROUND(I316*$C316/100,0)</f>
        <v>0</v>
      </c>
      <c r="M316" s="20"/>
      <c r="N316" s="20"/>
      <c r="O316" s="74"/>
      <c r="P316" s="74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E316" s="84"/>
    </row>
    <row r="317" spans="1:31">
      <c r="A317" s="1" t="s">
        <v>371</v>
      </c>
      <c r="B317" s="1"/>
      <c r="C317" s="304">
        <f>SUM(C302:C304)</f>
        <v>1430324</v>
      </c>
      <c r="D317" s="304">
        <v>1473957.9193898283</v>
      </c>
      <c r="E317" s="315"/>
      <c r="F317" s="2"/>
      <c r="G317" s="2">
        <f>SUM(G296:G316)</f>
        <v>147267</v>
      </c>
      <c r="H317" s="2">
        <f>SUM(H296:H316)</f>
        <v>150665</v>
      </c>
      <c r="I317" s="315"/>
      <c r="J317" s="308"/>
      <c r="K317" s="2">
        <f>SUM(K296:K316)</f>
        <v>159521</v>
      </c>
      <c r="M317" s="20"/>
      <c r="N317" s="20"/>
      <c r="O317" s="74"/>
      <c r="P317" s="74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E317" s="84"/>
    </row>
    <row r="318" spans="1:31">
      <c r="A318" s="1" t="s">
        <v>353</v>
      </c>
      <c r="B318" s="1"/>
      <c r="C318" s="334" t="e">
        <f>#REF!</f>
        <v>#REF!</v>
      </c>
      <c r="D318" s="325">
        <v>0</v>
      </c>
      <c r="E318" s="294"/>
      <c r="F318" s="294"/>
      <c r="G318" s="326" t="e">
        <f>#REF!</f>
        <v>#REF!</v>
      </c>
      <c r="H318" s="326">
        <v>0</v>
      </c>
      <c r="I318" s="294"/>
      <c r="J318" s="294"/>
      <c r="K318" s="326" t="e">
        <f>G318</f>
        <v>#REF!</v>
      </c>
      <c r="M318" s="429"/>
      <c r="N318" s="429"/>
      <c r="O318" s="272"/>
      <c r="P318" s="74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E318" s="84"/>
    </row>
    <row r="319" spans="1:31" ht="16.5" thickBot="1">
      <c r="A319" s="1" t="s">
        <v>372</v>
      </c>
      <c r="B319" s="1"/>
      <c r="C319" s="296" t="e">
        <f>SUM(C317:C318)</f>
        <v>#REF!</v>
      </c>
      <c r="D319" s="296">
        <f>SUM(D317:D318)</f>
        <v>1473957.9193898283</v>
      </c>
      <c r="E319" s="327"/>
      <c r="F319" s="328"/>
      <c r="G319" s="329" t="e">
        <f>G317+G318</f>
        <v>#REF!</v>
      </c>
      <c r="H319" s="329">
        <f>H317+H318</f>
        <v>150665</v>
      </c>
      <c r="I319" s="327"/>
      <c r="J319" s="330"/>
      <c r="K319" s="329" t="e">
        <f>K317+K318</f>
        <v>#REF!</v>
      </c>
      <c r="M319" s="396"/>
      <c r="N319" s="396"/>
      <c r="O319" s="455"/>
      <c r="P319" s="74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E319" s="84"/>
    </row>
    <row r="320" spans="1:31" ht="16.5" thickTop="1">
      <c r="A320" s="1"/>
      <c r="B320" s="1"/>
      <c r="C320" s="21"/>
      <c r="D320" s="21"/>
      <c r="E320" s="322"/>
      <c r="F320" s="2"/>
      <c r="G320" s="2"/>
      <c r="H320" s="2"/>
      <c r="I320" s="322"/>
      <c r="J320" s="1"/>
      <c r="K320" s="2" t="s">
        <v>31</v>
      </c>
      <c r="M320" s="20"/>
      <c r="N320" s="20"/>
      <c r="O320" s="74"/>
      <c r="P320" s="74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E320" s="84"/>
    </row>
    <row r="321" spans="1:31">
      <c r="A321" s="278" t="s">
        <v>405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M321" s="20"/>
      <c r="N321" s="20"/>
      <c r="O321" s="74"/>
      <c r="P321" s="74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E321" s="84"/>
    </row>
    <row r="322" spans="1:31">
      <c r="A322" s="1" t="s">
        <v>404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20"/>
      <c r="N322" s="20"/>
      <c r="O322" s="74"/>
      <c r="P322" s="74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20"/>
      <c r="N323" s="20"/>
      <c r="O323" s="74"/>
      <c r="P323" s="74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E323" s="84"/>
    </row>
    <row r="324" spans="1:31">
      <c r="A324" s="1" t="s">
        <v>383</v>
      </c>
      <c r="B324" s="1"/>
      <c r="C324" s="304"/>
      <c r="D324" s="304"/>
      <c r="E324" s="2"/>
      <c r="F324" s="2"/>
      <c r="G324" s="1"/>
      <c r="H324" s="1"/>
      <c r="I324" s="2"/>
      <c r="J324" s="1"/>
      <c r="K324" s="1"/>
      <c r="M324" s="20"/>
      <c r="N324" s="20"/>
      <c r="O324" s="74"/>
      <c r="P324" s="74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E324" s="84"/>
    </row>
    <row r="325" spans="1:31">
      <c r="A325" s="1" t="s">
        <v>406</v>
      </c>
      <c r="B325" s="1"/>
      <c r="C325" s="304">
        <v>516</v>
      </c>
      <c r="D325" s="304">
        <f>ROUND((D329/C329)*C325,0)</f>
        <v>516</v>
      </c>
      <c r="E325" s="283">
        <f>$E$153</f>
        <v>7.53</v>
      </c>
      <c r="F325" s="306"/>
      <c r="G325" s="2">
        <f>ROUND(E325*$C325,0)</f>
        <v>3885</v>
      </c>
      <c r="H325" s="2">
        <f>ROUND(E325*$D325,0)</f>
        <v>3885</v>
      </c>
      <c r="I325" s="283">
        <f>$I$153</f>
        <v>8</v>
      </c>
      <c r="J325" s="308"/>
      <c r="K325" s="2">
        <f>ROUND(I325*$C325,0)</f>
        <v>4128</v>
      </c>
      <c r="M325" s="20"/>
      <c r="N325" s="20"/>
      <c r="O325" s="74"/>
      <c r="P325" s="74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E325" s="84"/>
    </row>
    <row r="326" spans="1:31">
      <c r="A326" s="1" t="s">
        <v>381</v>
      </c>
      <c r="B326" s="1"/>
      <c r="C326" s="304">
        <v>0</v>
      </c>
      <c r="D326" s="304">
        <v>0</v>
      </c>
      <c r="E326" s="283">
        <f>$E$154</f>
        <v>11.18</v>
      </c>
      <c r="F326" s="309"/>
      <c r="G326" s="2">
        <f>ROUND(E326*$C326,0)</f>
        <v>0</v>
      </c>
      <c r="H326" s="2">
        <f>ROUND(E326*$D326,0)</f>
        <v>0</v>
      </c>
      <c r="I326" s="283">
        <f>$I$154</f>
        <v>11.877822045152721</v>
      </c>
      <c r="J326" s="310"/>
      <c r="K326" s="2">
        <f>ROUND(I326*$C326,0)</f>
        <v>0</v>
      </c>
      <c r="M326" s="20"/>
      <c r="N326" s="20"/>
      <c r="O326" s="74"/>
      <c r="P326" s="74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E326" s="84"/>
    </row>
    <row r="327" spans="1:31">
      <c r="A327" s="1" t="s">
        <v>382</v>
      </c>
      <c r="B327" s="1"/>
      <c r="C327" s="304">
        <v>0</v>
      </c>
      <c r="D327" s="304">
        <v>0</v>
      </c>
      <c r="E327" s="283">
        <f>$E$155</f>
        <v>0.78</v>
      </c>
      <c r="F327" s="309"/>
      <c r="G327" s="2">
        <f>ROUND(E327*$C327,0)</f>
        <v>0</v>
      </c>
      <c r="H327" s="2">
        <f>ROUND(E327*$D327,0)</f>
        <v>0</v>
      </c>
      <c r="I327" s="283">
        <f>$I$155</f>
        <v>0.83</v>
      </c>
      <c r="J327" s="310"/>
      <c r="K327" s="2">
        <f>ROUND(I327*$C327,0)</f>
        <v>0</v>
      </c>
      <c r="M327" s="20"/>
      <c r="N327" s="20"/>
      <c r="O327" s="74"/>
      <c r="P327" s="74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E327" s="84"/>
    </row>
    <row r="328" spans="1:31">
      <c r="A328" s="1" t="s">
        <v>384</v>
      </c>
      <c r="B328" s="1"/>
      <c r="C328" s="304">
        <f>SUM(C325:C326)</f>
        <v>516</v>
      </c>
      <c r="D328" s="304">
        <f>ROUND((D329/C329)*C328,0)</f>
        <v>516</v>
      </c>
      <c r="E328" s="283"/>
      <c r="F328" s="306"/>
      <c r="G328" s="2"/>
      <c r="H328" s="2"/>
      <c r="I328" s="283"/>
      <c r="J328" s="308"/>
      <c r="K328" s="2"/>
      <c r="M328" s="20"/>
      <c r="N328" s="20"/>
      <c r="O328" s="74"/>
      <c r="P328" s="74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E328" s="84"/>
    </row>
    <row r="329" spans="1:31">
      <c r="A329" s="1" t="s">
        <v>352</v>
      </c>
      <c r="B329" s="1"/>
      <c r="C329" s="304">
        <v>48</v>
      </c>
      <c r="D329" s="304">
        <v>48</v>
      </c>
      <c r="E329" s="283"/>
      <c r="F329" s="306"/>
      <c r="G329" s="2"/>
      <c r="H329" s="2"/>
      <c r="I329" s="283"/>
      <c r="J329" s="308"/>
      <c r="K329" s="2"/>
      <c r="M329" s="20"/>
      <c r="N329" s="20"/>
      <c r="O329" s="74"/>
      <c r="P329" s="74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E329" s="84"/>
    </row>
    <row r="330" spans="1:31">
      <c r="A330" s="1" t="s">
        <v>385</v>
      </c>
      <c r="B330" s="1"/>
      <c r="C330" s="304">
        <v>0</v>
      </c>
      <c r="D330" s="304">
        <v>0</v>
      </c>
      <c r="E330" s="311">
        <f>$E$158</f>
        <v>2.88</v>
      </c>
      <c r="F330" s="308"/>
      <c r="G330" s="2">
        <f>ROUND(E330*$C330,0)</f>
        <v>0</v>
      </c>
      <c r="H330" s="2">
        <f>ROUND(E330*$D330,0)</f>
        <v>0</v>
      </c>
      <c r="I330" s="311">
        <f>$I$158</f>
        <v>2.97</v>
      </c>
      <c r="J330" s="308"/>
      <c r="K330" s="2">
        <f>ROUND(I330*$C330,0)</f>
        <v>0</v>
      </c>
      <c r="M330" s="20"/>
      <c r="N330" s="20"/>
      <c r="O330" s="74"/>
      <c r="P330" s="74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E330" s="84"/>
    </row>
    <row r="331" spans="1:31">
      <c r="A331" s="1" t="s">
        <v>387</v>
      </c>
      <c r="B331" s="1"/>
      <c r="C331" s="304">
        <f>33312</f>
        <v>33312</v>
      </c>
      <c r="D331" s="304">
        <f>ROUND(($D$346/'Billing Determinants (2)'!$C$346)*C331,0)</f>
        <v>38537</v>
      </c>
      <c r="E331" s="284">
        <f>$E$159</f>
        <v>8.0890000000000004</v>
      </c>
      <c r="F331" s="308" t="s">
        <v>364</v>
      </c>
      <c r="G331" s="2">
        <f>ROUND(E331*$C331/100,0)</f>
        <v>2695</v>
      </c>
      <c r="H331" s="2">
        <f>ROUND(E331*$D331/100,0)</f>
        <v>3117</v>
      </c>
      <c r="I331" s="284">
        <f>$I$159</f>
        <v>8.8109999999999999</v>
      </c>
      <c r="J331" s="308" t="s">
        <v>364</v>
      </c>
      <c r="K331" s="2">
        <f>ROUND(I331*$C331/100,0)</f>
        <v>2935</v>
      </c>
      <c r="M331" s="20"/>
      <c r="N331" s="20"/>
      <c r="O331" s="74"/>
      <c r="P331" s="74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E331" s="84"/>
    </row>
    <row r="332" spans="1:31">
      <c r="A332" s="1" t="s">
        <v>388</v>
      </c>
      <c r="B332" s="1"/>
      <c r="C332" s="304">
        <v>0</v>
      </c>
      <c r="D332" s="304">
        <v>0</v>
      </c>
      <c r="E332" s="284">
        <f>$E$160</f>
        <v>5.5839999999999996</v>
      </c>
      <c r="F332" s="308" t="s">
        <v>364</v>
      </c>
      <c r="G332" s="2">
        <f>ROUND(E332*$C332/100,0)</f>
        <v>0</v>
      </c>
      <c r="H332" s="2">
        <f>ROUND(E332*$D332/100,0)</f>
        <v>0</v>
      </c>
      <c r="I332" s="284">
        <f>$I$160</f>
        <v>6.0819999999999999</v>
      </c>
      <c r="J332" s="308" t="s">
        <v>364</v>
      </c>
      <c r="K332" s="2">
        <f>ROUND(I332*$C332/100,0)</f>
        <v>0</v>
      </c>
      <c r="M332" s="20"/>
      <c r="N332" s="20"/>
      <c r="O332" s="74"/>
      <c r="P332" s="74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E332" s="84"/>
    </row>
    <row r="333" spans="1:31">
      <c r="A333" s="1" t="s">
        <v>389</v>
      </c>
      <c r="B333" s="1"/>
      <c r="C333" s="304">
        <f>33312-C331</f>
        <v>0</v>
      </c>
      <c r="D333" s="304">
        <v>0</v>
      </c>
      <c r="E333" s="284">
        <f>$E$161</f>
        <v>4.8099999999999996</v>
      </c>
      <c r="F333" s="308" t="s">
        <v>364</v>
      </c>
      <c r="G333" s="2">
        <f>ROUND(E333*$C333/100,0)</f>
        <v>0</v>
      </c>
      <c r="H333" s="2">
        <f>ROUND(E333*$D333/100,0)</f>
        <v>0</v>
      </c>
      <c r="I333" s="284">
        <f>$I$161</f>
        <v>5.24</v>
      </c>
      <c r="J333" s="308" t="s">
        <v>364</v>
      </c>
      <c r="K333" s="2">
        <f>ROUND(I333*$C333/100,0)</f>
        <v>0</v>
      </c>
      <c r="M333" s="20"/>
      <c r="N333" s="20"/>
      <c r="O333" s="74"/>
      <c r="P333" s="74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E333" s="84"/>
    </row>
    <row r="334" spans="1:31">
      <c r="A334" s="1" t="s">
        <v>390</v>
      </c>
      <c r="B334" s="1"/>
      <c r="C334" s="304">
        <v>0</v>
      </c>
      <c r="D334" s="304">
        <v>0</v>
      </c>
      <c r="E334" s="315">
        <f>$E$162</f>
        <v>45</v>
      </c>
      <c r="F334" s="306" t="s">
        <v>364</v>
      </c>
      <c r="G334" s="2">
        <f>ROUND(E334*$C334/100,0)</f>
        <v>0</v>
      </c>
      <c r="H334" s="2">
        <f>ROUND(E334*$D334/100,0)</f>
        <v>0</v>
      </c>
      <c r="I334" s="315">
        <f>$I$162</f>
        <v>50</v>
      </c>
      <c r="J334" s="308" t="s">
        <v>364</v>
      </c>
      <c r="K334" s="2">
        <f>ROUND(I334*$C334/100,0)</f>
        <v>0</v>
      </c>
      <c r="M334" s="20"/>
      <c r="N334" s="20"/>
      <c r="O334" s="74"/>
      <c r="P334" s="74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E334" s="84"/>
    </row>
    <row r="335" spans="1:31">
      <c r="A335" s="316" t="s">
        <v>391</v>
      </c>
      <c r="B335" s="1"/>
      <c r="C335" s="304"/>
      <c r="D335" s="304"/>
      <c r="E335" s="317">
        <v>-0.01</v>
      </c>
      <c r="F335" s="306"/>
      <c r="G335" s="2"/>
      <c r="H335" s="2"/>
      <c r="I335" s="317">
        <v>-0.01</v>
      </c>
      <c r="J335" s="308"/>
      <c r="K335" s="2"/>
      <c r="M335" s="20"/>
      <c r="N335" s="20"/>
      <c r="O335" s="74"/>
      <c r="P335" s="74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E335" s="84"/>
    </row>
    <row r="336" spans="1:31">
      <c r="A336" s="1" t="s">
        <v>380</v>
      </c>
      <c r="B336" s="1"/>
      <c r="C336" s="304">
        <v>0</v>
      </c>
      <c r="D336" s="304">
        <v>0</v>
      </c>
      <c r="E336" s="319">
        <f>E325</f>
        <v>7.53</v>
      </c>
      <c r="F336" s="306"/>
      <c r="G336" s="2">
        <f>-ROUND(E336*$C336/100,0)</f>
        <v>0</v>
      </c>
      <c r="H336" s="2">
        <f t="shared" ref="H336:H345" si="31">-ROUND(E336*$D336/100,0)</f>
        <v>0</v>
      </c>
      <c r="I336" s="319">
        <f>I325</f>
        <v>8</v>
      </c>
      <c r="J336" s="306"/>
      <c r="K336" s="2">
        <f>-ROUND(I336*$C336/100,0)</f>
        <v>0</v>
      </c>
      <c r="M336" s="20"/>
      <c r="N336" s="20"/>
      <c r="O336" s="74"/>
      <c r="P336" s="74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E336" s="84"/>
    </row>
    <row r="337" spans="1:31">
      <c r="A337" s="1" t="s">
        <v>381</v>
      </c>
      <c r="B337" s="1"/>
      <c r="C337" s="304">
        <v>0</v>
      </c>
      <c r="D337" s="304">
        <v>0</v>
      </c>
      <c r="E337" s="319">
        <f>E326</f>
        <v>11.18</v>
      </c>
      <c r="F337" s="306"/>
      <c r="G337" s="2">
        <f>-ROUND(E337*$C337/100,0)</f>
        <v>0</v>
      </c>
      <c r="H337" s="2">
        <f t="shared" si="31"/>
        <v>0</v>
      </c>
      <c r="I337" s="319">
        <f>I326</f>
        <v>11.877822045152721</v>
      </c>
      <c r="J337" s="306"/>
      <c r="K337" s="2">
        <f>-ROUND(I337*$C337/100,0)</f>
        <v>0</v>
      </c>
      <c r="M337" s="20"/>
      <c r="N337" s="20"/>
      <c r="O337" s="74"/>
      <c r="P337" s="74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E337" s="84"/>
    </row>
    <row r="338" spans="1:31">
      <c r="A338" s="1" t="s">
        <v>392</v>
      </c>
      <c r="B338" s="1"/>
      <c r="C338" s="304">
        <v>0</v>
      </c>
      <c r="D338" s="304">
        <v>0</v>
      </c>
      <c r="E338" s="319">
        <f>E327</f>
        <v>0.78</v>
      </c>
      <c r="F338" s="306"/>
      <c r="G338" s="2">
        <f>-ROUND(E338*$C338/100,0)</f>
        <v>0</v>
      </c>
      <c r="H338" s="2">
        <f t="shared" si="31"/>
        <v>0</v>
      </c>
      <c r="I338" s="319">
        <f>I327</f>
        <v>0.83</v>
      </c>
      <c r="J338" s="306"/>
      <c r="K338" s="2">
        <f>-ROUND(I338*$C338/100,0)</f>
        <v>0</v>
      </c>
      <c r="M338" s="20"/>
      <c r="N338" s="20"/>
      <c r="O338" s="74"/>
      <c r="P338" s="74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E338" s="84"/>
    </row>
    <row r="339" spans="1:31">
      <c r="A339" s="1" t="s">
        <v>393</v>
      </c>
      <c r="B339" s="1"/>
      <c r="C339" s="304">
        <v>0</v>
      </c>
      <c r="D339" s="304">
        <v>0</v>
      </c>
      <c r="E339" s="319">
        <f>E330</f>
        <v>2.88</v>
      </c>
      <c r="F339" s="308"/>
      <c r="G339" s="2">
        <f>-ROUND(E339*$C339/100,0)</f>
        <v>0</v>
      </c>
      <c r="H339" s="2">
        <f t="shared" si="31"/>
        <v>0</v>
      </c>
      <c r="I339" s="319">
        <f>I330</f>
        <v>2.97</v>
      </c>
      <c r="J339" s="308"/>
      <c r="K339" s="2">
        <f>-ROUND(I339*$C339/100,0)</f>
        <v>0</v>
      </c>
      <c r="M339" s="20"/>
      <c r="N339" s="20"/>
      <c r="O339" s="74"/>
      <c r="P339" s="74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E339" s="84"/>
    </row>
    <row r="340" spans="1:31">
      <c r="A340" s="1" t="s">
        <v>395</v>
      </c>
      <c r="B340" s="1"/>
      <c r="C340" s="304">
        <v>0</v>
      </c>
      <c r="D340" s="304">
        <v>0</v>
      </c>
      <c r="E340" s="320">
        <f>E331</f>
        <v>8.0890000000000004</v>
      </c>
      <c r="F340" s="308" t="s">
        <v>364</v>
      </c>
      <c r="G340" s="2">
        <f>ROUND(E340*$C340/100*E335,0)</f>
        <v>0</v>
      </c>
      <c r="H340" s="2">
        <f t="shared" si="31"/>
        <v>0</v>
      </c>
      <c r="I340" s="320">
        <f>I331</f>
        <v>8.8109999999999999</v>
      </c>
      <c r="J340" s="308" t="s">
        <v>364</v>
      </c>
      <c r="K340" s="2">
        <f>ROUND(I340*$C340/100*I335,0)</f>
        <v>0</v>
      </c>
      <c r="M340" s="20"/>
      <c r="N340" s="20"/>
      <c r="O340" s="74"/>
      <c r="P340" s="74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E340" s="84"/>
    </row>
    <row r="341" spans="1:31">
      <c r="A341" s="1" t="s">
        <v>388</v>
      </c>
      <c r="B341" s="1"/>
      <c r="C341" s="304">
        <v>0</v>
      </c>
      <c r="D341" s="304">
        <v>0</v>
      </c>
      <c r="E341" s="320">
        <f>E332</f>
        <v>5.5839999999999996</v>
      </c>
      <c r="F341" s="308" t="s">
        <v>364</v>
      </c>
      <c r="G341" s="2">
        <f>ROUND(E341*$C341/100*E335,0)</f>
        <v>0</v>
      </c>
      <c r="H341" s="2">
        <f t="shared" si="31"/>
        <v>0</v>
      </c>
      <c r="I341" s="320">
        <f>I332</f>
        <v>6.0819999999999999</v>
      </c>
      <c r="J341" s="308" t="s">
        <v>364</v>
      </c>
      <c r="K341" s="2">
        <f>ROUND(I341*$C341/100*I335,0)</f>
        <v>0</v>
      </c>
      <c r="M341" s="20"/>
      <c r="N341" s="20"/>
      <c r="O341" s="74"/>
      <c r="P341" s="74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E341" s="84"/>
    </row>
    <row r="342" spans="1:31">
      <c r="A342" s="1" t="s">
        <v>389</v>
      </c>
      <c r="B342" s="1"/>
      <c r="C342" s="304">
        <v>0</v>
      </c>
      <c r="D342" s="304">
        <v>0</v>
      </c>
      <c r="E342" s="320">
        <f>E333</f>
        <v>4.8099999999999996</v>
      </c>
      <c r="F342" s="308" t="s">
        <v>364</v>
      </c>
      <c r="G342" s="2">
        <f>ROUND(E342*$C342/100*E335,0)</f>
        <v>0</v>
      </c>
      <c r="H342" s="2">
        <f t="shared" si="31"/>
        <v>0</v>
      </c>
      <c r="I342" s="320">
        <f>I333</f>
        <v>5.24</v>
      </c>
      <c r="J342" s="308" t="s">
        <v>364</v>
      </c>
      <c r="K342" s="2">
        <f>ROUND(I342*$C342/100*I335,0)</f>
        <v>0</v>
      </c>
      <c r="M342" s="20"/>
      <c r="N342" s="20"/>
      <c r="O342" s="74"/>
      <c r="P342" s="74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E342" s="84"/>
    </row>
    <row r="343" spans="1:31">
      <c r="A343" s="1" t="s">
        <v>390</v>
      </c>
      <c r="B343" s="1"/>
      <c r="C343" s="304">
        <v>0</v>
      </c>
      <c r="D343" s="304">
        <v>0</v>
      </c>
      <c r="E343" s="321">
        <f>E334</f>
        <v>45</v>
      </c>
      <c r="F343" s="308" t="s">
        <v>364</v>
      </c>
      <c r="G343" s="2">
        <f>ROUND(E343*$C343/100*E335,0)</f>
        <v>0</v>
      </c>
      <c r="H343" s="2">
        <f t="shared" si="31"/>
        <v>0</v>
      </c>
      <c r="I343" s="321">
        <f>I334</f>
        <v>50</v>
      </c>
      <c r="J343" s="308" t="s">
        <v>364</v>
      </c>
      <c r="K343" s="2">
        <f>ROUND(I343*$C343/100*I335,0)</f>
        <v>0</v>
      </c>
      <c r="M343" s="20"/>
      <c r="N343" s="20"/>
      <c r="O343" s="74"/>
      <c r="P343" s="74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E343" s="84"/>
    </row>
    <row r="344" spans="1:31">
      <c r="A344" s="1" t="s">
        <v>397</v>
      </c>
      <c r="B344" s="1"/>
      <c r="C344" s="304">
        <v>0</v>
      </c>
      <c r="D344" s="304">
        <v>0</v>
      </c>
      <c r="E344" s="322">
        <f>$E$172</f>
        <v>60</v>
      </c>
      <c r="F344" s="306"/>
      <c r="G344" s="2">
        <f>ROUND(E344*$C344,0)</f>
        <v>0</v>
      </c>
      <c r="H344" s="2">
        <f t="shared" si="31"/>
        <v>0</v>
      </c>
      <c r="I344" s="322">
        <f>$I$172</f>
        <v>60</v>
      </c>
      <c r="J344" s="308"/>
      <c r="K344" s="2">
        <f>ROUND(I344*$C344,0)</f>
        <v>0</v>
      </c>
      <c r="M344" s="20"/>
      <c r="N344" s="20"/>
      <c r="O344" s="74"/>
      <c r="P344" s="74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E344" s="84"/>
    </row>
    <row r="345" spans="1:31">
      <c r="A345" s="1" t="s">
        <v>398</v>
      </c>
      <c r="B345" s="1"/>
      <c r="C345" s="304">
        <v>0</v>
      </c>
      <c r="D345" s="304">
        <v>0</v>
      </c>
      <c r="E345" s="324">
        <f>$E$173</f>
        <v>-30</v>
      </c>
      <c r="F345" s="306" t="s">
        <v>364</v>
      </c>
      <c r="G345" s="2">
        <f>ROUND(E345*$C345/100,0)</f>
        <v>0</v>
      </c>
      <c r="H345" s="2">
        <f t="shared" si="31"/>
        <v>0</v>
      </c>
      <c r="I345" s="324">
        <f>$I$173</f>
        <v>-30</v>
      </c>
      <c r="J345" s="308" t="s">
        <v>364</v>
      </c>
      <c r="K345" s="2">
        <f>ROUND(I345*$C345/100,0)</f>
        <v>0</v>
      </c>
      <c r="M345" s="20"/>
      <c r="N345" s="20"/>
      <c r="O345" s="74"/>
      <c r="P345" s="74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E345" s="84"/>
    </row>
    <row r="346" spans="1:31">
      <c r="A346" s="1" t="s">
        <v>371</v>
      </c>
      <c r="B346" s="1"/>
      <c r="C346" s="304">
        <f>SUM(C331:C333)</f>
        <v>33312</v>
      </c>
      <c r="D346" s="304">
        <v>38537</v>
      </c>
      <c r="E346" s="315"/>
      <c r="F346" s="2"/>
      <c r="G346" s="2">
        <f>SUM(G325:G345)</f>
        <v>6580</v>
      </c>
      <c r="H346" s="2">
        <f>SUM(H325:H345)</f>
        <v>7002</v>
      </c>
      <c r="I346" s="315"/>
      <c r="J346" s="308"/>
      <c r="K346" s="2">
        <f>SUM(K325:K345)</f>
        <v>7063</v>
      </c>
      <c r="M346" s="20"/>
      <c r="N346" s="20"/>
      <c r="O346" s="74"/>
      <c r="P346" s="74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E346" s="84"/>
    </row>
    <row r="347" spans="1:31">
      <c r="A347" s="1" t="s">
        <v>353</v>
      </c>
      <c r="B347" s="1"/>
      <c r="C347" s="334" t="e">
        <f>#REF!</f>
        <v>#REF!</v>
      </c>
      <c r="D347" s="325">
        <v>0</v>
      </c>
      <c r="E347" s="294"/>
      <c r="F347" s="294"/>
      <c r="G347" s="326" t="e">
        <f>#REF!</f>
        <v>#REF!</v>
      </c>
      <c r="H347" s="326">
        <v>0</v>
      </c>
      <c r="I347" s="294"/>
      <c r="J347" s="294"/>
      <c r="K347" s="326" t="e">
        <f>G347</f>
        <v>#REF!</v>
      </c>
      <c r="M347" s="429"/>
      <c r="N347" s="429"/>
      <c r="O347" s="272"/>
      <c r="P347" s="74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E347" s="84"/>
    </row>
    <row r="348" spans="1:31" ht="16.5" thickBot="1">
      <c r="A348" s="1" t="s">
        <v>372</v>
      </c>
      <c r="B348" s="1"/>
      <c r="C348" s="296" t="e">
        <f>SUM(C346:C347)</f>
        <v>#REF!</v>
      </c>
      <c r="D348" s="296">
        <f>SUM(D346:D347)</f>
        <v>38537</v>
      </c>
      <c r="E348" s="327"/>
      <c r="F348" s="328"/>
      <c r="G348" s="329" t="e">
        <f>G346+G347</f>
        <v>#REF!</v>
      </c>
      <c r="H348" s="329">
        <f>H346+H347</f>
        <v>7002</v>
      </c>
      <c r="I348" s="327"/>
      <c r="J348" s="330"/>
      <c r="K348" s="329" t="e">
        <f>K346+K347</f>
        <v>#REF!</v>
      </c>
      <c r="M348" s="396"/>
      <c r="N348" s="396"/>
      <c r="O348" s="455"/>
      <c r="P348" s="74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E348" s="84"/>
    </row>
    <row r="349" spans="1:31" ht="16.5" thickTop="1">
      <c r="A349" s="1"/>
      <c r="B349" s="1"/>
      <c r="C349" s="21"/>
      <c r="D349" s="21"/>
      <c r="E349" s="322"/>
      <c r="F349" s="2"/>
      <c r="G349" s="2"/>
      <c r="H349" s="2"/>
      <c r="I349" s="338" t="s">
        <v>31</v>
      </c>
      <c r="J349" s="1"/>
      <c r="K349" s="2" t="s">
        <v>31</v>
      </c>
      <c r="M349" s="20"/>
      <c r="N349" s="20"/>
      <c r="O349" s="74"/>
      <c r="P349" s="74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E349" s="84"/>
    </row>
    <row r="350" spans="1:31">
      <c r="A350" s="1"/>
      <c r="B350" s="1"/>
      <c r="C350" s="21"/>
      <c r="D350" s="21"/>
      <c r="E350" s="322"/>
      <c r="F350" s="2"/>
      <c r="G350" s="2"/>
      <c r="H350" s="2"/>
      <c r="I350" s="338" t="s">
        <v>31</v>
      </c>
      <c r="J350" s="1"/>
      <c r="K350" s="2" t="s">
        <v>31</v>
      </c>
      <c r="M350" s="20"/>
      <c r="N350" s="20"/>
      <c r="O350" s="74"/>
      <c r="P350" s="74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E350" s="84"/>
    </row>
    <row r="351" spans="1:31">
      <c r="A351" s="278" t="s">
        <v>407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M351" s="20"/>
      <c r="N351" s="20"/>
      <c r="O351" s="74"/>
      <c r="P351" s="74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E351" s="84"/>
    </row>
    <row r="352" spans="1:31">
      <c r="A352" s="1" t="s">
        <v>400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20"/>
      <c r="N352" s="20"/>
      <c r="O352" s="74"/>
      <c r="P352" s="74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</row>
    <row r="353" spans="1:29">
      <c r="A353" s="1" t="s">
        <v>408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20"/>
      <c r="N353" s="20"/>
      <c r="O353" s="74"/>
      <c r="P353" s="74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</row>
    <row r="354" spans="1:29">
      <c r="A354" s="1" t="s">
        <v>383</v>
      </c>
      <c r="B354" s="1"/>
      <c r="C354" s="304"/>
      <c r="D354" s="304"/>
      <c r="E354" s="2"/>
      <c r="F354" s="2"/>
      <c r="G354" s="1"/>
      <c r="H354" s="1"/>
      <c r="I354" s="2"/>
      <c r="J354" s="1"/>
      <c r="K354" s="1"/>
      <c r="M354" s="20"/>
      <c r="N354" s="20"/>
      <c r="O354" s="74"/>
      <c r="P354" s="74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</row>
    <row r="355" spans="1:29">
      <c r="A355" s="1" t="s">
        <v>380</v>
      </c>
      <c r="B355" s="1"/>
      <c r="C355" s="304">
        <f t="shared" ref="C355:D364" si="32">C384+C413</f>
        <v>1</v>
      </c>
      <c r="D355" s="304">
        <f t="shared" si="32"/>
        <v>1</v>
      </c>
      <c r="E355" s="283">
        <f>$E$149</f>
        <v>90.36</v>
      </c>
      <c r="F355" s="306"/>
      <c r="G355" s="2">
        <f t="shared" ref="G355:H357" si="33">G384+G413</f>
        <v>90</v>
      </c>
      <c r="H355" s="2">
        <f t="shared" si="33"/>
        <v>90</v>
      </c>
      <c r="I355" s="283">
        <f>$I$149</f>
        <v>96</v>
      </c>
      <c r="J355" s="308"/>
      <c r="K355" s="2">
        <f>K384+K413</f>
        <v>96</v>
      </c>
      <c r="M355" s="20"/>
      <c r="N355" s="20"/>
      <c r="O355" s="74"/>
      <c r="P355" s="74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</row>
    <row r="356" spans="1:29">
      <c r="A356" s="1" t="s">
        <v>381</v>
      </c>
      <c r="B356" s="1"/>
      <c r="C356" s="304">
        <f t="shared" si="32"/>
        <v>107</v>
      </c>
      <c r="D356" s="304">
        <f t="shared" si="32"/>
        <v>109.09090909090909</v>
      </c>
      <c r="E356" s="283">
        <f>$E$150</f>
        <v>134.16</v>
      </c>
      <c r="F356" s="309"/>
      <c r="G356" s="2">
        <f t="shared" si="33"/>
        <v>14355</v>
      </c>
      <c r="H356" s="2">
        <f t="shared" si="33"/>
        <v>14635</v>
      </c>
      <c r="I356" s="283">
        <f>$I$150</f>
        <v>142.53386454183266</v>
      </c>
      <c r="J356" s="310"/>
      <c r="K356" s="2">
        <f>K385+K414</f>
        <v>15252</v>
      </c>
      <c r="M356" s="20"/>
      <c r="N356" s="20"/>
      <c r="O356" s="74"/>
      <c r="P356" s="74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</row>
    <row r="357" spans="1:29">
      <c r="A357" s="1" t="s">
        <v>382</v>
      </c>
      <c r="B357" s="1"/>
      <c r="C357" s="304">
        <f t="shared" si="32"/>
        <v>4321</v>
      </c>
      <c r="D357" s="304">
        <f t="shared" si="32"/>
        <v>1974</v>
      </c>
      <c r="E357" s="283">
        <f>$E$151</f>
        <v>9.36</v>
      </c>
      <c r="F357" s="309"/>
      <c r="G357" s="2">
        <f t="shared" si="33"/>
        <v>40445</v>
      </c>
      <c r="H357" s="2">
        <f t="shared" si="33"/>
        <v>18476</v>
      </c>
      <c r="I357" s="283">
        <f>$I$151</f>
        <v>9.94</v>
      </c>
      <c r="J357" s="310"/>
      <c r="K357" s="2">
        <f>K386+K415</f>
        <v>42951</v>
      </c>
      <c r="M357" s="20"/>
      <c r="N357" s="20"/>
      <c r="O357" s="74"/>
      <c r="P357" s="74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</row>
    <row r="358" spans="1:29">
      <c r="A358" s="1" t="s">
        <v>384</v>
      </c>
      <c r="B358" s="1"/>
      <c r="C358" s="304">
        <f t="shared" si="32"/>
        <v>108</v>
      </c>
      <c r="D358" s="304">
        <f t="shared" si="32"/>
        <v>109.84090909090909</v>
      </c>
      <c r="E358" s="283"/>
      <c r="F358" s="306"/>
      <c r="G358" s="2"/>
      <c r="H358" s="2"/>
      <c r="I358" s="283"/>
      <c r="J358" s="308"/>
      <c r="K358" s="2"/>
      <c r="M358" s="20"/>
      <c r="N358" s="20"/>
      <c r="O358" s="74"/>
      <c r="P358" s="74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</row>
    <row r="359" spans="1:29">
      <c r="A359" s="1" t="s">
        <v>409</v>
      </c>
      <c r="B359" s="1"/>
      <c r="C359" s="304">
        <f t="shared" si="32"/>
        <v>1258</v>
      </c>
      <c r="D359" s="304">
        <f t="shared" si="32"/>
        <v>1279</v>
      </c>
      <c r="E359" s="283"/>
      <c r="F359" s="306"/>
      <c r="G359" s="2"/>
      <c r="H359" s="2"/>
      <c r="I359" s="283"/>
      <c r="J359" s="308"/>
      <c r="K359" s="2"/>
      <c r="M359" s="20"/>
      <c r="N359" s="20"/>
      <c r="O359" s="74"/>
      <c r="P359" s="74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</row>
    <row r="360" spans="1:29">
      <c r="A360" s="1" t="s">
        <v>385</v>
      </c>
      <c r="B360" s="1"/>
      <c r="C360" s="304">
        <f t="shared" si="32"/>
        <v>11960</v>
      </c>
      <c r="D360" s="304">
        <f t="shared" si="32"/>
        <v>5447</v>
      </c>
      <c r="E360" s="311">
        <f>$E$158</f>
        <v>2.88</v>
      </c>
      <c r="F360" s="308"/>
      <c r="G360" s="2">
        <f t="shared" ref="G360:H364" si="34">G389+G418</f>
        <v>34445</v>
      </c>
      <c r="H360" s="2">
        <f t="shared" si="34"/>
        <v>15687</v>
      </c>
      <c r="I360" s="311">
        <f>$I$158</f>
        <v>2.97</v>
      </c>
      <c r="J360" s="308"/>
      <c r="K360" s="2">
        <f>K389+K418</f>
        <v>35521</v>
      </c>
      <c r="M360" s="20"/>
      <c r="N360" s="20"/>
      <c r="O360" s="74"/>
      <c r="P360" s="74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</row>
    <row r="361" spans="1:29">
      <c r="A361" s="1" t="s">
        <v>387</v>
      </c>
      <c r="B361" s="1"/>
      <c r="C361" s="304">
        <f t="shared" si="32"/>
        <v>212823</v>
      </c>
      <c r="D361" s="304">
        <f t="shared" si="32"/>
        <v>96758</v>
      </c>
      <c r="E361" s="284">
        <f>$E$159</f>
        <v>8.0890000000000004</v>
      </c>
      <c r="F361" s="308" t="s">
        <v>364</v>
      </c>
      <c r="G361" s="2">
        <f t="shared" si="34"/>
        <v>17216</v>
      </c>
      <c r="H361" s="2">
        <f t="shared" si="34"/>
        <v>7826</v>
      </c>
      <c r="I361" s="284">
        <f>$I$159</f>
        <v>8.8109999999999999</v>
      </c>
      <c r="J361" s="308" t="s">
        <v>364</v>
      </c>
      <c r="K361" s="2">
        <f>K390+K419</f>
        <v>18752</v>
      </c>
      <c r="M361" s="20"/>
      <c r="N361" s="20"/>
      <c r="O361" s="74"/>
      <c r="P361" s="74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</row>
    <row r="362" spans="1:29">
      <c r="A362" s="1" t="s">
        <v>388</v>
      </c>
      <c r="B362" s="1"/>
      <c r="C362" s="304">
        <f t="shared" si="32"/>
        <v>426085</v>
      </c>
      <c r="D362" s="304">
        <f t="shared" si="32"/>
        <v>194138</v>
      </c>
      <c r="E362" s="284">
        <f>$E$189</f>
        <v>5.5839999999999996</v>
      </c>
      <c r="F362" s="308" t="s">
        <v>364</v>
      </c>
      <c r="G362" s="2">
        <f t="shared" si="34"/>
        <v>23793</v>
      </c>
      <c r="H362" s="2">
        <f t="shared" si="34"/>
        <v>10841</v>
      </c>
      <c r="I362" s="284">
        <f>$I$160</f>
        <v>6.0819999999999999</v>
      </c>
      <c r="J362" s="308" t="s">
        <v>364</v>
      </c>
      <c r="K362" s="2">
        <f>K391+K420</f>
        <v>25915</v>
      </c>
      <c r="M362" s="20"/>
      <c r="N362" s="20"/>
      <c r="O362" s="74"/>
      <c r="P362" s="74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</row>
    <row r="363" spans="1:29">
      <c r="A363" s="1" t="s">
        <v>389</v>
      </c>
      <c r="B363" s="1"/>
      <c r="C363" s="304">
        <f t="shared" si="32"/>
        <v>20189</v>
      </c>
      <c r="D363" s="304">
        <f t="shared" si="32"/>
        <v>9223</v>
      </c>
      <c r="E363" s="284">
        <f>$E$161</f>
        <v>4.8099999999999996</v>
      </c>
      <c r="F363" s="308" t="s">
        <v>364</v>
      </c>
      <c r="G363" s="2">
        <f t="shared" si="34"/>
        <v>971</v>
      </c>
      <c r="H363" s="2">
        <f t="shared" si="34"/>
        <v>444</v>
      </c>
      <c r="I363" s="284">
        <f>$I$161</f>
        <v>5.24</v>
      </c>
      <c r="J363" s="308" t="s">
        <v>364</v>
      </c>
      <c r="K363" s="2">
        <f>K392+K421</f>
        <v>1058</v>
      </c>
      <c r="M363" s="20"/>
      <c r="N363" s="20"/>
      <c r="O363" s="74"/>
      <c r="P363" s="74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</row>
    <row r="364" spans="1:29">
      <c r="A364" s="1" t="s">
        <v>390</v>
      </c>
      <c r="B364" s="1"/>
      <c r="C364" s="304">
        <f t="shared" si="32"/>
        <v>1540</v>
      </c>
      <c r="D364" s="304">
        <f t="shared" si="32"/>
        <v>704</v>
      </c>
      <c r="E364" s="315">
        <f>$E$162</f>
        <v>45</v>
      </c>
      <c r="F364" s="306" t="s">
        <v>364</v>
      </c>
      <c r="G364" s="2">
        <f t="shared" si="34"/>
        <v>693</v>
      </c>
      <c r="H364" s="2">
        <f t="shared" si="34"/>
        <v>317</v>
      </c>
      <c r="I364" s="315">
        <f>$I$162</f>
        <v>50</v>
      </c>
      <c r="J364" s="308" t="s">
        <v>364</v>
      </c>
      <c r="K364" s="2">
        <f>K393+K422</f>
        <v>770</v>
      </c>
      <c r="M364" s="20"/>
      <c r="N364" s="20"/>
      <c r="O364" s="74"/>
      <c r="P364" s="74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</row>
    <row r="365" spans="1:29">
      <c r="A365" s="316" t="s">
        <v>391</v>
      </c>
      <c r="B365" s="1"/>
      <c r="C365" s="304"/>
      <c r="D365" s="304"/>
      <c r="E365" s="317">
        <v>-0.01</v>
      </c>
      <c r="F365" s="306"/>
      <c r="G365" s="2"/>
      <c r="H365" s="2"/>
      <c r="I365" s="317">
        <v>-0.01</v>
      </c>
      <c r="J365" s="308"/>
      <c r="K365" s="2"/>
      <c r="M365" s="20"/>
      <c r="N365" s="20"/>
      <c r="O365" s="74"/>
      <c r="P365" s="74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</row>
    <row r="366" spans="1:29">
      <c r="A366" s="1" t="s">
        <v>380</v>
      </c>
      <c r="B366" s="1"/>
      <c r="C366" s="304">
        <v>0</v>
      </c>
      <c r="D366" s="304">
        <v>0</v>
      </c>
      <c r="E366" s="319">
        <f>E355</f>
        <v>90.36</v>
      </c>
      <c r="F366" s="306"/>
      <c r="G366" s="2">
        <f t="shared" ref="G366:H377" si="35">G395+G424</f>
        <v>0</v>
      </c>
      <c r="H366" s="2">
        <f t="shared" si="35"/>
        <v>0</v>
      </c>
      <c r="I366" s="319">
        <f>I355</f>
        <v>96</v>
      </c>
      <c r="J366" s="306"/>
      <c r="K366" s="2">
        <f t="shared" ref="K366:K376" si="36">K395+K424</f>
        <v>0</v>
      </c>
      <c r="M366" s="20"/>
      <c r="N366" s="20"/>
      <c r="O366" s="74"/>
      <c r="P366" s="74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</row>
    <row r="367" spans="1:29">
      <c r="A367" s="1" t="s">
        <v>381</v>
      </c>
      <c r="B367" s="1"/>
      <c r="C367" s="304">
        <v>0</v>
      </c>
      <c r="D367" s="304">
        <v>0</v>
      </c>
      <c r="E367" s="319">
        <f>E356</f>
        <v>134.16</v>
      </c>
      <c r="F367" s="306"/>
      <c r="G367" s="2">
        <f t="shared" si="35"/>
        <v>0</v>
      </c>
      <c r="H367" s="2">
        <f t="shared" si="35"/>
        <v>0</v>
      </c>
      <c r="I367" s="319">
        <f>I356</f>
        <v>142.53386454183266</v>
      </c>
      <c r="J367" s="306"/>
      <c r="K367" s="2">
        <f t="shared" si="36"/>
        <v>0</v>
      </c>
      <c r="M367" s="20"/>
      <c r="N367" s="20"/>
      <c r="O367" s="74"/>
      <c r="P367" s="74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</row>
    <row r="368" spans="1:29">
      <c r="A368" s="1" t="s">
        <v>392</v>
      </c>
      <c r="B368" s="1"/>
      <c r="C368" s="304">
        <v>0</v>
      </c>
      <c r="D368" s="304">
        <v>0</v>
      </c>
      <c r="E368" s="319">
        <f>E357</f>
        <v>9.36</v>
      </c>
      <c r="F368" s="306"/>
      <c r="G368" s="2">
        <f t="shared" si="35"/>
        <v>0</v>
      </c>
      <c r="H368" s="2">
        <f t="shared" si="35"/>
        <v>0</v>
      </c>
      <c r="I368" s="319">
        <f>I357</f>
        <v>9.94</v>
      </c>
      <c r="J368" s="306"/>
      <c r="K368" s="2">
        <f t="shared" si="36"/>
        <v>0</v>
      </c>
      <c r="M368" s="20"/>
      <c r="N368" s="20"/>
      <c r="O368" s="74"/>
      <c r="P368" s="74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</row>
    <row r="369" spans="1:29">
      <c r="A369" s="1" t="s">
        <v>393</v>
      </c>
      <c r="B369" s="1"/>
      <c r="C369" s="304">
        <v>0</v>
      </c>
      <c r="D369" s="304">
        <v>0</v>
      </c>
      <c r="E369" s="319">
        <f>E360</f>
        <v>2.88</v>
      </c>
      <c r="F369" s="308"/>
      <c r="G369" s="2">
        <f t="shared" si="35"/>
        <v>0</v>
      </c>
      <c r="H369" s="2">
        <f t="shared" si="35"/>
        <v>0</v>
      </c>
      <c r="I369" s="319">
        <f>I360</f>
        <v>2.97</v>
      </c>
      <c r="J369" s="308"/>
      <c r="K369" s="2">
        <f t="shared" si="36"/>
        <v>0</v>
      </c>
      <c r="M369" s="20"/>
      <c r="N369" s="20"/>
      <c r="O369" s="74"/>
      <c r="P369" s="74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</row>
    <row r="370" spans="1:29">
      <c r="A370" s="1" t="s">
        <v>395</v>
      </c>
      <c r="B370" s="1"/>
      <c r="C370" s="304">
        <v>0</v>
      </c>
      <c r="D370" s="304">
        <v>0</v>
      </c>
      <c r="E370" s="320">
        <f>E361</f>
        <v>8.0890000000000004</v>
      </c>
      <c r="F370" s="308" t="s">
        <v>364</v>
      </c>
      <c r="G370" s="2">
        <f t="shared" si="35"/>
        <v>0</v>
      </c>
      <c r="H370" s="2">
        <f t="shared" si="35"/>
        <v>0</v>
      </c>
      <c r="I370" s="320">
        <f>I361</f>
        <v>8.8109999999999999</v>
      </c>
      <c r="J370" s="308" t="s">
        <v>364</v>
      </c>
      <c r="K370" s="2">
        <f t="shared" si="36"/>
        <v>0</v>
      </c>
      <c r="M370" s="20"/>
      <c r="N370" s="20"/>
      <c r="O370" s="74"/>
      <c r="P370" s="74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</row>
    <row r="371" spans="1:29">
      <c r="A371" s="1" t="s">
        <v>388</v>
      </c>
      <c r="B371" s="1"/>
      <c r="C371" s="304">
        <v>0</v>
      </c>
      <c r="D371" s="304">
        <v>0</v>
      </c>
      <c r="E371" s="320">
        <f>E362</f>
        <v>5.5839999999999996</v>
      </c>
      <c r="F371" s="308" t="s">
        <v>364</v>
      </c>
      <c r="G371" s="2">
        <f t="shared" si="35"/>
        <v>0</v>
      </c>
      <c r="H371" s="2">
        <f t="shared" si="35"/>
        <v>0</v>
      </c>
      <c r="I371" s="320">
        <f>I362</f>
        <v>6.0819999999999999</v>
      </c>
      <c r="J371" s="308" t="s">
        <v>364</v>
      </c>
      <c r="K371" s="2">
        <f t="shared" si="36"/>
        <v>0</v>
      </c>
      <c r="M371" s="20"/>
      <c r="N371" s="20"/>
      <c r="O371" s="74"/>
      <c r="P371" s="74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</row>
    <row r="372" spans="1:29">
      <c r="A372" s="1" t="s">
        <v>389</v>
      </c>
      <c r="B372" s="1"/>
      <c r="C372" s="304">
        <v>0</v>
      </c>
      <c r="D372" s="304">
        <v>0</v>
      </c>
      <c r="E372" s="320">
        <f>E363</f>
        <v>4.8099999999999996</v>
      </c>
      <c r="F372" s="308" t="s">
        <v>364</v>
      </c>
      <c r="G372" s="2">
        <f t="shared" si="35"/>
        <v>0</v>
      </c>
      <c r="H372" s="2">
        <f t="shared" si="35"/>
        <v>0</v>
      </c>
      <c r="I372" s="320">
        <f>I363</f>
        <v>5.24</v>
      </c>
      <c r="J372" s="308" t="s">
        <v>364</v>
      </c>
      <c r="K372" s="2">
        <f t="shared" si="36"/>
        <v>0</v>
      </c>
      <c r="M372" s="20"/>
      <c r="N372" s="20"/>
      <c r="O372" s="74"/>
      <c r="P372" s="74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</row>
    <row r="373" spans="1:29">
      <c r="A373" s="1" t="s">
        <v>390</v>
      </c>
      <c r="B373" s="1"/>
      <c r="C373" s="304">
        <v>0</v>
      </c>
      <c r="D373" s="304">
        <v>0</v>
      </c>
      <c r="E373" s="321">
        <f>E364</f>
        <v>45</v>
      </c>
      <c r="F373" s="308" t="s">
        <v>364</v>
      </c>
      <c r="G373" s="2">
        <f t="shared" si="35"/>
        <v>0</v>
      </c>
      <c r="H373" s="2">
        <f t="shared" si="35"/>
        <v>0</v>
      </c>
      <c r="I373" s="321">
        <f>I364</f>
        <v>50</v>
      </c>
      <c r="J373" s="308" t="s">
        <v>364</v>
      </c>
      <c r="K373" s="2">
        <f t="shared" si="36"/>
        <v>0</v>
      </c>
      <c r="M373" s="20"/>
      <c r="N373" s="20"/>
      <c r="O373" s="74"/>
      <c r="P373" s="74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</row>
    <row r="374" spans="1:29">
      <c r="A374" s="1" t="s">
        <v>397</v>
      </c>
      <c r="B374" s="1"/>
      <c r="C374" s="304">
        <v>0</v>
      </c>
      <c r="D374" s="304">
        <v>0</v>
      </c>
      <c r="E374" s="322">
        <f>$E$172</f>
        <v>60</v>
      </c>
      <c r="F374" s="306"/>
      <c r="G374" s="2">
        <f t="shared" si="35"/>
        <v>0</v>
      </c>
      <c r="H374" s="2">
        <f t="shared" si="35"/>
        <v>0</v>
      </c>
      <c r="I374" s="322">
        <f>$I$172</f>
        <v>60</v>
      </c>
      <c r="J374" s="308"/>
      <c r="K374" s="2">
        <f t="shared" si="36"/>
        <v>0</v>
      </c>
      <c r="M374" s="20"/>
      <c r="N374" s="20"/>
      <c r="O374" s="74"/>
      <c r="P374" s="74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</row>
    <row r="375" spans="1:29">
      <c r="A375" s="1" t="s">
        <v>398</v>
      </c>
      <c r="B375" s="1"/>
      <c r="C375" s="304">
        <v>0</v>
      </c>
      <c r="D375" s="304">
        <v>0</v>
      </c>
      <c r="E375" s="324">
        <f>$E$173</f>
        <v>-30</v>
      </c>
      <c r="F375" s="306" t="s">
        <v>364</v>
      </c>
      <c r="G375" s="2">
        <f t="shared" si="35"/>
        <v>0</v>
      </c>
      <c r="H375" s="2">
        <f t="shared" si="35"/>
        <v>0</v>
      </c>
      <c r="I375" s="324">
        <f>$I$173</f>
        <v>-30</v>
      </c>
      <c r="J375" s="308" t="s">
        <v>364</v>
      </c>
      <c r="K375" s="2">
        <f t="shared" si="36"/>
        <v>0</v>
      </c>
      <c r="M375" s="20"/>
      <c r="N375" s="20"/>
      <c r="O375" s="74"/>
      <c r="P375" s="74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</row>
    <row r="376" spans="1:29">
      <c r="A376" s="1" t="s">
        <v>371</v>
      </c>
      <c r="B376" s="1"/>
      <c r="C376" s="304">
        <f>C405+C434</f>
        <v>659097</v>
      </c>
      <c r="D376" s="304">
        <f>D405+D434</f>
        <v>300118.64975971833</v>
      </c>
      <c r="E376" s="315"/>
      <c r="F376" s="2"/>
      <c r="G376" s="2">
        <f t="shared" si="35"/>
        <v>132008</v>
      </c>
      <c r="H376" s="2">
        <f t="shared" si="35"/>
        <v>68316</v>
      </c>
      <c r="I376" s="2"/>
      <c r="J376" s="308"/>
      <c r="K376" s="2">
        <f t="shared" si="36"/>
        <v>140315</v>
      </c>
      <c r="M376" s="20"/>
      <c r="N376" s="20"/>
      <c r="O376" s="74"/>
      <c r="P376" s="74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</row>
    <row r="377" spans="1:29">
      <c r="A377" s="1" t="s">
        <v>353</v>
      </c>
      <c r="B377" s="1"/>
      <c r="C377" s="325" t="e">
        <f>C406+C435</f>
        <v>#REF!</v>
      </c>
      <c r="D377" s="325">
        <f>D406+D435</f>
        <v>0</v>
      </c>
      <c r="E377" s="294"/>
      <c r="F377" s="294"/>
      <c r="G377" s="326" t="e">
        <f t="shared" si="35"/>
        <v>#REF!</v>
      </c>
      <c r="H377" s="326">
        <f t="shared" si="35"/>
        <v>0</v>
      </c>
      <c r="I377" s="294"/>
      <c r="J377" s="294"/>
      <c r="K377" s="326" t="e">
        <f>G377</f>
        <v>#REF!</v>
      </c>
      <c r="M377" s="429"/>
      <c r="N377" s="429"/>
      <c r="O377" s="272"/>
      <c r="P377" s="74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</row>
    <row r="378" spans="1:29" ht="16.5" thickBot="1">
      <c r="A378" s="1" t="s">
        <v>372</v>
      </c>
      <c r="B378" s="1"/>
      <c r="C378" s="296" t="e">
        <f>SUM(C376:C377)</f>
        <v>#REF!</v>
      </c>
      <c r="D378" s="296">
        <f>SUM(D376:D377)</f>
        <v>300118.64975971833</v>
      </c>
      <c r="E378" s="327"/>
      <c r="F378" s="328"/>
      <c r="G378" s="329" t="e">
        <f>G376+G377</f>
        <v>#REF!</v>
      </c>
      <c r="H378" s="329">
        <f>H376+H377</f>
        <v>68316</v>
      </c>
      <c r="I378" s="327"/>
      <c r="J378" s="330"/>
      <c r="K378" s="329" t="e">
        <f>K376+K377</f>
        <v>#REF!</v>
      </c>
      <c r="M378" s="396"/>
      <c r="N378" s="396"/>
      <c r="O378" s="455"/>
      <c r="P378" s="74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</row>
    <row r="379" spans="1:29" ht="16.5" thickTop="1">
      <c r="A379" s="1"/>
      <c r="B379" s="1"/>
      <c r="C379" s="21"/>
      <c r="D379" s="21"/>
      <c r="E379" s="322"/>
      <c r="F379" s="2"/>
      <c r="G379" s="2"/>
      <c r="H379" s="2"/>
      <c r="I379" s="338" t="s">
        <v>31</v>
      </c>
      <c r="J379" s="1"/>
      <c r="K379" s="2" t="s">
        <v>31</v>
      </c>
      <c r="M379" s="20"/>
      <c r="N379" s="20"/>
      <c r="O379" s="74"/>
      <c r="P379" s="74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</row>
    <row r="380" spans="1:29">
      <c r="A380" s="278" t="s">
        <v>407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  <c r="M380" s="20"/>
      <c r="N380" s="20"/>
      <c r="O380" s="74"/>
      <c r="P380" s="74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</row>
    <row r="381" spans="1:29">
      <c r="A381" s="1" t="s">
        <v>401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20"/>
      <c r="N381" s="20"/>
      <c r="O381" s="74"/>
      <c r="P381" s="74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</row>
    <row r="382" spans="1:29">
      <c r="A382" s="1" t="s">
        <v>408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20"/>
      <c r="N382" s="20"/>
      <c r="O382" s="74"/>
      <c r="P382" s="74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</row>
    <row r="383" spans="1:29">
      <c r="A383" s="1" t="s">
        <v>383</v>
      </c>
      <c r="B383" s="1"/>
      <c r="C383" s="304"/>
      <c r="D383" s="304"/>
      <c r="E383" s="2"/>
      <c r="F383" s="2"/>
      <c r="G383" s="1"/>
      <c r="H383" s="1"/>
      <c r="I383" s="2"/>
      <c r="J383" s="1"/>
      <c r="K383" s="1"/>
      <c r="M383" s="20"/>
      <c r="N383" s="20"/>
      <c r="O383" s="74"/>
      <c r="P383" s="74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</row>
    <row r="384" spans="1:29">
      <c r="A384" s="1" t="s">
        <v>380</v>
      </c>
      <c r="B384" s="1"/>
      <c r="C384" s="304">
        <v>1</v>
      </c>
      <c r="D384" s="304">
        <f>ROUND(($D$387/$C$387)*C384,0)</f>
        <v>1</v>
      </c>
      <c r="E384" s="283">
        <f>$E$149</f>
        <v>90.36</v>
      </c>
      <c r="F384" s="306"/>
      <c r="G384" s="2">
        <f>ROUND(E384*$C384,0)</f>
        <v>90</v>
      </c>
      <c r="H384" s="2">
        <f>ROUND(E384*$D384,0)</f>
        <v>90</v>
      </c>
      <c r="I384" s="283">
        <f>$I$149</f>
        <v>96</v>
      </c>
      <c r="J384" s="308"/>
      <c r="K384" s="2">
        <f>ROUND(I384*$C384,0)</f>
        <v>96</v>
      </c>
      <c r="M384" s="20"/>
      <c r="N384" s="20"/>
      <c r="O384" s="74"/>
      <c r="P384" s="74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</row>
    <row r="385" spans="1:29">
      <c r="A385" s="1" t="s">
        <v>381</v>
      </c>
      <c r="B385" s="1"/>
      <c r="C385" s="304">
        <v>106</v>
      </c>
      <c r="D385" s="304">
        <f>ROUND(($D$387/$C$387)*C385,0)</f>
        <v>108</v>
      </c>
      <c r="E385" s="283">
        <f>$E$150</f>
        <v>134.16</v>
      </c>
      <c r="F385" s="309"/>
      <c r="G385" s="2">
        <f>ROUND(E385*$C385,0)</f>
        <v>14221</v>
      </c>
      <c r="H385" s="2">
        <f>ROUND(E385*$D385,0)</f>
        <v>14489</v>
      </c>
      <c r="I385" s="283">
        <f>$I$150</f>
        <v>142.53386454183266</v>
      </c>
      <c r="J385" s="310"/>
      <c r="K385" s="2">
        <f>ROUND(I385*$C385,0)</f>
        <v>15109</v>
      </c>
      <c r="M385" s="20"/>
      <c r="N385" s="20"/>
      <c r="O385" s="74"/>
      <c r="P385" s="74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</row>
    <row r="386" spans="1:29">
      <c r="A386" s="1" t="s">
        <v>382</v>
      </c>
      <c r="B386" s="1"/>
      <c r="C386" s="304">
        <v>4246</v>
      </c>
      <c r="D386" s="304">
        <f>ROUND(($D$405/$C$405)*C386,0)</f>
        <v>1940</v>
      </c>
      <c r="E386" s="283">
        <f>$E$151</f>
        <v>9.36</v>
      </c>
      <c r="F386" s="309"/>
      <c r="G386" s="2">
        <f>ROUND(E386*$C386,0)</f>
        <v>39743</v>
      </c>
      <c r="H386" s="2">
        <f>ROUND(E386*$D386,0)</f>
        <v>18158</v>
      </c>
      <c r="I386" s="283">
        <f>$I$151</f>
        <v>9.94</v>
      </c>
      <c r="J386" s="310"/>
      <c r="K386" s="2">
        <f>ROUND(I386*$C386,0)</f>
        <v>42205</v>
      </c>
      <c r="M386" s="20"/>
      <c r="N386" s="20"/>
      <c r="O386" s="74"/>
      <c r="P386" s="74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</row>
    <row r="387" spans="1:29">
      <c r="A387" s="1" t="s">
        <v>384</v>
      </c>
      <c r="B387" s="1"/>
      <c r="C387" s="304">
        <f>SUM(C384:C385)</f>
        <v>107</v>
      </c>
      <c r="D387" s="304">
        <v>108.75</v>
      </c>
      <c r="E387" s="283"/>
      <c r="F387" s="306"/>
      <c r="G387" s="2"/>
      <c r="H387" s="2"/>
      <c r="I387" s="283"/>
      <c r="J387" s="308"/>
      <c r="K387" s="2"/>
      <c r="M387" s="20"/>
      <c r="N387" s="20"/>
      <c r="O387" s="74"/>
      <c r="P387" s="74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</row>
    <row r="388" spans="1:29">
      <c r="A388" s="1" t="s">
        <v>409</v>
      </c>
      <c r="B388" s="1"/>
      <c r="C388" s="304">
        <f>11+1236</f>
        <v>1247</v>
      </c>
      <c r="D388" s="304">
        <f>ROUND(($D$387/$C$387)*C388,0)</f>
        <v>1267</v>
      </c>
      <c r="E388" s="283"/>
      <c r="F388" s="306"/>
      <c r="G388" s="2"/>
      <c r="H388" s="2"/>
      <c r="I388" s="283"/>
      <c r="J388" s="308"/>
      <c r="K388" s="2"/>
      <c r="M388" s="20"/>
      <c r="N388" s="20"/>
      <c r="O388" s="74"/>
      <c r="P388" s="74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</row>
    <row r="389" spans="1:29">
      <c r="A389" s="1" t="s">
        <v>385</v>
      </c>
      <c r="B389" s="1"/>
      <c r="C389" s="304">
        <v>11707</v>
      </c>
      <c r="D389" s="304">
        <f>ROUND(($D$405/$C$405)*C389,0)</f>
        <v>5348</v>
      </c>
      <c r="E389" s="311">
        <f>$E$158</f>
        <v>2.88</v>
      </c>
      <c r="F389" s="308"/>
      <c r="G389" s="2">
        <f>ROUND(E389*$C389,0)</f>
        <v>33716</v>
      </c>
      <c r="H389" s="2">
        <f>ROUND(E389*$D389,0)</f>
        <v>15402</v>
      </c>
      <c r="I389" s="311">
        <f>$I$158</f>
        <v>2.97</v>
      </c>
      <c r="J389" s="308"/>
      <c r="K389" s="2">
        <f>ROUND(I389*$C389,0)</f>
        <v>34770</v>
      </c>
      <c r="M389" s="20"/>
      <c r="N389" s="20"/>
      <c r="O389" s="74"/>
      <c r="P389" s="74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</row>
    <row r="390" spans="1:29">
      <c r="A390" s="1" t="s">
        <v>387</v>
      </c>
      <c r="B390" s="1"/>
      <c r="C390" s="304">
        <f>4783+201108</f>
        <v>205891</v>
      </c>
      <c r="D390" s="304">
        <f>ROUND(($D$405/$C$405)*C390,0)</f>
        <v>94057</v>
      </c>
      <c r="E390" s="284">
        <f>$E$159</f>
        <v>8.0890000000000004</v>
      </c>
      <c r="F390" s="308" t="s">
        <v>364</v>
      </c>
      <c r="G390" s="2">
        <f>ROUND(E390*$C390/100,0)</f>
        <v>16655</v>
      </c>
      <c r="H390" s="2">
        <f>ROUND(E390*$D390/100,0)</f>
        <v>7608</v>
      </c>
      <c r="I390" s="284">
        <f>$I$159</f>
        <v>8.8109999999999999</v>
      </c>
      <c r="J390" s="308" t="s">
        <v>364</v>
      </c>
      <c r="K390" s="2">
        <f>ROUND(I390*$C390/100,0)</f>
        <v>18141</v>
      </c>
      <c r="M390" s="20"/>
      <c r="N390" s="20"/>
      <c r="O390" s="74"/>
      <c r="P390" s="74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</row>
    <row r="391" spans="1:29">
      <c r="A391" s="1" t="s">
        <v>388</v>
      </c>
      <c r="B391" s="1"/>
      <c r="C391" s="304">
        <f>417691+806</f>
        <v>418497</v>
      </c>
      <c r="D391" s="304">
        <f>ROUND(($D$405/$C$405)*C391,0)</f>
        <v>191182</v>
      </c>
      <c r="E391" s="284">
        <f>$E$189</f>
        <v>5.5839999999999996</v>
      </c>
      <c r="F391" s="308" t="s">
        <v>364</v>
      </c>
      <c r="G391" s="2">
        <f>ROUND(E391*$C391/100,0)</f>
        <v>23369</v>
      </c>
      <c r="H391" s="2">
        <f>ROUND(E391*$D391/100,0)</f>
        <v>10676</v>
      </c>
      <c r="I391" s="284">
        <f>$I$160</f>
        <v>6.0819999999999999</v>
      </c>
      <c r="J391" s="308" t="s">
        <v>364</v>
      </c>
      <c r="K391" s="2">
        <f>ROUND(I391*$C391/100,0)</f>
        <v>25453</v>
      </c>
      <c r="M391" s="20"/>
      <c r="N391" s="20"/>
      <c r="O391" s="74"/>
      <c r="P391" s="74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</row>
    <row r="392" spans="1:29">
      <c r="A392" s="1" t="s">
        <v>389</v>
      </c>
      <c r="B392" s="1"/>
      <c r="C392" s="304">
        <v>20189</v>
      </c>
      <c r="D392" s="304">
        <f>ROUND(($D$405/$C$405)*C392,0)</f>
        <v>9223</v>
      </c>
      <c r="E392" s="284">
        <f>$E$161</f>
        <v>4.8099999999999996</v>
      </c>
      <c r="F392" s="308" t="s">
        <v>364</v>
      </c>
      <c r="G392" s="2">
        <f>ROUND(E392*$C392/100,0)</f>
        <v>971</v>
      </c>
      <c r="H392" s="2">
        <f>ROUND(E392*$D392/100,0)</f>
        <v>444</v>
      </c>
      <c r="I392" s="284">
        <f>$I$161</f>
        <v>5.24</v>
      </c>
      <c r="J392" s="308" t="s">
        <v>364</v>
      </c>
      <c r="K392" s="2">
        <f>ROUND(I392*$C392/100,0)</f>
        <v>1058</v>
      </c>
      <c r="M392" s="20"/>
      <c r="N392" s="20"/>
      <c r="O392" s="74"/>
      <c r="P392" s="74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</row>
    <row r="393" spans="1:29">
      <c r="A393" s="1" t="s">
        <v>390</v>
      </c>
      <c r="B393" s="1"/>
      <c r="C393" s="304">
        <v>1540</v>
      </c>
      <c r="D393" s="304">
        <f>ROUND(($D$405/$C$405)*C393,0)</f>
        <v>704</v>
      </c>
      <c r="E393" s="315">
        <f>$E$162</f>
        <v>45</v>
      </c>
      <c r="F393" s="306" t="s">
        <v>364</v>
      </c>
      <c r="G393" s="2">
        <f>ROUND(E393*$C393/100,0)</f>
        <v>693</v>
      </c>
      <c r="H393" s="2">
        <f>ROUND(E393*$D393/100,0)</f>
        <v>317</v>
      </c>
      <c r="I393" s="315">
        <f>$I$162</f>
        <v>50</v>
      </c>
      <c r="J393" s="308" t="s">
        <v>364</v>
      </c>
      <c r="K393" s="2">
        <f>ROUND(I393*$C393/100,0)</f>
        <v>770</v>
      </c>
      <c r="M393" s="20"/>
      <c r="N393" s="20"/>
      <c r="O393" s="74"/>
      <c r="P393" s="74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</row>
    <row r="394" spans="1:29">
      <c r="A394" s="316" t="s">
        <v>391</v>
      </c>
      <c r="B394" s="1"/>
      <c r="C394" s="304"/>
      <c r="D394" s="304"/>
      <c r="E394" s="317">
        <v>-0.01</v>
      </c>
      <c r="F394" s="306"/>
      <c r="G394" s="2"/>
      <c r="H394" s="2"/>
      <c r="I394" s="317">
        <v>-0.01</v>
      </c>
      <c r="J394" s="308"/>
      <c r="K394" s="2"/>
      <c r="M394" s="20"/>
      <c r="N394" s="20"/>
      <c r="O394" s="74"/>
      <c r="P394" s="74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</row>
    <row r="395" spans="1:29">
      <c r="A395" s="1" t="s">
        <v>380</v>
      </c>
      <c r="B395" s="1"/>
      <c r="C395" s="304">
        <v>0</v>
      </c>
      <c r="D395" s="304">
        <f>ROUND(($D$387/$C$387)*C395,0)</f>
        <v>0</v>
      </c>
      <c r="E395" s="319">
        <f>E384</f>
        <v>90.36</v>
      </c>
      <c r="F395" s="306"/>
      <c r="G395" s="2">
        <f>-ROUND(E395*$C395/100,0)</f>
        <v>0</v>
      </c>
      <c r="H395" s="2">
        <f>-ROUND(E395*$D395/100,0)</f>
        <v>0</v>
      </c>
      <c r="I395" s="319">
        <f>I384</f>
        <v>96</v>
      </c>
      <c r="J395" s="306"/>
      <c r="K395" s="2">
        <f>-ROUND(I395*$C395/100,0)</f>
        <v>0</v>
      </c>
      <c r="M395" s="20"/>
      <c r="N395" s="20"/>
      <c r="O395" s="74"/>
      <c r="P395" s="74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</row>
    <row r="396" spans="1:29">
      <c r="A396" s="1" t="s">
        <v>381</v>
      </c>
      <c r="B396" s="1"/>
      <c r="C396" s="304">
        <v>0</v>
      </c>
      <c r="D396" s="304">
        <f>ROUND(($D$387/$C$387)*C396,0)</f>
        <v>0</v>
      </c>
      <c r="E396" s="319">
        <f>E385</f>
        <v>134.16</v>
      </c>
      <c r="F396" s="306"/>
      <c r="G396" s="2">
        <f>-ROUND(E396*$C396/100,0)</f>
        <v>0</v>
      </c>
      <c r="H396" s="2">
        <f>-ROUND(E396*$D396/100,0)</f>
        <v>0</v>
      </c>
      <c r="I396" s="319">
        <f>I385</f>
        <v>142.53386454183266</v>
      </c>
      <c r="J396" s="306"/>
      <c r="K396" s="2">
        <f>-ROUND(I396*$C396/100,0)</f>
        <v>0</v>
      </c>
      <c r="M396" s="20"/>
      <c r="N396" s="20"/>
      <c r="O396" s="74"/>
      <c r="P396" s="74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</row>
    <row r="397" spans="1:29">
      <c r="A397" s="1" t="s">
        <v>392</v>
      </c>
      <c r="B397" s="1"/>
      <c r="C397" s="304">
        <v>0</v>
      </c>
      <c r="D397" s="304">
        <f t="shared" ref="D397:D402" si="37">ROUND(($D$405/$C$405)*C397,0)</f>
        <v>0</v>
      </c>
      <c r="E397" s="319">
        <f>E386</f>
        <v>9.36</v>
      </c>
      <c r="F397" s="306"/>
      <c r="G397" s="2">
        <f>-ROUND(E397*$C397/100,0)</f>
        <v>0</v>
      </c>
      <c r="H397" s="2">
        <f>-ROUND(E397*$D397/100,0)</f>
        <v>0</v>
      </c>
      <c r="I397" s="319">
        <f>I386</f>
        <v>9.94</v>
      </c>
      <c r="J397" s="306"/>
      <c r="K397" s="2">
        <f>-ROUND(I397*$C397/100,0)</f>
        <v>0</v>
      </c>
      <c r="M397" s="20"/>
      <c r="N397" s="20"/>
      <c r="O397" s="74"/>
      <c r="P397" s="74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</row>
    <row r="398" spans="1:29">
      <c r="A398" s="1" t="s">
        <v>393</v>
      </c>
      <c r="B398" s="1"/>
      <c r="C398" s="304">
        <v>0</v>
      </c>
      <c r="D398" s="304">
        <f t="shared" si="37"/>
        <v>0</v>
      </c>
      <c r="E398" s="319">
        <f>E389</f>
        <v>2.88</v>
      </c>
      <c r="F398" s="308"/>
      <c r="G398" s="2">
        <f>-ROUND(E398*$C398/100,0)</f>
        <v>0</v>
      </c>
      <c r="H398" s="2">
        <f>-ROUND(E398*$D398/100,0)</f>
        <v>0</v>
      </c>
      <c r="I398" s="319">
        <f>I389</f>
        <v>2.97</v>
      </c>
      <c r="J398" s="308"/>
      <c r="K398" s="2">
        <f>-ROUND(I398*$C398/100,0)</f>
        <v>0</v>
      </c>
      <c r="M398" s="20"/>
      <c r="N398" s="20"/>
      <c r="O398" s="74"/>
      <c r="P398" s="74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</row>
    <row r="399" spans="1:29">
      <c r="A399" s="1" t="s">
        <v>395</v>
      </c>
      <c r="B399" s="1"/>
      <c r="C399" s="304">
        <v>0</v>
      </c>
      <c r="D399" s="304">
        <f t="shared" si="37"/>
        <v>0</v>
      </c>
      <c r="E399" s="320">
        <f>E390</f>
        <v>8.0890000000000004</v>
      </c>
      <c r="F399" s="308" t="s">
        <v>364</v>
      </c>
      <c r="G399" s="2">
        <f>ROUND(E399*$C399/100*E394,0)</f>
        <v>0</v>
      </c>
      <c r="H399" s="2">
        <f>ROUND(E399*$D399/100*E394,0)</f>
        <v>0</v>
      </c>
      <c r="I399" s="320">
        <f>I390</f>
        <v>8.8109999999999999</v>
      </c>
      <c r="J399" s="308" t="s">
        <v>364</v>
      </c>
      <c r="K399" s="2">
        <f>ROUND(I399*$C399/100*I394,0)</f>
        <v>0</v>
      </c>
      <c r="M399" s="20"/>
      <c r="N399" s="20"/>
      <c r="O399" s="74"/>
      <c r="P399" s="74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</row>
    <row r="400" spans="1:29">
      <c r="A400" s="1" t="s">
        <v>388</v>
      </c>
      <c r="B400" s="1"/>
      <c r="C400" s="304">
        <v>0</v>
      </c>
      <c r="D400" s="304">
        <f t="shared" si="37"/>
        <v>0</v>
      </c>
      <c r="E400" s="320">
        <f>E391</f>
        <v>5.5839999999999996</v>
      </c>
      <c r="F400" s="308" t="s">
        <v>364</v>
      </c>
      <c r="G400" s="2">
        <f>ROUND(E400*$C400/100*E394,0)</f>
        <v>0</v>
      </c>
      <c r="H400" s="2">
        <f>ROUND(E400*$D400/100*E394,0)</f>
        <v>0</v>
      </c>
      <c r="I400" s="320">
        <f>I391</f>
        <v>6.0819999999999999</v>
      </c>
      <c r="J400" s="308" t="s">
        <v>364</v>
      </c>
      <c r="K400" s="2">
        <f>ROUND(I400*$C400/100*I394,0)</f>
        <v>0</v>
      </c>
      <c r="M400" s="20"/>
      <c r="N400" s="20"/>
      <c r="O400" s="74"/>
      <c r="P400" s="74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</row>
    <row r="401" spans="1:29">
      <c r="A401" s="1" t="s">
        <v>389</v>
      </c>
      <c r="B401" s="1"/>
      <c r="C401" s="304">
        <v>0</v>
      </c>
      <c r="D401" s="304">
        <f t="shared" si="37"/>
        <v>0</v>
      </c>
      <c r="E401" s="320">
        <f>E392</f>
        <v>4.8099999999999996</v>
      </c>
      <c r="F401" s="308" t="s">
        <v>364</v>
      </c>
      <c r="G401" s="2">
        <f>ROUND(E401*$C401/100*E394,0)</f>
        <v>0</v>
      </c>
      <c r="H401" s="2">
        <f>ROUND(E401*$D401/100*E394,0)</f>
        <v>0</v>
      </c>
      <c r="I401" s="320">
        <f>I392</f>
        <v>5.24</v>
      </c>
      <c r="J401" s="308" t="s">
        <v>364</v>
      </c>
      <c r="K401" s="2">
        <f>ROUND(I401*$C401/100*I394,0)</f>
        <v>0</v>
      </c>
      <c r="M401" s="20"/>
      <c r="N401" s="20"/>
      <c r="O401" s="74"/>
      <c r="P401" s="74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</row>
    <row r="402" spans="1:29">
      <c r="A402" s="1" t="s">
        <v>390</v>
      </c>
      <c r="B402" s="1"/>
      <c r="C402" s="304">
        <v>0</v>
      </c>
      <c r="D402" s="304">
        <f t="shared" si="37"/>
        <v>0</v>
      </c>
      <c r="E402" s="321">
        <f>E393</f>
        <v>45</v>
      </c>
      <c r="F402" s="308" t="s">
        <v>364</v>
      </c>
      <c r="G402" s="2">
        <f>ROUND(E402*$C402/100*E394,0)</f>
        <v>0</v>
      </c>
      <c r="H402" s="2">
        <f>ROUND(E402*$D402/100*E394,0)</f>
        <v>0</v>
      </c>
      <c r="I402" s="321">
        <f>I393</f>
        <v>50</v>
      </c>
      <c r="J402" s="308" t="s">
        <v>364</v>
      </c>
      <c r="K402" s="2">
        <f>ROUND(I402*$C402/100*I394,0)</f>
        <v>0</v>
      </c>
      <c r="M402" s="20"/>
      <c r="N402" s="20"/>
      <c r="O402" s="74"/>
      <c r="P402" s="74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</row>
    <row r="403" spans="1:29">
      <c r="A403" s="1" t="s">
        <v>397</v>
      </c>
      <c r="B403" s="1"/>
      <c r="C403" s="304">
        <v>0</v>
      </c>
      <c r="D403" s="304">
        <f>ROUND(($D$387/$C$387)*C403,0)</f>
        <v>0</v>
      </c>
      <c r="E403" s="322">
        <f>$E$172</f>
        <v>60</v>
      </c>
      <c r="F403" s="306"/>
      <c r="G403" s="2">
        <f>ROUND(E403*$C403,0)</f>
        <v>0</v>
      </c>
      <c r="H403" s="2">
        <f>ROUND(E403*$D403,0)</f>
        <v>0</v>
      </c>
      <c r="I403" s="322">
        <f>$I$172</f>
        <v>60</v>
      </c>
      <c r="J403" s="308"/>
      <c r="K403" s="2">
        <f>ROUND(I403*$C403,0)</f>
        <v>0</v>
      </c>
      <c r="M403" s="20"/>
      <c r="N403" s="20"/>
      <c r="O403" s="74"/>
      <c r="P403" s="74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</row>
    <row r="404" spans="1:29">
      <c r="A404" s="1" t="s">
        <v>398</v>
      </c>
      <c r="B404" s="1"/>
      <c r="C404" s="304">
        <v>0</v>
      </c>
      <c r="D404" s="304">
        <f>ROUND(($D$405/$C$405)*C404,0)</f>
        <v>0</v>
      </c>
      <c r="E404" s="324">
        <f>$E$173</f>
        <v>-30</v>
      </c>
      <c r="F404" s="306" t="s">
        <v>364</v>
      </c>
      <c r="G404" s="2">
        <f>ROUND(E404*$C404/100,0)</f>
        <v>0</v>
      </c>
      <c r="H404" s="2">
        <f>ROUND(E404*$D404/100,0)</f>
        <v>0</v>
      </c>
      <c r="I404" s="324">
        <f>$I$173</f>
        <v>-30</v>
      </c>
      <c r="J404" s="308" t="s">
        <v>364</v>
      </c>
      <c r="K404" s="2">
        <f>ROUND(I404*$C404/100,0)</f>
        <v>0</v>
      </c>
      <c r="M404" s="20"/>
      <c r="N404" s="20"/>
      <c r="O404" s="74"/>
      <c r="P404" s="74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</row>
    <row r="405" spans="1:29">
      <c r="A405" s="1" t="s">
        <v>371</v>
      </c>
      <c r="B405" s="1"/>
      <c r="C405" s="304">
        <f>SUM(C390:C392)</f>
        <v>644577</v>
      </c>
      <c r="D405" s="304">
        <v>294461.5</v>
      </c>
      <c r="E405" s="315"/>
      <c r="F405" s="2"/>
      <c r="G405" s="2">
        <f>SUM(G384:G404)</f>
        <v>129458</v>
      </c>
      <c r="H405" s="2">
        <f>SUM(H384:H404)</f>
        <v>67184</v>
      </c>
      <c r="I405" s="315"/>
      <c r="J405" s="308"/>
      <c r="K405" s="2">
        <f>SUM(K384:K404)</f>
        <v>137602</v>
      </c>
      <c r="M405" s="20"/>
      <c r="N405" s="20"/>
      <c r="O405" s="74"/>
      <c r="P405" s="74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</row>
    <row r="406" spans="1:29">
      <c r="A406" s="1" t="s">
        <v>353</v>
      </c>
      <c r="B406" s="1"/>
      <c r="C406" s="334" t="e">
        <f>#REF!</f>
        <v>#REF!</v>
      </c>
      <c r="D406" s="334">
        <v>0</v>
      </c>
      <c r="E406" s="294"/>
      <c r="F406" s="294"/>
      <c r="G406" s="326" t="e">
        <f>#REF!</f>
        <v>#REF!</v>
      </c>
      <c r="H406" s="326">
        <v>0</v>
      </c>
      <c r="I406" s="294"/>
      <c r="J406" s="294"/>
      <c r="K406" s="326" t="e">
        <f>G406</f>
        <v>#REF!</v>
      </c>
      <c r="M406" s="429"/>
      <c r="N406" s="429"/>
      <c r="O406" s="272"/>
      <c r="P406" s="74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</row>
    <row r="407" spans="1:29" ht="16.5" thickBot="1">
      <c r="A407" s="1" t="s">
        <v>372</v>
      </c>
      <c r="B407" s="1"/>
      <c r="C407" s="296" t="e">
        <f>SUM(C405:C406)</f>
        <v>#REF!</v>
      </c>
      <c r="D407" s="296">
        <f>SUM(D405:D406)</f>
        <v>294461.5</v>
      </c>
      <c r="E407" s="327"/>
      <c r="F407" s="328"/>
      <c r="G407" s="329" t="e">
        <f>G405+G406</f>
        <v>#REF!</v>
      </c>
      <c r="H407" s="329">
        <f>H405+H406</f>
        <v>67184</v>
      </c>
      <c r="I407" s="327"/>
      <c r="J407" s="330"/>
      <c r="K407" s="329" t="e">
        <f>K405+K406</f>
        <v>#REF!</v>
      </c>
      <c r="M407" s="396"/>
      <c r="N407" s="396"/>
      <c r="O407" s="455"/>
      <c r="P407" s="74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</row>
    <row r="408" spans="1:29" ht="16.5" thickTop="1">
      <c r="A408" s="1"/>
      <c r="B408" s="1"/>
      <c r="C408" s="21"/>
      <c r="D408" s="21"/>
      <c r="E408" s="322"/>
      <c r="F408" s="2"/>
      <c r="G408" s="2"/>
      <c r="H408" s="2"/>
      <c r="I408" s="338" t="s">
        <v>31</v>
      </c>
      <c r="J408" s="1"/>
      <c r="K408" s="2" t="s">
        <v>31</v>
      </c>
      <c r="M408" s="20"/>
      <c r="N408" s="20"/>
      <c r="O408" s="74"/>
      <c r="P408" s="74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</row>
    <row r="409" spans="1:29">
      <c r="A409" s="278" t="s">
        <v>407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  <c r="M409" s="20"/>
      <c r="N409" s="20"/>
      <c r="O409" s="74"/>
      <c r="P409" s="74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</row>
    <row r="410" spans="1:29">
      <c r="A410" s="1" t="s">
        <v>404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20"/>
      <c r="N410" s="20"/>
      <c r="O410" s="74"/>
      <c r="P410" s="74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</row>
    <row r="411" spans="1:29">
      <c r="A411" s="1" t="s">
        <v>408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20"/>
      <c r="N411" s="20"/>
      <c r="O411" s="74"/>
      <c r="P411" s="74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</row>
    <row r="412" spans="1:29">
      <c r="A412" s="1" t="s">
        <v>383</v>
      </c>
      <c r="B412" s="1"/>
      <c r="C412" s="304"/>
      <c r="D412" s="304"/>
      <c r="E412" s="2"/>
      <c r="F412" s="2"/>
      <c r="G412" s="1"/>
      <c r="H412" s="1"/>
      <c r="I412" s="2"/>
      <c r="J412" s="1"/>
      <c r="K412" s="1"/>
      <c r="M412" s="20"/>
      <c r="N412" s="20"/>
      <c r="O412" s="74"/>
      <c r="P412" s="74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</row>
    <row r="413" spans="1:29">
      <c r="A413" s="1" t="s">
        <v>380</v>
      </c>
      <c r="B413" s="1"/>
      <c r="C413" s="304">
        <v>0</v>
      </c>
      <c r="D413" s="304">
        <f>$D$417/$C$417*C413</f>
        <v>0</v>
      </c>
      <c r="E413" s="283">
        <f>$E$149</f>
        <v>90.36</v>
      </c>
      <c r="F413" s="306"/>
      <c r="G413" s="2">
        <f>ROUND(E413*$C413,0)</f>
        <v>0</v>
      </c>
      <c r="H413" s="2">
        <f>ROUND(E413*$D413,0)</f>
        <v>0</v>
      </c>
      <c r="I413" s="283">
        <f>$I$149</f>
        <v>96</v>
      </c>
      <c r="J413" s="308"/>
      <c r="K413" s="2">
        <f>ROUND(I413*$C413,0)</f>
        <v>0</v>
      </c>
      <c r="M413" s="20"/>
      <c r="N413" s="20"/>
      <c r="O413" s="74"/>
      <c r="P413" s="74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</row>
    <row r="414" spans="1:29">
      <c r="A414" s="1" t="s">
        <v>381</v>
      </c>
      <c r="B414" s="1"/>
      <c r="C414" s="304">
        <v>1</v>
      </c>
      <c r="D414" s="304">
        <f>$D$417/$C$417*C414</f>
        <v>1.0909090909090908</v>
      </c>
      <c r="E414" s="283">
        <f>$E$150</f>
        <v>134.16</v>
      </c>
      <c r="F414" s="309"/>
      <c r="G414" s="2">
        <f>ROUND(E414*$C414,0)</f>
        <v>134</v>
      </c>
      <c r="H414" s="2">
        <f>ROUND(E414*$D414,0)</f>
        <v>146</v>
      </c>
      <c r="I414" s="283">
        <f>$I$150</f>
        <v>142.53386454183266</v>
      </c>
      <c r="J414" s="310"/>
      <c r="K414" s="2">
        <f>ROUND(I414*$C414,0)</f>
        <v>143</v>
      </c>
      <c r="M414" s="20"/>
      <c r="N414" s="20"/>
      <c r="O414" s="74"/>
      <c r="P414" s="74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</row>
    <row r="415" spans="1:29">
      <c r="A415" s="1" t="s">
        <v>382</v>
      </c>
      <c r="B415" s="1"/>
      <c r="C415" s="304">
        <v>75</v>
      </c>
      <c r="D415" s="304">
        <v>34</v>
      </c>
      <c r="E415" s="283">
        <f>$E$151</f>
        <v>9.36</v>
      </c>
      <c r="F415" s="309"/>
      <c r="G415" s="2">
        <f>ROUND(E415*$C415,0)</f>
        <v>702</v>
      </c>
      <c r="H415" s="2">
        <f>ROUND(E415*$D415,0)</f>
        <v>318</v>
      </c>
      <c r="I415" s="283">
        <f>$I$151</f>
        <v>9.94</v>
      </c>
      <c r="J415" s="310"/>
      <c r="K415" s="2">
        <f>ROUND(I415*$C415,0)</f>
        <v>746</v>
      </c>
      <c r="M415" s="20"/>
      <c r="N415" s="20"/>
      <c r="O415" s="74"/>
      <c r="P415" s="74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</row>
    <row r="416" spans="1:29">
      <c r="A416" s="1" t="s">
        <v>384</v>
      </c>
      <c r="B416" s="1"/>
      <c r="C416" s="304">
        <f>SUM(C413:C414)</f>
        <v>1</v>
      </c>
      <c r="D416" s="304">
        <f>SUM(D413:D414)</f>
        <v>1.0909090909090908</v>
      </c>
      <c r="E416" s="283"/>
      <c r="F416" s="306"/>
      <c r="G416" s="2"/>
      <c r="H416" s="2"/>
      <c r="I416" s="283"/>
      <c r="J416" s="308"/>
      <c r="K416" s="2"/>
      <c r="M416" s="20"/>
      <c r="N416" s="20"/>
      <c r="O416" s="74"/>
      <c r="P416" s="74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</row>
    <row r="417" spans="1:29">
      <c r="A417" s="1" t="s">
        <v>409</v>
      </c>
      <c r="B417" s="1"/>
      <c r="C417" s="304">
        <v>11</v>
      </c>
      <c r="D417" s="304">
        <v>12</v>
      </c>
      <c r="E417" s="283"/>
      <c r="F417" s="306"/>
      <c r="G417" s="2"/>
      <c r="H417" s="2"/>
      <c r="I417" s="283"/>
      <c r="J417" s="308"/>
      <c r="K417" s="2"/>
      <c r="M417" s="20"/>
      <c r="N417" s="20"/>
      <c r="O417" s="74"/>
      <c r="P417" s="74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</row>
    <row r="418" spans="1:29">
      <c r="A418" s="1" t="s">
        <v>385</v>
      </c>
      <c r="B418" s="1"/>
      <c r="C418" s="304">
        <v>253</v>
      </c>
      <c r="D418" s="304">
        <f>ROUND(($D$434/$C$434)*C418,0)</f>
        <v>99</v>
      </c>
      <c r="E418" s="311">
        <f>$E$158</f>
        <v>2.88</v>
      </c>
      <c r="F418" s="308"/>
      <c r="G418" s="2">
        <f>ROUND(E418*$C418,0)</f>
        <v>729</v>
      </c>
      <c r="H418" s="2">
        <f>ROUND(E418*$D418,0)</f>
        <v>285</v>
      </c>
      <c r="I418" s="311">
        <f>$I$158</f>
        <v>2.97</v>
      </c>
      <c r="J418" s="308"/>
      <c r="K418" s="2">
        <f>ROUND(I418*$C418,0)</f>
        <v>751</v>
      </c>
      <c r="M418" s="20"/>
      <c r="N418" s="20"/>
      <c r="O418" s="74"/>
      <c r="P418" s="74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</row>
    <row r="419" spans="1:29">
      <c r="A419" s="1" t="s">
        <v>387</v>
      </c>
      <c r="B419" s="1"/>
      <c r="C419" s="304">
        <v>6932</v>
      </c>
      <c r="D419" s="304">
        <f>ROUND(($D$434/$C$434)*C419,0)</f>
        <v>2701</v>
      </c>
      <c r="E419" s="284">
        <f>$E$159</f>
        <v>8.0890000000000004</v>
      </c>
      <c r="F419" s="308" t="s">
        <v>364</v>
      </c>
      <c r="G419" s="2">
        <f>ROUND(E419*$C419/100,0)</f>
        <v>561</v>
      </c>
      <c r="H419" s="2">
        <f>ROUND(E419*$D419/100,0)</f>
        <v>218</v>
      </c>
      <c r="I419" s="284">
        <f>$I$159</f>
        <v>8.8109999999999999</v>
      </c>
      <c r="J419" s="308" t="s">
        <v>364</v>
      </c>
      <c r="K419" s="2">
        <f>ROUND(I419*$C419/100,0)</f>
        <v>611</v>
      </c>
      <c r="M419" s="20"/>
      <c r="N419" s="20"/>
      <c r="O419" s="74"/>
      <c r="P419" s="74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</row>
    <row r="420" spans="1:29">
      <c r="A420" s="1" t="s">
        <v>388</v>
      </c>
      <c r="B420" s="1"/>
      <c r="C420" s="304">
        <v>7588</v>
      </c>
      <c r="D420" s="304">
        <f>ROUND(($D$434/$C$434)*C420,0)</f>
        <v>2956</v>
      </c>
      <c r="E420" s="284">
        <f>$E$189</f>
        <v>5.5839999999999996</v>
      </c>
      <c r="F420" s="308" t="s">
        <v>364</v>
      </c>
      <c r="G420" s="2">
        <f>ROUND(E420*$C420/100,0)</f>
        <v>424</v>
      </c>
      <c r="H420" s="2">
        <f>ROUND(E420*$D420/100,0)</f>
        <v>165</v>
      </c>
      <c r="I420" s="284">
        <f>$I$160</f>
        <v>6.0819999999999999</v>
      </c>
      <c r="J420" s="308" t="s">
        <v>364</v>
      </c>
      <c r="K420" s="2">
        <f>ROUND(I420*$C420/100,0)</f>
        <v>462</v>
      </c>
      <c r="M420" s="20"/>
      <c r="N420" s="20"/>
      <c r="O420" s="74"/>
      <c r="P420" s="74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</row>
    <row r="421" spans="1:29">
      <c r="A421" s="1" t="s">
        <v>389</v>
      </c>
      <c r="B421" s="1"/>
      <c r="C421" s="304">
        <v>0</v>
      </c>
      <c r="D421" s="304">
        <f>ROUND(($D$434/$C$434)*C421,0)</f>
        <v>0</v>
      </c>
      <c r="E421" s="284">
        <f>$E$161</f>
        <v>4.8099999999999996</v>
      </c>
      <c r="F421" s="308" t="s">
        <v>364</v>
      </c>
      <c r="G421" s="2">
        <f>ROUND(E421*$C421/100,0)</f>
        <v>0</v>
      </c>
      <c r="H421" s="2">
        <f>ROUND(E421*$D421/100,0)</f>
        <v>0</v>
      </c>
      <c r="I421" s="284">
        <f>$I$161</f>
        <v>5.24</v>
      </c>
      <c r="J421" s="308" t="s">
        <v>364</v>
      </c>
      <c r="K421" s="2">
        <f>ROUND(I421*$C421/100,0)</f>
        <v>0</v>
      </c>
      <c r="M421" s="20"/>
      <c r="N421" s="20"/>
      <c r="O421" s="74"/>
      <c r="P421" s="74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</row>
    <row r="422" spans="1:29">
      <c r="A422" s="1" t="s">
        <v>390</v>
      </c>
      <c r="B422" s="1"/>
      <c r="C422" s="304">
        <v>0</v>
      </c>
      <c r="D422" s="304">
        <f>ROUND(($D$434/$C$434)*C422,0)</f>
        <v>0</v>
      </c>
      <c r="E422" s="315">
        <f>$E$162</f>
        <v>45</v>
      </c>
      <c r="F422" s="306" t="s">
        <v>364</v>
      </c>
      <c r="G422" s="2">
        <f>ROUND(E422*$C422/100,0)</f>
        <v>0</v>
      </c>
      <c r="H422" s="2">
        <f>ROUND(E422*$D422/100,0)</f>
        <v>0</v>
      </c>
      <c r="I422" s="315">
        <f>$I$162</f>
        <v>50</v>
      </c>
      <c r="J422" s="308" t="s">
        <v>364</v>
      </c>
      <c r="K422" s="2">
        <f>ROUND(I422*$C422/100,0)</f>
        <v>0</v>
      </c>
      <c r="M422" s="20"/>
      <c r="N422" s="20"/>
      <c r="O422" s="74"/>
      <c r="P422" s="74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</row>
    <row r="423" spans="1:29">
      <c r="A423" s="316" t="s">
        <v>391</v>
      </c>
      <c r="B423" s="1"/>
      <c r="C423" s="304"/>
      <c r="D423" s="304"/>
      <c r="E423" s="317">
        <v>-0.01</v>
      </c>
      <c r="F423" s="306"/>
      <c r="G423" s="2"/>
      <c r="H423" s="2"/>
      <c r="I423" s="317">
        <v>-0.01</v>
      </c>
      <c r="J423" s="308"/>
      <c r="K423" s="2"/>
      <c r="M423" s="20"/>
      <c r="N423" s="20"/>
      <c r="O423" s="74"/>
      <c r="P423" s="74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</row>
    <row r="424" spans="1:29">
      <c r="A424" s="1" t="s">
        <v>380</v>
      </c>
      <c r="B424" s="1"/>
      <c r="C424" s="304">
        <v>0</v>
      </c>
      <c r="D424" s="304">
        <f>$D$417/$C$417*C424</f>
        <v>0</v>
      </c>
      <c r="E424" s="319">
        <f>E413</f>
        <v>90.36</v>
      </c>
      <c r="F424" s="306"/>
      <c r="G424" s="2">
        <f>-ROUND(E424*$C424/100,0)</f>
        <v>0</v>
      </c>
      <c r="H424" s="2">
        <f>-ROUND(E424*$D424/100,0)</f>
        <v>0</v>
      </c>
      <c r="I424" s="319">
        <f>I413</f>
        <v>96</v>
      </c>
      <c r="J424" s="306"/>
      <c r="K424" s="2">
        <f>-ROUND(I424*$C424/100,0)</f>
        <v>0</v>
      </c>
      <c r="M424" s="20"/>
      <c r="N424" s="20"/>
      <c r="O424" s="74"/>
      <c r="P424" s="74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</row>
    <row r="425" spans="1:29">
      <c r="A425" s="1" t="s">
        <v>381</v>
      </c>
      <c r="B425" s="1"/>
      <c r="C425" s="304">
        <v>0</v>
      </c>
      <c r="D425" s="304">
        <f>$D$417/$C$417*C425</f>
        <v>0</v>
      </c>
      <c r="E425" s="319">
        <f>E414</f>
        <v>134.16</v>
      </c>
      <c r="F425" s="306"/>
      <c r="G425" s="2">
        <f>-ROUND(E425*$C425/100,0)</f>
        <v>0</v>
      </c>
      <c r="H425" s="2">
        <f>-ROUND(E425*$D425/100,0)</f>
        <v>0</v>
      </c>
      <c r="I425" s="319">
        <f>I414</f>
        <v>142.53386454183266</v>
      </c>
      <c r="J425" s="306"/>
      <c r="K425" s="2">
        <f>-ROUND(I425*$C425/100,0)</f>
        <v>0</v>
      </c>
      <c r="M425" s="20"/>
      <c r="N425" s="20"/>
      <c r="O425" s="74"/>
      <c r="P425" s="74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</row>
    <row r="426" spans="1:29">
      <c r="A426" s="1" t="s">
        <v>392</v>
      </c>
      <c r="B426" s="1"/>
      <c r="C426" s="304">
        <v>0</v>
      </c>
      <c r="D426" s="304">
        <f t="shared" ref="D426:D431" si="38">ROUND(($D$434/$C$434)*C426,0)</f>
        <v>0</v>
      </c>
      <c r="E426" s="319">
        <f>E415</f>
        <v>9.36</v>
      </c>
      <c r="F426" s="306"/>
      <c r="G426" s="2">
        <f>-ROUND(E426*$C426/100,0)</f>
        <v>0</v>
      </c>
      <c r="H426" s="2">
        <f>-ROUND(E426*$D426/100,0)</f>
        <v>0</v>
      </c>
      <c r="I426" s="319">
        <f>I415</f>
        <v>9.94</v>
      </c>
      <c r="J426" s="306"/>
      <c r="K426" s="2">
        <f>-ROUND(I426*$C426/100,0)</f>
        <v>0</v>
      </c>
      <c r="M426" s="20"/>
      <c r="N426" s="20"/>
      <c r="O426" s="74"/>
      <c r="P426" s="74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</row>
    <row r="427" spans="1:29">
      <c r="A427" s="1" t="s">
        <v>393</v>
      </c>
      <c r="B427" s="1"/>
      <c r="C427" s="304">
        <v>0</v>
      </c>
      <c r="D427" s="304">
        <f t="shared" si="38"/>
        <v>0</v>
      </c>
      <c r="E427" s="319">
        <f>E418</f>
        <v>2.88</v>
      </c>
      <c r="F427" s="308"/>
      <c r="G427" s="2">
        <f>-ROUND(E427*$C427/100,0)</f>
        <v>0</v>
      </c>
      <c r="H427" s="2">
        <f>-ROUND(E427*$D427/100,0)</f>
        <v>0</v>
      </c>
      <c r="I427" s="319">
        <f>I418</f>
        <v>2.97</v>
      </c>
      <c r="J427" s="308"/>
      <c r="K427" s="2">
        <f>-ROUND(I427*$C427/100,0)</f>
        <v>0</v>
      </c>
      <c r="M427" s="20"/>
      <c r="N427" s="20"/>
      <c r="O427" s="74"/>
      <c r="P427" s="74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</row>
    <row r="428" spans="1:29">
      <c r="A428" s="1" t="s">
        <v>395</v>
      </c>
      <c r="B428" s="1"/>
      <c r="C428" s="304">
        <v>0</v>
      </c>
      <c r="D428" s="304">
        <f t="shared" si="38"/>
        <v>0</v>
      </c>
      <c r="E428" s="320">
        <f>E419</f>
        <v>8.0890000000000004</v>
      </c>
      <c r="F428" s="308" t="s">
        <v>364</v>
      </c>
      <c r="G428" s="2">
        <f>ROUND(E428*$C428/100*E423,0)</f>
        <v>0</v>
      </c>
      <c r="H428" s="2">
        <f>ROUND(E428*$D428/100*E423,0)</f>
        <v>0</v>
      </c>
      <c r="I428" s="320">
        <f>I419</f>
        <v>8.8109999999999999</v>
      </c>
      <c r="J428" s="308" t="s">
        <v>364</v>
      </c>
      <c r="K428" s="2">
        <f>ROUND(I428*$C428/100*I423,0)</f>
        <v>0</v>
      </c>
      <c r="M428" s="20"/>
      <c r="N428" s="20"/>
      <c r="O428" s="74"/>
      <c r="P428" s="74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</row>
    <row r="429" spans="1:29">
      <c r="A429" s="1" t="s">
        <v>388</v>
      </c>
      <c r="B429" s="1"/>
      <c r="C429" s="304">
        <v>0</v>
      </c>
      <c r="D429" s="304">
        <f t="shared" si="38"/>
        <v>0</v>
      </c>
      <c r="E429" s="320">
        <f>E420</f>
        <v>5.5839999999999996</v>
      </c>
      <c r="F429" s="308" t="s">
        <v>364</v>
      </c>
      <c r="G429" s="2">
        <f>ROUND(E429*$C429/100*E423,0)</f>
        <v>0</v>
      </c>
      <c r="H429" s="2">
        <f>ROUND(E429*$D429/100*E423,0)</f>
        <v>0</v>
      </c>
      <c r="I429" s="320">
        <f>I420</f>
        <v>6.0819999999999999</v>
      </c>
      <c r="J429" s="308" t="s">
        <v>364</v>
      </c>
      <c r="K429" s="2">
        <f>ROUND(I429*$C429/100*I423,0)</f>
        <v>0</v>
      </c>
      <c r="M429" s="20"/>
      <c r="N429" s="20"/>
      <c r="O429" s="74"/>
      <c r="P429" s="74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</row>
    <row r="430" spans="1:29">
      <c r="A430" s="1" t="s">
        <v>389</v>
      </c>
      <c r="B430" s="1"/>
      <c r="C430" s="304">
        <v>0</v>
      </c>
      <c r="D430" s="304">
        <f t="shared" si="38"/>
        <v>0</v>
      </c>
      <c r="E430" s="320">
        <f>E421</f>
        <v>4.8099999999999996</v>
      </c>
      <c r="F430" s="308" t="s">
        <v>364</v>
      </c>
      <c r="G430" s="2">
        <f>ROUND(E430*$C430/100*E423,0)</f>
        <v>0</v>
      </c>
      <c r="H430" s="2">
        <f>ROUND(E430*$D430/100*E423,0)</f>
        <v>0</v>
      </c>
      <c r="I430" s="320">
        <f>I421</f>
        <v>5.24</v>
      </c>
      <c r="J430" s="308" t="s">
        <v>364</v>
      </c>
      <c r="K430" s="2">
        <f>ROUND(I430*$C430/100*I423,0)</f>
        <v>0</v>
      </c>
      <c r="M430" s="20"/>
      <c r="N430" s="20"/>
      <c r="O430" s="74"/>
      <c r="P430" s="74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</row>
    <row r="431" spans="1:29">
      <c r="A431" s="1" t="s">
        <v>390</v>
      </c>
      <c r="B431" s="1"/>
      <c r="C431" s="304">
        <v>0</v>
      </c>
      <c r="D431" s="304">
        <f t="shared" si="38"/>
        <v>0</v>
      </c>
      <c r="E431" s="321">
        <f>E422</f>
        <v>45</v>
      </c>
      <c r="F431" s="308" t="s">
        <v>364</v>
      </c>
      <c r="G431" s="2">
        <f>ROUND(E431*$C431/100*E423,0)</f>
        <v>0</v>
      </c>
      <c r="H431" s="2">
        <f>ROUND(E431*$D431/100*E423,0)</f>
        <v>0</v>
      </c>
      <c r="I431" s="321">
        <f>I422</f>
        <v>50</v>
      </c>
      <c r="J431" s="308" t="s">
        <v>364</v>
      </c>
      <c r="K431" s="2">
        <f>ROUND(I431*$C431/100*I423,0)</f>
        <v>0</v>
      </c>
      <c r="M431" s="20"/>
      <c r="N431" s="20"/>
      <c r="O431" s="74"/>
      <c r="P431" s="74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</row>
    <row r="432" spans="1:29">
      <c r="A432" s="1" t="s">
        <v>397</v>
      </c>
      <c r="B432" s="1"/>
      <c r="C432" s="304">
        <v>0</v>
      </c>
      <c r="D432" s="304">
        <f>$D$417/$C$417*C432</f>
        <v>0</v>
      </c>
      <c r="E432" s="322">
        <f>$E$172</f>
        <v>60</v>
      </c>
      <c r="F432" s="306"/>
      <c r="G432" s="2">
        <f>ROUND(E432*$C432,0)</f>
        <v>0</v>
      </c>
      <c r="H432" s="2">
        <f>ROUND(E432*$D432,0)</f>
        <v>0</v>
      </c>
      <c r="I432" s="322">
        <f>$I$172</f>
        <v>60</v>
      </c>
      <c r="J432" s="308"/>
      <c r="K432" s="2">
        <f>ROUND(I432*$C432,0)</f>
        <v>0</v>
      </c>
      <c r="M432" s="20"/>
      <c r="N432" s="20"/>
      <c r="O432" s="74"/>
      <c r="P432" s="74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</row>
    <row r="433" spans="1:29">
      <c r="A433" s="1" t="s">
        <v>398</v>
      </c>
      <c r="B433" s="1"/>
      <c r="C433" s="304">
        <v>0</v>
      </c>
      <c r="D433" s="304">
        <f>ROUND(($D$434/$C$434)*C433,0)</f>
        <v>0</v>
      </c>
      <c r="E433" s="324">
        <f>$E$173</f>
        <v>-30</v>
      </c>
      <c r="F433" s="306" t="s">
        <v>364</v>
      </c>
      <c r="G433" s="2">
        <f>ROUND(E433*$C433/100,0)</f>
        <v>0</v>
      </c>
      <c r="H433" s="2">
        <f>ROUND(E433*$D433/100,0)</f>
        <v>0</v>
      </c>
      <c r="I433" s="324">
        <f>$I$173</f>
        <v>-30</v>
      </c>
      <c r="J433" s="308" t="s">
        <v>364</v>
      </c>
      <c r="K433" s="2">
        <f>ROUND(I433*$C433/100,0)</f>
        <v>0</v>
      </c>
      <c r="M433" s="20"/>
      <c r="N433" s="20"/>
      <c r="O433" s="74"/>
      <c r="P433" s="74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</row>
    <row r="434" spans="1:29">
      <c r="A434" s="1" t="s">
        <v>371</v>
      </c>
      <c r="B434" s="1"/>
      <c r="C434" s="304">
        <f>SUM(C419:C421)</f>
        <v>14520</v>
      </c>
      <c r="D434" s="304">
        <v>5657.1497597183234</v>
      </c>
      <c r="E434" s="315"/>
      <c r="F434" s="2"/>
      <c r="G434" s="2">
        <f>SUM(G413:G433)</f>
        <v>2550</v>
      </c>
      <c r="H434" s="2">
        <f>SUM(H413:H433)</f>
        <v>1132</v>
      </c>
      <c r="I434" s="315"/>
      <c r="J434" s="308"/>
      <c r="K434" s="2">
        <f>SUM(K413:K433)</f>
        <v>2713</v>
      </c>
      <c r="M434" s="20"/>
      <c r="N434" s="20"/>
      <c r="O434" s="74"/>
      <c r="P434" s="74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</row>
    <row r="435" spans="1:29">
      <c r="A435" s="1" t="s">
        <v>353</v>
      </c>
      <c r="B435" s="1"/>
      <c r="C435" s="334" t="e">
        <f>#REF!</f>
        <v>#REF!</v>
      </c>
      <c r="D435" s="334">
        <v>0</v>
      </c>
      <c r="E435" s="294"/>
      <c r="F435" s="294"/>
      <c r="G435" s="326" t="e">
        <f>#REF!</f>
        <v>#REF!</v>
      </c>
      <c r="H435" s="326">
        <v>0</v>
      </c>
      <c r="I435" s="294"/>
      <c r="J435" s="294"/>
      <c r="K435" s="326" t="e">
        <f>G435</f>
        <v>#REF!</v>
      </c>
      <c r="M435" s="429"/>
      <c r="N435" s="429"/>
      <c r="O435" s="272"/>
      <c r="P435" s="74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</row>
    <row r="436" spans="1:29" ht="16.5" thickBot="1">
      <c r="A436" s="1" t="s">
        <v>372</v>
      </c>
      <c r="B436" s="1"/>
      <c r="C436" s="296" t="e">
        <f>SUM(C434:C435)</f>
        <v>#REF!</v>
      </c>
      <c r="D436" s="296">
        <f>SUM(D434:D435)</f>
        <v>5657.1497597183234</v>
      </c>
      <c r="E436" s="327"/>
      <c r="F436" s="328"/>
      <c r="G436" s="329" t="e">
        <f>G434+G435</f>
        <v>#REF!</v>
      </c>
      <c r="H436" s="329">
        <f>H434+H435</f>
        <v>1132</v>
      </c>
      <c r="I436" s="327"/>
      <c r="J436" s="330"/>
      <c r="K436" s="329" t="e">
        <f>K434+K435</f>
        <v>#REF!</v>
      </c>
      <c r="M436" s="396"/>
      <c r="N436" s="396"/>
      <c r="O436" s="455"/>
      <c r="P436" s="74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</row>
    <row r="437" spans="1:29" ht="16.5" thickTop="1">
      <c r="A437" s="1"/>
      <c r="B437" s="1"/>
      <c r="C437" s="21"/>
      <c r="D437" s="21"/>
      <c r="E437" s="322"/>
      <c r="F437" s="2"/>
      <c r="G437" s="2"/>
      <c r="H437" s="2"/>
      <c r="I437" s="338" t="s">
        <v>31</v>
      </c>
      <c r="J437" s="1"/>
      <c r="K437" s="2" t="s">
        <v>31</v>
      </c>
      <c r="M437" s="20"/>
      <c r="N437" s="20"/>
      <c r="O437" s="74"/>
      <c r="P437" s="74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</row>
    <row r="438" spans="1:29">
      <c r="A438" s="1"/>
      <c r="B438" s="1"/>
      <c r="C438" s="21"/>
      <c r="D438" s="21"/>
      <c r="E438" s="322"/>
      <c r="F438" s="2"/>
      <c r="G438" s="2"/>
      <c r="H438" s="2"/>
      <c r="I438" s="338" t="s">
        <v>31</v>
      </c>
      <c r="J438" s="1"/>
      <c r="K438" s="2" t="s">
        <v>31</v>
      </c>
      <c r="M438" s="20"/>
      <c r="N438" s="20"/>
      <c r="O438" s="74"/>
      <c r="P438" s="74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</row>
    <row r="439" spans="1:29">
      <c r="A439" s="278" t="s">
        <v>410</v>
      </c>
      <c r="B439" s="1"/>
      <c r="C439" s="339"/>
      <c r="D439" s="339"/>
      <c r="E439" s="2"/>
      <c r="F439" s="2"/>
      <c r="G439" s="1"/>
      <c r="H439" s="1"/>
      <c r="I439" s="2"/>
      <c r="J439" s="1"/>
      <c r="K439" s="2" t="s">
        <v>31</v>
      </c>
      <c r="M439" s="20"/>
      <c r="N439" s="20"/>
      <c r="O439" s="74"/>
      <c r="P439" s="74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</row>
    <row r="440" spans="1:29">
      <c r="A440" s="308" t="s">
        <v>325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  <c r="M440" s="20"/>
      <c r="N440" s="20"/>
      <c r="O440" s="74"/>
      <c r="P440" s="74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</row>
    <row r="441" spans="1:29">
      <c r="A441" s="308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20"/>
      <c r="N441" s="20"/>
      <c r="O441" s="74"/>
      <c r="P441" s="74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</row>
    <row r="442" spans="1:29">
      <c r="A442" s="308" t="s">
        <v>383</v>
      </c>
      <c r="B442" s="1"/>
      <c r="C442" s="304"/>
      <c r="D442" s="304"/>
      <c r="E442" s="2"/>
      <c r="F442" s="2"/>
      <c r="G442" s="1"/>
      <c r="H442" s="1"/>
      <c r="I442" s="2"/>
      <c r="J442" s="1"/>
      <c r="K442" s="1"/>
      <c r="M442" s="20"/>
      <c r="N442" s="20"/>
      <c r="O442" s="74"/>
      <c r="P442" s="74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</row>
    <row r="443" spans="1:29">
      <c r="A443" s="308" t="s">
        <v>411</v>
      </c>
      <c r="B443" s="1"/>
      <c r="C443" s="304">
        <v>0</v>
      </c>
      <c r="D443" s="304">
        <v>0</v>
      </c>
      <c r="E443" s="340">
        <f>E480</f>
        <v>225</v>
      </c>
      <c r="F443" s="308"/>
      <c r="G443" s="306">
        <f t="shared" ref="G443:H445" si="39">ROUND(E443*$C443,0)</f>
        <v>0</v>
      </c>
      <c r="H443" s="306">
        <f t="shared" si="39"/>
        <v>0</v>
      </c>
      <c r="I443" s="340">
        <f>'Blocking - detail'!I443</f>
        <v>225</v>
      </c>
      <c r="J443" s="308"/>
      <c r="K443" s="306">
        <f>ROUND(I443*$C443,0)</f>
        <v>0</v>
      </c>
      <c r="M443" s="20"/>
      <c r="N443" s="20"/>
      <c r="O443" s="74"/>
      <c r="P443" s="74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</row>
    <row r="444" spans="1:29">
      <c r="A444" s="308" t="s">
        <v>412</v>
      </c>
      <c r="B444" s="1"/>
      <c r="C444" s="304">
        <v>0</v>
      </c>
      <c r="D444" s="304">
        <v>0</v>
      </c>
      <c r="E444" s="340">
        <f>E481</f>
        <v>83</v>
      </c>
      <c r="F444" s="308"/>
      <c r="G444" s="306">
        <f t="shared" si="39"/>
        <v>0</v>
      </c>
      <c r="H444" s="306">
        <f t="shared" si="39"/>
        <v>0</v>
      </c>
      <c r="I444" s="340">
        <f>'Blocking - detail'!I444</f>
        <v>83</v>
      </c>
      <c r="J444" s="308"/>
      <c r="K444" s="306">
        <f>ROUND(I444*$C444,0)</f>
        <v>0</v>
      </c>
      <c r="M444" s="20"/>
      <c r="N444" s="20"/>
      <c r="O444" s="74"/>
      <c r="P444" s="74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</row>
    <row r="445" spans="1:29">
      <c r="A445" s="308" t="s">
        <v>413</v>
      </c>
      <c r="B445" s="1"/>
      <c r="C445" s="304">
        <v>0</v>
      </c>
      <c r="D445" s="304">
        <v>0</v>
      </c>
      <c r="E445" s="340">
        <f>E482</f>
        <v>166</v>
      </c>
      <c r="F445" s="310"/>
      <c r="G445" s="306">
        <f t="shared" si="39"/>
        <v>0</v>
      </c>
      <c r="H445" s="306">
        <f t="shared" si="39"/>
        <v>0</v>
      </c>
      <c r="I445" s="340">
        <f>'Blocking - detail'!I445</f>
        <v>166</v>
      </c>
      <c r="J445" s="310"/>
      <c r="K445" s="306">
        <f>ROUND(I445*$C445,0)</f>
        <v>0</v>
      </c>
      <c r="M445" s="20"/>
      <c r="N445" s="20"/>
      <c r="O445" s="74"/>
      <c r="P445" s="74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</row>
    <row r="446" spans="1:29">
      <c r="A446" s="308" t="s">
        <v>384</v>
      </c>
      <c r="B446" s="1"/>
      <c r="C446" s="304">
        <f>SUM(C443:C445)</f>
        <v>0</v>
      </c>
      <c r="D446" s="304">
        <f>SUM(D443:D445)</f>
        <v>0</v>
      </c>
      <c r="E446" s="340"/>
      <c r="F446" s="308"/>
      <c r="G446" s="306"/>
      <c r="H446" s="306"/>
      <c r="I446" s="340"/>
      <c r="J446" s="308"/>
      <c r="K446" s="306"/>
      <c r="M446" s="20"/>
      <c r="N446" s="20"/>
      <c r="O446" s="74"/>
      <c r="P446" s="74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</row>
    <row r="447" spans="1:29">
      <c r="A447" s="308" t="s">
        <v>412</v>
      </c>
      <c r="B447" s="1"/>
      <c r="C447" s="304">
        <v>0</v>
      </c>
      <c r="D447" s="304">
        <v>0</v>
      </c>
      <c r="E447" s="340">
        <f>E484</f>
        <v>1.47</v>
      </c>
      <c r="F447" s="308" t="s">
        <v>31</v>
      </c>
      <c r="G447" s="306">
        <f>ROUND(E447*$C447,0)</f>
        <v>0</v>
      </c>
      <c r="H447" s="306">
        <f>ROUND(F447*$C447,0)</f>
        <v>0</v>
      </c>
      <c r="I447" s="340">
        <f>'Blocking - detail'!I447</f>
        <v>1.47</v>
      </c>
      <c r="J447" s="308" t="s">
        <v>31</v>
      </c>
      <c r="K447" s="306">
        <f>ROUND(I447*$C447,0)</f>
        <v>0</v>
      </c>
      <c r="M447" s="20"/>
      <c r="N447" s="20"/>
      <c r="O447" s="74"/>
      <c r="P447" s="74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</row>
    <row r="448" spans="1:29">
      <c r="A448" s="308" t="s">
        <v>413</v>
      </c>
      <c r="B448" s="1"/>
      <c r="C448" s="304">
        <v>0</v>
      </c>
      <c r="D448" s="304">
        <v>0</v>
      </c>
      <c r="E448" s="340">
        <f>E485</f>
        <v>1.2</v>
      </c>
      <c r="F448" s="308" t="s">
        <v>31</v>
      </c>
      <c r="G448" s="306">
        <f>ROUND(E448*$C448,0)</f>
        <v>0</v>
      </c>
      <c r="H448" s="306">
        <f>ROUND(F448*$C448,0)</f>
        <v>0</v>
      </c>
      <c r="I448" s="340">
        <f>'Blocking - detail'!I448</f>
        <v>1.2</v>
      </c>
      <c r="J448" s="308" t="s">
        <v>31</v>
      </c>
      <c r="K448" s="306">
        <f>ROUND(I448*$C448,0)</f>
        <v>0</v>
      </c>
      <c r="M448" s="20"/>
      <c r="N448" s="20"/>
      <c r="O448" s="74"/>
      <c r="P448" s="74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</row>
    <row r="449" spans="1:29">
      <c r="A449" s="294" t="s">
        <v>414</v>
      </c>
      <c r="B449" s="1"/>
      <c r="C449" s="304"/>
      <c r="D449" s="304"/>
      <c r="E449" s="340"/>
      <c r="F449" s="308"/>
      <c r="G449" s="306"/>
      <c r="H449" s="306"/>
      <c r="I449" s="340"/>
      <c r="J449" s="308"/>
      <c r="K449" s="306"/>
      <c r="M449" s="20"/>
      <c r="N449" s="20"/>
      <c r="O449" s="74"/>
      <c r="P449" s="74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</row>
    <row r="450" spans="1:29">
      <c r="A450" s="294" t="s">
        <v>415</v>
      </c>
      <c r="B450" s="1"/>
      <c r="C450" s="304">
        <v>0</v>
      </c>
      <c r="D450" s="304">
        <v>0</v>
      </c>
      <c r="E450" s="340">
        <f>E487</f>
        <v>3.75</v>
      </c>
      <c r="F450" s="308"/>
      <c r="G450" s="306">
        <f>ROUND(E450*$C450,0)</f>
        <v>0</v>
      </c>
      <c r="H450" s="306">
        <f>ROUND(F450*$C450,0)</f>
        <v>0</v>
      </c>
      <c r="I450" s="340">
        <f>'Blocking - detail'!I450</f>
        <v>3.75</v>
      </c>
      <c r="J450" s="308"/>
      <c r="K450" s="306">
        <f>ROUND(I450*$C450,0)</f>
        <v>0</v>
      </c>
      <c r="M450" s="20"/>
      <c r="N450" s="20"/>
      <c r="O450" s="74"/>
      <c r="P450" s="74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</row>
    <row r="451" spans="1:29">
      <c r="A451" s="308" t="s">
        <v>416</v>
      </c>
      <c r="B451" s="1"/>
      <c r="C451" s="304"/>
      <c r="D451" s="304"/>
      <c r="E451" s="341"/>
      <c r="F451" s="306"/>
      <c r="G451" s="306"/>
      <c r="H451" s="306"/>
      <c r="I451" s="341"/>
      <c r="J451" s="306"/>
      <c r="K451" s="306"/>
      <c r="M451" s="20"/>
      <c r="N451" s="20"/>
      <c r="O451" s="74"/>
      <c r="P451" s="74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</row>
    <row r="452" spans="1:29">
      <c r="A452" s="308" t="s">
        <v>417</v>
      </c>
      <c r="B452" s="1"/>
      <c r="C452" s="304">
        <v>0</v>
      </c>
      <c r="D452" s="304">
        <v>0</v>
      </c>
      <c r="E452" s="320">
        <f>E490</f>
        <v>4.3570000000000002</v>
      </c>
      <c r="F452" s="306" t="s">
        <v>364</v>
      </c>
      <c r="G452" s="306">
        <f>ROUND($C452*E452/100,0)</f>
        <v>0</v>
      </c>
      <c r="H452" s="306">
        <f>ROUND($C452*F452/100,0)</f>
        <v>0</v>
      </c>
      <c r="I452" s="320">
        <f>'Blocking - detail'!I452</f>
        <v>4.3570000000000002</v>
      </c>
      <c r="J452" s="306" t="s">
        <v>364</v>
      </c>
      <c r="K452" s="306">
        <f>ROUND($C452*I452/100,0)</f>
        <v>0</v>
      </c>
      <c r="M452" s="20"/>
      <c r="N452" s="20"/>
      <c r="O452" s="74"/>
      <c r="P452" s="74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</row>
    <row r="453" spans="1:29">
      <c r="A453" s="308" t="s">
        <v>389</v>
      </c>
      <c r="B453" s="1"/>
      <c r="C453" s="304">
        <v>0</v>
      </c>
      <c r="D453" s="304">
        <v>0</v>
      </c>
      <c r="E453" s="320">
        <f>E491</f>
        <v>3.9930000000000003</v>
      </c>
      <c r="F453" s="306" t="s">
        <v>364</v>
      </c>
      <c r="G453" s="306">
        <f>ROUND($C453*E453/100,0)</f>
        <v>0</v>
      </c>
      <c r="H453" s="306">
        <f>ROUND($C453*F453/100,0)</f>
        <v>0</v>
      </c>
      <c r="I453" s="320">
        <f>'Blocking - detail'!I453</f>
        <v>3.9930000000000003</v>
      </c>
      <c r="J453" s="306" t="s">
        <v>364</v>
      </c>
      <c r="K453" s="306">
        <f>ROUND($C453*I453/100,0)</f>
        <v>0</v>
      </c>
      <c r="M453" s="20"/>
      <c r="N453" s="20"/>
      <c r="O453" s="74"/>
      <c r="P453" s="74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</row>
    <row r="454" spans="1:29">
      <c r="A454" s="308" t="s">
        <v>390</v>
      </c>
      <c r="B454" s="1"/>
      <c r="C454" s="304">
        <v>0</v>
      </c>
      <c r="D454" s="304">
        <v>0</v>
      </c>
      <c r="E454" s="347">
        <f>'Blocking - detail'!E454</f>
        <v>45</v>
      </c>
      <c r="F454" s="306" t="s">
        <v>364</v>
      </c>
      <c r="G454" s="306">
        <f>ROUND(E454*$C454/100,0)</f>
        <v>0</v>
      </c>
      <c r="H454" s="306">
        <f>ROUND(F454*$C454/100,0)</f>
        <v>0</v>
      </c>
      <c r="I454" s="347">
        <f>'Blocking - detail'!I454</f>
        <v>45</v>
      </c>
      <c r="J454" s="306" t="s">
        <v>364</v>
      </c>
      <c r="K454" s="306">
        <f>ROUND(I454*$C454,0)</f>
        <v>0</v>
      </c>
      <c r="M454" s="20"/>
      <c r="N454" s="20"/>
      <c r="O454" s="74"/>
      <c r="P454" s="74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</row>
    <row r="455" spans="1:29">
      <c r="A455" s="308" t="s">
        <v>418</v>
      </c>
      <c r="B455" s="1"/>
      <c r="C455" s="304">
        <v>0</v>
      </c>
      <c r="D455" s="304">
        <v>0</v>
      </c>
      <c r="E455" s="344">
        <f>'Blocking - detail'!E455</f>
        <v>0.06</v>
      </c>
      <c r="F455" s="306"/>
      <c r="G455" s="306">
        <f>ROUND($C455*E455/100,0)</f>
        <v>0</v>
      </c>
      <c r="H455" s="306">
        <f>ROUND($C455*F455/100,0)</f>
        <v>0</v>
      </c>
      <c r="I455" s="344">
        <f>'Blocking - detail'!I455</f>
        <v>0.06</v>
      </c>
      <c r="J455" s="306"/>
      <c r="K455" s="306">
        <f>ROUND($C455*I455/100,0)</f>
        <v>0</v>
      </c>
      <c r="M455" s="20"/>
      <c r="N455" s="20"/>
      <c r="O455" s="74"/>
      <c r="P455" s="74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</row>
    <row r="456" spans="1:29">
      <c r="A456" s="345" t="s">
        <v>391</v>
      </c>
      <c r="B456" s="1" t="s">
        <v>31</v>
      </c>
      <c r="C456" s="304"/>
      <c r="D456" s="304"/>
      <c r="E456" s="317">
        <v>-0.01</v>
      </c>
      <c r="F456" s="346"/>
      <c r="G456" s="346"/>
      <c r="H456" s="346"/>
      <c r="I456" s="317">
        <v>-0.01</v>
      </c>
      <c r="J456" s="346"/>
      <c r="K456" s="2"/>
      <c r="M456" s="20"/>
      <c r="N456" s="20"/>
      <c r="O456" s="74"/>
      <c r="P456" s="74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</row>
    <row r="457" spans="1:29">
      <c r="A457" s="308" t="s">
        <v>411</v>
      </c>
      <c r="B457" s="1"/>
      <c r="C457" s="304">
        <v>0</v>
      </c>
      <c r="D457" s="304">
        <v>0</v>
      </c>
      <c r="E457" s="340">
        <f t="shared" ref="E457:E462" si="40">E494</f>
        <v>225</v>
      </c>
      <c r="F457" s="308"/>
      <c r="G457" s="306">
        <f t="shared" ref="G457:H462" si="41">ROUND(E457*$C457*$E$456,0)</f>
        <v>0</v>
      </c>
      <c r="H457" s="306">
        <f t="shared" si="41"/>
        <v>0</v>
      </c>
      <c r="I457" s="340">
        <f>'Blocking - detail'!I457</f>
        <v>225</v>
      </c>
      <c r="J457" s="308"/>
      <c r="K457" s="306">
        <f t="shared" ref="K457:K462" si="42">ROUND(I457*$C457*$E$456,0)</f>
        <v>0</v>
      </c>
      <c r="M457" s="20"/>
      <c r="N457" s="20"/>
      <c r="O457" s="74"/>
      <c r="P457" s="74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</row>
    <row r="458" spans="1:29">
      <c r="A458" s="308" t="s">
        <v>412</v>
      </c>
      <c r="B458" s="1"/>
      <c r="C458" s="304">
        <v>0</v>
      </c>
      <c r="D458" s="304">
        <v>0</v>
      </c>
      <c r="E458" s="340">
        <f t="shared" si="40"/>
        <v>83</v>
      </c>
      <c r="F458" s="308"/>
      <c r="G458" s="306">
        <f t="shared" si="41"/>
        <v>0</v>
      </c>
      <c r="H458" s="306">
        <f t="shared" si="41"/>
        <v>0</v>
      </c>
      <c r="I458" s="340">
        <f>'Blocking - detail'!I458</f>
        <v>83</v>
      </c>
      <c r="J458" s="308"/>
      <c r="K458" s="306">
        <f t="shared" si="42"/>
        <v>0</v>
      </c>
      <c r="M458" s="20"/>
      <c r="N458" s="20"/>
      <c r="O458" s="74"/>
      <c r="P458" s="74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</row>
    <row r="459" spans="1:29">
      <c r="A459" s="308" t="s">
        <v>413</v>
      </c>
      <c r="B459" s="1"/>
      <c r="C459" s="304">
        <v>0</v>
      </c>
      <c r="D459" s="304">
        <v>0</v>
      </c>
      <c r="E459" s="340">
        <f t="shared" si="40"/>
        <v>166</v>
      </c>
      <c r="F459" s="310"/>
      <c r="G459" s="306">
        <f t="shared" si="41"/>
        <v>0</v>
      </c>
      <c r="H459" s="306">
        <f t="shared" si="41"/>
        <v>0</v>
      </c>
      <c r="I459" s="340">
        <f>'Blocking - detail'!I459</f>
        <v>166</v>
      </c>
      <c r="J459" s="310"/>
      <c r="K459" s="306">
        <f t="shared" si="42"/>
        <v>0</v>
      </c>
      <c r="M459" s="20"/>
      <c r="N459" s="20"/>
      <c r="O459" s="74"/>
      <c r="P459" s="74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</row>
    <row r="460" spans="1:29">
      <c r="A460" s="308" t="s">
        <v>412</v>
      </c>
      <c r="B460" s="1"/>
      <c r="C460" s="304">
        <v>0</v>
      </c>
      <c r="D460" s="304">
        <v>0</v>
      </c>
      <c r="E460" s="340">
        <f t="shared" si="40"/>
        <v>1.47</v>
      </c>
      <c r="F460" s="308" t="s">
        <v>31</v>
      </c>
      <c r="G460" s="306">
        <f t="shared" si="41"/>
        <v>0</v>
      </c>
      <c r="H460" s="306">
        <f t="shared" si="41"/>
        <v>0</v>
      </c>
      <c r="I460" s="340">
        <f>'Blocking - detail'!I460</f>
        <v>1.47</v>
      </c>
      <c r="J460" s="308" t="s">
        <v>31</v>
      </c>
      <c r="K460" s="306">
        <f t="shared" si="42"/>
        <v>0</v>
      </c>
      <c r="M460" s="20"/>
      <c r="N460" s="20"/>
      <c r="O460" s="74"/>
      <c r="P460" s="74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</row>
    <row r="461" spans="1:29">
      <c r="A461" s="308" t="s">
        <v>413</v>
      </c>
      <c r="B461" s="1"/>
      <c r="C461" s="304">
        <v>0</v>
      </c>
      <c r="D461" s="304">
        <v>0</v>
      </c>
      <c r="E461" s="340">
        <f t="shared" si="40"/>
        <v>1.2</v>
      </c>
      <c r="F461" s="308" t="s">
        <v>31</v>
      </c>
      <c r="G461" s="306">
        <f t="shared" si="41"/>
        <v>0</v>
      </c>
      <c r="H461" s="306">
        <f t="shared" si="41"/>
        <v>0</v>
      </c>
      <c r="I461" s="340">
        <f>'Blocking - detail'!I461</f>
        <v>1.2</v>
      </c>
      <c r="J461" s="308" t="s">
        <v>31</v>
      </c>
      <c r="K461" s="306">
        <f t="shared" si="42"/>
        <v>0</v>
      </c>
      <c r="M461" s="20"/>
      <c r="N461" s="20"/>
      <c r="O461" s="74"/>
      <c r="P461" s="74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</row>
    <row r="462" spans="1:29">
      <c r="A462" s="294" t="s">
        <v>415</v>
      </c>
      <c r="B462" s="1"/>
      <c r="C462" s="304">
        <v>0</v>
      </c>
      <c r="D462" s="304">
        <v>0</v>
      </c>
      <c r="E462" s="340">
        <f t="shared" si="40"/>
        <v>3.75</v>
      </c>
      <c r="F462" s="308"/>
      <c r="G462" s="306">
        <f t="shared" si="41"/>
        <v>0</v>
      </c>
      <c r="H462" s="306">
        <f t="shared" si="41"/>
        <v>0</v>
      </c>
      <c r="I462" s="340">
        <f>'Blocking - detail'!I462</f>
        <v>3.75</v>
      </c>
      <c r="J462" s="308"/>
      <c r="K462" s="306">
        <f t="shared" si="42"/>
        <v>0</v>
      </c>
      <c r="M462" s="20"/>
      <c r="N462" s="20"/>
      <c r="O462" s="74"/>
      <c r="P462" s="74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</row>
    <row r="463" spans="1:29">
      <c r="A463" s="308" t="s">
        <v>417</v>
      </c>
      <c r="B463" s="1"/>
      <c r="C463" s="304">
        <v>0</v>
      </c>
      <c r="D463" s="304">
        <v>0</v>
      </c>
      <c r="E463" s="320">
        <f>E501</f>
        <v>4.3570000000000002</v>
      </c>
      <c r="F463" s="306" t="s">
        <v>364</v>
      </c>
      <c r="G463" s="306">
        <f>ROUND(E463/100*$C463*E456,0)</f>
        <v>0</v>
      </c>
      <c r="H463" s="306">
        <f>ROUND(F463/100*$C463*F456,0)</f>
        <v>0</v>
      </c>
      <c r="I463" s="320">
        <f>'Blocking - detail'!I463</f>
        <v>4.3570000000000002</v>
      </c>
      <c r="J463" s="306" t="s">
        <v>364</v>
      </c>
      <c r="K463" s="306">
        <f>ROUND(I463/100*$C463*E456,0)</f>
        <v>0</v>
      </c>
      <c r="M463" s="20"/>
      <c r="N463" s="20"/>
      <c r="O463" s="74"/>
      <c r="P463" s="74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</row>
    <row r="464" spans="1:29">
      <c r="A464" s="308" t="s">
        <v>389</v>
      </c>
      <c r="B464" s="1"/>
      <c r="C464" s="304">
        <v>0</v>
      </c>
      <c r="D464" s="304">
        <v>0</v>
      </c>
      <c r="E464" s="320">
        <f>E502</f>
        <v>3.9930000000000003</v>
      </c>
      <c r="F464" s="306" t="s">
        <v>364</v>
      </c>
      <c r="G464" s="306">
        <f>ROUND(E464/100*$C464*E456,0)</f>
        <v>0</v>
      </c>
      <c r="H464" s="306">
        <f>ROUND(F464/100*$C464*F456,0)</f>
        <v>0</v>
      </c>
      <c r="I464" s="320">
        <f>'Blocking - detail'!I464</f>
        <v>3.9930000000000003</v>
      </c>
      <c r="J464" s="306" t="s">
        <v>364</v>
      </c>
      <c r="K464" s="306">
        <f>ROUND(I464/100*$C464*E456,0)</f>
        <v>0</v>
      </c>
      <c r="M464" s="20"/>
      <c r="N464" s="20"/>
      <c r="O464" s="74"/>
      <c r="P464" s="74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</row>
    <row r="465" spans="1:29">
      <c r="A465" s="294" t="s">
        <v>419</v>
      </c>
      <c r="B465" s="1"/>
      <c r="C465" s="304">
        <v>0</v>
      </c>
      <c r="D465" s="304">
        <v>0</v>
      </c>
      <c r="E465" s="347">
        <f>E503</f>
        <v>45</v>
      </c>
      <c r="F465" s="306" t="s">
        <v>364</v>
      </c>
      <c r="G465" s="306">
        <f>ROUND(E465*$C465*$E$456,0)</f>
        <v>0</v>
      </c>
      <c r="H465" s="306">
        <f>ROUND(F465*$C465*$E$456,0)</f>
        <v>0</v>
      </c>
      <c r="I465" s="347">
        <f>'Blocking - detail'!I465</f>
        <v>45</v>
      </c>
      <c r="J465" s="306" t="s">
        <v>364</v>
      </c>
      <c r="K465" s="306">
        <f>ROUND(I465*$C465*$E$456,0)</f>
        <v>0</v>
      </c>
      <c r="M465" s="20"/>
      <c r="N465" s="20"/>
      <c r="O465" s="74"/>
      <c r="P465" s="74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</row>
    <row r="466" spans="1:29">
      <c r="A466" s="294" t="s">
        <v>420</v>
      </c>
      <c r="B466" s="1"/>
      <c r="C466" s="304">
        <v>0</v>
      </c>
      <c r="D466" s="304">
        <v>0</v>
      </c>
      <c r="E466" s="459">
        <f>'Blocking - detail'!E466</f>
        <v>0.06</v>
      </c>
      <c r="F466" s="306" t="s">
        <v>364</v>
      </c>
      <c r="G466" s="306">
        <f>ROUND(E466/100*$C466*E456,0)</f>
        <v>0</v>
      </c>
      <c r="H466" s="306">
        <f>ROUND(F466/100*$C466*F456,0)</f>
        <v>0</v>
      </c>
      <c r="I466" s="459">
        <f>'Blocking - detail'!I466</f>
        <v>0.06</v>
      </c>
      <c r="J466" s="306" t="s">
        <v>364</v>
      </c>
      <c r="K466" s="306">
        <f>ROUND(I466/100*$C466*I456,0)</f>
        <v>0</v>
      </c>
      <c r="M466" s="20"/>
      <c r="N466" s="20"/>
      <c r="O466" s="74"/>
      <c r="P466" s="74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</row>
    <row r="467" spans="1:29">
      <c r="A467" s="308" t="s">
        <v>421</v>
      </c>
      <c r="B467" s="1"/>
      <c r="C467" s="304">
        <v>0</v>
      </c>
      <c r="D467" s="304">
        <v>0</v>
      </c>
      <c r="E467" s="348">
        <v>60</v>
      </c>
      <c r="F467" s="346" t="s">
        <v>31</v>
      </c>
      <c r="G467" s="306">
        <f>ROUND(E467*$C467,0)</f>
        <v>0</v>
      </c>
      <c r="H467" s="306">
        <f>ROUND(F467*$C467,0)</f>
        <v>0</v>
      </c>
      <c r="I467" s="348">
        <v>60</v>
      </c>
      <c r="J467" s="349" t="s">
        <v>31</v>
      </c>
      <c r="K467" s="306">
        <f>ROUND(I467*$C467,0)</f>
        <v>0</v>
      </c>
      <c r="M467" s="20"/>
      <c r="N467" s="20"/>
      <c r="O467" s="74"/>
      <c r="P467" s="74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</row>
    <row r="468" spans="1:29">
      <c r="A468" s="308" t="s">
        <v>422</v>
      </c>
      <c r="B468" s="1"/>
      <c r="C468" s="304">
        <v>0</v>
      </c>
      <c r="D468" s="304">
        <v>0</v>
      </c>
      <c r="E468" s="321">
        <v>-30</v>
      </c>
      <c r="F468" s="306" t="s">
        <v>364</v>
      </c>
      <c r="G468" s="306">
        <f>ROUND(E468*$C468*$E$456,0)</f>
        <v>0</v>
      </c>
      <c r="H468" s="306">
        <f>ROUND(F468*$C468*$E$456,0)</f>
        <v>0</v>
      </c>
      <c r="I468" s="321">
        <v>-30</v>
      </c>
      <c r="J468" s="306" t="s">
        <v>364</v>
      </c>
      <c r="K468" s="306">
        <f>ROUND(I468*$C468*$E$456,0)</f>
        <v>0</v>
      </c>
      <c r="M468" s="20"/>
      <c r="N468" s="20"/>
      <c r="O468" s="74"/>
      <c r="P468" s="74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</row>
    <row r="469" spans="1:29">
      <c r="A469" s="294" t="s">
        <v>423</v>
      </c>
      <c r="B469" s="1"/>
      <c r="C469" s="304">
        <v>0</v>
      </c>
      <c r="D469" s="304">
        <v>0</v>
      </c>
      <c r="E469" s="319">
        <f>E450/2</f>
        <v>1.875</v>
      </c>
      <c r="F469" s="306"/>
      <c r="G469" s="306"/>
      <c r="H469" s="306"/>
      <c r="I469" s="340">
        <f>'Blocking - detail'!I469</f>
        <v>1.875</v>
      </c>
      <c r="J469" s="306"/>
      <c r="K469" s="306">
        <f>ROUND($C469*I469,0)</f>
        <v>0</v>
      </c>
      <c r="M469" s="20"/>
      <c r="N469" s="20"/>
      <c r="O469" s="74"/>
      <c r="P469" s="74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</row>
    <row r="470" spans="1:29">
      <c r="A470" s="294" t="s">
        <v>424</v>
      </c>
      <c r="B470" s="1"/>
      <c r="C470" s="304">
        <v>0</v>
      </c>
      <c r="D470" s="304">
        <v>0</v>
      </c>
      <c r="E470" s="319">
        <f>E450*4</f>
        <v>15</v>
      </c>
      <c r="F470" s="306"/>
      <c r="G470" s="306"/>
      <c r="H470" s="306"/>
      <c r="I470" s="340">
        <f>'Blocking - detail'!I470</f>
        <v>15</v>
      </c>
      <c r="J470" s="306"/>
      <c r="K470" s="306">
        <f>ROUND($C470*I470,0)</f>
        <v>0</v>
      </c>
      <c r="M470" s="20"/>
      <c r="N470" s="20"/>
      <c r="O470" s="74"/>
      <c r="P470" s="74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</row>
    <row r="471" spans="1:29">
      <c r="A471" s="3" t="s">
        <v>425</v>
      </c>
      <c r="B471" s="288"/>
      <c r="C471" s="304">
        <v>0</v>
      </c>
      <c r="D471" s="304">
        <v>0</v>
      </c>
      <c r="E471" s="320">
        <f>E453*4</f>
        <v>15.972000000000001</v>
      </c>
      <c r="F471" s="306" t="s">
        <v>364</v>
      </c>
      <c r="G471" s="306">
        <f>ROUND($C471*E471/100,0)</f>
        <v>0</v>
      </c>
      <c r="H471" s="306">
        <f>ROUND($C471*F471/100,0)</f>
        <v>0</v>
      </c>
      <c r="I471" s="320">
        <f>'Blocking - detail'!I471</f>
        <v>15.972000000000001</v>
      </c>
      <c r="J471" s="306" t="s">
        <v>364</v>
      </c>
      <c r="K471" s="306">
        <f>ROUND($C471*I471/100,0)</f>
        <v>0</v>
      </c>
      <c r="M471" s="20"/>
      <c r="N471" s="20"/>
      <c r="O471" s="74"/>
      <c r="P471" s="74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</row>
    <row r="472" spans="1:29">
      <c r="A472" s="1" t="s">
        <v>371</v>
      </c>
      <c r="B472" s="1"/>
      <c r="C472" s="304">
        <f>SUM(C452:C453)</f>
        <v>0</v>
      </c>
      <c r="D472" s="304">
        <f>SUM(D452:D453)</f>
        <v>0</v>
      </c>
      <c r="E472" s="315"/>
      <c r="F472" s="2"/>
      <c r="G472" s="2">
        <f>SUM(G443:G471)</f>
        <v>0</v>
      </c>
      <c r="H472" s="2">
        <f>SUM(H443:H471)</f>
        <v>0</v>
      </c>
      <c r="I472" s="315"/>
      <c r="J472" s="308"/>
      <c r="K472" s="2">
        <f>SUM(K443:K471)</f>
        <v>0</v>
      </c>
      <c r="M472" s="20"/>
      <c r="N472" s="20"/>
      <c r="O472" s="74"/>
      <c r="P472" s="74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</row>
    <row r="473" spans="1:29">
      <c r="A473" s="1" t="s">
        <v>353</v>
      </c>
      <c r="B473" s="1"/>
      <c r="C473" s="334">
        <v>0</v>
      </c>
      <c r="D473" s="334">
        <v>0</v>
      </c>
      <c r="E473" s="294"/>
      <c r="F473" s="294"/>
      <c r="G473" s="295">
        <v>0</v>
      </c>
      <c r="H473" s="295">
        <v>0</v>
      </c>
      <c r="I473" s="294"/>
      <c r="J473" s="294"/>
      <c r="K473" s="295">
        <v>0</v>
      </c>
      <c r="M473" s="429"/>
      <c r="N473" s="429"/>
      <c r="O473" s="272"/>
      <c r="P473" s="74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</row>
    <row r="474" spans="1:29" ht="16.5" thickBot="1">
      <c r="A474" s="1" t="s">
        <v>372</v>
      </c>
      <c r="B474" s="1"/>
      <c r="C474" s="351">
        <f>SUM(C472:C473)</f>
        <v>0</v>
      </c>
      <c r="D474" s="351">
        <f>SUM(D472:D473)</f>
        <v>0</v>
      </c>
      <c r="E474" s="327"/>
      <c r="F474" s="328"/>
      <c r="G474" s="329">
        <f>SUM(G472:G473)</f>
        <v>0</v>
      </c>
      <c r="H474" s="329">
        <f>SUM(H472:H473)</f>
        <v>0</v>
      </c>
      <c r="I474" s="327"/>
      <c r="J474" s="330"/>
      <c r="K474" s="329">
        <f>SUM(K472:K473)</f>
        <v>0</v>
      </c>
      <c r="M474" s="396"/>
      <c r="N474" s="396"/>
      <c r="O474" s="455"/>
      <c r="P474" s="74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</row>
    <row r="475" spans="1:29" ht="16.5" thickTop="1">
      <c r="A475" s="1"/>
      <c r="B475" s="352"/>
      <c r="C475" s="21"/>
      <c r="D475" s="21"/>
      <c r="E475" s="322"/>
      <c r="F475" s="2"/>
      <c r="G475" s="2"/>
      <c r="H475" s="2"/>
      <c r="I475" s="322"/>
      <c r="J475" s="1"/>
      <c r="K475" s="2"/>
      <c r="M475" s="20"/>
      <c r="N475" s="20"/>
      <c r="O475" s="74"/>
      <c r="P475" s="74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</row>
    <row r="476" spans="1:29">
      <c r="A476" s="278" t="s">
        <v>426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  <c r="M476" s="20"/>
      <c r="N476" s="20"/>
      <c r="O476" s="74"/>
      <c r="P476" s="74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</row>
    <row r="477" spans="1:29">
      <c r="A477" s="294" t="s">
        <v>427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20"/>
      <c r="N477" s="20"/>
      <c r="O477" s="74"/>
      <c r="P477" s="74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</row>
    <row r="478" spans="1:29">
      <c r="A478" s="308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20"/>
      <c r="N478" s="20"/>
      <c r="P478" s="74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</row>
    <row r="479" spans="1:29">
      <c r="A479" s="308" t="s">
        <v>383</v>
      </c>
      <c r="B479" s="1"/>
      <c r="C479" s="304"/>
      <c r="D479" s="304"/>
      <c r="E479" s="2"/>
      <c r="F479" s="2"/>
      <c r="G479" s="1"/>
      <c r="H479" s="1"/>
      <c r="I479" s="2"/>
      <c r="J479" s="1"/>
      <c r="K479" s="1"/>
      <c r="M479" s="20"/>
      <c r="N479" s="20"/>
      <c r="O479" s="74"/>
      <c r="P479" s="74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</row>
    <row r="480" spans="1:29">
      <c r="A480" s="308" t="s">
        <v>411</v>
      </c>
      <c r="B480" s="1"/>
      <c r="C480" s="304">
        <f t="shared" ref="C480:D482" si="43">C514+C548</f>
        <v>342</v>
      </c>
      <c r="D480" s="304">
        <f t="shared" si="43"/>
        <v>345</v>
      </c>
      <c r="E480" s="283">
        <v>225</v>
      </c>
      <c r="F480" s="308"/>
      <c r="G480" s="306">
        <f t="shared" ref="G480:H482" si="44">G514+G548</f>
        <v>76950</v>
      </c>
      <c r="H480" s="306">
        <f t="shared" si="44"/>
        <v>77625</v>
      </c>
      <c r="I480" s="283">
        <v>245</v>
      </c>
      <c r="J480" s="308"/>
      <c r="K480" s="306">
        <f>K514+K548</f>
        <v>83790</v>
      </c>
      <c r="M480" s="84">
        <f>I480*D480</f>
        <v>84525</v>
      </c>
      <c r="O480" s="14">
        <f>(I480-E480)/E480</f>
        <v>8.8888888888888892E-2</v>
      </c>
      <c r="P480" s="222" t="e">
        <f>SUM(K480:K485)/SUM(H480:H485)-1</f>
        <v>#REF!</v>
      </c>
      <c r="T480" s="3" t="s">
        <v>361</v>
      </c>
      <c r="U480" s="3" t="s">
        <v>296</v>
      </c>
      <c r="V480" s="3" t="s">
        <v>362</v>
      </c>
      <c r="W480" s="3" t="s">
        <v>305</v>
      </c>
      <c r="X480" s="20"/>
      <c r="Y480" s="20"/>
      <c r="Z480" s="20"/>
      <c r="AA480" s="20"/>
      <c r="AB480" s="20"/>
      <c r="AC480" s="20"/>
    </row>
    <row r="481" spans="1:29">
      <c r="A481" s="308" t="s">
        <v>412</v>
      </c>
      <c r="B481" s="1"/>
      <c r="C481" s="304">
        <f t="shared" si="43"/>
        <v>8833</v>
      </c>
      <c r="D481" s="304">
        <f t="shared" si="43"/>
        <v>8896</v>
      </c>
      <c r="E481" s="283">
        <v>83</v>
      </c>
      <c r="F481" s="308"/>
      <c r="G481" s="306">
        <f t="shared" si="44"/>
        <v>733139</v>
      </c>
      <c r="H481" s="306">
        <f t="shared" si="44"/>
        <v>738368</v>
      </c>
      <c r="I481" s="283">
        <v>90</v>
      </c>
      <c r="J481" s="308"/>
      <c r="K481" s="306">
        <f>K515+K549</f>
        <v>794970</v>
      </c>
      <c r="M481" s="84">
        <f>I481*D481</f>
        <v>800640</v>
      </c>
      <c r="O481" s="14">
        <f>(I481-E481)/E481</f>
        <v>8.4337349397590355E-2</v>
      </c>
      <c r="S481" s="3" t="s">
        <v>432</v>
      </c>
      <c r="T481" s="84" t="e">
        <f>SUM(H480:H485)</f>
        <v>#REF!</v>
      </c>
      <c r="U481" s="84">
        <f>SUM(K480:K485)</f>
        <v>6247027</v>
      </c>
      <c r="V481" s="106">
        <v>6297781.880353801</v>
      </c>
      <c r="W481" s="222">
        <f>U481/V481</f>
        <v>0.99194083229332963</v>
      </c>
      <c r="X481" s="20"/>
      <c r="Y481" s="20"/>
      <c r="Z481" s="20"/>
      <c r="AA481" s="20"/>
      <c r="AB481" s="20"/>
      <c r="AC481" s="20"/>
    </row>
    <row r="482" spans="1:29">
      <c r="A482" s="308" t="s">
        <v>413</v>
      </c>
      <c r="B482" s="1"/>
      <c r="C482" s="304">
        <f t="shared" si="43"/>
        <v>3531</v>
      </c>
      <c r="D482" s="304">
        <f t="shared" si="43"/>
        <v>3549</v>
      </c>
      <c r="E482" s="283">
        <v>166</v>
      </c>
      <c r="F482" s="310"/>
      <c r="G482" s="306">
        <f t="shared" si="44"/>
        <v>586146</v>
      </c>
      <c r="H482" s="306">
        <f t="shared" si="44"/>
        <v>589134</v>
      </c>
      <c r="I482" s="283">
        <v>180</v>
      </c>
      <c r="J482" s="310"/>
      <c r="K482" s="306">
        <f>K516+K550</f>
        <v>635580</v>
      </c>
      <c r="M482" s="84">
        <f>I482*D482</f>
        <v>638820</v>
      </c>
      <c r="O482" s="14">
        <f>(I482-E482)/E482</f>
        <v>8.4337349397590355E-2</v>
      </c>
      <c r="S482" s="3" t="s">
        <v>366</v>
      </c>
      <c r="T482" s="84" t="e">
        <f>SUM(H490:H491)</f>
        <v>#REF!</v>
      </c>
      <c r="U482" s="84" t="e">
        <f>SUM(K490:K491)</f>
        <v>#REF!</v>
      </c>
      <c r="V482" s="106">
        <v>43870359.484416999</v>
      </c>
      <c r="W482" s="222" t="e">
        <f>U482/V482</f>
        <v>#REF!</v>
      </c>
      <c r="X482" s="20"/>
      <c r="Y482" s="20"/>
      <c r="Z482" s="20"/>
      <c r="AA482" s="20"/>
      <c r="AB482" s="20"/>
      <c r="AC482" s="20"/>
    </row>
    <row r="483" spans="1:29">
      <c r="A483" s="308" t="s">
        <v>384</v>
      </c>
      <c r="B483" s="1"/>
      <c r="C483" s="304">
        <f>SUM(C480:C482)</f>
        <v>12706</v>
      </c>
      <c r="D483" s="304">
        <f>SUM(D480:D482)</f>
        <v>12790</v>
      </c>
      <c r="E483" s="283"/>
      <c r="F483" s="308"/>
      <c r="G483" s="306"/>
      <c r="H483" s="306"/>
      <c r="I483" s="283"/>
      <c r="J483" s="308"/>
      <c r="K483" s="306"/>
      <c r="S483" s="3" t="s">
        <v>396</v>
      </c>
      <c r="T483" s="84" t="e">
        <f>SUM(H487:H488)</f>
        <v>#REF!</v>
      </c>
      <c r="U483" s="84">
        <f>SUM(K487:K488)</f>
        <v>9987587</v>
      </c>
      <c r="V483" s="106">
        <v>6509411.4532006206</v>
      </c>
      <c r="W483" s="222">
        <f>U483/V483</f>
        <v>1.5343302650025588</v>
      </c>
      <c r="X483" s="20"/>
      <c r="Y483" s="20"/>
      <c r="Z483" s="20"/>
      <c r="AA483" s="20"/>
      <c r="AB483" s="20"/>
      <c r="AC483" s="20"/>
    </row>
    <row r="484" spans="1:29">
      <c r="A484" s="308" t="s">
        <v>412</v>
      </c>
      <c r="B484" s="1"/>
      <c r="C484" s="304">
        <f>C518+C552</f>
        <v>1522475</v>
      </c>
      <c r="D484" s="304" t="e">
        <f>D518+D552</f>
        <v>#REF!</v>
      </c>
      <c r="E484" s="283">
        <v>1.47</v>
      </c>
      <c r="F484" s="308" t="s">
        <v>31</v>
      </c>
      <c r="G484" s="306">
        <f>G518+G552</f>
        <v>2238038</v>
      </c>
      <c r="H484" s="306" t="e">
        <f>H518+H552</f>
        <v>#REF!</v>
      </c>
      <c r="I484" s="283">
        <v>1.6</v>
      </c>
      <c r="J484" s="308" t="s">
        <v>31</v>
      </c>
      <c r="K484" s="306">
        <f>K518+K552</f>
        <v>2435960</v>
      </c>
      <c r="M484" s="84" t="e">
        <f>I484*D484</f>
        <v>#REF!</v>
      </c>
      <c r="O484" s="14">
        <f>(I484-E484)/E484</f>
        <v>8.8435374149659948E-2</v>
      </c>
      <c r="W484" s="20"/>
      <c r="X484" s="20"/>
      <c r="Y484" s="20"/>
      <c r="Z484" s="20"/>
      <c r="AA484" s="20"/>
      <c r="AB484" s="20"/>
      <c r="AC484" s="20"/>
    </row>
    <row r="485" spans="1:29">
      <c r="A485" s="308" t="s">
        <v>413</v>
      </c>
      <c r="B485" s="1"/>
      <c r="C485" s="304">
        <f>C519+C553</f>
        <v>1766713</v>
      </c>
      <c r="D485" s="304" t="e">
        <f>D519+D553</f>
        <v>#REF!</v>
      </c>
      <c r="E485" s="283">
        <v>1.2</v>
      </c>
      <c r="F485" s="308" t="s">
        <v>31</v>
      </c>
      <c r="G485" s="306">
        <f>G519+G553</f>
        <v>2120056</v>
      </c>
      <c r="H485" s="306" t="e">
        <f>H519+H553</f>
        <v>#REF!</v>
      </c>
      <c r="I485" s="283">
        <v>1.3</v>
      </c>
      <c r="J485" s="308" t="s">
        <v>31</v>
      </c>
      <c r="K485" s="306">
        <f>K519+K553</f>
        <v>2296727</v>
      </c>
      <c r="M485" s="84" t="e">
        <f>I485*D485</f>
        <v>#REF!</v>
      </c>
      <c r="O485" s="14">
        <f>(I485-E485)/E485</f>
        <v>8.3333333333333412E-2</v>
      </c>
      <c r="W485" s="20"/>
      <c r="X485" s="20"/>
      <c r="Y485" s="20"/>
      <c r="Z485" s="20"/>
      <c r="AA485" s="20"/>
      <c r="AB485" s="20"/>
      <c r="AC485" s="20"/>
    </row>
    <row r="486" spans="1:29">
      <c r="A486" s="294" t="s">
        <v>414</v>
      </c>
      <c r="B486" s="1"/>
      <c r="C486" s="304"/>
      <c r="D486" s="304"/>
      <c r="E486" s="340"/>
      <c r="F486" s="308"/>
      <c r="G486" s="306"/>
      <c r="H486" s="306"/>
      <c r="I486" s="340"/>
      <c r="J486" s="308"/>
      <c r="K486" s="306"/>
      <c r="W486" s="20"/>
      <c r="X486" s="20"/>
      <c r="Y486" s="20"/>
      <c r="Z486" s="20"/>
      <c r="AA486" s="20"/>
      <c r="AB486" s="20"/>
      <c r="AC486" s="20"/>
    </row>
    <row r="487" spans="1:29">
      <c r="A487" s="294" t="s">
        <v>415</v>
      </c>
      <c r="B487" s="1"/>
      <c r="C487" s="304">
        <f>C521+C555</f>
        <v>2528503</v>
      </c>
      <c r="D487" s="304" t="e">
        <f>D521+D555</f>
        <v>#REF!</v>
      </c>
      <c r="E487" s="283">
        <v>3.75</v>
      </c>
      <c r="F487" s="308"/>
      <c r="G487" s="306">
        <f>G521+G555</f>
        <v>9481886</v>
      </c>
      <c r="H487" s="306" t="e">
        <f>H521+H555</f>
        <v>#REF!</v>
      </c>
      <c r="I487" s="283">
        <v>3.95</v>
      </c>
      <c r="J487" s="308"/>
      <c r="K487" s="306">
        <f>K521+K555</f>
        <v>9987587</v>
      </c>
      <c r="M487" s="84" t="e">
        <f>I487*D487</f>
        <v>#REF!</v>
      </c>
      <c r="O487" s="14">
        <f>(I487-E487)/E487</f>
        <v>5.3333333333333378E-2</v>
      </c>
      <c r="W487" s="20"/>
      <c r="X487" s="20"/>
      <c r="Y487" s="20"/>
      <c r="Z487" s="20"/>
      <c r="AA487" s="20"/>
      <c r="AB487" s="20"/>
      <c r="AC487" s="20"/>
    </row>
    <row r="488" spans="1:29">
      <c r="A488" s="294" t="s">
        <v>431</v>
      </c>
      <c r="B488" s="1"/>
      <c r="C488" s="304">
        <f>C522+C556</f>
        <v>0</v>
      </c>
      <c r="D488" s="304" t="e">
        <f>D522+D556</f>
        <v>#REF!</v>
      </c>
      <c r="E488" s="354">
        <f>E487</f>
        <v>3.75</v>
      </c>
      <c r="F488" s="308"/>
      <c r="G488" s="306">
        <f>G522+G556</f>
        <v>0</v>
      </c>
      <c r="H488" s="306" t="e">
        <f>H522+H556</f>
        <v>#REF!</v>
      </c>
      <c r="I488" s="354">
        <f>I487</f>
        <v>3.95</v>
      </c>
      <c r="J488" s="308"/>
      <c r="K488" s="306">
        <f>K522+K556</f>
        <v>0</v>
      </c>
      <c r="M488" s="84" t="e">
        <f>I488*D488</f>
        <v>#REF!</v>
      </c>
      <c r="O488" s="14">
        <f>(I488-E488)/E488</f>
        <v>5.3333333333333378E-2</v>
      </c>
      <c r="W488" s="20"/>
      <c r="X488" s="20"/>
      <c r="Y488" s="20"/>
      <c r="Z488" s="20"/>
      <c r="AA488" s="20"/>
      <c r="AB488" s="20"/>
      <c r="AC488" s="20"/>
    </row>
    <row r="489" spans="1:29">
      <c r="A489" s="308" t="s">
        <v>416</v>
      </c>
      <c r="B489" s="1"/>
      <c r="C489" s="304"/>
      <c r="D489" s="304"/>
      <c r="E489" s="283"/>
      <c r="F489" s="308"/>
      <c r="G489" s="306"/>
      <c r="H489" s="306"/>
      <c r="I489" s="283"/>
      <c r="J489" s="308"/>
      <c r="K489" s="306"/>
      <c r="W489" s="20"/>
      <c r="X489" s="20"/>
      <c r="Y489" s="20"/>
      <c r="Z489" s="20"/>
      <c r="AA489" s="20"/>
      <c r="AB489" s="20"/>
      <c r="AC489" s="20"/>
    </row>
    <row r="490" spans="1:29">
      <c r="A490" s="308" t="s">
        <v>417</v>
      </c>
      <c r="B490" s="304"/>
      <c r="C490" s="304" t="e">
        <f t="shared" ref="C490:D492" si="45">C524+C558</f>
        <v>#REF!</v>
      </c>
      <c r="D490" s="304" t="e">
        <f t="shared" si="45"/>
        <v>#REF!</v>
      </c>
      <c r="E490" s="312">
        <v>4.3570000000000002</v>
      </c>
      <c r="F490" s="308" t="s">
        <v>364</v>
      </c>
      <c r="G490" s="306" t="e">
        <f t="shared" ref="G490:H492" si="46">G524+G558</f>
        <v>#REF!</v>
      </c>
      <c r="H490" s="306" t="e">
        <f t="shared" si="46"/>
        <v>#REF!</v>
      </c>
      <c r="I490" s="312">
        <v>4.8559999999999999</v>
      </c>
      <c r="J490" s="308" t="s">
        <v>364</v>
      </c>
      <c r="K490" s="306" t="e">
        <f>K524+K558</f>
        <v>#REF!</v>
      </c>
      <c r="M490" s="84" t="e">
        <f>(I490/100)*D490</f>
        <v>#REF!</v>
      </c>
      <c r="O490" s="14">
        <f>(I490-E490)/E490</f>
        <v>0.11452834519164555</v>
      </c>
      <c r="W490" s="20"/>
      <c r="X490" s="20"/>
      <c r="Y490" s="20"/>
      <c r="Z490" s="20"/>
      <c r="AA490" s="20"/>
      <c r="AB490" s="20"/>
      <c r="AC490" s="20"/>
    </row>
    <row r="491" spans="1:29">
      <c r="A491" s="308" t="s">
        <v>389</v>
      </c>
      <c r="B491" s="304"/>
      <c r="C491" s="304" t="e">
        <f t="shared" si="45"/>
        <v>#REF!</v>
      </c>
      <c r="D491" s="304" t="e">
        <f t="shared" si="45"/>
        <v>#REF!</v>
      </c>
      <c r="E491" s="312">
        <v>3.9930000000000003</v>
      </c>
      <c r="F491" s="308" t="s">
        <v>364</v>
      </c>
      <c r="G491" s="306" t="e">
        <f t="shared" si="46"/>
        <v>#REF!</v>
      </c>
      <c r="H491" s="306" t="e">
        <f t="shared" si="46"/>
        <v>#REF!</v>
      </c>
      <c r="I491" s="312">
        <f>ROUND(I490/E490*E491,3)+0.005</f>
        <v>4.4550000000000001</v>
      </c>
      <c r="J491" s="308" t="s">
        <v>364</v>
      </c>
      <c r="K491" s="306" t="e">
        <f>K525+K559</f>
        <v>#REF!</v>
      </c>
      <c r="M491" s="84" t="e">
        <f>(I491/100)*D491</f>
        <v>#REF!</v>
      </c>
      <c r="O491" s="14">
        <f>(I491-E491)/E491</f>
        <v>0.1157024793388429</v>
      </c>
      <c r="X491" s="20"/>
      <c r="Y491" s="20"/>
      <c r="Z491" s="20"/>
      <c r="AA491" s="20"/>
      <c r="AB491" s="20"/>
      <c r="AC491" s="20"/>
    </row>
    <row r="492" spans="1:29">
      <c r="A492" s="308" t="s">
        <v>390</v>
      </c>
      <c r="B492" s="1"/>
      <c r="C492" s="304">
        <f t="shared" si="45"/>
        <v>525884</v>
      </c>
      <c r="D492" s="304" t="e">
        <f t="shared" si="45"/>
        <v>#REF!</v>
      </c>
      <c r="E492" s="589">
        <v>45</v>
      </c>
      <c r="F492" s="308" t="s">
        <v>364</v>
      </c>
      <c r="G492" s="306">
        <f t="shared" si="46"/>
        <v>236647</v>
      </c>
      <c r="H492" s="306" t="e">
        <f t="shared" si="46"/>
        <v>#REF!</v>
      </c>
      <c r="I492" s="460">
        <v>50</v>
      </c>
      <c r="J492" s="308" t="s">
        <v>364</v>
      </c>
      <c r="K492" s="306">
        <f>K526+K560</f>
        <v>262942</v>
      </c>
      <c r="M492" s="84" t="e">
        <f>(I492/100)*D492</f>
        <v>#REF!</v>
      </c>
      <c r="O492" s="14">
        <f>(I492-E492)/E492</f>
        <v>0.1111111111111111</v>
      </c>
      <c r="X492" s="20"/>
      <c r="Y492" s="20"/>
      <c r="Z492" s="20"/>
      <c r="AA492" s="20"/>
      <c r="AB492" s="20"/>
      <c r="AC492" s="20"/>
    </row>
    <row r="493" spans="1:29">
      <c r="A493" s="345" t="s">
        <v>391</v>
      </c>
      <c r="B493" s="1"/>
      <c r="C493" s="304"/>
      <c r="D493" s="304"/>
      <c r="E493" s="317">
        <v>-0.01</v>
      </c>
      <c r="F493" s="2"/>
      <c r="G493" s="306"/>
      <c r="H493" s="306"/>
      <c r="I493" s="317">
        <v>-0.01</v>
      </c>
      <c r="J493" s="1"/>
      <c r="K493" s="306"/>
      <c r="X493" s="20"/>
      <c r="Y493" s="20"/>
      <c r="Z493" s="20"/>
      <c r="AA493" s="20"/>
      <c r="AB493" s="20"/>
      <c r="AC493" s="20"/>
    </row>
    <row r="494" spans="1:29">
      <c r="A494" s="308" t="s">
        <v>411</v>
      </c>
      <c r="B494" s="1"/>
      <c r="C494" s="304">
        <f t="shared" ref="C494:D507" si="47">C528+C562</f>
        <v>7</v>
      </c>
      <c r="D494" s="304">
        <f t="shared" si="47"/>
        <v>7</v>
      </c>
      <c r="E494" s="289">
        <f>E480</f>
        <v>225</v>
      </c>
      <c r="F494" s="349"/>
      <c r="G494" s="306">
        <f t="shared" ref="G494:H507" si="48">G528+G562</f>
        <v>-16</v>
      </c>
      <c r="H494" s="306">
        <f t="shared" si="48"/>
        <v>-16</v>
      </c>
      <c r="I494" s="289">
        <f>I480</f>
        <v>245</v>
      </c>
      <c r="J494" s="278"/>
      <c r="K494" s="306">
        <f t="shared" ref="K494:K506" si="49">K528+K562</f>
        <v>-17</v>
      </c>
      <c r="M494" s="84">
        <f t="shared" ref="M494:M500" si="50">-(I494*D494)/100</f>
        <v>-17.149999999999999</v>
      </c>
      <c r="X494" s="20"/>
      <c r="Y494" s="20"/>
      <c r="Z494" s="20"/>
      <c r="AA494" s="20"/>
      <c r="AB494" s="20"/>
      <c r="AC494" s="20"/>
    </row>
    <row r="495" spans="1:29">
      <c r="A495" s="308" t="s">
        <v>412</v>
      </c>
      <c r="B495" s="1"/>
      <c r="C495" s="304">
        <f t="shared" si="47"/>
        <v>37</v>
      </c>
      <c r="D495" s="304">
        <f t="shared" si="47"/>
        <v>37</v>
      </c>
      <c r="E495" s="289">
        <f>E481</f>
        <v>83</v>
      </c>
      <c r="F495" s="349"/>
      <c r="G495" s="306">
        <f t="shared" si="48"/>
        <v>-31</v>
      </c>
      <c r="H495" s="306">
        <f t="shared" si="48"/>
        <v>-31</v>
      </c>
      <c r="I495" s="289">
        <f>I481</f>
        <v>90</v>
      </c>
      <c r="J495" s="278"/>
      <c r="K495" s="306">
        <f t="shared" si="49"/>
        <v>-34</v>
      </c>
      <c r="M495" s="84">
        <f t="shared" si="50"/>
        <v>-33.299999999999997</v>
      </c>
      <c r="O495" s="356"/>
      <c r="W495" s="20"/>
      <c r="X495" s="20"/>
      <c r="Y495" s="20"/>
      <c r="Z495" s="20"/>
      <c r="AA495" s="20"/>
      <c r="AB495" s="20"/>
      <c r="AC495" s="20"/>
    </row>
    <row r="496" spans="1:29">
      <c r="A496" s="308" t="s">
        <v>413</v>
      </c>
      <c r="B496" s="1"/>
      <c r="C496" s="304">
        <f t="shared" si="47"/>
        <v>121</v>
      </c>
      <c r="D496" s="304">
        <f t="shared" si="47"/>
        <v>122</v>
      </c>
      <c r="E496" s="289">
        <f>E482</f>
        <v>166</v>
      </c>
      <c r="F496" s="357"/>
      <c r="G496" s="306">
        <f t="shared" si="48"/>
        <v>-201</v>
      </c>
      <c r="H496" s="306">
        <f t="shared" si="48"/>
        <v>-203</v>
      </c>
      <c r="I496" s="289">
        <f>I482</f>
        <v>180</v>
      </c>
      <c r="J496" s="358"/>
      <c r="K496" s="306">
        <f t="shared" si="49"/>
        <v>-218</v>
      </c>
      <c r="M496" s="84">
        <f t="shared" si="50"/>
        <v>-219.6</v>
      </c>
      <c r="O496" s="356"/>
      <c r="W496" s="20"/>
      <c r="X496" s="20"/>
      <c r="Y496" s="20"/>
      <c r="Z496" s="20"/>
      <c r="AA496" s="20"/>
      <c r="AB496" s="20"/>
      <c r="AC496" s="20"/>
    </row>
    <row r="497" spans="1:29">
      <c r="A497" s="308" t="s">
        <v>412</v>
      </c>
      <c r="B497" s="1"/>
      <c r="C497" s="304">
        <f t="shared" si="47"/>
        <v>6452</v>
      </c>
      <c r="D497" s="304" t="e">
        <f t="shared" si="47"/>
        <v>#REF!</v>
      </c>
      <c r="E497" s="289">
        <f>E484</f>
        <v>1.47</v>
      </c>
      <c r="F497" s="349"/>
      <c r="G497" s="306">
        <f t="shared" si="48"/>
        <v>-94</v>
      </c>
      <c r="H497" s="306" t="e">
        <f t="shared" si="48"/>
        <v>#REF!</v>
      </c>
      <c r="I497" s="289">
        <f>I484</f>
        <v>1.6</v>
      </c>
      <c r="J497" s="278"/>
      <c r="K497" s="306">
        <f t="shared" si="49"/>
        <v>-103</v>
      </c>
      <c r="M497" s="84" t="e">
        <f t="shared" si="50"/>
        <v>#REF!</v>
      </c>
      <c r="W497" s="20"/>
      <c r="X497" s="20"/>
      <c r="Y497" s="20"/>
      <c r="Z497" s="20"/>
      <c r="AA497" s="20"/>
      <c r="AB497" s="20"/>
      <c r="AC497" s="20"/>
    </row>
    <row r="498" spans="1:29">
      <c r="A498" s="308" t="s">
        <v>413</v>
      </c>
      <c r="B498" s="1"/>
      <c r="C498" s="304">
        <f t="shared" si="47"/>
        <v>76044</v>
      </c>
      <c r="D498" s="304" t="e">
        <f t="shared" si="47"/>
        <v>#REF!</v>
      </c>
      <c r="E498" s="289">
        <f>E485</f>
        <v>1.2</v>
      </c>
      <c r="F498" s="349" t="s">
        <v>31</v>
      </c>
      <c r="G498" s="306">
        <f t="shared" si="48"/>
        <v>-913</v>
      </c>
      <c r="H498" s="306" t="e">
        <f t="shared" si="48"/>
        <v>#REF!</v>
      </c>
      <c r="I498" s="289">
        <f>I485</f>
        <v>1.3</v>
      </c>
      <c r="J498" s="278"/>
      <c r="K498" s="306">
        <f t="shared" si="49"/>
        <v>-989</v>
      </c>
      <c r="M498" s="84" t="e">
        <f t="shared" si="50"/>
        <v>#REF!</v>
      </c>
      <c r="W498" s="20"/>
      <c r="X498" s="20"/>
      <c r="Y498" s="20"/>
      <c r="Z498" s="20"/>
      <c r="AA498" s="20"/>
      <c r="AB498" s="20"/>
      <c r="AC498" s="20"/>
    </row>
    <row r="499" spans="1:29">
      <c r="A499" s="294" t="s">
        <v>415</v>
      </c>
      <c r="B499" s="1"/>
      <c r="C499" s="304">
        <f t="shared" si="47"/>
        <v>64762</v>
      </c>
      <c r="D499" s="304" t="e">
        <f t="shared" si="47"/>
        <v>#REF!</v>
      </c>
      <c r="E499" s="289">
        <f>E487</f>
        <v>3.75</v>
      </c>
      <c r="F499" s="349" t="s">
        <v>31</v>
      </c>
      <c r="G499" s="306">
        <f t="shared" si="48"/>
        <v>-2428</v>
      </c>
      <c r="H499" s="306" t="e">
        <f t="shared" si="48"/>
        <v>#REF!</v>
      </c>
      <c r="I499" s="289">
        <f>I487</f>
        <v>3.95</v>
      </c>
      <c r="J499" s="278"/>
      <c r="K499" s="306">
        <f t="shared" si="49"/>
        <v>-2558</v>
      </c>
      <c r="M499" s="84" t="e">
        <f t="shared" si="50"/>
        <v>#REF!</v>
      </c>
      <c r="W499" s="20"/>
      <c r="X499" s="20"/>
      <c r="Y499" s="20"/>
      <c r="Z499" s="20"/>
      <c r="AA499" s="20"/>
      <c r="AB499" s="20"/>
      <c r="AC499" s="20"/>
    </row>
    <row r="500" spans="1:29">
      <c r="A500" s="294" t="s">
        <v>431</v>
      </c>
      <c r="B500" s="1"/>
      <c r="C500" s="304">
        <f t="shared" si="47"/>
        <v>0</v>
      </c>
      <c r="D500" s="304" t="e">
        <f t="shared" si="47"/>
        <v>#REF!</v>
      </c>
      <c r="E500" s="289">
        <f>E488</f>
        <v>3.75</v>
      </c>
      <c r="F500" s="349" t="s">
        <v>31</v>
      </c>
      <c r="G500" s="306">
        <f t="shared" si="48"/>
        <v>0</v>
      </c>
      <c r="H500" s="306" t="e">
        <f t="shared" si="48"/>
        <v>#REF!</v>
      </c>
      <c r="I500" s="289">
        <f>I488</f>
        <v>3.95</v>
      </c>
      <c r="J500" s="278"/>
      <c r="K500" s="306">
        <f t="shared" si="49"/>
        <v>0</v>
      </c>
      <c r="M500" s="84" t="e">
        <f t="shared" si="50"/>
        <v>#REF!</v>
      </c>
      <c r="W500" s="20"/>
      <c r="X500" s="20"/>
      <c r="Y500" s="20"/>
      <c r="Z500" s="20"/>
      <c r="AA500" s="20"/>
      <c r="AB500" s="20"/>
      <c r="AC500" s="20"/>
    </row>
    <row r="501" spans="1:29">
      <c r="A501" s="308" t="s">
        <v>417</v>
      </c>
      <c r="B501" s="1"/>
      <c r="C501" s="304">
        <f t="shared" si="47"/>
        <v>6256747</v>
      </c>
      <c r="D501" s="304" t="e">
        <f t="shared" si="47"/>
        <v>#REF!</v>
      </c>
      <c r="E501" s="359">
        <f>E490</f>
        <v>4.3570000000000002</v>
      </c>
      <c r="F501" s="306" t="s">
        <v>364</v>
      </c>
      <c r="G501" s="306">
        <f t="shared" si="48"/>
        <v>-2726</v>
      </c>
      <c r="H501" s="306" t="e">
        <f t="shared" si="48"/>
        <v>#REF!</v>
      </c>
      <c r="I501" s="359">
        <f>I490</f>
        <v>4.8559999999999999</v>
      </c>
      <c r="J501" s="308" t="s">
        <v>364</v>
      </c>
      <c r="K501" s="306">
        <f t="shared" si="49"/>
        <v>-3038</v>
      </c>
      <c r="M501" s="84" t="e">
        <f>-((I501*D501)/100)/100</f>
        <v>#REF!</v>
      </c>
      <c r="W501" s="20"/>
      <c r="X501" s="20"/>
      <c r="Y501" s="20"/>
      <c r="Z501" s="20"/>
      <c r="AA501" s="20"/>
      <c r="AB501" s="20"/>
      <c r="AC501" s="20"/>
    </row>
    <row r="502" spans="1:29">
      <c r="A502" s="308" t="s">
        <v>389</v>
      </c>
      <c r="B502" s="1"/>
      <c r="C502" s="304">
        <f t="shared" si="47"/>
        <v>19639451</v>
      </c>
      <c r="D502" s="304" t="e">
        <f t="shared" si="47"/>
        <v>#REF!</v>
      </c>
      <c r="E502" s="359">
        <f>E491</f>
        <v>3.9930000000000003</v>
      </c>
      <c r="F502" s="306" t="s">
        <v>364</v>
      </c>
      <c r="G502" s="306">
        <f t="shared" si="48"/>
        <v>-7842</v>
      </c>
      <c r="H502" s="306" t="e">
        <f t="shared" si="48"/>
        <v>#REF!</v>
      </c>
      <c r="I502" s="359">
        <f>I491</f>
        <v>4.4550000000000001</v>
      </c>
      <c r="J502" s="308" t="s">
        <v>364</v>
      </c>
      <c r="K502" s="306">
        <f t="shared" si="49"/>
        <v>-8749</v>
      </c>
      <c r="M502" s="84" t="e">
        <f>-((I502*D502)/100)/100</f>
        <v>#REF!</v>
      </c>
      <c r="W502" s="20"/>
      <c r="X502" s="20"/>
      <c r="Y502" s="20"/>
      <c r="Z502" s="20"/>
      <c r="AA502" s="20"/>
      <c r="AB502" s="20"/>
      <c r="AC502" s="20"/>
    </row>
    <row r="503" spans="1:29">
      <c r="A503" s="308" t="s">
        <v>390</v>
      </c>
      <c r="B503" s="1"/>
      <c r="C503" s="304">
        <f t="shared" si="47"/>
        <v>14691</v>
      </c>
      <c r="D503" s="304" t="e">
        <f t="shared" si="47"/>
        <v>#REF!</v>
      </c>
      <c r="E503" s="360">
        <f>E492</f>
        <v>45</v>
      </c>
      <c r="F503" s="306" t="s">
        <v>364</v>
      </c>
      <c r="G503" s="306">
        <f t="shared" si="48"/>
        <v>-67</v>
      </c>
      <c r="H503" s="306" t="e">
        <f t="shared" si="48"/>
        <v>#REF!</v>
      </c>
      <c r="I503" s="360">
        <f>I492</f>
        <v>50</v>
      </c>
      <c r="J503" s="308" t="s">
        <v>364</v>
      </c>
      <c r="K503" s="306">
        <f t="shared" si="49"/>
        <v>-74</v>
      </c>
      <c r="M503" s="84" t="e">
        <f>-((I503*D503)/100)/100</f>
        <v>#REF!</v>
      </c>
      <c r="W503" s="20"/>
      <c r="X503" s="20"/>
      <c r="Y503" s="20"/>
      <c r="Z503" s="20"/>
      <c r="AA503" s="20"/>
      <c r="AB503" s="20"/>
      <c r="AC503" s="20"/>
    </row>
    <row r="504" spans="1:29">
      <c r="A504" s="308" t="s">
        <v>433</v>
      </c>
      <c r="B504" s="1"/>
      <c r="C504" s="304">
        <f t="shared" si="47"/>
        <v>165</v>
      </c>
      <c r="D504" s="304">
        <f t="shared" si="47"/>
        <v>166</v>
      </c>
      <c r="E504" s="283">
        <f>'Blocking - detail'!E504</f>
        <v>60</v>
      </c>
      <c r="F504" s="349" t="s">
        <v>31</v>
      </c>
      <c r="G504" s="306">
        <f t="shared" si="48"/>
        <v>9900</v>
      </c>
      <c r="H504" s="306">
        <f t="shared" si="48"/>
        <v>9960</v>
      </c>
      <c r="I504" s="283">
        <f>'Blocking - detail'!I504</f>
        <v>60</v>
      </c>
      <c r="J504" s="1"/>
      <c r="K504" s="306">
        <f t="shared" si="49"/>
        <v>9900</v>
      </c>
      <c r="M504" s="84">
        <f>I504*D504</f>
        <v>9960</v>
      </c>
      <c r="W504" s="20"/>
      <c r="X504" s="20"/>
      <c r="Y504" s="20"/>
      <c r="Z504" s="20"/>
      <c r="AA504" s="20"/>
      <c r="AB504" s="20"/>
      <c r="AC504" s="20"/>
    </row>
    <row r="505" spans="1:29">
      <c r="A505" s="308" t="s">
        <v>434</v>
      </c>
      <c r="B505" s="1"/>
      <c r="C505" s="304">
        <f t="shared" si="47"/>
        <v>78375</v>
      </c>
      <c r="D505" s="304" t="e">
        <f t="shared" si="47"/>
        <v>#REF!</v>
      </c>
      <c r="E505" s="324">
        <f>'Blocking - detail'!E505</f>
        <v>-30</v>
      </c>
      <c r="F505" s="306" t="s">
        <v>364</v>
      </c>
      <c r="G505" s="306">
        <f t="shared" si="48"/>
        <v>-23513</v>
      </c>
      <c r="H505" s="306" t="e">
        <f t="shared" si="48"/>
        <v>#REF!</v>
      </c>
      <c r="I505" s="324">
        <f>'Blocking - detail'!I505</f>
        <v>-30</v>
      </c>
      <c r="J505" s="306" t="s">
        <v>364</v>
      </c>
      <c r="K505" s="306">
        <f t="shared" si="49"/>
        <v>-23513</v>
      </c>
      <c r="M505" s="84" t="e">
        <f>(I505/100)*D505</f>
        <v>#REF!</v>
      </c>
      <c r="W505" s="20"/>
      <c r="X505" s="20"/>
      <c r="Y505" s="20"/>
      <c r="Z505" s="20"/>
      <c r="AA505" s="20"/>
      <c r="AB505" s="20"/>
      <c r="AC505" s="20"/>
    </row>
    <row r="506" spans="1:29">
      <c r="A506" s="1" t="s">
        <v>371</v>
      </c>
      <c r="B506" s="65"/>
      <c r="C506" s="304" t="e">
        <f t="shared" si="47"/>
        <v>#REF!</v>
      </c>
      <c r="D506" s="304">
        <f t="shared" si="47"/>
        <v>909584708.38655555</v>
      </c>
      <c r="E506" s="315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84" t="e">
        <f>SUM(M480:M505)</f>
        <v>#REF!</v>
      </c>
      <c r="P506" s="362"/>
      <c r="W506" s="20"/>
      <c r="X506" s="20"/>
      <c r="Y506" s="20"/>
      <c r="Z506" s="20"/>
      <c r="AA506" s="20"/>
      <c r="AB506" s="20"/>
      <c r="AC506" s="20"/>
    </row>
    <row r="507" spans="1:29">
      <c r="A507" s="1" t="s">
        <v>353</v>
      </c>
      <c r="B507" s="25"/>
      <c r="C507" s="325" t="e">
        <f t="shared" si="47"/>
        <v>#REF!</v>
      </c>
      <c r="D507" s="325">
        <f t="shared" si="47"/>
        <v>0</v>
      </c>
      <c r="E507" s="294"/>
      <c r="F507" s="294"/>
      <c r="G507" s="295" t="e">
        <f t="shared" si="48"/>
        <v>#REF!</v>
      </c>
      <c r="H507" s="295">
        <f t="shared" si="48"/>
        <v>0</v>
      </c>
      <c r="I507" s="294"/>
      <c r="J507" s="294"/>
      <c r="K507" s="295" t="e">
        <f>G507</f>
        <v>#REF!</v>
      </c>
      <c r="M507" s="274"/>
      <c r="N507" s="274"/>
      <c r="O507" s="275"/>
      <c r="W507" s="20"/>
      <c r="X507" s="20"/>
      <c r="Y507" s="20"/>
      <c r="Z507" s="20"/>
      <c r="AA507" s="20"/>
      <c r="AB507" s="20"/>
      <c r="AC507" s="20"/>
    </row>
    <row r="508" spans="1:29" ht="16.5" thickBot="1">
      <c r="A508" s="1" t="s">
        <v>372</v>
      </c>
      <c r="B508" s="1"/>
      <c r="C508" s="351" t="e">
        <f>SUM(C506)+C507</f>
        <v>#REF!</v>
      </c>
      <c r="D508" s="351" t="e">
        <f>SUM(D490:D491)+D507</f>
        <v>#REF!</v>
      </c>
      <c r="E508" s="327"/>
      <c r="F508" s="328"/>
      <c r="G508" s="329" t="e">
        <f>G506+G507</f>
        <v>#REF!</v>
      </c>
      <c r="H508" s="329" t="e">
        <f>H506+H507</f>
        <v>#REF!</v>
      </c>
      <c r="I508" s="327"/>
      <c r="J508" s="330"/>
      <c r="K508" s="329" t="e">
        <f>K506+K507</f>
        <v>#REF!</v>
      </c>
      <c r="M508" s="276"/>
      <c r="N508" s="3" t="s">
        <v>399</v>
      </c>
      <c r="O508" s="84" t="e">
        <f>#REF!*1000</f>
        <v>#REF!</v>
      </c>
      <c r="W508" s="20"/>
      <c r="X508" s="20"/>
      <c r="Y508" s="20"/>
      <c r="Z508" s="20"/>
      <c r="AA508" s="20"/>
      <c r="AB508" s="20"/>
      <c r="AC508" s="20"/>
    </row>
    <row r="509" spans="1:29" ht="16.5" thickTop="1">
      <c r="A509" s="1"/>
      <c r="B509" s="1"/>
      <c r="C509" s="21"/>
      <c r="D509" s="21"/>
      <c r="E509" s="322"/>
      <c r="F509" s="2"/>
      <c r="G509" s="2"/>
      <c r="H509" s="2"/>
      <c r="I509" s="338" t="s">
        <v>31</v>
      </c>
      <c r="J509" s="1"/>
      <c r="K509" s="2" t="s">
        <v>31</v>
      </c>
      <c r="N509" s="3" t="s">
        <v>257</v>
      </c>
      <c r="O509" s="84" t="e">
        <f>O508-K508</f>
        <v>#REF!</v>
      </c>
      <c r="P509" s="261" t="e">
        <f>(O508-K508)/K508</f>
        <v>#REF!</v>
      </c>
      <c r="W509" s="20"/>
      <c r="X509" s="20"/>
      <c r="Y509" s="20"/>
      <c r="Z509" s="20"/>
      <c r="AA509" s="20"/>
      <c r="AB509" s="20"/>
      <c r="AC509" s="20"/>
    </row>
    <row r="510" spans="1:29">
      <c r="A510" s="278" t="s">
        <v>426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  <c r="W510" s="20"/>
      <c r="X510" s="20"/>
      <c r="Y510" s="20"/>
      <c r="Z510" s="20"/>
      <c r="AA510" s="20"/>
      <c r="AB510" s="20"/>
      <c r="AC510" s="20"/>
    </row>
    <row r="511" spans="1:29">
      <c r="A511" s="294" t="s">
        <v>435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261" t="e">
        <f>O509/(K490+K491)</f>
        <v>#REF!</v>
      </c>
      <c r="W511" s="20"/>
      <c r="X511" s="20"/>
      <c r="Y511" s="20"/>
      <c r="Z511" s="20"/>
      <c r="AA511" s="20"/>
      <c r="AB511" s="20"/>
      <c r="AC511" s="20"/>
    </row>
    <row r="512" spans="1:29">
      <c r="A512" s="308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20"/>
      <c r="N512" s="20"/>
      <c r="O512" s="74"/>
      <c r="P512" s="74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</row>
    <row r="513" spans="1:29">
      <c r="A513" s="308" t="s">
        <v>383</v>
      </c>
      <c r="B513" s="1"/>
      <c r="C513" s="304"/>
      <c r="D513" s="304"/>
      <c r="E513" s="2"/>
      <c r="F513" s="2"/>
      <c r="G513" s="1"/>
      <c r="H513" s="1"/>
      <c r="I513" s="2"/>
      <c r="J513" s="1"/>
      <c r="K513" s="1"/>
      <c r="M513" s="20"/>
      <c r="N513" s="20"/>
      <c r="O513" s="74"/>
      <c r="P513" s="74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</row>
    <row r="514" spans="1:29">
      <c r="A514" s="308" t="s">
        <v>411</v>
      </c>
      <c r="B514" s="1"/>
      <c r="C514" s="304">
        <f>15+3+272</f>
        <v>290</v>
      </c>
      <c r="D514" s="304">
        <v>294</v>
      </c>
      <c r="E514" s="283">
        <f>$E$480</f>
        <v>225</v>
      </c>
      <c r="F514" s="308"/>
      <c r="G514" s="306">
        <f>ROUND(E514*$C514,0)</f>
        <v>65250</v>
      </c>
      <c r="H514" s="306">
        <f>ROUND(E514*$D514,0)</f>
        <v>66150</v>
      </c>
      <c r="I514" s="283">
        <f>$I$480</f>
        <v>245</v>
      </c>
      <c r="J514" s="308"/>
      <c r="K514" s="306">
        <f>ROUND(I514*$C514,0)</f>
        <v>71050</v>
      </c>
      <c r="M514" s="20"/>
      <c r="N514" s="20"/>
      <c r="O514" s="74"/>
      <c r="P514" s="74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</row>
    <row r="515" spans="1:29">
      <c r="A515" s="308" t="s">
        <v>412</v>
      </c>
      <c r="B515" s="1"/>
      <c r="C515" s="304">
        <f>891+24+6737</f>
        <v>7652</v>
      </c>
      <c r="D515" s="304">
        <v>7746</v>
      </c>
      <c r="E515" s="283">
        <f>$E$481</f>
        <v>83</v>
      </c>
      <c r="F515" s="308"/>
      <c r="G515" s="306">
        <f>ROUND(E515*$C515,0)</f>
        <v>635116</v>
      </c>
      <c r="H515" s="306">
        <f>ROUND(E515*$D515,0)</f>
        <v>642918</v>
      </c>
      <c r="I515" s="283">
        <f>$I$481</f>
        <v>90</v>
      </c>
      <c r="J515" s="308"/>
      <c r="K515" s="306">
        <f>ROUND(I515*$C515,0)</f>
        <v>688680</v>
      </c>
      <c r="M515" s="20"/>
      <c r="N515" s="20"/>
      <c r="O515" s="74"/>
      <c r="P515" s="74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</row>
    <row r="516" spans="1:29">
      <c r="A516" s="308" t="s">
        <v>413</v>
      </c>
      <c r="B516" s="1"/>
      <c r="C516" s="304">
        <f>218+106+2548</f>
        <v>2872</v>
      </c>
      <c r="D516" s="304">
        <v>2907</v>
      </c>
      <c r="E516" s="283">
        <f>$E$482</f>
        <v>166</v>
      </c>
      <c r="F516" s="310"/>
      <c r="G516" s="306">
        <f>ROUND(E516*$C516,0)</f>
        <v>476752</v>
      </c>
      <c r="H516" s="306">
        <f>ROUND(E516*$D516,0)</f>
        <v>482562</v>
      </c>
      <c r="I516" s="283">
        <f>$I$482</f>
        <v>180</v>
      </c>
      <c r="J516" s="310"/>
      <c r="K516" s="306">
        <f>ROUND(I516*$C516,0)</f>
        <v>516960</v>
      </c>
      <c r="M516" s="20"/>
      <c r="N516" s="20"/>
      <c r="O516" s="74"/>
      <c r="P516" s="74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</row>
    <row r="517" spans="1:29">
      <c r="A517" s="308" t="s">
        <v>384</v>
      </c>
      <c r="B517" s="1"/>
      <c r="C517" s="304">
        <f>SUM(C514:C516)</f>
        <v>10814</v>
      </c>
      <c r="D517" s="304">
        <f>SUM(D514:D516)</f>
        <v>10947</v>
      </c>
      <c r="E517" s="283"/>
      <c r="F517" s="308"/>
      <c r="G517" s="306"/>
      <c r="H517" s="306"/>
      <c r="I517" s="283"/>
      <c r="J517" s="308"/>
      <c r="K517" s="306"/>
      <c r="M517" s="20"/>
      <c r="N517" s="20"/>
      <c r="O517" s="74"/>
      <c r="P517" s="74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</row>
    <row r="518" spans="1:29">
      <c r="A518" s="308" t="s">
        <v>412</v>
      </c>
      <c r="B518" s="1"/>
      <c r="C518" s="304">
        <f>161511+4370+1155196</f>
        <v>1321077</v>
      </c>
      <c r="D518" s="304" t="e">
        <f>ROUND(($D$540/'Billing Determinants (2)'!$C$540)*C518,0)</f>
        <v>#REF!</v>
      </c>
      <c r="E518" s="283">
        <f>$E$484</f>
        <v>1.47</v>
      </c>
      <c r="F518" s="308" t="s">
        <v>31</v>
      </c>
      <c r="G518" s="306">
        <f>ROUND(E518*$C518,0)</f>
        <v>1941983</v>
      </c>
      <c r="H518" s="306" t="e">
        <f>ROUND(E518*$D518,0)</f>
        <v>#REF!</v>
      </c>
      <c r="I518" s="283">
        <f>$I$484</f>
        <v>1.6</v>
      </c>
      <c r="J518" s="308" t="s">
        <v>31</v>
      </c>
      <c r="K518" s="306">
        <f>ROUND(I518*$C518,0)</f>
        <v>2113723</v>
      </c>
      <c r="M518" s="20"/>
      <c r="N518" s="20"/>
      <c r="O518" s="74"/>
      <c r="P518" s="74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</row>
    <row r="519" spans="1:29">
      <c r="A519" s="308" t="s">
        <v>413</v>
      </c>
      <c r="B519" s="1"/>
      <c r="C519" s="304">
        <f>119211+61985+1218712</f>
        <v>1399908</v>
      </c>
      <c r="D519" s="304" t="e">
        <f>ROUND(($D$540/'Billing Determinants (2)'!$C$540)*C519,0)</f>
        <v>#REF!</v>
      </c>
      <c r="E519" s="283">
        <f>$E$485</f>
        <v>1.2</v>
      </c>
      <c r="F519" s="308" t="s">
        <v>31</v>
      </c>
      <c r="G519" s="306">
        <f>ROUND(E519*$C519,0)</f>
        <v>1679890</v>
      </c>
      <c r="H519" s="306" t="e">
        <f>ROUND(E519*$D519,0)</f>
        <v>#REF!</v>
      </c>
      <c r="I519" s="283">
        <f>$I$485</f>
        <v>1.3</v>
      </c>
      <c r="J519" s="308" t="s">
        <v>31</v>
      </c>
      <c r="K519" s="306">
        <f>ROUND(I519*$C519,0)</f>
        <v>1819880</v>
      </c>
      <c r="M519" s="20"/>
      <c r="N519" s="20"/>
      <c r="O519" s="74"/>
      <c r="P519" s="74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</row>
    <row r="520" spans="1:29">
      <c r="A520" s="294" t="s">
        <v>414</v>
      </c>
      <c r="B520" s="1"/>
      <c r="C520" s="304"/>
      <c r="D520" s="304"/>
      <c r="E520" s="340"/>
      <c r="F520" s="308"/>
      <c r="G520" s="306"/>
      <c r="H520" s="306"/>
      <c r="I520" s="340"/>
      <c r="J520" s="308"/>
      <c r="K520" s="306"/>
      <c r="M520" s="20"/>
      <c r="N520" s="20"/>
      <c r="O520" s="74"/>
      <c r="P520" s="74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</row>
    <row r="521" spans="1:29">
      <c r="A521" s="294" t="s">
        <v>415</v>
      </c>
      <c r="B521" s="1"/>
      <c r="C521" s="304">
        <f>1068+119254+79096+150+3376+49943+17200+887264+924289</f>
        <v>2081640</v>
      </c>
      <c r="D521" s="304" t="e">
        <f>ROUND(($D$540/'Billing Determinants (2)'!$C$540)*C521,0)</f>
        <v>#REF!</v>
      </c>
      <c r="E521" s="283">
        <f>$E$487</f>
        <v>3.75</v>
      </c>
      <c r="F521" s="308"/>
      <c r="G521" s="306">
        <f>ROUND(E521*$C521,0)</f>
        <v>7806150</v>
      </c>
      <c r="H521" s="306" t="e">
        <f>ROUND(E521*$D521,0)</f>
        <v>#REF!</v>
      </c>
      <c r="I521" s="283">
        <f>$I$487</f>
        <v>3.95</v>
      </c>
      <c r="J521" s="308"/>
      <c r="K521" s="306">
        <f>ROUND(I521*$C521,0)</f>
        <v>8222478</v>
      </c>
      <c r="M521" s="20"/>
      <c r="N521" s="20"/>
      <c r="O521" s="74"/>
      <c r="P521" s="74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</row>
    <row r="522" spans="1:29">
      <c r="A522" s="294" t="s">
        <v>431</v>
      </c>
      <c r="B522" s="1"/>
      <c r="C522" s="304">
        <v>0</v>
      </c>
      <c r="D522" s="304" t="e">
        <f>ROUND(($D$540/'Billing Determinants (2)'!$C$540)*C522,0)</f>
        <v>#REF!</v>
      </c>
      <c r="E522" s="354">
        <f>E521</f>
        <v>3.75</v>
      </c>
      <c r="F522" s="308"/>
      <c r="G522" s="306">
        <f>ROUND(E522*$C522,0)</f>
        <v>0</v>
      </c>
      <c r="H522" s="306" t="e">
        <f>ROUND(E522*$D522,0)</f>
        <v>#REF!</v>
      </c>
      <c r="I522" s="354">
        <f>I521</f>
        <v>3.95</v>
      </c>
      <c r="J522" s="308"/>
      <c r="K522" s="306">
        <f>ROUND(I522*$C522,0)</f>
        <v>0</v>
      </c>
      <c r="M522" s="20"/>
      <c r="N522" s="20"/>
      <c r="O522" s="74"/>
      <c r="P522" s="74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</row>
    <row r="523" spans="1:29">
      <c r="A523" s="308" t="s">
        <v>416</v>
      </c>
      <c r="B523" s="1"/>
      <c r="C523" s="304"/>
      <c r="D523" s="304"/>
      <c r="E523" s="283"/>
      <c r="F523" s="308"/>
      <c r="G523" s="306"/>
      <c r="H523" s="306"/>
      <c r="I523" s="283"/>
      <c r="J523" s="308"/>
      <c r="K523" s="306"/>
      <c r="M523" s="20"/>
      <c r="N523" s="20"/>
      <c r="O523" s="74"/>
      <c r="P523" s="74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</row>
    <row r="524" spans="1:29">
      <c r="A524" s="308" t="s">
        <v>417</v>
      </c>
      <c r="B524" s="304"/>
      <c r="C524" s="304" t="e">
        <f>251081+26399950+8327667+8480+907600+4146400+4006185+206696529+96381069+#REF!*1000</f>
        <v>#REF!</v>
      </c>
      <c r="D524" s="304" t="e">
        <f>ROUND(($D$540/'Billing Determinants (2)'!$C$540)*C524,0)</f>
        <v>#REF!</v>
      </c>
      <c r="E524" s="355">
        <f>$E$490</f>
        <v>4.3570000000000002</v>
      </c>
      <c r="F524" s="308" t="s">
        <v>364</v>
      </c>
      <c r="G524" s="306" t="e">
        <f>ROUND(E524*$C524/100,0)</f>
        <v>#REF!</v>
      </c>
      <c r="H524" s="306" t="e">
        <f>ROUND(E524*$D524/100,0)</f>
        <v>#REF!</v>
      </c>
      <c r="I524" s="312">
        <f>$I$490</f>
        <v>4.8559999999999999</v>
      </c>
      <c r="J524" s="308" t="s">
        <v>364</v>
      </c>
      <c r="K524" s="306" t="e">
        <f>ROUND(I524*$C524/100,0)</f>
        <v>#REF!</v>
      </c>
      <c r="M524" s="20"/>
      <c r="N524" s="20"/>
      <c r="O524" s="74"/>
      <c r="P524" s="74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</row>
    <row r="525" spans="1:29">
      <c r="A525" s="308" t="s">
        <v>389</v>
      </c>
      <c r="B525" s="304"/>
      <c r="C525" s="304" t="e">
        <f>251081+44206075+35863656+8480+1348200+18841920+4093885+288814372+368801759-C524+#REF!*1000+#REF!*1000</f>
        <v>#REF!</v>
      </c>
      <c r="D525" s="304" t="e">
        <f>ROUND(($D$540/'Billing Determinants (2)'!$C$540)*C525,0)</f>
        <v>#REF!</v>
      </c>
      <c r="E525" s="355">
        <f>$E$491</f>
        <v>3.9930000000000003</v>
      </c>
      <c r="F525" s="308" t="s">
        <v>364</v>
      </c>
      <c r="G525" s="306" t="e">
        <f>ROUND(E525*$C525/100,0)</f>
        <v>#REF!</v>
      </c>
      <c r="H525" s="306" t="e">
        <f>ROUND(E525*$D525/100,0)</f>
        <v>#REF!</v>
      </c>
      <c r="I525" s="312">
        <f>$I$491</f>
        <v>4.4550000000000001</v>
      </c>
      <c r="J525" s="308" t="s">
        <v>364</v>
      </c>
      <c r="K525" s="306" t="e">
        <f>ROUND(I525*$C525/100,0)</f>
        <v>#REF!</v>
      </c>
      <c r="M525" s="20"/>
      <c r="N525" s="20"/>
      <c r="O525" s="74"/>
      <c r="P525" s="74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</row>
    <row r="526" spans="1:29">
      <c r="A526" s="308" t="s">
        <v>390</v>
      </c>
      <c r="B526" s="1"/>
      <c r="C526" s="304">
        <f>25+26086+19444+27+10311+1383+154262+167734</f>
        <v>379272</v>
      </c>
      <c r="D526" s="304" t="e">
        <f>ROUND(($D$540/'Billing Determinants (2)'!$C$540)*C526,0)</f>
        <v>#REF!</v>
      </c>
      <c r="E526" s="324">
        <f>$E$492</f>
        <v>45</v>
      </c>
      <c r="F526" s="308" t="s">
        <v>364</v>
      </c>
      <c r="G526" s="306">
        <f>ROUND(E526*$C526/100,0)</f>
        <v>170672</v>
      </c>
      <c r="H526" s="306" t="e">
        <f>ROUND(E526*$D526/100,0)</f>
        <v>#REF!</v>
      </c>
      <c r="I526" s="460">
        <f>$I$492</f>
        <v>50</v>
      </c>
      <c r="J526" s="308" t="s">
        <v>364</v>
      </c>
      <c r="K526" s="306">
        <f>ROUND(I526*$C526/100,0)</f>
        <v>189636</v>
      </c>
      <c r="M526" s="20"/>
      <c r="N526" s="20"/>
      <c r="O526" s="74"/>
      <c r="P526" s="74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</row>
    <row r="527" spans="1:29">
      <c r="A527" s="345" t="s">
        <v>391</v>
      </c>
      <c r="B527" s="1"/>
      <c r="C527" s="304"/>
      <c r="D527" s="304"/>
      <c r="E527" s="317">
        <v>-0.01</v>
      </c>
      <c r="F527" s="2"/>
      <c r="G527" s="306"/>
      <c r="H527" s="306"/>
      <c r="I527" s="317">
        <v>-0.01</v>
      </c>
      <c r="J527" s="1"/>
      <c r="K527" s="306"/>
      <c r="M527" s="20"/>
      <c r="N527" s="20"/>
      <c r="O527" s="74"/>
      <c r="P527" s="74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</row>
    <row r="528" spans="1:29">
      <c r="A528" s="308" t="s">
        <v>411</v>
      </c>
      <c r="B528" s="21"/>
      <c r="C528" s="304">
        <v>3</v>
      </c>
      <c r="D528" s="304">
        <v>3</v>
      </c>
      <c r="E528" s="289">
        <f>E514</f>
        <v>225</v>
      </c>
      <c r="F528" s="349"/>
      <c r="G528" s="306">
        <f>ROUND(E528*$C528*E527,0)</f>
        <v>-7</v>
      </c>
      <c r="H528" s="306">
        <f>ROUND(E528*$D528*E527,0)</f>
        <v>-7</v>
      </c>
      <c r="I528" s="289">
        <f>I514</f>
        <v>245</v>
      </c>
      <c r="J528" s="278"/>
      <c r="K528" s="306">
        <f>ROUND(I528*$C528*I527,0)</f>
        <v>-7</v>
      </c>
      <c r="M528" s="20"/>
      <c r="N528" s="20"/>
      <c r="O528" s="74"/>
      <c r="P528" s="74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</row>
    <row r="529" spans="1:29">
      <c r="A529" s="308" t="s">
        <v>412</v>
      </c>
      <c r="B529" s="1"/>
      <c r="C529" s="304">
        <f>24</f>
        <v>24</v>
      </c>
      <c r="D529" s="304">
        <v>24</v>
      </c>
      <c r="E529" s="289">
        <f>E515</f>
        <v>83</v>
      </c>
      <c r="F529" s="349"/>
      <c r="G529" s="306">
        <f>ROUND(E529*$C529*E527,0)</f>
        <v>-20</v>
      </c>
      <c r="H529" s="306">
        <f>ROUND(E529*$D529*E527,0)</f>
        <v>-20</v>
      </c>
      <c r="I529" s="289">
        <f>I515</f>
        <v>90</v>
      </c>
      <c r="J529" s="278"/>
      <c r="K529" s="306">
        <f>ROUND(I529*$C529*I527,0)</f>
        <v>-22</v>
      </c>
      <c r="M529" s="20"/>
      <c r="N529" s="20"/>
      <c r="O529" s="74"/>
      <c r="P529" s="74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</row>
    <row r="530" spans="1:29">
      <c r="A530" s="308" t="s">
        <v>413</v>
      </c>
      <c r="B530" s="1"/>
      <c r="C530" s="304">
        <f>106</f>
        <v>106</v>
      </c>
      <c r="D530" s="304">
        <v>107</v>
      </c>
      <c r="E530" s="289">
        <f>E516</f>
        <v>166</v>
      </c>
      <c r="F530" s="357"/>
      <c r="G530" s="306">
        <f>ROUND(E530*$C530*E527,0)</f>
        <v>-176</v>
      </c>
      <c r="H530" s="306">
        <f>ROUND(E530*$D530*E527,0)</f>
        <v>-178</v>
      </c>
      <c r="I530" s="289">
        <f>I516</f>
        <v>180</v>
      </c>
      <c r="J530" s="358"/>
      <c r="K530" s="306">
        <f>ROUND(I530*$C530*I527,0)</f>
        <v>-191</v>
      </c>
      <c r="M530" s="20"/>
      <c r="N530" s="20"/>
      <c r="O530" s="74"/>
      <c r="P530" s="74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</row>
    <row r="531" spans="1:29">
      <c r="A531" s="308" t="s">
        <v>412</v>
      </c>
      <c r="B531" s="1"/>
      <c r="C531" s="304">
        <f>4585</f>
        <v>4585</v>
      </c>
      <c r="D531" s="304" t="e">
        <f>ROUND(($D$540/'Billing Determinants (2)'!$C$540)*C531,0)</f>
        <v>#REF!</v>
      </c>
      <c r="E531" s="289">
        <f>E518</f>
        <v>1.47</v>
      </c>
      <c r="F531" s="349"/>
      <c r="G531" s="306">
        <f>ROUND(E531*$C531*E527,0)</f>
        <v>-67</v>
      </c>
      <c r="H531" s="306" t="e">
        <f>ROUND(E531*$D531*E527,0)</f>
        <v>#REF!</v>
      </c>
      <c r="I531" s="289">
        <f>I518</f>
        <v>1.6</v>
      </c>
      <c r="J531" s="278"/>
      <c r="K531" s="306">
        <f>ROUND(I531*$C531*I527,0)</f>
        <v>-73</v>
      </c>
      <c r="M531" s="20"/>
      <c r="N531" s="20"/>
      <c r="O531" s="461"/>
      <c r="P531" s="74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</row>
    <row r="532" spans="1:29">
      <c r="A532" s="308" t="s">
        <v>413</v>
      </c>
      <c r="B532" s="1"/>
      <c r="C532" s="304">
        <v>65891</v>
      </c>
      <c r="D532" s="304" t="e">
        <f>ROUND(($D$540/'Billing Determinants (2)'!$C$540)*C532,0)</f>
        <v>#REF!</v>
      </c>
      <c r="E532" s="289">
        <f>E519</f>
        <v>1.2</v>
      </c>
      <c r="F532" s="349" t="s">
        <v>31</v>
      </c>
      <c r="G532" s="306">
        <f>ROUND(E532*$C532*E527,0)</f>
        <v>-791</v>
      </c>
      <c r="H532" s="306" t="e">
        <f>ROUND(E532*$D532*E527,0)</f>
        <v>#REF!</v>
      </c>
      <c r="I532" s="289">
        <f>I519</f>
        <v>1.3</v>
      </c>
      <c r="J532" s="278"/>
      <c r="K532" s="306">
        <f>ROUND(I532*$C532*I527,0)</f>
        <v>-857</v>
      </c>
      <c r="M532" s="20"/>
      <c r="N532" s="20"/>
      <c r="O532" s="74"/>
      <c r="P532" s="74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</row>
    <row r="533" spans="1:29">
      <c r="A533" s="294" t="s">
        <v>415</v>
      </c>
      <c r="B533" s="1"/>
      <c r="C533" s="304">
        <f>150+3376+49943</f>
        <v>53469</v>
      </c>
      <c r="D533" s="304" t="e">
        <f>ROUND(($D$540/'Billing Determinants (2)'!$C$540)*C533,0)</f>
        <v>#REF!</v>
      </c>
      <c r="E533" s="289">
        <f>E521</f>
        <v>3.75</v>
      </c>
      <c r="F533" s="349" t="s">
        <v>31</v>
      </c>
      <c r="G533" s="306">
        <f>ROUND(E533*$C533*E527,0)</f>
        <v>-2005</v>
      </c>
      <c r="H533" s="306" t="e">
        <f>ROUND(E533*$D533*E527,0)</f>
        <v>#REF!</v>
      </c>
      <c r="I533" s="289">
        <f>I521</f>
        <v>3.95</v>
      </c>
      <c r="J533" s="278"/>
      <c r="K533" s="306">
        <f>ROUND(I533*$C533*I527,0)</f>
        <v>-2112</v>
      </c>
      <c r="M533" s="20"/>
      <c r="N533" s="20"/>
      <c r="O533" s="74"/>
      <c r="P533" s="74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</row>
    <row r="534" spans="1:29">
      <c r="A534" s="294" t="s">
        <v>431</v>
      </c>
      <c r="B534" s="1"/>
      <c r="C534" s="304">
        <v>0</v>
      </c>
      <c r="D534" s="304" t="e">
        <f>ROUND(($D$540/'Billing Determinants (2)'!$C$540)*C534,0)</f>
        <v>#REF!</v>
      </c>
      <c r="E534" s="289">
        <f>E522</f>
        <v>3.75</v>
      </c>
      <c r="F534" s="349" t="s">
        <v>31</v>
      </c>
      <c r="G534" s="306">
        <f>ROUND(E534*$C534*E527,0)</f>
        <v>0</v>
      </c>
      <c r="H534" s="306" t="e">
        <f>ROUND(E534*$D534*E527,0)</f>
        <v>#REF!</v>
      </c>
      <c r="I534" s="289">
        <f>I522</f>
        <v>3.95</v>
      </c>
      <c r="J534" s="278"/>
      <c r="K534" s="306">
        <f>ROUND(I534*$C534*I527,0)</f>
        <v>0</v>
      </c>
      <c r="M534" s="20"/>
      <c r="N534" s="20"/>
      <c r="O534" s="74"/>
      <c r="P534" s="74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</row>
    <row r="535" spans="1:29">
      <c r="A535" s="308" t="s">
        <v>417</v>
      </c>
      <c r="B535" s="1"/>
      <c r="C535" s="304">
        <f>8480+907600+4146400</f>
        <v>5062480</v>
      </c>
      <c r="D535" s="304" t="e">
        <f>ROUND(($D$540/'Billing Determinants (2)'!$C$540)*C535,0)</f>
        <v>#REF!</v>
      </c>
      <c r="E535" s="359">
        <f>E524</f>
        <v>4.3570000000000002</v>
      </c>
      <c r="F535" s="306" t="s">
        <v>364</v>
      </c>
      <c r="G535" s="306">
        <f>ROUND(E535*$C535/100*E527,0)</f>
        <v>-2206</v>
      </c>
      <c r="H535" s="306" t="e">
        <f>ROUND(E535*$D535/100*E527,0)</f>
        <v>#REF!</v>
      </c>
      <c r="I535" s="359">
        <f>I524</f>
        <v>4.8559999999999999</v>
      </c>
      <c r="J535" s="308" t="s">
        <v>364</v>
      </c>
      <c r="K535" s="306">
        <f>ROUND(I535*$C535/100*I527,0)</f>
        <v>-2458</v>
      </c>
      <c r="M535" s="401"/>
      <c r="N535" s="401"/>
      <c r="O535" s="74"/>
      <c r="P535" s="74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</row>
    <row r="536" spans="1:29">
      <c r="A536" s="308" t="s">
        <v>389</v>
      </c>
      <c r="B536" s="1"/>
      <c r="C536" s="304">
        <f>8480+1348200+18841920-C535</f>
        <v>15136120</v>
      </c>
      <c r="D536" s="304" t="e">
        <f>ROUND(($D$540/'Billing Determinants (2)'!$C$540)*C536,0)</f>
        <v>#REF!</v>
      </c>
      <c r="E536" s="359">
        <f>E525</f>
        <v>3.9930000000000003</v>
      </c>
      <c r="F536" s="306" t="s">
        <v>364</v>
      </c>
      <c r="G536" s="306">
        <f>ROUND(E536*$C536/100*E527,0)</f>
        <v>-6044</v>
      </c>
      <c r="H536" s="306" t="e">
        <f>ROUND(E536*$D536/100*E527,0)</f>
        <v>#REF!</v>
      </c>
      <c r="I536" s="359">
        <f>I525</f>
        <v>4.4550000000000001</v>
      </c>
      <c r="J536" s="308" t="s">
        <v>364</v>
      </c>
      <c r="K536" s="306">
        <f>ROUND(I536*$C536/100*I527,0)</f>
        <v>-6743</v>
      </c>
      <c r="M536" s="20"/>
      <c r="N536" s="20"/>
      <c r="O536" s="74"/>
      <c r="P536" s="74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</row>
    <row r="537" spans="1:29">
      <c r="A537" s="308" t="s">
        <v>390</v>
      </c>
      <c r="B537" s="1"/>
      <c r="C537" s="304">
        <f>27+10311</f>
        <v>10338</v>
      </c>
      <c r="D537" s="304" t="e">
        <f>ROUND(($D$540/'Billing Determinants (2)'!$C$540)*C537,0)</f>
        <v>#REF!</v>
      </c>
      <c r="E537" s="360">
        <f>E526</f>
        <v>45</v>
      </c>
      <c r="F537" s="306" t="s">
        <v>364</v>
      </c>
      <c r="G537" s="306">
        <f>ROUND(E537*$C537/100*E527,0)</f>
        <v>-47</v>
      </c>
      <c r="H537" s="306" t="e">
        <f>ROUND(E537*$D537/100*E527,0)</f>
        <v>#REF!</v>
      </c>
      <c r="I537" s="360">
        <f>I526</f>
        <v>50</v>
      </c>
      <c r="J537" s="308" t="s">
        <v>364</v>
      </c>
      <c r="K537" s="306">
        <f>ROUND(I537*$C537/100*I527,0)</f>
        <v>-52</v>
      </c>
      <c r="M537" s="20"/>
      <c r="N537" s="20"/>
      <c r="O537" s="74"/>
      <c r="P537" s="74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</row>
    <row r="538" spans="1:29">
      <c r="A538" s="308" t="s">
        <v>433</v>
      </c>
      <c r="B538" s="1"/>
      <c r="C538" s="304">
        <f>3+24+106</f>
        <v>133</v>
      </c>
      <c r="D538" s="304">
        <v>135</v>
      </c>
      <c r="E538" s="283">
        <f>$E$504</f>
        <v>60</v>
      </c>
      <c r="F538" s="349" t="s">
        <v>31</v>
      </c>
      <c r="G538" s="306">
        <f>ROUND(E538*$C538,0)</f>
        <v>7980</v>
      </c>
      <c r="H538" s="306">
        <f>ROUND(E538*$D538,0)</f>
        <v>8100</v>
      </c>
      <c r="I538" s="283">
        <f>$I$504</f>
        <v>60</v>
      </c>
      <c r="J538" s="1"/>
      <c r="K538" s="306">
        <f>ROUND(I538*$C538,0)</f>
        <v>7980</v>
      </c>
      <c r="M538" s="20"/>
      <c r="N538" s="20"/>
      <c r="O538" s="74"/>
      <c r="P538" s="462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</row>
    <row r="539" spans="1:29">
      <c r="A539" s="308" t="s">
        <v>434</v>
      </c>
      <c r="B539" s="290"/>
      <c r="C539" s="304">
        <f>4370+61985</f>
        <v>66355</v>
      </c>
      <c r="D539" s="304" t="e">
        <f>ROUND(($D$540/'Billing Determinants (2)'!$C$540)*C539,0)</f>
        <v>#REF!</v>
      </c>
      <c r="E539" s="324">
        <f>$E$505</f>
        <v>-30</v>
      </c>
      <c r="F539" s="306" t="s">
        <v>364</v>
      </c>
      <c r="G539" s="306">
        <f>ROUND(E539*$C539/100,0)</f>
        <v>-19907</v>
      </c>
      <c r="H539" s="306" t="e">
        <f>ROUND(E539*$D539/100,0)</f>
        <v>#REF!</v>
      </c>
      <c r="I539" s="324">
        <f>$I$505</f>
        <v>-30</v>
      </c>
      <c r="J539" s="306" t="s">
        <v>364</v>
      </c>
      <c r="K539" s="306">
        <f>ROUND(I539*$C539/100,0)</f>
        <v>-19907</v>
      </c>
      <c r="M539" s="20"/>
      <c r="N539" s="20"/>
      <c r="O539" s="74"/>
      <c r="P539" s="74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</row>
    <row r="540" spans="1:29">
      <c r="A540" s="1" t="s">
        <v>371</v>
      </c>
      <c r="B540" s="292"/>
      <c r="C540" s="304" t="e">
        <f>SUM(C524:C525)</f>
        <v>#REF!</v>
      </c>
      <c r="D540" s="304">
        <v>762801321.03140867</v>
      </c>
      <c r="E540" s="315"/>
      <c r="F540" s="2"/>
      <c r="G540" s="2" t="e">
        <f>SUM(G514:G539)</f>
        <v>#REF!</v>
      </c>
      <c r="H540" s="2" t="e">
        <f>SUM(H514:H539)</f>
        <v>#REF!</v>
      </c>
      <c r="I540" s="315"/>
      <c r="J540" s="1"/>
      <c r="K540" s="2" t="e">
        <f>SUM(K514:K539)</f>
        <v>#REF!</v>
      </c>
      <c r="M540" s="20"/>
      <c r="N540" s="20"/>
      <c r="O540" s="74"/>
      <c r="P540" s="74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</row>
    <row r="541" spans="1:29">
      <c r="A541" s="1" t="s">
        <v>353</v>
      </c>
      <c r="B541" s="1"/>
      <c r="C541" s="334" t="e">
        <f>#REF!</f>
        <v>#REF!</v>
      </c>
      <c r="D541" s="325">
        <v>0</v>
      </c>
      <c r="E541" s="294"/>
      <c r="F541" s="294"/>
      <c r="G541" s="295" t="e">
        <f>#REF!</f>
        <v>#REF!</v>
      </c>
      <c r="H541" s="295">
        <v>0</v>
      </c>
      <c r="I541" s="294"/>
      <c r="J541" s="294"/>
      <c r="K541" s="295" t="e">
        <f>G541</f>
        <v>#REF!</v>
      </c>
      <c r="M541" s="429"/>
      <c r="N541" s="429"/>
      <c r="O541" s="272"/>
      <c r="P541" s="74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</row>
    <row r="542" spans="1:29" ht="16.5" thickBot="1">
      <c r="A542" s="1" t="s">
        <v>372</v>
      </c>
      <c r="B542" s="1"/>
      <c r="C542" s="351" t="e">
        <f>SUM(C540)+C541</f>
        <v>#REF!</v>
      </c>
      <c r="D542" s="351" t="e">
        <f>SUM(D524:D525)+D541</f>
        <v>#REF!</v>
      </c>
      <c r="E542" s="327"/>
      <c r="F542" s="328"/>
      <c r="G542" s="329" t="e">
        <f>G540+G541</f>
        <v>#REF!</v>
      </c>
      <c r="H542" s="329" t="e">
        <f>H540+H541</f>
        <v>#REF!</v>
      </c>
      <c r="I542" s="327"/>
      <c r="J542" s="330"/>
      <c r="K542" s="329" t="e">
        <f>K540+K541</f>
        <v>#REF!</v>
      </c>
      <c r="M542" s="396"/>
      <c r="N542" s="396"/>
      <c r="O542" s="455"/>
      <c r="P542" s="74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</row>
    <row r="543" spans="1:29" ht="16.5" thickTop="1">
      <c r="A543" s="1"/>
      <c r="B543" s="1"/>
      <c r="C543" s="21"/>
      <c r="D543" s="21"/>
      <c r="E543" s="322"/>
      <c r="F543" s="2"/>
      <c r="G543" s="2"/>
      <c r="H543" s="2"/>
      <c r="I543" s="338" t="s">
        <v>31</v>
      </c>
      <c r="J543" s="1"/>
      <c r="K543" s="2" t="s">
        <v>31</v>
      </c>
      <c r="M543" s="20"/>
      <c r="N543" s="20"/>
      <c r="O543" s="74"/>
      <c r="P543" s="74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</row>
    <row r="544" spans="1:29">
      <c r="A544" s="278" t="s">
        <v>426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  <c r="M544" s="20"/>
      <c r="N544" s="20"/>
      <c r="O544" s="74"/>
      <c r="P544" s="74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</row>
    <row r="545" spans="1:29">
      <c r="A545" s="294" t="s">
        <v>436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20"/>
      <c r="N545" s="20"/>
      <c r="O545" s="74"/>
      <c r="P545" s="74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</row>
    <row r="546" spans="1:29">
      <c r="A546" s="308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20"/>
      <c r="N546" s="20"/>
      <c r="O546" s="74"/>
      <c r="P546" s="74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</row>
    <row r="547" spans="1:29">
      <c r="A547" s="308" t="s">
        <v>383</v>
      </c>
      <c r="B547" s="21"/>
      <c r="C547" s="304"/>
      <c r="D547" s="304"/>
      <c r="E547" s="2"/>
      <c r="F547" s="2"/>
      <c r="G547" s="1"/>
      <c r="H547" s="1"/>
      <c r="I547" s="2"/>
      <c r="J547" s="1"/>
      <c r="K547" s="1"/>
      <c r="M547" s="20"/>
      <c r="N547" s="20"/>
      <c r="O547" s="74"/>
      <c r="P547" s="74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</row>
    <row r="548" spans="1:29">
      <c r="A548" s="308" t="s">
        <v>411</v>
      </c>
      <c r="B548" s="1"/>
      <c r="C548" s="304">
        <f>6+4+42</f>
        <v>52</v>
      </c>
      <c r="D548" s="304">
        <v>51</v>
      </c>
      <c r="E548" s="283">
        <f>$E$480</f>
        <v>225</v>
      </c>
      <c r="F548" s="308"/>
      <c r="G548" s="306">
        <f>ROUND(E548*$C548,0)</f>
        <v>11700</v>
      </c>
      <c r="H548" s="306">
        <f>ROUND(E548*$D548,0)</f>
        <v>11475</v>
      </c>
      <c r="I548" s="283">
        <f>$I$480</f>
        <v>245</v>
      </c>
      <c r="J548" s="308"/>
      <c r="K548" s="306">
        <f>ROUND(I548*$C548,0)</f>
        <v>12740</v>
      </c>
      <c r="M548" s="20"/>
      <c r="N548" s="20"/>
      <c r="O548" s="74"/>
      <c r="P548" s="74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</row>
    <row r="549" spans="1:29">
      <c r="A549" s="308" t="s">
        <v>412</v>
      </c>
      <c r="B549" s="1"/>
      <c r="C549" s="304">
        <f>320+13+848</f>
        <v>1181</v>
      </c>
      <c r="D549" s="304">
        <v>1150</v>
      </c>
      <c r="E549" s="283">
        <f>$E$481</f>
        <v>83</v>
      </c>
      <c r="F549" s="308"/>
      <c r="G549" s="306">
        <f>ROUND(E549*$C549,0)</f>
        <v>98023</v>
      </c>
      <c r="H549" s="306">
        <f>ROUND(E549*$D549,0)</f>
        <v>95450</v>
      </c>
      <c r="I549" s="283">
        <f>$I$481</f>
        <v>90</v>
      </c>
      <c r="J549" s="308"/>
      <c r="K549" s="306">
        <f>ROUND(I549*$C549,0)</f>
        <v>106290</v>
      </c>
      <c r="M549" s="20"/>
      <c r="N549" s="20"/>
      <c r="O549" s="74"/>
      <c r="P549" s="74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</row>
    <row r="550" spans="1:29">
      <c r="A550" s="308" t="s">
        <v>413</v>
      </c>
      <c r="B550" s="1"/>
      <c r="C550" s="304">
        <f>20+15+624</f>
        <v>659</v>
      </c>
      <c r="D550" s="304">
        <v>642</v>
      </c>
      <c r="E550" s="283">
        <f>$E$482</f>
        <v>166</v>
      </c>
      <c r="F550" s="310"/>
      <c r="G550" s="306">
        <f>ROUND(E550*$C550,0)</f>
        <v>109394</v>
      </c>
      <c r="H550" s="306">
        <f>ROUND(E550*$D550,0)</f>
        <v>106572</v>
      </c>
      <c r="I550" s="283">
        <f>$I$482</f>
        <v>180</v>
      </c>
      <c r="J550" s="310"/>
      <c r="K550" s="306">
        <f>ROUND(I550*$C550,0)</f>
        <v>118620</v>
      </c>
      <c r="M550" s="20"/>
      <c r="N550" s="20"/>
      <c r="O550" s="74"/>
      <c r="P550" s="74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</row>
    <row r="551" spans="1:29">
      <c r="A551" s="308" t="s">
        <v>384</v>
      </c>
      <c r="B551" s="1"/>
      <c r="C551" s="304">
        <f>SUM(C548:C550)</f>
        <v>1892</v>
      </c>
      <c r="D551" s="304">
        <f>SUM(D548:D550)</f>
        <v>1843</v>
      </c>
      <c r="E551" s="283"/>
      <c r="F551" s="308"/>
      <c r="G551" s="306"/>
      <c r="H551" s="306"/>
      <c r="I551" s="283"/>
      <c r="J551" s="308"/>
      <c r="K551" s="306"/>
      <c r="M551" s="20"/>
      <c r="N551" s="20"/>
      <c r="O551" s="74"/>
      <c r="P551" s="74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</row>
    <row r="552" spans="1:29">
      <c r="A552" s="308" t="s">
        <v>412</v>
      </c>
      <c r="B552" s="1"/>
      <c r="C552" s="304">
        <f>54864+1867+144667</f>
        <v>201398</v>
      </c>
      <c r="D552" s="304">
        <f>ROUND(($D$574/'Billing Determinants (2)'!$C$574)*C552,0)</f>
        <v>209360</v>
      </c>
      <c r="E552" s="283">
        <f>$E$484</f>
        <v>1.47</v>
      </c>
      <c r="F552" s="308" t="s">
        <v>31</v>
      </c>
      <c r="G552" s="306">
        <f>ROUND(E552*$C552,0)</f>
        <v>296055</v>
      </c>
      <c r="H552" s="306">
        <f>ROUND(E552*$D552,0)</f>
        <v>307759</v>
      </c>
      <c r="I552" s="283">
        <f>$I$484</f>
        <v>1.6</v>
      </c>
      <c r="J552" s="308" t="s">
        <v>31</v>
      </c>
      <c r="K552" s="306">
        <f>ROUND(I552*$C552,0)</f>
        <v>322237</v>
      </c>
      <c r="M552" s="20"/>
      <c r="N552" s="20"/>
      <c r="O552" s="74"/>
      <c r="P552" s="74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</row>
    <row r="553" spans="1:29">
      <c r="A553" s="308" t="s">
        <v>413</v>
      </c>
      <c r="B553" s="1"/>
      <c r="C553" s="304">
        <f>6093+10153+350559</f>
        <v>366805</v>
      </c>
      <c r="D553" s="304">
        <f>ROUND(($D$574/'Billing Determinants (2)'!$C$574)*C553,0)</f>
        <v>381307</v>
      </c>
      <c r="E553" s="283">
        <f>$E$485</f>
        <v>1.2</v>
      </c>
      <c r="F553" s="308" t="s">
        <v>31</v>
      </c>
      <c r="G553" s="306">
        <f>ROUND(E553*$C553,0)</f>
        <v>440166</v>
      </c>
      <c r="H553" s="306">
        <f>ROUND(E553*$D553,0)</f>
        <v>457568</v>
      </c>
      <c r="I553" s="283">
        <f>$I$485</f>
        <v>1.3</v>
      </c>
      <c r="J553" s="308" t="s">
        <v>31</v>
      </c>
      <c r="K553" s="306">
        <f>ROUND(I553*$C553,0)</f>
        <v>476847</v>
      </c>
      <c r="M553" s="20"/>
      <c r="N553" s="20"/>
      <c r="O553" s="74"/>
      <c r="P553" s="74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</row>
    <row r="554" spans="1:29">
      <c r="A554" s="294" t="s">
        <v>414</v>
      </c>
      <c r="B554" s="1"/>
      <c r="C554" s="304"/>
      <c r="D554" s="304"/>
      <c r="E554" s="340"/>
      <c r="F554" s="308"/>
      <c r="G554" s="306"/>
      <c r="H554" s="306"/>
      <c r="I554" s="340"/>
      <c r="J554" s="308"/>
      <c r="K554" s="306"/>
      <c r="M554" s="20"/>
      <c r="N554" s="20"/>
      <c r="O554" s="74"/>
      <c r="P554" s="74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</row>
    <row r="555" spans="1:29">
      <c r="A555" s="294" t="s">
        <v>415</v>
      </c>
      <c r="B555" s="1"/>
      <c r="C555" s="304">
        <f>300+25155+1985+244+1804+9245+2788+120834+284508</f>
        <v>446863</v>
      </c>
      <c r="D555" s="304">
        <f>ROUND(($D$574/'Billing Determinants (2)'!$C$574)*C555,0)</f>
        <v>464530</v>
      </c>
      <c r="E555" s="283">
        <f>$E$487</f>
        <v>3.75</v>
      </c>
      <c r="F555" s="308"/>
      <c r="G555" s="306">
        <f>ROUND(E555*$C555,0)</f>
        <v>1675736</v>
      </c>
      <c r="H555" s="306">
        <f>ROUND(E555*$D555,0)</f>
        <v>1741988</v>
      </c>
      <c r="I555" s="283">
        <f>$I$487</f>
        <v>3.95</v>
      </c>
      <c r="J555" s="308"/>
      <c r="K555" s="306">
        <f>ROUND(I555*$C555,0)</f>
        <v>1765109</v>
      </c>
      <c r="M555" s="20"/>
      <c r="N555" s="20"/>
      <c r="O555" s="74"/>
      <c r="P555" s="74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</row>
    <row r="556" spans="1:29">
      <c r="A556" s="294" t="s">
        <v>431</v>
      </c>
      <c r="B556" s="1"/>
      <c r="C556" s="304">
        <v>0</v>
      </c>
      <c r="D556" s="304">
        <f>ROUND(($D$574/'Billing Determinants (2)'!$C$574)*C556,0)</f>
        <v>0</v>
      </c>
      <c r="E556" s="354">
        <f>E555</f>
        <v>3.75</v>
      </c>
      <c r="F556" s="308"/>
      <c r="G556" s="306">
        <f>ROUND(E556*$C556,0)</f>
        <v>0</v>
      </c>
      <c r="H556" s="306">
        <f>ROUND(E556*$D556,0)</f>
        <v>0</v>
      </c>
      <c r="I556" s="354">
        <f>I555</f>
        <v>3.95</v>
      </c>
      <c r="J556" s="308"/>
      <c r="K556" s="306">
        <f>ROUND(I556*$C556,0)</f>
        <v>0</v>
      </c>
      <c r="M556" s="20"/>
      <c r="N556" s="20"/>
      <c r="O556" s="74"/>
      <c r="P556" s="74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</row>
    <row r="557" spans="1:29">
      <c r="A557" s="308" t="s">
        <v>416</v>
      </c>
      <c r="B557" s="1"/>
      <c r="C557" s="304"/>
      <c r="D557" s="304"/>
      <c r="E557" s="283"/>
      <c r="F557" s="308"/>
      <c r="G557" s="306"/>
      <c r="H557" s="306"/>
      <c r="I557" s="283"/>
      <c r="J557" s="308"/>
      <c r="K557" s="306"/>
      <c r="M557" s="20"/>
      <c r="N557" s="20"/>
      <c r="O557" s="74"/>
      <c r="P557" s="74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</row>
    <row r="558" spans="1:29">
      <c r="A558" s="308" t="s">
        <v>417</v>
      </c>
      <c r="B558" s="1"/>
      <c r="C558" s="304">
        <f>29360+2957989+147440+73200+518400+602667+369500+25799011+24094693</f>
        <v>54592260</v>
      </c>
      <c r="D558" s="304">
        <f>ROUND(($D$574/'Billing Determinants (2)'!$C$574)*C558,0)</f>
        <v>56750605</v>
      </c>
      <c r="E558" s="355">
        <f>$E$490</f>
        <v>4.3570000000000002</v>
      </c>
      <c r="F558" s="308" t="s">
        <v>364</v>
      </c>
      <c r="G558" s="306">
        <f>ROUND(E558*$C558/100,0)</f>
        <v>2378585</v>
      </c>
      <c r="H558" s="306">
        <f>ROUND(E558*$D558/100,0)</f>
        <v>2472624</v>
      </c>
      <c r="I558" s="312">
        <f>$I$490</f>
        <v>4.8559999999999999</v>
      </c>
      <c r="J558" s="308" t="s">
        <v>364</v>
      </c>
      <c r="K558" s="306">
        <f>ROUND(I558*$C558/100,0)</f>
        <v>2651000</v>
      </c>
      <c r="M558" s="20"/>
      <c r="N558" s="20"/>
      <c r="O558" s="74"/>
      <c r="P558" s="74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</row>
    <row r="559" spans="1:29">
      <c r="A559" s="308" t="s">
        <v>389</v>
      </c>
      <c r="B559" s="1"/>
      <c r="C559" s="304">
        <f>29360+3798842+224080+73200+1075199+4549199+369500+35089176+95992349-C558</f>
        <v>86608645</v>
      </c>
      <c r="D559" s="304">
        <f>ROUND(($D$574/'Billing Determinants (2)'!$C$574)*C559,0)</f>
        <v>90032782</v>
      </c>
      <c r="E559" s="355">
        <f>$E$491</f>
        <v>3.9930000000000003</v>
      </c>
      <c r="F559" s="308" t="s">
        <v>364</v>
      </c>
      <c r="G559" s="306">
        <f>ROUND(E559*$C559/100,0)</f>
        <v>3458283</v>
      </c>
      <c r="H559" s="306">
        <f>ROUND(E559*$D559/100,0)</f>
        <v>3595009</v>
      </c>
      <c r="I559" s="312">
        <f>$I$491</f>
        <v>4.4550000000000001</v>
      </c>
      <c r="J559" s="308" t="s">
        <v>364</v>
      </c>
      <c r="K559" s="306">
        <f>ROUND(I559*$C559/100,0)</f>
        <v>3858415</v>
      </c>
      <c r="M559" s="20"/>
      <c r="N559" s="20"/>
      <c r="O559" s="74"/>
      <c r="P559" s="74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</row>
    <row r="560" spans="1:29">
      <c r="A560" s="308" t="s">
        <v>390</v>
      </c>
      <c r="B560" s="1"/>
      <c r="C560" s="304">
        <f>32+6144+487+15+1044+3294+435+35034+100127</f>
        <v>146612</v>
      </c>
      <c r="D560" s="304">
        <f>ROUND(($D$574/'Billing Determinants (2)'!$C$574)*C560,0)</f>
        <v>152408</v>
      </c>
      <c r="E560" s="324">
        <f>$E$492</f>
        <v>45</v>
      </c>
      <c r="F560" s="308" t="s">
        <v>364</v>
      </c>
      <c r="G560" s="306">
        <f>ROUND(E560*$C560/100,0)</f>
        <v>65975</v>
      </c>
      <c r="H560" s="306">
        <f>ROUND(E560*$D560/100,0)</f>
        <v>68584</v>
      </c>
      <c r="I560" s="460">
        <f>$I$492</f>
        <v>50</v>
      </c>
      <c r="J560" s="308" t="s">
        <v>364</v>
      </c>
      <c r="K560" s="306">
        <f>ROUND(I560*$C560/100,0)</f>
        <v>73306</v>
      </c>
      <c r="M560" s="20"/>
      <c r="N560" s="20"/>
      <c r="O560" s="74"/>
      <c r="P560" s="74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</row>
    <row r="561" spans="1:29">
      <c r="A561" s="345" t="s">
        <v>391</v>
      </c>
      <c r="B561" s="1"/>
      <c r="C561" s="304"/>
      <c r="D561" s="304"/>
      <c r="E561" s="317">
        <v>-0.01</v>
      </c>
      <c r="F561" s="2"/>
      <c r="G561" s="306"/>
      <c r="H561" s="306"/>
      <c r="I561" s="317">
        <v>-0.01</v>
      </c>
      <c r="J561" s="1"/>
      <c r="K561" s="306"/>
      <c r="M561" s="20"/>
      <c r="N561" s="20"/>
      <c r="O561" s="74"/>
      <c r="P561" s="74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</row>
    <row r="562" spans="1:29">
      <c r="A562" s="308" t="s">
        <v>411</v>
      </c>
      <c r="B562" s="1"/>
      <c r="C562" s="304">
        <v>4</v>
      </c>
      <c r="D562" s="304">
        <v>4</v>
      </c>
      <c r="E562" s="289">
        <f>E548</f>
        <v>225</v>
      </c>
      <c r="F562" s="349"/>
      <c r="G562" s="306">
        <f>ROUND(E562*$C562*E561,0)</f>
        <v>-9</v>
      </c>
      <c r="H562" s="306">
        <f>ROUND(E562*$D562*E561,0)</f>
        <v>-9</v>
      </c>
      <c r="I562" s="289">
        <f>I548</f>
        <v>245</v>
      </c>
      <c r="J562" s="278"/>
      <c r="K562" s="306">
        <f>ROUND(I562*$C562*I561,0)</f>
        <v>-10</v>
      </c>
      <c r="M562" s="20"/>
      <c r="N562" s="20"/>
      <c r="O562" s="74"/>
      <c r="P562" s="74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</row>
    <row r="563" spans="1:29">
      <c r="A563" s="308" t="s">
        <v>412</v>
      </c>
      <c r="B563" s="1"/>
      <c r="C563" s="304">
        <v>13</v>
      </c>
      <c r="D563" s="304">
        <v>13</v>
      </c>
      <c r="E563" s="289">
        <f>E549</f>
        <v>83</v>
      </c>
      <c r="F563" s="349"/>
      <c r="G563" s="306">
        <f>ROUND(E563*$C563*E561,0)</f>
        <v>-11</v>
      </c>
      <c r="H563" s="306">
        <f>ROUND(E563*$D563*E561,0)</f>
        <v>-11</v>
      </c>
      <c r="I563" s="289">
        <f>I549</f>
        <v>90</v>
      </c>
      <c r="J563" s="278"/>
      <c r="K563" s="306">
        <f>ROUND(I563*$C563*I561,0)</f>
        <v>-12</v>
      </c>
      <c r="M563" s="20"/>
      <c r="N563" s="20"/>
      <c r="O563" s="74"/>
      <c r="P563" s="74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</row>
    <row r="564" spans="1:29">
      <c r="A564" s="308" t="s">
        <v>413</v>
      </c>
      <c r="B564" s="1"/>
      <c r="C564" s="304">
        <v>15</v>
      </c>
      <c r="D564" s="304">
        <v>15</v>
      </c>
      <c r="E564" s="289">
        <f>E550</f>
        <v>166</v>
      </c>
      <c r="F564" s="357"/>
      <c r="G564" s="306">
        <f>ROUND(E564*$C564*E561,0)</f>
        <v>-25</v>
      </c>
      <c r="H564" s="306">
        <f>ROUND(E564*$D564*E561,0)</f>
        <v>-25</v>
      </c>
      <c r="I564" s="289">
        <f>I550</f>
        <v>180</v>
      </c>
      <c r="J564" s="358"/>
      <c r="K564" s="306">
        <f>ROUND(I564*$C564*I561,0)</f>
        <v>-27</v>
      </c>
      <c r="M564" s="20"/>
      <c r="N564" s="20"/>
      <c r="O564" s="74"/>
      <c r="P564" s="74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</row>
    <row r="565" spans="1:29">
      <c r="A565" s="308" t="s">
        <v>412</v>
      </c>
      <c r="B565" s="1"/>
      <c r="C565" s="304">
        <v>1867</v>
      </c>
      <c r="D565" s="304">
        <f>ROUND(($D$574/'Billing Determinants (2)'!$C$574)*C565,0)</f>
        <v>1941</v>
      </c>
      <c r="E565" s="289">
        <f>E552</f>
        <v>1.47</v>
      </c>
      <c r="F565" s="349"/>
      <c r="G565" s="306">
        <f>ROUND(E565*$C565*E561,0)</f>
        <v>-27</v>
      </c>
      <c r="H565" s="306">
        <f>ROUND(E565*$D565*E561,0)</f>
        <v>-29</v>
      </c>
      <c r="I565" s="289">
        <f>I552</f>
        <v>1.6</v>
      </c>
      <c r="J565" s="278"/>
      <c r="K565" s="306">
        <f>ROUND(I565*$C565*I561,0)</f>
        <v>-30</v>
      </c>
      <c r="M565" s="20"/>
      <c r="N565" s="20"/>
      <c r="O565" s="74"/>
      <c r="P565" s="74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</row>
    <row r="566" spans="1:29">
      <c r="A566" s="308" t="s">
        <v>413</v>
      </c>
      <c r="B566" s="1"/>
      <c r="C566" s="304">
        <v>10153</v>
      </c>
      <c r="D566" s="304">
        <f>ROUND(($D$574/'Billing Determinants (2)'!$C$574)*C566,0)</f>
        <v>10554</v>
      </c>
      <c r="E566" s="289">
        <f>E553</f>
        <v>1.2</v>
      </c>
      <c r="F566" s="349" t="s">
        <v>31</v>
      </c>
      <c r="G566" s="306">
        <f>ROUND(E566*$C566*E561,0)</f>
        <v>-122</v>
      </c>
      <c r="H566" s="306">
        <f>ROUND(E566*$D566*E561,0)</f>
        <v>-127</v>
      </c>
      <c r="I566" s="289">
        <f>I553</f>
        <v>1.3</v>
      </c>
      <c r="J566" s="278"/>
      <c r="K566" s="306">
        <f>ROUND(I566*$C566*I561,0)</f>
        <v>-132</v>
      </c>
      <c r="M566" s="20"/>
      <c r="N566" s="20"/>
      <c r="O566" s="74"/>
      <c r="P566" s="74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</row>
    <row r="567" spans="1:29">
      <c r="A567" s="294" t="s">
        <v>415</v>
      </c>
      <c r="B567" s="1"/>
      <c r="C567" s="304">
        <f>244+1804+9245</f>
        <v>11293</v>
      </c>
      <c r="D567" s="304">
        <f>ROUND(($D$574/'Billing Determinants (2)'!$C$574)*C567,0)</f>
        <v>11739</v>
      </c>
      <c r="E567" s="289">
        <f>E555</f>
        <v>3.75</v>
      </c>
      <c r="F567" s="349" t="s">
        <v>31</v>
      </c>
      <c r="G567" s="306">
        <f>ROUND(E567*$C567*E561,0)</f>
        <v>-423</v>
      </c>
      <c r="H567" s="306">
        <f>ROUND(E567*$D567*E561,0)</f>
        <v>-440</v>
      </c>
      <c r="I567" s="289">
        <f>I555</f>
        <v>3.95</v>
      </c>
      <c r="J567" s="278"/>
      <c r="K567" s="306">
        <f>ROUND(I567*$C567*I561,0)</f>
        <v>-446</v>
      </c>
      <c r="M567" s="20"/>
      <c r="N567" s="20"/>
      <c r="O567" s="74"/>
      <c r="P567" s="74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</row>
    <row r="568" spans="1:29">
      <c r="A568" s="294" t="s">
        <v>431</v>
      </c>
      <c r="B568" s="1"/>
      <c r="C568" s="304">
        <v>0</v>
      </c>
      <c r="D568" s="304">
        <f>ROUND(($D$574/'Billing Determinants (2)'!$C$574)*C568,0)</f>
        <v>0</v>
      </c>
      <c r="E568" s="289">
        <f>E556</f>
        <v>3.75</v>
      </c>
      <c r="F568" s="349" t="s">
        <v>31</v>
      </c>
      <c r="G568" s="306">
        <f>ROUND(E568*$C568*E561,0)</f>
        <v>0</v>
      </c>
      <c r="H568" s="306">
        <f>ROUND(E568*$D568*E561,0)</f>
        <v>0</v>
      </c>
      <c r="I568" s="289">
        <f>I556</f>
        <v>3.95</v>
      </c>
      <c r="J568" s="278"/>
      <c r="K568" s="306">
        <f>ROUND(I568*$C568*I561,0)</f>
        <v>0</v>
      </c>
      <c r="M568" s="20"/>
      <c r="N568" s="20"/>
      <c r="O568" s="74"/>
      <c r="P568" s="74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</row>
    <row r="569" spans="1:29">
      <c r="A569" s="308" t="s">
        <v>417</v>
      </c>
      <c r="B569" s="1"/>
      <c r="C569" s="304">
        <f>73200+518400+602667</f>
        <v>1194267</v>
      </c>
      <c r="D569" s="304">
        <f>ROUND(($D$574/'Billing Determinants (2)'!$C$574)*C569,0)</f>
        <v>1241483</v>
      </c>
      <c r="E569" s="359">
        <f>E558</f>
        <v>4.3570000000000002</v>
      </c>
      <c r="F569" s="306" t="s">
        <v>364</v>
      </c>
      <c r="G569" s="306">
        <f>ROUND(E569*$C569/100*E561,0)</f>
        <v>-520</v>
      </c>
      <c r="H569" s="306">
        <f>ROUND(E569*$D569/100*E561,0)</f>
        <v>-541</v>
      </c>
      <c r="I569" s="359">
        <f>I558</f>
        <v>4.8559999999999999</v>
      </c>
      <c r="J569" s="308" t="s">
        <v>364</v>
      </c>
      <c r="K569" s="306">
        <f>ROUND(I569*$C569/100*I561,0)</f>
        <v>-580</v>
      </c>
      <c r="M569" s="20"/>
      <c r="N569" s="20"/>
      <c r="O569" s="74"/>
      <c r="P569" s="74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</row>
    <row r="570" spans="1:29">
      <c r="A570" s="308" t="s">
        <v>389</v>
      </c>
      <c r="B570" s="1"/>
      <c r="C570" s="304">
        <f>73200+1075199+4549199-C569</f>
        <v>4503331</v>
      </c>
      <c r="D570" s="304">
        <f>ROUND(($D$574/'Billing Determinants (2)'!$C$574)*C570,0)</f>
        <v>4681374</v>
      </c>
      <c r="E570" s="359">
        <f>E559</f>
        <v>3.9930000000000003</v>
      </c>
      <c r="F570" s="306" t="s">
        <v>364</v>
      </c>
      <c r="G570" s="306">
        <f>ROUND(E570*$C570/100*E561,0)</f>
        <v>-1798</v>
      </c>
      <c r="H570" s="306">
        <f>ROUND(E570*$D570/100*E561,0)</f>
        <v>-1869</v>
      </c>
      <c r="I570" s="359">
        <f>I559</f>
        <v>4.4550000000000001</v>
      </c>
      <c r="J570" s="308" t="s">
        <v>364</v>
      </c>
      <c r="K570" s="306">
        <f>ROUND(I570*$C570/100*I561,0)</f>
        <v>-2006</v>
      </c>
      <c r="M570" s="20"/>
      <c r="N570" s="20"/>
      <c r="O570" s="74"/>
      <c r="P570" s="74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</row>
    <row r="571" spans="1:29">
      <c r="A571" s="308" t="s">
        <v>390</v>
      </c>
      <c r="B571" s="1"/>
      <c r="C571" s="304">
        <f>15+1044+3294</f>
        <v>4353</v>
      </c>
      <c r="D571" s="304">
        <f>ROUND(($D$574/'Billing Determinants (2)'!$C$574)*C571,0)</f>
        <v>4525</v>
      </c>
      <c r="E571" s="360">
        <f>E560</f>
        <v>45</v>
      </c>
      <c r="F571" s="306" t="s">
        <v>364</v>
      </c>
      <c r="G571" s="306">
        <f>ROUND(E571*$C571/100*E561,0)</f>
        <v>-20</v>
      </c>
      <c r="H571" s="306">
        <f>ROUND(E571*$D571/100*E561,0)</f>
        <v>-20</v>
      </c>
      <c r="I571" s="360">
        <f>I560</f>
        <v>50</v>
      </c>
      <c r="J571" s="308" t="s">
        <v>364</v>
      </c>
      <c r="K571" s="306">
        <f>ROUND(I571*$C571/100*I561,0)</f>
        <v>-22</v>
      </c>
      <c r="M571" s="20"/>
      <c r="N571" s="20"/>
      <c r="O571" s="74"/>
      <c r="P571" s="74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</row>
    <row r="572" spans="1:29">
      <c r="A572" s="308" t="s">
        <v>433</v>
      </c>
      <c r="B572" s="1"/>
      <c r="C572" s="304">
        <f>C562+C563+C564</f>
        <v>32</v>
      </c>
      <c r="D572" s="304">
        <v>31</v>
      </c>
      <c r="E572" s="283">
        <f>$E$504</f>
        <v>60</v>
      </c>
      <c r="F572" s="349" t="s">
        <v>31</v>
      </c>
      <c r="G572" s="306">
        <f>ROUND(E572*$C572,0)</f>
        <v>1920</v>
      </c>
      <c r="H572" s="306">
        <f>ROUND(E572*$D572,0)</f>
        <v>1860</v>
      </c>
      <c r="I572" s="283">
        <f>$I$504</f>
        <v>60</v>
      </c>
      <c r="J572" s="1"/>
      <c r="K572" s="306">
        <f>ROUND(I572*$C572,0)</f>
        <v>1920</v>
      </c>
      <c r="M572" s="20"/>
      <c r="N572" s="20"/>
      <c r="O572" s="74"/>
      <c r="P572" s="74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</row>
    <row r="573" spans="1:29">
      <c r="A573" s="308" t="s">
        <v>434</v>
      </c>
      <c r="B573" s="1"/>
      <c r="C573" s="304">
        <f>C565+C566</f>
        <v>12020</v>
      </c>
      <c r="D573" s="304">
        <f>ROUND(($D$574/'Billing Determinants (2)'!$C$574)*C573,0)</f>
        <v>12495</v>
      </c>
      <c r="E573" s="324">
        <f>$E$505</f>
        <v>-30</v>
      </c>
      <c r="F573" s="306" t="s">
        <v>364</v>
      </c>
      <c r="G573" s="306">
        <f>ROUND(E573*$C573/100,0)</f>
        <v>-3606</v>
      </c>
      <c r="H573" s="306">
        <f>ROUND(E573*$D573/100,0)</f>
        <v>-3749</v>
      </c>
      <c r="I573" s="324">
        <f>$I$505</f>
        <v>-30</v>
      </c>
      <c r="J573" s="306" t="s">
        <v>364</v>
      </c>
      <c r="K573" s="306">
        <f>ROUND(I573*$C573/100,0)</f>
        <v>-3606</v>
      </c>
      <c r="M573" s="20"/>
      <c r="N573" s="20"/>
      <c r="O573" s="74"/>
      <c r="P573" s="74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</row>
    <row r="574" spans="1:29">
      <c r="A574" s="1" t="s">
        <v>371</v>
      </c>
      <c r="B574" s="1"/>
      <c r="C574" s="304">
        <f>SUM(C558:C559)</f>
        <v>141200905</v>
      </c>
      <c r="D574" s="304">
        <v>146783387.35514688</v>
      </c>
      <c r="E574" s="315"/>
      <c r="F574" s="2"/>
      <c r="G574" s="2">
        <f>SUM(G548:G573)</f>
        <v>8529276</v>
      </c>
      <c r="H574" s="2">
        <f>SUM(H548:H573)</f>
        <v>8852069</v>
      </c>
      <c r="I574" s="315"/>
      <c r="J574" s="1"/>
      <c r="K574" s="2">
        <f>SUM(K548:K573)</f>
        <v>9379613</v>
      </c>
      <c r="M574" s="20"/>
      <c r="N574" s="20"/>
      <c r="O574" s="74"/>
      <c r="P574" s="74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</row>
    <row r="575" spans="1:29">
      <c r="A575" s="1" t="s">
        <v>353</v>
      </c>
      <c r="B575" s="1"/>
      <c r="C575" s="334" t="e">
        <f>#REF!</f>
        <v>#REF!</v>
      </c>
      <c r="D575" s="325">
        <v>0</v>
      </c>
      <c r="E575" s="294"/>
      <c r="F575" s="294"/>
      <c r="G575" s="295" t="e">
        <f>#REF!</f>
        <v>#REF!</v>
      </c>
      <c r="H575" s="295">
        <v>0</v>
      </c>
      <c r="I575" s="294"/>
      <c r="J575" s="294"/>
      <c r="K575" s="295" t="e">
        <f>G575</f>
        <v>#REF!</v>
      </c>
      <c r="M575" s="429"/>
      <c r="N575" s="429"/>
      <c r="O575" s="272"/>
      <c r="P575" s="74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</row>
    <row r="576" spans="1:29" ht="16.5" thickBot="1">
      <c r="A576" s="1" t="s">
        <v>372</v>
      </c>
      <c r="B576" s="1"/>
      <c r="C576" s="351" t="e">
        <f>SUM(C574)+C575</f>
        <v>#REF!</v>
      </c>
      <c r="D576" s="351">
        <f>SUM(D558:D559)+D575</f>
        <v>146783387</v>
      </c>
      <c r="E576" s="327"/>
      <c r="F576" s="328"/>
      <c r="G576" s="329" t="e">
        <f>G574+G575</f>
        <v>#REF!</v>
      </c>
      <c r="H576" s="329">
        <f>H574+H575</f>
        <v>8852069</v>
      </c>
      <c r="I576" s="327"/>
      <c r="J576" s="330"/>
      <c r="K576" s="329" t="e">
        <f>K574+K575</f>
        <v>#REF!</v>
      </c>
      <c r="M576" s="396"/>
      <c r="N576" s="396"/>
      <c r="O576" s="455"/>
      <c r="P576" s="74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</row>
    <row r="577" spans="1:29" ht="16.5" thickTop="1">
      <c r="A577" s="288"/>
      <c r="B577" s="363"/>
      <c r="C577" s="288"/>
      <c r="D577" s="288"/>
      <c r="E577" s="21"/>
      <c r="F577" s="21"/>
      <c r="G577" s="364"/>
      <c r="H577" s="364"/>
      <c r="I577" s="288"/>
      <c r="J577" s="288"/>
      <c r="K577" s="288"/>
      <c r="M577" s="20"/>
      <c r="N577" s="20"/>
      <c r="O577" s="74"/>
      <c r="P577" s="74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</row>
    <row r="578" spans="1:29">
      <c r="A578" s="278" t="s">
        <v>437</v>
      </c>
      <c r="B578" s="1"/>
      <c r="C578" s="21"/>
      <c r="D578" s="21"/>
      <c r="E578" s="322"/>
      <c r="F578" s="2"/>
      <c r="G578" s="2"/>
      <c r="H578" s="2"/>
      <c r="I578" s="322"/>
      <c r="J578" s="1"/>
      <c r="K578" s="2"/>
      <c r="M578" s="20"/>
      <c r="N578" s="20"/>
      <c r="O578" s="74"/>
      <c r="P578" s="74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</row>
    <row r="579" spans="1:29">
      <c r="A579" s="294" t="s">
        <v>438</v>
      </c>
      <c r="B579" s="1"/>
      <c r="C579" s="21"/>
      <c r="D579" s="21"/>
      <c r="E579" s="322"/>
      <c r="F579" s="2"/>
      <c r="G579" s="2"/>
      <c r="H579" s="2"/>
      <c r="I579" s="322"/>
      <c r="J579" s="1"/>
      <c r="K579" s="2"/>
      <c r="M579" s="20"/>
      <c r="N579" s="20"/>
      <c r="O579" s="74"/>
      <c r="P579" s="74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</row>
    <row r="580" spans="1:29">
      <c r="A580" s="308"/>
      <c r="B580" s="1"/>
      <c r="C580" s="21"/>
      <c r="D580" s="21"/>
      <c r="E580" s="322"/>
      <c r="F580" s="2"/>
      <c r="G580" s="365"/>
      <c r="H580" s="365"/>
      <c r="I580" s="322"/>
      <c r="J580" s="1"/>
      <c r="K580" s="366"/>
      <c r="M580" s="20"/>
      <c r="N580" s="20"/>
      <c r="O580" s="74"/>
      <c r="P580" s="74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</row>
    <row r="581" spans="1:29">
      <c r="A581" s="294" t="s">
        <v>439</v>
      </c>
      <c r="B581" s="1"/>
      <c r="C581" s="304"/>
      <c r="D581" s="304"/>
      <c r="E581" s="2" t="s">
        <v>31</v>
      </c>
      <c r="F581" s="2"/>
      <c r="G581" s="1"/>
      <c r="H581" s="1"/>
      <c r="I581" s="2" t="s">
        <v>31</v>
      </c>
      <c r="J581" s="1"/>
      <c r="K581" s="1"/>
      <c r="M581" s="20"/>
      <c r="N581" s="20"/>
      <c r="O581" s="74"/>
      <c r="P581" s="74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</row>
    <row r="582" spans="1:29">
      <c r="A582" s="294" t="s">
        <v>440</v>
      </c>
      <c r="B582" s="1"/>
      <c r="C582" s="304">
        <f>C633+C684</f>
        <v>1048</v>
      </c>
      <c r="D582" s="304">
        <f>D633+D684</f>
        <v>1059</v>
      </c>
      <c r="E582" s="322">
        <v>0</v>
      </c>
      <c r="F582" s="309"/>
      <c r="G582" s="306">
        <f>G633+G684</f>
        <v>0</v>
      </c>
      <c r="H582" s="306">
        <f>H633+H684</f>
        <v>0</v>
      </c>
      <c r="I582" s="322">
        <f>'Blocking - detail'!I582</f>
        <v>0</v>
      </c>
      <c r="J582" s="309"/>
      <c r="K582" s="306">
        <f>K633+K684</f>
        <v>0</v>
      </c>
      <c r="M582" s="84">
        <f>I582*D582</f>
        <v>0</v>
      </c>
      <c r="O582" s="14"/>
      <c r="P582" s="69" t="s">
        <v>31</v>
      </c>
      <c r="R582" s="314"/>
      <c r="T582" s="3" t="s">
        <v>361</v>
      </c>
      <c r="U582" s="3" t="s">
        <v>296</v>
      </c>
      <c r="V582" s="3" t="s">
        <v>362</v>
      </c>
      <c r="W582" s="3" t="s">
        <v>305</v>
      </c>
      <c r="X582" s="20"/>
      <c r="Y582" s="20"/>
      <c r="Z582" s="20"/>
      <c r="AA582" s="20"/>
      <c r="AB582" s="20"/>
      <c r="AC582" s="20"/>
    </row>
    <row r="583" spans="1:29">
      <c r="A583" s="294" t="s">
        <v>441</v>
      </c>
      <c r="B583" s="1"/>
      <c r="C583" s="304"/>
      <c r="D583" s="304"/>
      <c r="E583" s="322"/>
      <c r="F583" s="309"/>
      <c r="G583" s="306"/>
      <c r="H583" s="306"/>
      <c r="I583" s="322"/>
      <c r="J583" s="309"/>
      <c r="K583" s="306"/>
      <c r="R583" s="314"/>
      <c r="S583" s="3" t="s">
        <v>432</v>
      </c>
      <c r="T583" s="84">
        <f>SUM(H582:H597)</f>
        <v>1968384</v>
      </c>
      <c r="U583" s="84">
        <f>SUM(K582:K597)</f>
        <v>2343533.4900000002</v>
      </c>
      <c r="V583" s="106">
        <v>2708270.4985879958</v>
      </c>
      <c r="W583" s="222">
        <f>U583/V583</f>
        <v>0.86532474921609281</v>
      </c>
      <c r="X583" s="20"/>
      <c r="Y583" s="20"/>
      <c r="Z583" s="20"/>
      <c r="AA583" s="20"/>
      <c r="AB583" s="20"/>
      <c r="AC583" s="20"/>
    </row>
    <row r="584" spans="1:29">
      <c r="A584" s="294" t="s">
        <v>442</v>
      </c>
      <c r="B584" s="1"/>
      <c r="C584" s="304">
        <f t="shared" ref="C584:D589" si="51">C635+C686</f>
        <v>3799</v>
      </c>
      <c r="D584" s="304">
        <f t="shared" si="51"/>
        <v>3832</v>
      </c>
      <c r="E584" s="322">
        <v>0</v>
      </c>
      <c r="F584" s="309"/>
      <c r="G584" s="306">
        <f t="shared" ref="G584:H586" si="52">G635+G686</f>
        <v>0</v>
      </c>
      <c r="H584" s="306">
        <f t="shared" si="52"/>
        <v>0</v>
      </c>
      <c r="I584" s="322">
        <v>0</v>
      </c>
      <c r="J584" s="309"/>
      <c r="K584" s="306">
        <f>K635+K686</f>
        <v>0</v>
      </c>
      <c r="M584" s="84">
        <f>I584*D584</f>
        <v>0</v>
      </c>
      <c r="N584" s="53"/>
      <c r="S584" s="3" t="s">
        <v>449</v>
      </c>
      <c r="T584" s="84">
        <f>H602</f>
        <v>8116487</v>
      </c>
      <c r="U584" s="84">
        <f>K602</f>
        <v>9717128</v>
      </c>
      <c r="V584" s="106">
        <v>8051434.7234117109</v>
      </c>
      <c r="W584" s="222">
        <f>U584/V584</f>
        <v>1.2068815476755761</v>
      </c>
      <c r="X584" s="20"/>
      <c r="Y584" s="20"/>
      <c r="Z584" s="20"/>
      <c r="AA584" s="20"/>
      <c r="AB584" s="20"/>
      <c r="AC584" s="20"/>
    </row>
    <row r="585" spans="1:29">
      <c r="A585" s="294" t="s">
        <v>443</v>
      </c>
      <c r="B585" s="1"/>
      <c r="C585" s="304">
        <f t="shared" si="51"/>
        <v>387</v>
      </c>
      <c r="D585" s="304">
        <f t="shared" si="51"/>
        <v>390</v>
      </c>
      <c r="E585" s="322">
        <v>301</v>
      </c>
      <c r="F585" s="309"/>
      <c r="G585" s="306">
        <f t="shared" si="52"/>
        <v>116487</v>
      </c>
      <c r="H585" s="306">
        <f t="shared" si="52"/>
        <v>117390</v>
      </c>
      <c r="I585" s="322">
        <f>ROUND(E585+(E585*$P$627),0)+2</f>
        <v>333</v>
      </c>
      <c r="J585" s="309"/>
      <c r="K585" s="306">
        <f>K636+K687</f>
        <v>128871</v>
      </c>
      <c r="M585" s="84">
        <f>I585*D585</f>
        <v>129870</v>
      </c>
      <c r="N585" s="69"/>
      <c r="O585" s="14">
        <f>(I585-E585)/E585</f>
        <v>0.10631229235880399</v>
      </c>
      <c r="S585" s="314"/>
      <c r="U585" s="314"/>
      <c r="V585" s="20"/>
      <c r="W585" s="20"/>
      <c r="X585" s="20"/>
      <c r="Y585" s="20"/>
      <c r="Z585" s="20"/>
      <c r="AA585" s="20"/>
      <c r="AB585" s="20"/>
      <c r="AC585" s="20"/>
    </row>
    <row r="586" spans="1:29">
      <c r="A586" s="294" t="s">
        <v>444</v>
      </c>
      <c r="B586" s="1"/>
      <c r="C586" s="304">
        <f t="shared" si="51"/>
        <v>11</v>
      </c>
      <c r="D586" s="304">
        <f t="shared" si="51"/>
        <v>11</v>
      </c>
      <c r="E586" s="322">
        <v>1215</v>
      </c>
      <c r="F586" s="309"/>
      <c r="G586" s="306">
        <f t="shared" si="52"/>
        <v>13365</v>
      </c>
      <c r="H586" s="306">
        <f t="shared" si="52"/>
        <v>13365</v>
      </c>
      <c r="I586" s="322">
        <f>ROUND(E586+(E586*$P$627),0)</f>
        <v>1335</v>
      </c>
      <c r="J586" s="309"/>
      <c r="K586" s="306">
        <f>K637+K688</f>
        <v>14685</v>
      </c>
      <c r="M586" s="84">
        <f>I586*D586</f>
        <v>14685</v>
      </c>
      <c r="N586" s="69"/>
      <c r="O586" s="14">
        <f>(I586-E586)/E586</f>
        <v>9.8765432098765427E-2</v>
      </c>
      <c r="V586" s="20"/>
      <c r="W586" s="20"/>
      <c r="X586" s="20"/>
      <c r="Y586" s="20"/>
      <c r="Z586" s="20"/>
      <c r="AA586" s="20"/>
      <c r="AB586" s="20"/>
      <c r="AC586" s="20"/>
    </row>
    <row r="587" spans="1:29">
      <c r="A587" s="294" t="s">
        <v>352</v>
      </c>
      <c r="B587" s="1"/>
      <c r="C587" s="304">
        <f t="shared" si="51"/>
        <v>5245</v>
      </c>
      <c r="D587" s="304">
        <f t="shared" si="51"/>
        <v>5292.9166666666661</v>
      </c>
      <c r="E587" s="322"/>
      <c r="F587" s="309"/>
      <c r="G587" s="306"/>
      <c r="H587" s="306"/>
      <c r="I587" s="322"/>
      <c r="J587" s="309"/>
      <c r="K587" s="306"/>
      <c r="M587" s="69"/>
      <c r="N587" s="69"/>
      <c r="O587" s="305"/>
      <c r="S587" s="314"/>
      <c r="U587" s="314"/>
      <c r="V587" s="20"/>
      <c r="W587" s="20"/>
      <c r="X587" s="20"/>
      <c r="Y587" s="20"/>
      <c r="Z587" s="20"/>
      <c r="AA587" s="20"/>
      <c r="AB587" s="20"/>
      <c r="AC587" s="20"/>
    </row>
    <row r="588" spans="1:29">
      <c r="A588" s="294" t="s">
        <v>445</v>
      </c>
      <c r="B588" s="1"/>
      <c r="C588" s="304">
        <f t="shared" si="51"/>
        <v>34182</v>
      </c>
      <c r="D588" s="304">
        <f t="shared" si="51"/>
        <v>34504</v>
      </c>
      <c r="E588" s="322"/>
      <c r="F588" s="309"/>
      <c r="G588" s="306"/>
      <c r="H588" s="306"/>
      <c r="I588" s="322"/>
      <c r="J588" s="309"/>
      <c r="K588" s="306"/>
      <c r="M588" s="69"/>
      <c r="N588" s="69"/>
      <c r="V588" s="20"/>
      <c r="W588" s="20"/>
      <c r="X588" s="20"/>
      <c r="Y588" s="20"/>
      <c r="Z588" s="20"/>
      <c r="AA588" s="20"/>
      <c r="AB588" s="20"/>
      <c r="AC588" s="20"/>
    </row>
    <row r="589" spans="1:29">
      <c r="A589" s="294" t="s">
        <v>104</v>
      </c>
      <c r="B589" s="1"/>
      <c r="C589" s="304">
        <f t="shared" si="51"/>
        <v>5727</v>
      </c>
      <c r="D589" s="304">
        <f t="shared" si="51"/>
        <v>5781</v>
      </c>
      <c r="E589" s="322"/>
      <c r="F589" s="306"/>
      <c r="G589" s="306"/>
      <c r="H589" s="306"/>
      <c r="I589" s="322"/>
      <c r="J589" s="306"/>
      <c r="K589" s="319">
        <f>I591*3</f>
        <v>65.489999999999995</v>
      </c>
      <c r="M589" s="69"/>
      <c r="N589" s="69"/>
      <c r="O589" s="305"/>
      <c r="P589" s="279"/>
      <c r="V589" s="20"/>
      <c r="W589" s="20"/>
      <c r="X589" s="20"/>
      <c r="Y589" s="20"/>
      <c r="Z589" s="20"/>
      <c r="AA589" s="20"/>
      <c r="AB589" s="20"/>
      <c r="AC589" s="20"/>
    </row>
    <row r="590" spans="1:29">
      <c r="A590" s="294" t="s">
        <v>446</v>
      </c>
      <c r="B590" s="1"/>
      <c r="C590" s="304"/>
      <c r="D590" s="304"/>
      <c r="E590" s="322"/>
      <c r="F590" s="309"/>
      <c r="G590" s="306"/>
      <c r="H590" s="306"/>
      <c r="I590" s="322"/>
      <c r="J590" s="309"/>
      <c r="K590" s="306"/>
      <c r="M590" s="69"/>
      <c r="N590" s="69"/>
      <c r="O590" s="305"/>
      <c r="V590" s="20"/>
      <c r="W590" s="20"/>
      <c r="X590" s="20"/>
      <c r="Y590" s="20"/>
      <c r="Z590" s="20"/>
      <c r="AA590" s="20"/>
      <c r="AB590" s="20"/>
      <c r="AC590" s="20"/>
    </row>
    <row r="591" spans="1:29">
      <c r="A591" s="294" t="s">
        <v>447</v>
      </c>
      <c r="B591" s="1"/>
      <c r="C591" s="304">
        <f>C642+C693</f>
        <v>5248</v>
      </c>
      <c r="D591" s="304">
        <f>D642+D693</f>
        <v>4813</v>
      </c>
      <c r="E591" s="322">
        <v>19.87</v>
      </c>
      <c r="F591" s="309"/>
      <c r="G591" s="306">
        <f>G642+G693</f>
        <v>104277</v>
      </c>
      <c r="H591" s="306">
        <f>H642+H693</f>
        <v>95634</v>
      </c>
      <c r="I591" s="322">
        <f>ROUND(E591+(E591*$P$627),2)</f>
        <v>21.83</v>
      </c>
      <c r="J591" s="309"/>
      <c r="K591" s="306">
        <f>K642+K693</f>
        <v>114564</v>
      </c>
      <c r="M591" s="84">
        <f>I591*D591</f>
        <v>105067.79</v>
      </c>
      <c r="N591" s="361"/>
      <c r="O591" s="14">
        <f>(I591-E591)/E591</f>
        <v>9.8641167589330503E-2</v>
      </c>
      <c r="X591" s="20"/>
      <c r="Y591" s="20"/>
      <c r="Z591" s="20"/>
      <c r="AA591" s="20"/>
      <c r="AB591" s="20"/>
      <c r="AC591" s="20"/>
    </row>
    <row r="592" spans="1:29">
      <c r="A592" s="294" t="s">
        <v>448</v>
      </c>
      <c r="B592" s="1"/>
      <c r="C592" s="304"/>
      <c r="D592" s="304"/>
      <c r="E592" s="322"/>
      <c r="F592" s="309"/>
      <c r="G592" s="306"/>
      <c r="H592" s="306"/>
      <c r="I592" s="322"/>
      <c r="J592" s="309"/>
      <c r="K592" s="306"/>
      <c r="M592" s="361"/>
      <c r="N592" s="361"/>
      <c r="O592" s="305"/>
      <c r="X592" s="20"/>
      <c r="Y592" s="20"/>
      <c r="Z592" s="20"/>
      <c r="AA592" s="20"/>
      <c r="AB592" s="20"/>
      <c r="AC592" s="20"/>
    </row>
    <row r="593" spans="1:29">
      <c r="A593" s="294" t="s">
        <v>442</v>
      </c>
      <c r="B593" s="1"/>
      <c r="C593" s="304">
        <f t="shared" ref="C593:D597" si="53">C644+C695</f>
        <v>55399</v>
      </c>
      <c r="D593" s="304">
        <f t="shared" si="53"/>
        <v>50834</v>
      </c>
      <c r="E593" s="322">
        <v>19.87</v>
      </c>
      <c r="F593" s="309"/>
      <c r="G593" s="306">
        <f t="shared" ref="G593:H597" si="54">G644+G695</f>
        <v>1100778</v>
      </c>
      <c r="H593" s="306">
        <f t="shared" si="54"/>
        <v>1010072</v>
      </c>
      <c r="I593" s="322">
        <f>ROUND(E593+(E593*$P$627),2)</f>
        <v>21.83</v>
      </c>
      <c r="J593" s="309"/>
      <c r="K593" s="306">
        <f>K644+K695</f>
        <v>1209360</v>
      </c>
      <c r="M593" s="84">
        <f>I593*D593</f>
        <v>1109706.22</v>
      </c>
      <c r="N593" s="361"/>
      <c r="O593" s="14">
        <f>(I593-E593)/E593</f>
        <v>9.8641167589330503E-2</v>
      </c>
      <c r="X593" s="20"/>
      <c r="Y593" s="20"/>
      <c r="Z593" s="20"/>
      <c r="AA593" s="20"/>
      <c r="AB593" s="20"/>
      <c r="AC593" s="20"/>
    </row>
    <row r="594" spans="1:29">
      <c r="A594" s="294" t="s">
        <v>443</v>
      </c>
      <c r="B594" s="1"/>
      <c r="C594" s="304">
        <f t="shared" si="53"/>
        <v>37462</v>
      </c>
      <c r="D594" s="304">
        <f t="shared" si="53"/>
        <v>34379</v>
      </c>
      <c r="E594" s="322">
        <v>13.64</v>
      </c>
      <c r="F594" s="309"/>
      <c r="G594" s="306">
        <f t="shared" si="54"/>
        <v>510982</v>
      </c>
      <c r="H594" s="306">
        <f t="shared" si="54"/>
        <v>468929</v>
      </c>
      <c r="I594" s="322">
        <f>ROUND(E594+(E594*$P$627),2)</f>
        <v>14.98</v>
      </c>
      <c r="J594" s="309"/>
      <c r="K594" s="306">
        <f>K645+K696</f>
        <v>561181</v>
      </c>
      <c r="M594" s="84">
        <f>I594*D594</f>
        <v>514997.42000000004</v>
      </c>
      <c r="N594" s="361"/>
      <c r="O594" s="14">
        <f>(I594-E594)/E594</f>
        <v>9.8240469208211126E-2</v>
      </c>
      <c r="R594" s="84"/>
      <c r="S594" s="84"/>
      <c r="T594" s="106"/>
      <c r="U594" s="222"/>
      <c r="V594" s="20"/>
      <c r="W594" s="20"/>
      <c r="X594" s="20"/>
      <c r="Y594" s="20"/>
      <c r="Z594" s="20"/>
      <c r="AA594" s="20"/>
      <c r="AB594" s="20"/>
      <c r="AC594" s="20"/>
    </row>
    <row r="595" spans="1:29">
      <c r="A595" s="294" t="s">
        <v>444</v>
      </c>
      <c r="B595" s="1" t="s">
        <v>31</v>
      </c>
      <c r="C595" s="304">
        <f t="shared" si="53"/>
        <v>4358</v>
      </c>
      <c r="D595" s="304">
        <f t="shared" si="53"/>
        <v>3996</v>
      </c>
      <c r="E595" s="322">
        <v>10.62</v>
      </c>
      <c r="F595" s="309"/>
      <c r="G595" s="306">
        <f t="shared" si="54"/>
        <v>46282</v>
      </c>
      <c r="H595" s="306">
        <f t="shared" si="54"/>
        <v>42437</v>
      </c>
      <c r="I595" s="322">
        <f>ROUND(E595+(E595*$P$627),2)</f>
        <v>11.67</v>
      </c>
      <c r="J595" s="309"/>
      <c r="K595" s="306">
        <f>K646+K697</f>
        <v>50858</v>
      </c>
      <c r="M595" s="84">
        <f>I595*D595</f>
        <v>46633.32</v>
      </c>
      <c r="N595" s="361"/>
      <c r="O595" s="14">
        <f>(I595-E595)/E595</f>
        <v>9.8870056497175215E-2</v>
      </c>
      <c r="V595" s="20"/>
      <c r="W595" s="20"/>
      <c r="X595" s="20"/>
      <c r="Y595" s="20"/>
      <c r="Z595" s="20"/>
      <c r="AA595" s="20"/>
      <c r="AB595" s="20"/>
      <c r="AC595" s="20"/>
    </row>
    <row r="596" spans="1:29">
      <c r="A596" s="294" t="s">
        <v>450</v>
      </c>
      <c r="B596" s="1"/>
      <c r="C596" s="304">
        <f t="shared" si="53"/>
        <v>157</v>
      </c>
      <c r="D596" s="304">
        <f t="shared" si="53"/>
        <v>144</v>
      </c>
      <c r="E596" s="322">
        <v>59.61</v>
      </c>
      <c r="F596" s="309"/>
      <c r="G596" s="306">
        <f t="shared" si="54"/>
        <v>9359</v>
      </c>
      <c r="H596" s="306">
        <f t="shared" si="54"/>
        <v>8584</v>
      </c>
      <c r="I596" s="322">
        <f>ROUND(E596+(E596*$P$627),2)</f>
        <v>65.48</v>
      </c>
      <c r="J596" s="309"/>
      <c r="K596" s="306">
        <f>K647+K698</f>
        <v>10280</v>
      </c>
      <c r="M596" s="84">
        <f>I596*D596</f>
        <v>9429.1200000000008</v>
      </c>
      <c r="N596" s="69"/>
      <c r="O596" s="14">
        <f>(I596-E596)/E596</f>
        <v>9.8473410501593764E-2</v>
      </c>
      <c r="V596" s="20"/>
      <c r="W596" s="20"/>
      <c r="X596" s="20"/>
      <c r="Y596" s="20"/>
      <c r="Z596" s="20"/>
      <c r="AA596" s="20"/>
      <c r="AB596" s="20"/>
      <c r="AC596" s="20"/>
    </row>
    <row r="597" spans="1:29">
      <c r="A597" s="294" t="s">
        <v>451</v>
      </c>
      <c r="B597" s="1"/>
      <c r="C597" s="304">
        <f t="shared" si="53"/>
        <v>1937</v>
      </c>
      <c r="D597" s="304">
        <f t="shared" si="53"/>
        <v>1778</v>
      </c>
      <c r="E597" s="322">
        <v>119.22</v>
      </c>
      <c r="F597" s="309"/>
      <c r="G597" s="306">
        <f t="shared" si="54"/>
        <v>230930</v>
      </c>
      <c r="H597" s="306">
        <f t="shared" si="54"/>
        <v>211973</v>
      </c>
      <c r="I597" s="322">
        <f>ROUND(E597+(E597*$P$627),2)</f>
        <v>130.96</v>
      </c>
      <c r="J597" s="309"/>
      <c r="K597" s="306">
        <f>K648+K699</f>
        <v>253669</v>
      </c>
      <c r="M597" s="84">
        <f>I597*D597</f>
        <v>232846.88</v>
      </c>
      <c r="N597" s="69"/>
      <c r="O597" s="14">
        <f>(I597-E597)/E597</f>
        <v>9.8473410501593764E-2</v>
      </c>
      <c r="V597" s="20"/>
      <c r="W597" s="20"/>
      <c r="X597" s="20"/>
      <c r="Y597" s="20"/>
      <c r="Z597" s="20"/>
      <c r="AA597" s="20"/>
      <c r="AB597" s="20"/>
      <c r="AC597" s="20"/>
    </row>
    <row r="598" spans="1:29">
      <c r="A598" s="294" t="s">
        <v>452</v>
      </c>
      <c r="B598" s="1"/>
      <c r="C598" s="304"/>
      <c r="D598" s="304"/>
      <c r="E598" s="322"/>
      <c r="F598" s="309"/>
      <c r="G598" s="306"/>
      <c r="H598" s="306"/>
      <c r="I598" s="322"/>
      <c r="J598" s="309"/>
      <c r="K598" s="306"/>
      <c r="M598" s="69"/>
      <c r="N598" s="69"/>
      <c r="O598" s="3"/>
      <c r="V598" s="20"/>
      <c r="W598" s="20"/>
      <c r="X598" s="20"/>
      <c r="Y598" s="20"/>
      <c r="Z598" s="20"/>
      <c r="AA598" s="20"/>
      <c r="AB598" s="20"/>
      <c r="AC598" s="20"/>
    </row>
    <row r="599" spans="1:29">
      <c r="A599" s="294" t="s">
        <v>447</v>
      </c>
      <c r="B599" s="1"/>
      <c r="C599" s="304">
        <f>C650+C701</f>
        <v>96</v>
      </c>
      <c r="D599" s="304">
        <f>D650+D701</f>
        <v>88</v>
      </c>
      <c r="E599" s="348">
        <f>-E591</f>
        <v>-19.87</v>
      </c>
      <c r="F599" s="309"/>
      <c r="G599" s="306">
        <f>G650+G701</f>
        <v>-1908</v>
      </c>
      <c r="H599" s="306">
        <f>H650+H701</f>
        <v>-1748</v>
      </c>
      <c r="I599" s="348">
        <f>-I591</f>
        <v>-21.83</v>
      </c>
      <c r="J599" s="309"/>
      <c r="K599" s="306">
        <f>K650+K701</f>
        <v>-2096</v>
      </c>
      <c r="M599" s="84">
        <f>I599*D599</f>
        <v>-1921.04</v>
      </c>
      <c r="N599" s="69"/>
      <c r="O599" s="3"/>
      <c r="V599" s="20"/>
      <c r="W599" s="20"/>
      <c r="X599" s="20"/>
      <c r="Y599" s="20"/>
      <c r="Z599" s="20"/>
      <c r="AA599" s="20"/>
      <c r="AB599" s="20"/>
      <c r="AC599" s="20"/>
    </row>
    <row r="600" spans="1:29">
      <c r="A600" s="294" t="s">
        <v>453</v>
      </c>
      <c r="B600" s="1"/>
      <c r="C600" s="304">
        <f>C651+C702</f>
        <v>12387</v>
      </c>
      <c r="D600" s="304">
        <f>D651+D702</f>
        <v>11369</v>
      </c>
      <c r="E600" s="348">
        <f>-E593</f>
        <v>-19.87</v>
      </c>
      <c r="F600" s="309"/>
      <c r="G600" s="306">
        <f>G651+G702</f>
        <v>-246129</v>
      </c>
      <c r="H600" s="306">
        <f>H651+H702</f>
        <v>-225902</v>
      </c>
      <c r="I600" s="348">
        <f>-I593</f>
        <v>-21.83</v>
      </c>
      <c r="J600" s="309"/>
      <c r="K600" s="306">
        <f>K651+K702</f>
        <v>-270408</v>
      </c>
      <c r="M600" s="84">
        <f>I600*D600</f>
        <v>-248185.27</v>
      </c>
      <c r="N600" s="69"/>
      <c r="O600" s="3"/>
      <c r="V600" s="20"/>
      <c r="W600" s="20"/>
      <c r="X600" s="20"/>
      <c r="Y600" s="20"/>
      <c r="Z600" s="20"/>
      <c r="AA600" s="20"/>
      <c r="AB600" s="20"/>
      <c r="AC600" s="20"/>
    </row>
    <row r="601" spans="1:29">
      <c r="A601" s="308" t="s">
        <v>416</v>
      </c>
      <c r="B601" s="1"/>
      <c r="C601" s="304"/>
      <c r="D601" s="304"/>
      <c r="E601" s="322"/>
      <c r="F601" s="306"/>
      <c r="G601" s="306"/>
      <c r="H601" s="306"/>
      <c r="I601" s="322"/>
      <c r="J601" s="306"/>
      <c r="K601" s="306"/>
      <c r="M601" s="69"/>
      <c r="N601" s="69"/>
      <c r="O601" s="3"/>
      <c r="Q601" s="3" t="s">
        <v>31</v>
      </c>
      <c r="V601" s="20"/>
      <c r="W601" s="20"/>
      <c r="X601" s="20"/>
      <c r="Y601" s="20"/>
      <c r="Z601" s="20"/>
      <c r="AA601" s="20"/>
      <c r="AB601" s="20"/>
      <c r="AC601" s="20"/>
    </row>
    <row r="602" spans="1:29">
      <c r="A602" s="294" t="s">
        <v>454</v>
      </c>
      <c r="B602" s="1"/>
      <c r="C602" s="304">
        <f>C653+C704</f>
        <v>164697090</v>
      </c>
      <c r="D602" s="304">
        <f>D653+D704</f>
        <v>151116862</v>
      </c>
      <c r="E602" s="368">
        <v>5.3710000000000004</v>
      </c>
      <c r="F602" s="306" t="s">
        <v>364</v>
      </c>
      <c r="G602" s="306">
        <f>G653+G704</f>
        <v>8845880</v>
      </c>
      <c r="H602" s="306">
        <f>H653+H704</f>
        <v>8116487</v>
      </c>
      <c r="I602" s="368">
        <f>ROUND(E602+(E602*$P$627),3)</f>
        <v>5.9</v>
      </c>
      <c r="J602" s="306" t="s">
        <v>364</v>
      </c>
      <c r="K602" s="306">
        <f>K653+K704</f>
        <v>9717128</v>
      </c>
      <c r="M602" s="84">
        <f>(I602/100)*D602</f>
        <v>8915894.8580000009</v>
      </c>
      <c r="N602" s="323"/>
      <c r="O602" s="14">
        <f>(I602-E602)/E602</f>
        <v>9.8491900949543826E-2</v>
      </c>
      <c r="V602" s="20"/>
      <c r="W602" s="20"/>
      <c r="X602" s="20"/>
      <c r="Y602" s="20"/>
      <c r="Z602" s="20"/>
      <c r="AA602" s="20"/>
      <c r="AB602" s="20"/>
      <c r="AC602" s="20"/>
    </row>
    <row r="603" spans="1:29">
      <c r="A603" s="308" t="s">
        <v>390</v>
      </c>
      <c r="B603" s="1"/>
      <c r="C603" s="304">
        <f>C654+C705</f>
        <v>28883</v>
      </c>
      <c r="D603" s="304">
        <f>D654+D705</f>
        <v>26506</v>
      </c>
      <c r="E603" s="591">
        <v>45</v>
      </c>
      <c r="F603" s="308" t="s">
        <v>364</v>
      </c>
      <c r="G603" s="306">
        <f>G654+G705</f>
        <v>12997</v>
      </c>
      <c r="H603" s="306">
        <f>H654+H705</f>
        <v>11928</v>
      </c>
      <c r="I603" s="463">
        <v>50</v>
      </c>
      <c r="J603" s="308" t="s">
        <v>364</v>
      </c>
      <c r="K603" s="306">
        <f>K654+K705</f>
        <v>14442</v>
      </c>
      <c r="M603" s="84">
        <f>(I603/100)*D603</f>
        <v>13253</v>
      </c>
      <c r="O603" s="14">
        <f>(I603-E603)/E603</f>
        <v>0.1111111111111111</v>
      </c>
      <c r="V603" s="20"/>
      <c r="W603" s="20"/>
      <c r="X603" s="20"/>
      <c r="Y603" s="20"/>
      <c r="Z603" s="20"/>
      <c r="AA603" s="20"/>
      <c r="AB603" s="20"/>
      <c r="AC603" s="20"/>
    </row>
    <row r="604" spans="1:29">
      <c r="A604" s="345" t="s">
        <v>391</v>
      </c>
      <c r="B604" s="1"/>
      <c r="C604" s="304"/>
      <c r="D604" s="304"/>
      <c r="E604" s="317">
        <v>-0.01</v>
      </c>
      <c r="F604" s="2"/>
      <c r="G604" s="306"/>
      <c r="H604" s="306"/>
      <c r="I604" s="317">
        <v>-0.01</v>
      </c>
      <c r="J604" s="1"/>
      <c r="K604" s="306"/>
      <c r="V604" s="20"/>
      <c r="W604" s="20"/>
      <c r="X604" s="20"/>
      <c r="Y604" s="20"/>
      <c r="Z604" s="20"/>
      <c r="AA604" s="20"/>
      <c r="AB604" s="20"/>
      <c r="AC604" s="20"/>
    </row>
    <row r="605" spans="1:29">
      <c r="A605" s="294" t="s">
        <v>380</v>
      </c>
      <c r="B605" s="1"/>
      <c r="C605" s="304">
        <f>C656+C707</f>
        <v>0</v>
      </c>
      <c r="D605" s="304">
        <f>D656+D707</f>
        <v>0</v>
      </c>
      <c r="E605" s="369">
        <f>E582</f>
        <v>0</v>
      </c>
      <c r="F605" s="309"/>
      <c r="G605" s="306">
        <f>G656+G707</f>
        <v>0</v>
      </c>
      <c r="H605" s="306">
        <f>H656+H707</f>
        <v>0</v>
      </c>
      <c r="I605" s="369">
        <f>I582</f>
        <v>0</v>
      </c>
      <c r="J605" s="309"/>
      <c r="K605" s="306">
        <f>K656+K707</f>
        <v>0</v>
      </c>
      <c r="M605" s="84">
        <f>-(I605/100)*D605</f>
        <v>0</v>
      </c>
      <c r="V605" s="20"/>
      <c r="W605" s="20"/>
      <c r="X605" s="20"/>
      <c r="Y605" s="20"/>
      <c r="Z605" s="20"/>
      <c r="AA605" s="20"/>
      <c r="AB605" s="20"/>
      <c r="AC605" s="20"/>
    </row>
    <row r="606" spans="1:29">
      <c r="A606" s="294" t="s">
        <v>381</v>
      </c>
      <c r="B606" s="1"/>
      <c r="C606" s="304"/>
      <c r="D606" s="304"/>
      <c r="E606" s="369"/>
      <c r="F606" s="309"/>
      <c r="G606" s="306"/>
      <c r="H606" s="306"/>
      <c r="I606" s="369"/>
      <c r="J606" s="309"/>
      <c r="K606" s="306"/>
      <c r="V606" s="20"/>
      <c r="W606" s="20"/>
      <c r="X606" s="20"/>
      <c r="Y606" s="20"/>
      <c r="Z606" s="20"/>
      <c r="AA606" s="20"/>
      <c r="AB606" s="20"/>
      <c r="AC606" s="20"/>
    </row>
    <row r="607" spans="1:29">
      <c r="A607" s="294" t="s">
        <v>442</v>
      </c>
      <c r="B607" s="1"/>
      <c r="C607" s="304">
        <f t="shared" ref="C607:D610" si="55">C658+C709</f>
        <v>1</v>
      </c>
      <c r="D607" s="304">
        <f t="shared" si="55"/>
        <v>1</v>
      </c>
      <c r="E607" s="369">
        <f>E584</f>
        <v>0</v>
      </c>
      <c r="F607" s="309"/>
      <c r="G607" s="306">
        <f t="shared" ref="G607:H610" si="56">G658+G709</f>
        <v>0</v>
      </c>
      <c r="H607" s="306">
        <f t="shared" si="56"/>
        <v>0</v>
      </c>
      <c r="I607" s="369">
        <f>I584</f>
        <v>0</v>
      </c>
      <c r="J607" s="309"/>
      <c r="K607" s="306">
        <f>K658+K709</f>
        <v>0</v>
      </c>
      <c r="M607" s="84">
        <f>-(I607/100)*D607</f>
        <v>0</v>
      </c>
      <c r="V607" s="20"/>
      <c r="W607" s="20"/>
      <c r="X607" s="20"/>
      <c r="Y607" s="20"/>
      <c r="Z607" s="20"/>
      <c r="AA607" s="20"/>
      <c r="AB607" s="20"/>
      <c r="AC607" s="20"/>
    </row>
    <row r="608" spans="1:29">
      <c r="A608" s="294" t="s">
        <v>443</v>
      </c>
      <c r="B608" s="1"/>
      <c r="C608" s="304">
        <f t="shared" si="55"/>
        <v>0</v>
      </c>
      <c r="D608" s="304">
        <f t="shared" si="55"/>
        <v>0</v>
      </c>
      <c r="E608" s="369">
        <f>E585</f>
        <v>301</v>
      </c>
      <c r="F608" s="309"/>
      <c r="G608" s="306">
        <f t="shared" si="56"/>
        <v>0</v>
      </c>
      <c r="H608" s="306">
        <f t="shared" si="56"/>
        <v>0</v>
      </c>
      <c r="I608" s="369">
        <f>I585</f>
        <v>333</v>
      </c>
      <c r="J608" s="309"/>
      <c r="K608" s="306">
        <f>K659+K710</f>
        <v>0</v>
      </c>
      <c r="M608" s="84">
        <f>-(I608/100)*D608</f>
        <v>0</v>
      </c>
      <c r="V608" s="20"/>
      <c r="W608" s="20"/>
      <c r="X608" s="20"/>
      <c r="Y608" s="20"/>
      <c r="Z608" s="20"/>
      <c r="AA608" s="20"/>
      <c r="AB608" s="20"/>
      <c r="AC608" s="20"/>
    </row>
    <row r="609" spans="1:29">
      <c r="A609" s="294" t="s">
        <v>444</v>
      </c>
      <c r="B609" s="1"/>
      <c r="C609" s="304">
        <f t="shared" si="55"/>
        <v>0</v>
      </c>
      <c r="D609" s="304">
        <f t="shared" si="55"/>
        <v>0</v>
      </c>
      <c r="E609" s="369">
        <f>E586</f>
        <v>1215</v>
      </c>
      <c r="F609" s="309"/>
      <c r="G609" s="306">
        <f t="shared" si="56"/>
        <v>0</v>
      </c>
      <c r="H609" s="306">
        <f t="shared" si="56"/>
        <v>0</v>
      </c>
      <c r="I609" s="369">
        <f>I586</f>
        <v>1335</v>
      </c>
      <c r="J609" s="309"/>
      <c r="K609" s="306">
        <f>K660+K711</f>
        <v>0</v>
      </c>
      <c r="M609" s="84">
        <f>-(I609/100)*D609</f>
        <v>0</v>
      </c>
      <c r="V609" s="20"/>
      <c r="W609" s="20"/>
      <c r="X609" s="20"/>
      <c r="Y609" s="20"/>
      <c r="Z609" s="20"/>
      <c r="AA609" s="20"/>
      <c r="AB609" s="20"/>
      <c r="AC609" s="20"/>
    </row>
    <row r="610" spans="1:29">
      <c r="A610" s="294" t="s">
        <v>380</v>
      </c>
      <c r="B610" s="1"/>
      <c r="C610" s="304">
        <f t="shared" si="55"/>
        <v>0</v>
      </c>
      <c r="D610" s="304">
        <f t="shared" si="55"/>
        <v>0</v>
      </c>
      <c r="E610" s="369">
        <f>E591</f>
        <v>19.87</v>
      </c>
      <c r="F610" s="309"/>
      <c r="G610" s="306">
        <f t="shared" si="56"/>
        <v>0</v>
      </c>
      <c r="H610" s="306">
        <f t="shared" si="56"/>
        <v>0</v>
      </c>
      <c r="I610" s="369">
        <f>I591</f>
        <v>21.83</v>
      </c>
      <c r="J610" s="309"/>
      <c r="K610" s="306">
        <f>K661+K712</f>
        <v>0</v>
      </c>
      <c r="M610" s="84">
        <f>-(I610/100)*D610</f>
        <v>0</v>
      </c>
      <c r="V610" s="20"/>
      <c r="W610" s="20"/>
      <c r="X610" s="20"/>
      <c r="Y610" s="20"/>
      <c r="Z610" s="20"/>
      <c r="AA610" s="20"/>
      <c r="AB610" s="20"/>
      <c r="AC610" s="20"/>
    </row>
    <row r="611" spans="1:29">
      <c r="A611" s="294" t="s">
        <v>381</v>
      </c>
      <c r="B611" s="1"/>
      <c r="C611" s="304"/>
      <c r="D611" s="304"/>
      <c r="E611" s="369"/>
      <c r="F611" s="309"/>
      <c r="G611" s="306"/>
      <c r="H611" s="306"/>
      <c r="I611" s="369"/>
      <c r="J611" s="309"/>
      <c r="K611" s="306"/>
      <c r="V611" s="20"/>
      <c r="W611" s="20"/>
      <c r="X611" s="20"/>
      <c r="Y611" s="20"/>
      <c r="Z611" s="20"/>
      <c r="AA611" s="20"/>
      <c r="AB611" s="20"/>
      <c r="AC611" s="20"/>
    </row>
    <row r="612" spans="1:29">
      <c r="A612" s="294" t="s">
        <v>442</v>
      </c>
      <c r="B612" s="1"/>
      <c r="C612" s="304">
        <f t="shared" ref="C612:D616" si="57">C663+C714</f>
        <v>40</v>
      </c>
      <c r="D612" s="304">
        <f t="shared" si="57"/>
        <v>36</v>
      </c>
      <c r="E612" s="369">
        <f>E593</f>
        <v>19.87</v>
      </c>
      <c r="F612" s="309"/>
      <c r="G612" s="306">
        <f t="shared" ref="G612:H616" si="58">G663+G714</f>
        <v>-8</v>
      </c>
      <c r="H612" s="306">
        <f t="shared" si="58"/>
        <v>-7</v>
      </c>
      <c r="I612" s="369">
        <f>I593</f>
        <v>21.83</v>
      </c>
      <c r="J612" s="309"/>
      <c r="K612" s="306">
        <f>K663+K714</f>
        <v>-9</v>
      </c>
      <c r="M612" s="84">
        <f>-(I612/100)*D612</f>
        <v>-7.8587999999999996</v>
      </c>
      <c r="V612" s="20"/>
      <c r="W612" s="20"/>
      <c r="X612" s="20"/>
      <c r="Y612" s="20"/>
      <c r="Z612" s="20"/>
      <c r="AA612" s="20"/>
      <c r="AB612" s="20"/>
      <c r="AC612" s="20"/>
    </row>
    <row r="613" spans="1:29">
      <c r="A613" s="294" t="s">
        <v>443</v>
      </c>
      <c r="B613" s="1"/>
      <c r="C613" s="304">
        <f t="shared" si="57"/>
        <v>0</v>
      </c>
      <c r="D613" s="304">
        <f t="shared" si="57"/>
        <v>0</v>
      </c>
      <c r="E613" s="369">
        <f>E594</f>
        <v>13.64</v>
      </c>
      <c r="F613" s="309"/>
      <c r="G613" s="306">
        <f t="shared" si="58"/>
        <v>0</v>
      </c>
      <c r="H613" s="306">
        <f t="shared" si="58"/>
        <v>0</v>
      </c>
      <c r="I613" s="369">
        <f>I594</f>
        <v>14.98</v>
      </c>
      <c r="J613" s="309"/>
      <c r="K613" s="306">
        <f>K664+K715</f>
        <v>0</v>
      </c>
      <c r="M613" s="84">
        <f>-(I613/100)*D613</f>
        <v>0</v>
      </c>
      <c r="V613" s="20"/>
      <c r="W613" s="20"/>
      <c r="X613" s="20"/>
      <c r="Y613" s="20"/>
      <c r="Z613" s="20"/>
      <c r="AA613" s="20"/>
      <c r="AB613" s="20"/>
      <c r="AC613" s="20"/>
    </row>
    <row r="614" spans="1:29">
      <c r="A614" s="294" t="s">
        <v>444</v>
      </c>
      <c r="B614" s="1"/>
      <c r="C614" s="304">
        <f t="shared" si="57"/>
        <v>0</v>
      </c>
      <c r="D614" s="304">
        <f t="shared" si="57"/>
        <v>0</v>
      </c>
      <c r="E614" s="369">
        <f>E595</f>
        <v>10.62</v>
      </c>
      <c r="F614" s="309"/>
      <c r="G614" s="306">
        <f t="shared" si="58"/>
        <v>0</v>
      </c>
      <c r="H614" s="306">
        <f t="shared" si="58"/>
        <v>0</v>
      </c>
      <c r="I614" s="369">
        <f>I595</f>
        <v>11.67</v>
      </c>
      <c r="J614" s="309"/>
      <c r="K614" s="306">
        <f>K665+K716</f>
        <v>0</v>
      </c>
      <c r="M614" s="84">
        <f>-(I614/100)*D614</f>
        <v>0</v>
      </c>
      <c r="V614" s="20"/>
      <c r="W614" s="20"/>
      <c r="X614" s="20"/>
      <c r="Y614" s="20"/>
      <c r="Z614" s="20"/>
      <c r="AA614" s="20"/>
      <c r="AB614" s="20"/>
      <c r="AC614" s="20"/>
    </row>
    <row r="615" spans="1:29">
      <c r="A615" s="294" t="s">
        <v>455</v>
      </c>
      <c r="B615" s="1"/>
      <c r="C615" s="304">
        <f t="shared" si="57"/>
        <v>0</v>
      </c>
      <c r="D615" s="304">
        <f t="shared" si="57"/>
        <v>0</v>
      </c>
      <c r="E615" s="338">
        <f>E596</f>
        <v>59.61</v>
      </c>
      <c r="F615" s="309"/>
      <c r="G615" s="306">
        <f t="shared" si="58"/>
        <v>0</v>
      </c>
      <c r="H615" s="306">
        <f t="shared" si="58"/>
        <v>0</v>
      </c>
      <c r="I615" s="338">
        <f>I596</f>
        <v>65.48</v>
      </c>
      <c r="J615" s="309"/>
      <c r="K615" s="306">
        <f>K666+K717</f>
        <v>0</v>
      </c>
      <c r="M615" s="84">
        <f>-(I615/100)*D615</f>
        <v>0</v>
      </c>
      <c r="V615" s="20"/>
      <c r="W615" s="20"/>
      <c r="X615" s="20"/>
      <c r="Y615" s="20"/>
      <c r="Z615" s="20"/>
      <c r="AA615" s="20"/>
      <c r="AB615" s="20"/>
      <c r="AC615" s="20"/>
    </row>
    <row r="616" spans="1:29">
      <c r="A616" s="294" t="s">
        <v>456</v>
      </c>
      <c r="B616" s="1"/>
      <c r="C616" s="304">
        <f t="shared" si="57"/>
        <v>0</v>
      </c>
      <c r="D616" s="304">
        <f t="shared" si="57"/>
        <v>0</v>
      </c>
      <c r="E616" s="338">
        <f>E597</f>
        <v>119.22</v>
      </c>
      <c r="F616" s="309"/>
      <c r="G616" s="306">
        <f t="shared" si="58"/>
        <v>0</v>
      </c>
      <c r="H616" s="306">
        <f t="shared" si="58"/>
        <v>0</v>
      </c>
      <c r="I616" s="338">
        <f>I597</f>
        <v>130.96</v>
      </c>
      <c r="J616" s="309"/>
      <c r="K616" s="306">
        <f>K667+K718</f>
        <v>0</v>
      </c>
      <c r="M616" s="84">
        <f>-(I616/100)*D616</f>
        <v>0</v>
      </c>
      <c r="V616" s="20"/>
      <c r="W616" s="20"/>
      <c r="X616" s="20"/>
      <c r="Y616" s="20"/>
      <c r="Z616" s="20"/>
      <c r="AA616" s="20"/>
      <c r="AB616" s="20"/>
      <c r="AC616" s="20"/>
    </row>
    <row r="617" spans="1:29">
      <c r="A617" s="294" t="s">
        <v>452</v>
      </c>
      <c r="B617" s="1"/>
      <c r="C617" s="304"/>
      <c r="D617" s="304"/>
      <c r="E617" s="322"/>
      <c r="F617" s="309"/>
      <c r="G617" s="306"/>
      <c r="H617" s="306"/>
      <c r="I617" s="322"/>
      <c r="J617" s="309"/>
      <c r="K617" s="306"/>
      <c r="V617" s="20"/>
      <c r="W617" s="20"/>
      <c r="X617" s="20"/>
      <c r="Y617" s="20"/>
      <c r="Z617" s="20"/>
      <c r="AA617" s="20"/>
      <c r="AB617" s="20"/>
      <c r="AC617" s="20"/>
    </row>
    <row r="618" spans="1:29">
      <c r="A618" s="294" t="s">
        <v>447</v>
      </c>
      <c r="B618" s="1"/>
      <c r="C618" s="304">
        <f>C669+C720</f>
        <v>0</v>
      </c>
      <c r="D618" s="304">
        <f>D669+D720</f>
        <v>0</v>
      </c>
      <c r="E618" s="348">
        <f>E599</f>
        <v>-19.87</v>
      </c>
      <c r="F618" s="309"/>
      <c r="G618" s="306">
        <f>G669+G720</f>
        <v>0</v>
      </c>
      <c r="H618" s="306">
        <f>H669+H720</f>
        <v>0</v>
      </c>
      <c r="I618" s="348">
        <f>I599</f>
        <v>-21.83</v>
      </c>
      <c r="J618" s="309"/>
      <c r="K618" s="306">
        <f>K669+K720</f>
        <v>0</v>
      </c>
      <c r="M618" s="84">
        <f>-(I618/100)*D618</f>
        <v>0</v>
      </c>
      <c r="V618" s="20"/>
      <c r="W618" s="20"/>
      <c r="X618" s="20"/>
      <c r="Y618" s="20"/>
      <c r="Z618" s="20"/>
      <c r="AA618" s="20"/>
      <c r="AB618" s="20"/>
      <c r="AC618" s="20"/>
    </row>
    <row r="619" spans="1:29">
      <c r="A619" s="294" t="s">
        <v>453</v>
      </c>
      <c r="B619" s="1"/>
      <c r="C619" s="304">
        <f>C670+C721</f>
        <v>0</v>
      </c>
      <c r="D619" s="304">
        <f>D670+D721</f>
        <v>0</v>
      </c>
      <c r="E619" s="348">
        <f>E600</f>
        <v>-19.87</v>
      </c>
      <c r="F619" s="309"/>
      <c r="G619" s="306">
        <f>G670+G721</f>
        <v>0</v>
      </c>
      <c r="H619" s="306">
        <f>H670+H721</f>
        <v>0</v>
      </c>
      <c r="I619" s="348">
        <f>I600</f>
        <v>-21.83</v>
      </c>
      <c r="J619" s="309"/>
      <c r="K619" s="306">
        <f>K670+K721</f>
        <v>0</v>
      </c>
      <c r="M619" s="84">
        <f>-(I619/100)*D619</f>
        <v>0</v>
      </c>
      <c r="V619" s="20"/>
      <c r="W619" s="20"/>
      <c r="X619" s="20"/>
      <c r="Y619" s="20"/>
      <c r="Z619" s="20"/>
      <c r="AA619" s="20"/>
      <c r="AB619" s="20"/>
      <c r="AC619" s="20"/>
    </row>
    <row r="620" spans="1:29">
      <c r="A620" s="308" t="s">
        <v>416</v>
      </c>
      <c r="B620" s="1"/>
      <c r="C620" s="304"/>
      <c r="D620" s="304"/>
      <c r="E620" s="369"/>
      <c r="F620" s="306"/>
      <c r="G620" s="306"/>
      <c r="H620" s="306"/>
      <c r="I620" s="369"/>
      <c r="J620" s="306"/>
      <c r="K620" s="306"/>
      <c r="V620" s="20"/>
      <c r="W620" s="20"/>
      <c r="X620" s="20"/>
      <c r="Y620" s="20"/>
      <c r="Z620" s="20"/>
      <c r="AA620" s="20"/>
      <c r="AB620" s="20"/>
      <c r="AC620" s="20"/>
    </row>
    <row r="621" spans="1:29">
      <c r="A621" s="294" t="s">
        <v>454</v>
      </c>
      <c r="B621" s="1"/>
      <c r="C621" s="304">
        <f t="shared" ref="C621:D626" si="59">C672+C723</f>
        <v>25216</v>
      </c>
      <c r="D621" s="304">
        <f t="shared" si="59"/>
        <v>22993</v>
      </c>
      <c r="E621" s="370">
        <f>E602</f>
        <v>5.3710000000000004</v>
      </c>
      <c r="F621" s="306" t="s">
        <v>364</v>
      </c>
      <c r="G621" s="306">
        <f t="shared" ref="G621:H626" si="60">G672+G723</f>
        <v>-14</v>
      </c>
      <c r="H621" s="306">
        <f t="shared" si="60"/>
        <v>-12</v>
      </c>
      <c r="I621" s="370">
        <f>I602</f>
        <v>5.9</v>
      </c>
      <c r="J621" s="306" t="s">
        <v>364</v>
      </c>
      <c r="K621" s="306">
        <f>K672+K723</f>
        <v>-15</v>
      </c>
      <c r="M621" s="84">
        <f>-((I621/100)*D621)/100</f>
        <v>-13.56587</v>
      </c>
      <c r="V621" s="20"/>
      <c r="W621" s="20"/>
      <c r="X621" s="20"/>
      <c r="Y621" s="20"/>
      <c r="Z621" s="20"/>
      <c r="AA621" s="20"/>
      <c r="AB621" s="20"/>
      <c r="AC621" s="20"/>
    </row>
    <row r="622" spans="1:29">
      <c r="A622" s="308" t="s">
        <v>390</v>
      </c>
      <c r="B622" s="1"/>
      <c r="C622" s="304">
        <f t="shared" si="59"/>
        <v>0</v>
      </c>
      <c r="D622" s="304">
        <f t="shared" si="59"/>
        <v>0</v>
      </c>
      <c r="E622" s="360">
        <f>E603</f>
        <v>45</v>
      </c>
      <c r="F622" s="306" t="s">
        <v>364</v>
      </c>
      <c r="G622" s="306">
        <f t="shared" si="60"/>
        <v>0</v>
      </c>
      <c r="H622" s="306">
        <f t="shared" si="60"/>
        <v>0</v>
      </c>
      <c r="I622" s="360">
        <f>I603</f>
        <v>50</v>
      </c>
      <c r="J622" s="308" t="s">
        <v>364</v>
      </c>
      <c r="K622" s="306">
        <f>K673+K724</f>
        <v>0</v>
      </c>
      <c r="M622" s="84">
        <f>-((I622/100)*D622)/100</f>
        <v>0</v>
      </c>
      <c r="V622" s="20"/>
      <c r="W622" s="20"/>
      <c r="X622" s="20"/>
      <c r="Y622" s="20"/>
      <c r="Z622" s="20"/>
      <c r="AA622" s="20"/>
      <c r="AB622" s="20"/>
      <c r="AC622" s="20"/>
    </row>
    <row r="623" spans="1:29">
      <c r="A623" s="308" t="s">
        <v>433</v>
      </c>
      <c r="B623" s="1"/>
      <c r="C623" s="304">
        <f t="shared" si="59"/>
        <v>12</v>
      </c>
      <c r="D623" s="304">
        <f t="shared" si="59"/>
        <v>12</v>
      </c>
      <c r="E623" s="322">
        <f>'Blocking - detail'!E623</f>
        <v>60</v>
      </c>
      <c r="F623" s="349" t="s">
        <v>31</v>
      </c>
      <c r="G623" s="306">
        <f t="shared" si="60"/>
        <v>720</v>
      </c>
      <c r="H623" s="306">
        <f t="shared" si="60"/>
        <v>720</v>
      </c>
      <c r="I623" s="322">
        <f>'Blocking - detail'!I623</f>
        <v>60</v>
      </c>
      <c r="J623" s="1"/>
      <c r="K623" s="306">
        <f>K674+K725</f>
        <v>720</v>
      </c>
      <c r="M623" s="84">
        <f>I623*D623</f>
        <v>720</v>
      </c>
      <c r="V623" s="20"/>
      <c r="W623" s="20"/>
      <c r="X623" s="20"/>
      <c r="Y623" s="20"/>
      <c r="Z623" s="20"/>
      <c r="AA623" s="20"/>
      <c r="AB623" s="20"/>
      <c r="AC623" s="20"/>
    </row>
    <row r="624" spans="1:29">
      <c r="A624" s="308" t="s">
        <v>434</v>
      </c>
      <c r="B624" s="1"/>
      <c r="C624" s="304">
        <f t="shared" si="59"/>
        <v>320</v>
      </c>
      <c r="D624" s="304">
        <f t="shared" si="59"/>
        <v>292</v>
      </c>
      <c r="E624" s="463">
        <f>'Blocking - detail'!E624</f>
        <v>-30</v>
      </c>
      <c r="F624" s="306" t="s">
        <v>364</v>
      </c>
      <c r="G624" s="306">
        <f t="shared" si="60"/>
        <v>-96</v>
      </c>
      <c r="H624" s="306">
        <f t="shared" si="60"/>
        <v>-88</v>
      </c>
      <c r="I624" s="463">
        <f>'Blocking - detail'!I624</f>
        <v>-30</v>
      </c>
      <c r="J624" s="306" t="s">
        <v>364</v>
      </c>
      <c r="K624" s="306">
        <f>K675+K726</f>
        <v>-96</v>
      </c>
      <c r="M624" s="84">
        <f>(I624/100)*D624</f>
        <v>-87.6</v>
      </c>
      <c r="V624" s="20"/>
      <c r="W624" s="20"/>
      <c r="X624" s="20"/>
      <c r="Y624" s="20"/>
      <c r="Z624" s="20"/>
      <c r="AA624" s="20"/>
      <c r="AB624" s="20"/>
      <c r="AC624" s="20"/>
    </row>
    <row r="625" spans="1:29">
      <c r="A625" s="1" t="s">
        <v>371</v>
      </c>
      <c r="B625" s="1"/>
      <c r="C625" s="304">
        <f t="shared" si="59"/>
        <v>164697090</v>
      </c>
      <c r="D625" s="304">
        <f t="shared" si="59"/>
        <v>151116862.53785235</v>
      </c>
      <c r="E625" s="315"/>
      <c r="F625" s="2"/>
      <c r="G625" s="2">
        <f t="shared" si="60"/>
        <v>10743902</v>
      </c>
      <c r="H625" s="2">
        <f t="shared" si="60"/>
        <v>9869762</v>
      </c>
      <c r="I625" s="2"/>
      <c r="J625" s="308"/>
      <c r="K625" s="2">
        <f>K676+K727</f>
        <v>11803134</v>
      </c>
      <c r="M625" s="84">
        <f>SUM(M582:M624)</f>
        <v>10842888.273330001</v>
      </c>
      <c r="P625" s="261"/>
      <c r="V625" s="20"/>
      <c r="W625" s="20"/>
      <c r="X625" s="20"/>
      <c r="Y625" s="20"/>
      <c r="Z625" s="20"/>
      <c r="AA625" s="20"/>
      <c r="AB625" s="20"/>
      <c r="AC625" s="20"/>
    </row>
    <row r="626" spans="1:29">
      <c r="A626" s="1" t="s">
        <v>353</v>
      </c>
      <c r="B626" s="1"/>
      <c r="C626" s="325" t="e">
        <f t="shared" si="59"/>
        <v>#REF!</v>
      </c>
      <c r="D626" s="325">
        <f t="shared" si="59"/>
        <v>0</v>
      </c>
      <c r="E626" s="294"/>
      <c r="F626" s="294"/>
      <c r="G626" s="295" t="e">
        <f t="shared" si="60"/>
        <v>#REF!</v>
      </c>
      <c r="H626" s="295">
        <f t="shared" si="60"/>
        <v>0</v>
      </c>
      <c r="I626" s="294"/>
      <c r="J626" s="294"/>
      <c r="K626" s="295" t="e">
        <f>G626</f>
        <v>#REF!</v>
      </c>
      <c r="V626" s="20"/>
      <c r="W626" s="20"/>
      <c r="X626" s="20"/>
      <c r="Y626" s="20"/>
      <c r="Z626" s="20"/>
      <c r="AA626" s="20"/>
      <c r="AB626" s="20"/>
      <c r="AC626" s="20"/>
    </row>
    <row r="627" spans="1:29" ht="17.25" customHeight="1" thickBot="1">
      <c r="A627" s="1" t="s">
        <v>372</v>
      </c>
      <c r="B627" s="1"/>
      <c r="C627" s="351" t="e">
        <f>SUM(C625:C626)</f>
        <v>#REF!</v>
      </c>
      <c r="D627" s="351">
        <f>SUM(D625:D626)</f>
        <v>151116862.53785235</v>
      </c>
      <c r="E627" s="327"/>
      <c r="F627" s="328"/>
      <c r="G627" s="329" t="e">
        <f>G625+G626</f>
        <v>#REF!</v>
      </c>
      <c r="H627" s="329">
        <f>H625+H626</f>
        <v>9869762</v>
      </c>
      <c r="I627" s="327"/>
      <c r="J627" s="330"/>
      <c r="K627" s="329" t="e">
        <f>K625+K626</f>
        <v>#REF!</v>
      </c>
      <c r="N627" s="3" t="s">
        <v>354</v>
      </c>
      <c r="O627" s="69" t="e">
        <f>#REF!*1000</f>
        <v>#REF!</v>
      </c>
      <c r="P627" s="222">
        <v>9.8500000000000004E-2</v>
      </c>
      <c r="V627" s="20"/>
      <c r="W627" s="20"/>
      <c r="X627" s="20"/>
      <c r="Y627" s="20"/>
      <c r="Z627" s="20"/>
      <c r="AA627" s="20"/>
      <c r="AB627" s="20"/>
      <c r="AC627" s="20"/>
    </row>
    <row r="628" spans="1:29" ht="16.5" thickTop="1">
      <c r="A628" s="1"/>
      <c r="B628" s="1"/>
      <c r="C628" s="26"/>
      <c r="D628" s="26"/>
      <c r="E628" s="336"/>
      <c r="F628" s="337"/>
      <c r="G628" s="307"/>
      <c r="H628" s="307"/>
      <c r="I628" s="371" t="s">
        <v>31</v>
      </c>
      <c r="J628" s="23"/>
      <c r="K628" s="257" t="s">
        <v>31</v>
      </c>
      <c r="N628" s="3" t="s">
        <v>257</v>
      </c>
      <c r="O628" s="69" t="e">
        <f>O627-K627</f>
        <v>#REF!</v>
      </c>
      <c r="P628" s="299" t="e">
        <f>(O627-K627)/(K627-K603-K623-K624)</f>
        <v>#REF!</v>
      </c>
      <c r="V628" s="20"/>
      <c r="W628" s="20"/>
      <c r="X628" s="20"/>
      <c r="Y628" s="20"/>
      <c r="Z628" s="20"/>
      <c r="AA628" s="20"/>
      <c r="AB628" s="20"/>
      <c r="AC628" s="20"/>
    </row>
    <row r="629" spans="1:29">
      <c r="A629" s="278" t="s">
        <v>437</v>
      </c>
      <c r="B629" s="1"/>
      <c r="C629" s="21"/>
      <c r="D629" s="21"/>
      <c r="E629" s="322"/>
      <c r="F629" s="2"/>
      <c r="G629" s="2"/>
      <c r="H629" s="2"/>
      <c r="I629" s="322"/>
      <c r="J629" s="1"/>
      <c r="K629" s="2"/>
      <c r="V629" s="20"/>
      <c r="W629" s="20"/>
      <c r="X629" s="20"/>
      <c r="Y629" s="20"/>
      <c r="Z629" s="20"/>
      <c r="AA629" s="20"/>
      <c r="AB629" s="20"/>
      <c r="AC629" s="20"/>
    </row>
    <row r="630" spans="1:29">
      <c r="A630" s="294" t="s">
        <v>190</v>
      </c>
      <c r="B630" s="1"/>
      <c r="C630" s="21"/>
      <c r="D630" s="21"/>
      <c r="E630" s="322"/>
      <c r="F630" s="2"/>
      <c r="G630" s="2"/>
      <c r="H630" s="2"/>
      <c r="I630" s="322"/>
      <c r="J630" s="1"/>
      <c r="K630" s="2"/>
      <c r="M630" s="84"/>
      <c r="N630" s="84"/>
      <c r="O630" s="331" t="e">
        <f>O628/(K585+K586+K591+K593+K594+K595+K596+K597+K599+K600)</f>
        <v>#REF!</v>
      </c>
      <c r="P630" s="222"/>
      <c r="V630" s="20"/>
      <c r="W630" s="20"/>
      <c r="X630" s="20"/>
      <c r="Y630" s="20"/>
      <c r="Z630" s="20"/>
      <c r="AA630" s="20"/>
      <c r="AB630" s="20"/>
      <c r="AC630" s="20"/>
    </row>
    <row r="631" spans="1:29">
      <c r="A631" s="308"/>
      <c r="B631" s="1"/>
      <c r="C631" s="21"/>
      <c r="D631" s="21"/>
      <c r="E631" s="322"/>
      <c r="F631" s="2"/>
      <c r="G631" s="365"/>
      <c r="H631" s="365"/>
      <c r="I631" s="322"/>
      <c r="J631" s="1"/>
      <c r="K631" s="366"/>
      <c r="M631" s="20"/>
      <c r="N631" s="20"/>
      <c r="O631" s="74"/>
      <c r="P631" s="74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</row>
    <row r="632" spans="1:29">
      <c r="A632" s="294" t="s">
        <v>439</v>
      </c>
      <c r="B632" s="1"/>
      <c r="C632" s="304"/>
      <c r="D632" s="304"/>
      <c r="E632" s="2" t="s">
        <v>31</v>
      </c>
      <c r="F632" s="2"/>
      <c r="G632" s="1"/>
      <c r="H632" s="1"/>
      <c r="I632" s="2" t="s">
        <v>31</v>
      </c>
      <c r="J632" s="1"/>
      <c r="K632" s="1"/>
      <c r="M632" s="20"/>
      <c r="N632" s="20"/>
      <c r="O632" s="74"/>
      <c r="P632" s="74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</row>
    <row r="633" spans="1:29">
      <c r="A633" s="294" t="s">
        <v>440</v>
      </c>
      <c r="B633" s="1"/>
      <c r="C633" s="304">
        <f>887</f>
        <v>887</v>
      </c>
      <c r="D633" s="304">
        <v>892</v>
      </c>
      <c r="E633" s="322">
        <f>$E$582</f>
        <v>0</v>
      </c>
      <c r="F633" s="309"/>
      <c r="G633" s="306">
        <f>ROUND(E633*$C633,0)</f>
        <v>0</v>
      </c>
      <c r="H633" s="306">
        <f>ROUND(E633*$D633,0)</f>
        <v>0</v>
      </c>
      <c r="I633" s="322">
        <f>$I$582</f>
        <v>0</v>
      </c>
      <c r="J633" s="309"/>
      <c r="K633" s="306">
        <f>ROUND(I633*$C633,0)</f>
        <v>0</v>
      </c>
      <c r="M633" s="20"/>
      <c r="N633" s="20"/>
      <c r="O633" s="74"/>
      <c r="P633" s="74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</row>
    <row r="634" spans="1:29">
      <c r="A634" s="294" t="s">
        <v>441</v>
      </c>
      <c r="B634" s="1"/>
      <c r="C634" s="304"/>
      <c r="D634" s="304"/>
      <c r="E634" s="322"/>
      <c r="F634" s="309"/>
      <c r="G634" s="306"/>
      <c r="H634" s="306"/>
      <c r="I634" s="322"/>
      <c r="J634" s="309"/>
      <c r="K634" s="306"/>
      <c r="M634" s="20"/>
      <c r="N634" s="20"/>
      <c r="O634" s="74"/>
      <c r="P634" s="74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</row>
    <row r="635" spans="1:29">
      <c r="A635" s="294" t="s">
        <v>442</v>
      </c>
      <c r="B635" s="1"/>
      <c r="C635" s="304">
        <f>3412</f>
        <v>3412</v>
      </c>
      <c r="D635" s="304">
        <v>3431</v>
      </c>
      <c r="E635" s="322">
        <f>$E$584</f>
        <v>0</v>
      </c>
      <c r="F635" s="309"/>
      <c r="G635" s="306">
        <f>ROUND(E635*$C635,0)</f>
        <v>0</v>
      </c>
      <c r="H635" s="306">
        <f>ROUND(E635*$D635,0)</f>
        <v>0</v>
      </c>
      <c r="I635" s="322">
        <f>$I$584</f>
        <v>0</v>
      </c>
      <c r="J635" s="309"/>
      <c r="K635" s="306">
        <f>ROUND(I635*$C635,0)</f>
        <v>0</v>
      </c>
      <c r="M635" s="20"/>
      <c r="N635" s="20"/>
      <c r="O635" s="74"/>
      <c r="P635" s="74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</row>
    <row r="636" spans="1:29">
      <c r="A636" s="294" t="s">
        <v>443</v>
      </c>
      <c r="B636" s="1"/>
      <c r="C636" s="304">
        <f>350</f>
        <v>350</v>
      </c>
      <c r="D636" s="304">
        <v>352</v>
      </c>
      <c r="E636" s="322">
        <f>$E$585</f>
        <v>301</v>
      </c>
      <c r="F636" s="309"/>
      <c r="G636" s="306">
        <f>ROUND(E636*$C636,0)</f>
        <v>105350</v>
      </c>
      <c r="H636" s="306">
        <f>ROUND(E636*$D636,0)</f>
        <v>105952</v>
      </c>
      <c r="I636" s="322">
        <f>$I$585</f>
        <v>333</v>
      </c>
      <c r="J636" s="309"/>
      <c r="K636" s="306">
        <f>ROUND(I636*$C636,0)</f>
        <v>116550</v>
      </c>
      <c r="M636" s="20"/>
      <c r="N636" s="20"/>
      <c r="O636" s="74"/>
      <c r="P636" s="74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</row>
    <row r="637" spans="1:29">
      <c r="A637" s="294" t="s">
        <v>444</v>
      </c>
      <c r="B637" s="1"/>
      <c r="C637" s="304">
        <f>9</f>
        <v>9</v>
      </c>
      <c r="D637" s="304">
        <v>9</v>
      </c>
      <c r="E637" s="322">
        <f>$E$586</f>
        <v>1215</v>
      </c>
      <c r="F637" s="309"/>
      <c r="G637" s="306">
        <f>ROUND(E637*$C637,0)</f>
        <v>10935</v>
      </c>
      <c r="H637" s="306">
        <f>ROUND(E637*$D637,0)</f>
        <v>10935</v>
      </c>
      <c r="I637" s="322">
        <f>$I$586</f>
        <v>1335</v>
      </c>
      <c r="J637" s="309"/>
      <c r="K637" s="306">
        <f>ROUND(I637*$C637,0)</f>
        <v>12015</v>
      </c>
      <c r="M637" s="20"/>
      <c r="N637" s="20"/>
      <c r="O637" s="74"/>
      <c r="P637" s="74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</row>
    <row r="638" spans="1:29">
      <c r="A638" s="294" t="s">
        <v>352</v>
      </c>
      <c r="B638" s="1"/>
      <c r="C638" s="304">
        <f>SUM(C633:C637)</f>
        <v>4658</v>
      </c>
      <c r="D638" s="304">
        <v>4683.9852262627228</v>
      </c>
      <c r="E638" s="322"/>
      <c r="F638" s="309"/>
      <c r="G638" s="306"/>
      <c r="H638" s="306"/>
      <c r="I638" s="322"/>
      <c r="J638" s="309"/>
      <c r="K638" s="306"/>
      <c r="M638" s="20"/>
      <c r="N638" s="20"/>
      <c r="O638" s="74"/>
      <c r="P638" s="74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</row>
    <row r="639" spans="1:29">
      <c r="A639" s="294" t="s">
        <v>445</v>
      </c>
      <c r="B639" s="1"/>
      <c r="C639" s="304">
        <f>5697+21813+2492+69</f>
        <v>30071</v>
      </c>
      <c r="D639" s="304">
        <v>30239</v>
      </c>
      <c r="E639" s="322"/>
      <c r="F639" s="306"/>
      <c r="G639" s="306"/>
      <c r="H639" s="306"/>
      <c r="I639" s="322"/>
      <c r="J639" s="306"/>
      <c r="K639" s="306"/>
      <c r="M639" s="20"/>
      <c r="N639" s="20"/>
      <c r="O639" s="74"/>
      <c r="P639" s="74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</row>
    <row r="640" spans="1:29">
      <c r="A640" s="294" t="s">
        <v>104</v>
      </c>
      <c r="B640" s="1"/>
      <c r="C640" s="304">
        <f>960+3719+356+9</f>
        <v>5044</v>
      </c>
      <c r="D640" s="304">
        <v>5072</v>
      </c>
      <c r="E640" s="322"/>
      <c r="F640" s="306"/>
      <c r="G640" s="306"/>
      <c r="H640" s="306"/>
      <c r="I640" s="322"/>
      <c r="J640" s="306"/>
      <c r="K640" s="306"/>
      <c r="M640" s="20"/>
      <c r="N640" s="20"/>
      <c r="O640" s="74"/>
      <c r="P640" s="74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</row>
    <row r="641" spans="1:29">
      <c r="A641" s="294" t="s">
        <v>446</v>
      </c>
      <c r="B641" s="1"/>
      <c r="C641" s="304"/>
      <c r="D641" s="304"/>
      <c r="E641" s="322"/>
      <c r="F641" s="309"/>
      <c r="G641" s="306"/>
      <c r="H641" s="306"/>
      <c r="I641" s="322"/>
      <c r="J641" s="309"/>
      <c r="K641" s="306"/>
      <c r="M641" s="20"/>
      <c r="N641" s="20"/>
      <c r="O641" s="74"/>
      <c r="P641" s="74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</row>
    <row r="642" spans="1:29">
      <c r="A642" s="294" t="s">
        <v>447</v>
      </c>
      <c r="B642" s="1"/>
      <c r="C642" s="304">
        <f>4289</f>
        <v>4289</v>
      </c>
      <c r="D642" s="304">
        <v>3939</v>
      </c>
      <c r="E642" s="322">
        <f>$E$591</f>
        <v>19.87</v>
      </c>
      <c r="F642" s="309"/>
      <c r="G642" s="306">
        <f>ROUND(E642*$C642,0)</f>
        <v>85222</v>
      </c>
      <c r="H642" s="306">
        <f>ROUND(E642*$D642,0)</f>
        <v>78268</v>
      </c>
      <c r="I642" s="322">
        <f>$I$591</f>
        <v>21.83</v>
      </c>
      <c r="J642" s="309"/>
      <c r="K642" s="306">
        <f>ROUND(I642*$C642,0)</f>
        <v>93629</v>
      </c>
      <c r="M642" s="20"/>
      <c r="N642" s="20"/>
      <c r="O642" s="74"/>
      <c r="P642" s="74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</row>
    <row r="643" spans="1:29">
      <c r="A643" s="294" t="s">
        <v>448</v>
      </c>
      <c r="B643" s="1"/>
      <c r="C643" s="304"/>
      <c r="D643" s="304"/>
      <c r="E643" s="322"/>
      <c r="F643" s="309"/>
      <c r="G643" s="306"/>
      <c r="H643" s="306"/>
      <c r="I643" s="322"/>
      <c r="J643" s="309"/>
      <c r="K643" s="306"/>
      <c r="M643" s="20"/>
      <c r="N643" s="20"/>
      <c r="O643" s="74"/>
      <c r="P643" s="74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</row>
    <row r="644" spans="1:29">
      <c r="A644" s="294" t="s">
        <v>442</v>
      </c>
      <c r="B644" s="1"/>
      <c r="C644" s="304">
        <f>49028</f>
        <v>49028</v>
      </c>
      <c r="D644" s="304">
        <v>45025</v>
      </c>
      <c r="E644" s="322">
        <f>$E$593</f>
        <v>19.87</v>
      </c>
      <c r="F644" s="309"/>
      <c r="G644" s="306">
        <f>ROUND(E644*$C644,0)</f>
        <v>974186</v>
      </c>
      <c r="H644" s="306">
        <f>ROUND(E644*$D644,0)</f>
        <v>894647</v>
      </c>
      <c r="I644" s="322">
        <f>$I$593</f>
        <v>21.83</v>
      </c>
      <c r="J644" s="309"/>
      <c r="K644" s="306">
        <f>ROUND(I644*$C644,0)</f>
        <v>1070281</v>
      </c>
      <c r="M644" s="20"/>
      <c r="N644" s="20"/>
      <c r="O644" s="74"/>
      <c r="P644" s="74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</row>
    <row r="645" spans="1:29">
      <c r="A645" s="294" t="s">
        <v>443</v>
      </c>
      <c r="B645" s="1"/>
      <c r="C645" s="304">
        <f>33712</f>
        <v>33712</v>
      </c>
      <c r="D645" s="304">
        <v>30960</v>
      </c>
      <c r="E645" s="322">
        <f>$E$594</f>
        <v>13.64</v>
      </c>
      <c r="F645" s="309"/>
      <c r="G645" s="306">
        <f>ROUND(E645*$C645,0)</f>
        <v>459832</v>
      </c>
      <c r="H645" s="306">
        <f>ROUND(E645*$D645,0)</f>
        <v>422294</v>
      </c>
      <c r="I645" s="322">
        <f>$I$594</f>
        <v>14.98</v>
      </c>
      <c r="J645" s="309"/>
      <c r="K645" s="306">
        <f>ROUND(I645*$C645,0)</f>
        <v>505006</v>
      </c>
      <c r="M645" s="20"/>
      <c r="N645" s="20"/>
      <c r="O645" s="74"/>
      <c r="P645" s="74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</row>
    <row r="646" spans="1:29">
      <c r="A646" s="294" t="s">
        <v>444</v>
      </c>
      <c r="B646" s="1"/>
      <c r="C646" s="304">
        <f>3389</f>
        <v>3389</v>
      </c>
      <c r="D646" s="304">
        <v>3112</v>
      </c>
      <c r="E646" s="322">
        <f>$E$595</f>
        <v>10.62</v>
      </c>
      <c r="F646" s="309"/>
      <c r="G646" s="306">
        <f>ROUND(E646*$C646,0)</f>
        <v>35991</v>
      </c>
      <c r="H646" s="306">
        <f>ROUND(E646*$D646,0)</f>
        <v>33049</v>
      </c>
      <c r="I646" s="322">
        <f>$I$595</f>
        <v>11.67</v>
      </c>
      <c r="J646" s="309"/>
      <c r="K646" s="306">
        <f>ROUND(I646*$C646,0)</f>
        <v>39550</v>
      </c>
      <c r="M646" s="20"/>
      <c r="N646" s="20"/>
      <c r="O646" s="74"/>
      <c r="P646" s="74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</row>
    <row r="647" spans="1:29">
      <c r="A647" s="294" t="s">
        <v>450</v>
      </c>
      <c r="B647" s="1"/>
      <c r="C647" s="304">
        <v>126</v>
      </c>
      <c r="D647" s="304">
        <v>116</v>
      </c>
      <c r="E647" s="322">
        <f>$E$596</f>
        <v>59.61</v>
      </c>
      <c r="F647" s="309"/>
      <c r="G647" s="306">
        <f>ROUND(E647*$C647,0)</f>
        <v>7511</v>
      </c>
      <c r="H647" s="306">
        <f>ROUND(E647*$D647,0)</f>
        <v>6915</v>
      </c>
      <c r="I647" s="322">
        <f>$I$596</f>
        <v>65.48</v>
      </c>
      <c r="J647" s="309"/>
      <c r="K647" s="306">
        <f>ROUND(I647*$C647,0)</f>
        <v>8250</v>
      </c>
      <c r="M647" s="20"/>
      <c r="N647" s="20"/>
      <c r="O647" s="74"/>
      <c r="P647" s="74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</row>
    <row r="648" spans="1:29">
      <c r="A648" s="294" t="s">
        <v>451</v>
      </c>
      <c r="B648" s="1"/>
      <c r="C648" s="304">
        <v>1789</v>
      </c>
      <c r="D648" s="304">
        <v>1643</v>
      </c>
      <c r="E648" s="322">
        <f>$E$597</f>
        <v>119.22</v>
      </c>
      <c r="F648" s="309"/>
      <c r="G648" s="306">
        <f>ROUND(E648*$C648,0)</f>
        <v>213285</v>
      </c>
      <c r="H648" s="306">
        <f>ROUND(E648*$D648,0)</f>
        <v>195878</v>
      </c>
      <c r="I648" s="322">
        <f>$I$597</f>
        <v>130.96</v>
      </c>
      <c r="J648" s="309"/>
      <c r="K648" s="306">
        <f>ROUND(I648*$C648,0)</f>
        <v>234287</v>
      </c>
      <c r="M648" s="20"/>
      <c r="N648" s="20"/>
      <c r="O648" s="74"/>
      <c r="P648" s="74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</row>
    <row r="649" spans="1:29">
      <c r="A649" s="294" t="s">
        <v>452</v>
      </c>
      <c r="B649" s="1"/>
      <c r="C649" s="304"/>
      <c r="D649" s="304"/>
      <c r="E649" s="322"/>
      <c r="F649" s="309"/>
      <c r="G649" s="306"/>
      <c r="H649" s="306"/>
      <c r="I649" s="322"/>
      <c r="J649" s="309"/>
      <c r="K649" s="306"/>
      <c r="M649" s="20"/>
      <c r="N649" s="20"/>
      <c r="O649" s="74"/>
      <c r="P649" s="74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</row>
    <row r="650" spans="1:29">
      <c r="A650" s="294" t="s">
        <v>447</v>
      </c>
      <c r="B650" s="1"/>
      <c r="C650" s="304">
        <v>73</v>
      </c>
      <c r="D650" s="304">
        <f>ROUND(($D$676/$C$676)*C650,0)</f>
        <v>67</v>
      </c>
      <c r="E650" s="348">
        <f>-E642</f>
        <v>-19.87</v>
      </c>
      <c r="F650" s="309"/>
      <c r="G650" s="306">
        <f>ROUND(E650*$C650,0)</f>
        <v>-1451</v>
      </c>
      <c r="H650" s="306">
        <f>ROUND(E650*$D650,0)</f>
        <v>-1331</v>
      </c>
      <c r="I650" s="348">
        <f>-I642</f>
        <v>-21.83</v>
      </c>
      <c r="J650" s="309"/>
      <c r="K650" s="306">
        <f>ROUND(I650*$C650,0)</f>
        <v>-1594</v>
      </c>
      <c r="M650" s="20"/>
      <c r="N650" s="20"/>
      <c r="O650" s="74"/>
      <c r="P650" s="74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</row>
    <row r="651" spans="1:29">
      <c r="A651" s="294" t="s">
        <v>453</v>
      </c>
      <c r="B651" s="1"/>
      <c r="C651" s="304">
        <v>11428</v>
      </c>
      <c r="D651" s="304">
        <f>ROUND(($D$676/$C$676)*C651,0)</f>
        <v>10495</v>
      </c>
      <c r="E651" s="348">
        <f>-E644</f>
        <v>-19.87</v>
      </c>
      <c r="F651" s="309"/>
      <c r="G651" s="306">
        <f>ROUND(E651*$C651,0)</f>
        <v>-227074</v>
      </c>
      <c r="H651" s="306">
        <f>ROUND(E651*$D651,0)</f>
        <v>-208536</v>
      </c>
      <c r="I651" s="348">
        <f>-I644</f>
        <v>-21.83</v>
      </c>
      <c r="J651" s="309"/>
      <c r="K651" s="306">
        <f>ROUND(I651*$C651,0)</f>
        <v>-249473</v>
      </c>
      <c r="M651" s="20"/>
      <c r="N651" s="20"/>
      <c r="O651" s="74"/>
      <c r="P651" s="74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</row>
    <row r="652" spans="1:29">
      <c r="A652" s="308" t="s">
        <v>416</v>
      </c>
      <c r="B652" s="1"/>
      <c r="C652" s="304"/>
      <c r="D652" s="304"/>
      <c r="E652" s="322"/>
      <c r="F652" s="306"/>
      <c r="G652" s="306"/>
      <c r="H652" s="306"/>
      <c r="I652" s="322"/>
      <c r="J652" s="306"/>
      <c r="K652" s="306"/>
      <c r="M652" s="20"/>
      <c r="N652" s="20"/>
      <c r="O652" s="74"/>
      <c r="P652" s="74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</row>
    <row r="653" spans="1:29">
      <c r="A653" s="294" t="s">
        <v>454</v>
      </c>
      <c r="B653" s="1"/>
      <c r="C653" s="304">
        <f>5084272+75575644+56800989+6712400</f>
        <v>144173305</v>
      </c>
      <c r="D653" s="304">
        <f>ROUND(($D$676/$C$676)*C653,0)</f>
        <v>132402479</v>
      </c>
      <c r="E653" s="367">
        <f>$E$602</f>
        <v>5.3710000000000004</v>
      </c>
      <c r="F653" s="306" t="s">
        <v>364</v>
      </c>
      <c r="G653" s="306">
        <f>ROUND(E653/100*$C653,0)</f>
        <v>7743548</v>
      </c>
      <c r="H653" s="306">
        <f>ROUND(E653/100*$D653,0)</f>
        <v>7111337</v>
      </c>
      <c r="I653" s="367">
        <f>$I$602</f>
        <v>5.9</v>
      </c>
      <c r="J653" s="306" t="s">
        <v>364</v>
      </c>
      <c r="K653" s="306">
        <f>ROUND(I653/100*$C653,0)</f>
        <v>8506225</v>
      </c>
      <c r="M653" s="20"/>
      <c r="N653" s="20"/>
      <c r="O653" s="74"/>
      <c r="P653" s="74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</row>
    <row r="654" spans="1:29">
      <c r="A654" s="308" t="s">
        <v>390</v>
      </c>
      <c r="B654" s="1"/>
      <c r="C654" s="260">
        <f>1923+20850+3348</f>
        <v>26121</v>
      </c>
      <c r="D654" s="304">
        <f>ROUND(($D$676/$C$676)*C654,0)</f>
        <v>23988</v>
      </c>
      <c r="E654" s="324">
        <f>$E$603</f>
        <v>45</v>
      </c>
      <c r="F654" s="308" t="s">
        <v>364</v>
      </c>
      <c r="G654" s="306">
        <f>ROUND(E654*$C654/100,0)</f>
        <v>11754</v>
      </c>
      <c r="H654" s="306">
        <f>ROUND(E654*$D654/100,0)</f>
        <v>10795</v>
      </c>
      <c r="I654" s="324">
        <f>$I$603</f>
        <v>50</v>
      </c>
      <c r="J654" s="308" t="s">
        <v>364</v>
      </c>
      <c r="K654" s="306">
        <f>ROUND(I654*$C654/100,0)</f>
        <v>13061</v>
      </c>
      <c r="M654" s="20"/>
      <c r="N654" s="20"/>
      <c r="O654" s="74"/>
      <c r="P654" s="74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</row>
    <row r="655" spans="1:29">
      <c r="A655" s="345" t="s">
        <v>391</v>
      </c>
      <c r="B655" s="1"/>
      <c r="C655" s="304"/>
      <c r="D655" s="304"/>
      <c r="E655" s="317">
        <v>-0.01</v>
      </c>
      <c r="F655" s="2"/>
      <c r="G655" s="306"/>
      <c r="H655" s="306"/>
      <c r="I655" s="317">
        <v>-0.01</v>
      </c>
      <c r="J655" s="1"/>
      <c r="K655" s="306"/>
      <c r="M655" s="20"/>
      <c r="N655" s="20"/>
      <c r="O655" s="74"/>
      <c r="P655" s="74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</row>
    <row r="656" spans="1:29">
      <c r="A656" s="294" t="s">
        <v>380</v>
      </c>
      <c r="B656" s="1"/>
      <c r="C656" s="304">
        <v>0</v>
      </c>
      <c r="D656" s="304">
        <v>0</v>
      </c>
      <c r="E656" s="369">
        <f>E633</f>
        <v>0</v>
      </c>
      <c r="F656" s="309"/>
      <c r="G656" s="306">
        <f>ROUND(E656*$C656*$E$604,0)</f>
        <v>0</v>
      </c>
      <c r="H656" s="306">
        <f>ROUND(E656*$D656*$E$604,0)</f>
        <v>0</v>
      </c>
      <c r="I656" s="369">
        <f>I633</f>
        <v>0</v>
      </c>
      <c r="J656" s="309"/>
      <c r="K656" s="306">
        <f>ROUND(I656*$C656*$E$604,0)</f>
        <v>0</v>
      </c>
      <c r="M656" s="20"/>
      <c r="N656" s="20"/>
      <c r="O656" s="74"/>
      <c r="P656" s="74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</row>
    <row r="657" spans="1:29">
      <c r="A657" s="294" t="s">
        <v>381</v>
      </c>
      <c r="B657" s="1"/>
      <c r="C657" s="304"/>
      <c r="D657" s="304"/>
      <c r="E657" s="369"/>
      <c r="F657" s="309"/>
      <c r="G657" s="306"/>
      <c r="H657" s="306"/>
      <c r="I657" s="369"/>
      <c r="J657" s="309"/>
      <c r="K657" s="306"/>
      <c r="M657" s="20"/>
      <c r="N657" s="20"/>
      <c r="O657" s="74"/>
      <c r="P657" s="74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</row>
    <row r="658" spans="1:29">
      <c r="A658" s="294" t="s">
        <v>442</v>
      </c>
      <c r="B658" s="1"/>
      <c r="C658" s="304">
        <v>0</v>
      </c>
      <c r="D658" s="304">
        <v>0</v>
      </c>
      <c r="E658" s="369">
        <f>E635</f>
        <v>0</v>
      </c>
      <c r="F658" s="309"/>
      <c r="G658" s="306">
        <f>ROUND(E658*$C658*$E$604,0)</f>
        <v>0</v>
      </c>
      <c r="H658" s="306">
        <f>ROUND(E658*$D658*$E$604,0)</f>
        <v>0</v>
      </c>
      <c r="I658" s="369">
        <f>I635</f>
        <v>0</v>
      </c>
      <c r="J658" s="309"/>
      <c r="K658" s="306">
        <f>ROUND(I658*$C658*$E$604,0)</f>
        <v>0</v>
      </c>
      <c r="M658" s="20"/>
      <c r="N658" s="20"/>
      <c r="O658" s="74"/>
      <c r="P658" s="74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</row>
    <row r="659" spans="1:29">
      <c r="A659" s="294" t="s">
        <v>443</v>
      </c>
      <c r="B659" s="1"/>
      <c r="C659" s="304">
        <v>0</v>
      </c>
      <c r="D659" s="304">
        <v>0</v>
      </c>
      <c r="E659" s="369">
        <f>E636</f>
        <v>301</v>
      </c>
      <c r="F659" s="309"/>
      <c r="G659" s="306">
        <f>ROUND(E659*$C659*$E$604,0)</f>
        <v>0</v>
      </c>
      <c r="H659" s="306">
        <f>ROUND(E659*$D659*$E$604,0)</f>
        <v>0</v>
      </c>
      <c r="I659" s="369">
        <f>I636</f>
        <v>333</v>
      </c>
      <c r="J659" s="309"/>
      <c r="K659" s="306">
        <f>ROUND(I659*$C659*$E$604,0)</f>
        <v>0</v>
      </c>
      <c r="M659" s="20"/>
      <c r="N659" s="20"/>
      <c r="O659" s="74"/>
      <c r="P659" s="74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</row>
    <row r="660" spans="1:29">
      <c r="A660" s="294" t="s">
        <v>444</v>
      </c>
      <c r="B660" s="1"/>
      <c r="C660" s="304">
        <v>0</v>
      </c>
      <c r="D660" s="304">
        <v>0</v>
      </c>
      <c r="E660" s="369">
        <f>E637</f>
        <v>1215</v>
      </c>
      <c r="F660" s="309"/>
      <c r="G660" s="306">
        <f>ROUND(E660*$C660*$E$604,0)</f>
        <v>0</v>
      </c>
      <c r="H660" s="306">
        <f>ROUND(E660*$D660*$E$604,0)</f>
        <v>0</v>
      </c>
      <c r="I660" s="369">
        <f>I637</f>
        <v>1335</v>
      </c>
      <c r="J660" s="309"/>
      <c r="K660" s="306">
        <f>ROUND(I660*$C660*$E$604,0)</f>
        <v>0</v>
      </c>
      <c r="M660" s="20"/>
      <c r="N660" s="20"/>
      <c r="O660" s="74"/>
      <c r="P660" s="74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</row>
    <row r="661" spans="1:29">
      <c r="A661" s="294" t="s">
        <v>380</v>
      </c>
      <c r="B661" s="1"/>
      <c r="C661" s="304">
        <v>0</v>
      </c>
      <c r="D661" s="304">
        <v>0</v>
      </c>
      <c r="E661" s="369">
        <f>E642</f>
        <v>19.87</v>
      </c>
      <c r="F661" s="309"/>
      <c r="G661" s="306">
        <f>ROUND(E661*$C661*$E$604,0)</f>
        <v>0</v>
      </c>
      <c r="H661" s="306">
        <f>ROUND(E661*$D661*$E$604,0)</f>
        <v>0</v>
      </c>
      <c r="I661" s="369">
        <f>I642</f>
        <v>21.83</v>
      </c>
      <c r="J661" s="309"/>
      <c r="K661" s="306">
        <f>ROUND(I661*$C661*$E$604,0)</f>
        <v>0</v>
      </c>
      <c r="M661" s="20"/>
      <c r="N661" s="20"/>
      <c r="O661" s="74"/>
      <c r="P661" s="74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</row>
    <row r="662" spans="1:29">
      <c r="A662" s="294" t="s">
        <v>381</v>
      </c>
      <c r="B662" s="1"/>
      <c r="C662" s="304"/>
      <c r="D662" s="304"/>
      <c r="E662" s="369"/>
      <c r="F662" s="309"/>
      <c r="G662" s="306"/>
      <c r="H662" s="306"/>
      <c r="I662" s="369"/>
      <c r="J662" s="309"/>
      <c r="K662" s="306"/>
      <c r="M662" s="20"/>
      <c r="N662" s="20"/>
      <c r="O662" s="74"/>
      <c r="P662" s="74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</row>
    <row r="663" spans="1:29">
      <c r="A663" s="294" t="s">
        <v>442</v>
      </c>
      <c r="B663" s="1"/>
      <c r="C663" s="304">
        <v>0</v>
      </c>
      <c r="D663" s="304">
        <f>ROUND(($D$676/$C$676)*C663,0)</f>
        <v>0</v>
      </c>
      <c r="E663" s="369">
        <f>E644</f>
        <v>19.87</v>
      </c>
      <c r="F663" s="309"/>
      <c r="G663" s="306">
        <f>ROUND(E663*$C663*$E$604,0)</f>
        <v>0</v>
      </c>
      <c r="H663" s="306">
        <f>ROUND(E663*$D663*$E$604,0)</f>
        <v>0</v>
      </c>
      <c r="I663" s="369">
        <f>I644</f>
        <v>21.83</v>
      </c>
      <c r="J663" s="309"/>
      <c r="K663" s="306">
        <f>ROUND(I663*$C663*$E$604,0)</f>
        <v>0</v>
      </c>
      <c r="M663" s="20"/>
      <c r="N663" s="20"/>
      <c r="O663" s="74"/>
      <c r="P663" s="74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</row>
    <row r="664" spans="1:29">
      <c r="A664" s="294" t="s">
        <v>443</v>
      </c>
      <c r="B664" s="1"/>
      <c r="C664" s="304">
        <v>0</v>
      </c>
      <c r="D664" s="304">
        <f>ROUND(($D$676/$C$676)*C664,0)</f>
        <v>0</v>
      </c>
      <c r="E664" s="369">
        <f>E645</f>
        <v>13.64</v>
      </c>
      <c r="F664" s="309"/>
      <c r="G664" s="306">
        <f>ROUND(E664*$C664*$E$604,0)</f>
        <v>0</v>
      </c>
      <c r="H664" s="306">
        <f>ROUND(E664*$D664*$E$604,0)</f>
        <v>0</v>
      </c>
      <c r="I664" s="369">
        <f>I645</f>
        <v>14.98</v>
      </c>
      <c r="J664" s="309"/>
      <c r="K664" s="306">
        <f>ROUND(I664*$C664*$E$604,0)</f>
        <v>0</v>
      </c>
      <c r="M664" s="20"/>
      <c r="N664" s="20"/>
      <c r="O664" s="74"/>
      <c r="P664" s="74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</row>
    <row r="665" spans="1:29">
      <c r="A665" s="294" t="s">
        <v>444</v>
      </c>
      <c r="B665" s="1"/>
      <c r="C665" s="304">
        <v>0</v>
      </c>
      <c r="D665" s="304">
        <f>ROUND(($D$676/$C$676)*C665,0)</f>
        <v>0</v>
      </c>
      <c r="E665" s="369">
        <f>E646</f>
        <v>10.62</v>
      </c>
      <c r="F665" s="309"/>
      <c r="G665" s="306">
        <f>ROUND(E665*$C665*$E$604,0)</f>
        <v>0</v>
      </c>
      <c r="H665" s="306">
        <f>ROUND(E665*$D665*$E$604,0)</f>
        <v>0</v>
      </c>
      <c r="I665" s="369">
        <f>I646</f>
        <v>11.67</v>
      </c>
      <c r="J665" s="309"/>
      <c r="K665" s="306">
        <f>ROUND(I665*$C665*$E$604,0)</f>
        <v>0</v>
      </c>
      <c r="M665" s="20"/>
      <c r="N665" s="20"/>
      <c r="O665" s="74"/>
      <c r="P665" s="74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</row>
    <row r="666" spans="1:29">
      <c r="A666" s="294" t="s">
        <v>455</v>
      </c>
      <c r="B666" s="1"/>
      <c r="C666" s="304">
        <v>0</v>
      </c>
      <c r="D666" s="304">
        <v>0</v>
      </c>
      <c r="E666" s="338">
        <f>E647</f>
        <v>59.61</v>
      </c>
      <c r="F666" s="309"/>
      <c r="G666" s="306">
        <f>ROUND(E666*$C666*$E$604,0)</f>
        <v>0</v>
      </c>
      <c r="H666" s="306">
        <f>ROUND(E666*$D666*$E$604,0)</f>
        <v>0</v>
      </c>
      <c r="I666" s="338">
        <f>I647</f>
        <v>65.48</v>
      </c>
      <c r="J666" s="309"/>
      <c r="K666" s="306">
        <f>ROUND(I666*$C666*$E$604,0)</f>
        <v>0</v>
      </c>
      <c r="M666" s="20"/>
      <c r="N666" s="20"/>
      <c r="O666" s="74"/>
      <c r="P666" s="74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</row>
    <row r="667" spans="1:29">
      <c r="A667" s="294" t="s">
        <v>456</v>
      </c>
      <c r="B667" s="1"/>
      <c r="C667" s="304">
        <v>0</v>
      </c>
      <c r="D667" s="304">
        <v>0</v>
      </c>
      <c r="E667" s="338">
        <f>E648</f>
        <v>119.22</v>
      </c>
      <c r="F667" s="309"/>
      <c r="G667" s="306">
        <f>ROUND(E667*$C667*$E$604,0)</f>
        <v>0</v>
      </c>
      <c r="H667" s="306">
        <f>ROUND(E667*$D667*$E$604,0)</f>
        <v>0</v>
      </c>
      <c r="I667" s="338">
        <f>I648</f>
        <v>130.96</v>
      </c>
      <c r="J667" s="309"/>
      <c r="K667" s="306">
        <f>ROUND(I667*$C667*$E$604,0)</f>
        <v>0</v>
      </c>
      <c r="M667" s="20"/>
      <c r="N667" s="20"/>
      <c r="O667" s="74"/>
      <c r="P667" s="74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</row>
    <row r="668" spans="1:29">
      <c r="A668" s="294" t="s">
        <v>452</v>
      </c>
      <c r="B668" s="1"/>
      <c r="C668" s="304"/>
      <c r="D668" s="304"/>
      <c r="E668" s="322"/>
      <c r="F668" s="309"/>
      <c r="G668" s="306"/>
      <c r="H668" s="306"/>
      <c r="I668" s="322"/>
      <c r="J668" s="309"/>
      <c r="K668" s="306"/>
      <c r="M668" s="20"/>
      <c r="N668" s="20"/>
      <c r="O668" s="74"/>
      <c r="P668" s="74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</row>
    <row r="669" spans="1:29">
      <c r="A669" s="294" t="s">
        <v>447</v>
      </c>
      <c r="B669" s="1"/>
      <c r="C669" s="304">
        <v>0</v>
      </c>
      <c r="D669" s="304">
        <f>ROUND(($D$676/$C$676)*C669,0)</f>
        <v>0</v>
      </c>
      <c r="E669" s="348">
        <f>E650</f>
        <v>-19.87</v>
      </c>
      <c r="F669" s="309"/>
      <c r="G669" s="306">
        <f>ROUND(E669*$C669*$E$604,0)</f>
        <v>0</v>
      </c>
      <c r="H669" s="306">
        <f>ROUND(E669*$D669*$E$604,0)</f>
        <v>0</v>
      </c>
      <c r="I669" s="348">
        <f>I650</f>
        <v>-21.83</v>
      </c>
      <c r="J669" s="309"/>
      <c r="K669" s="306">
        <f>ROUND(I669*$C669*$E$604,0)</f>
        <v>0</v>
      </c>
      <c r="M669" s="20"/>
      <c r="N669" s="20"/>
      <c r="O669" s="74"/>
      <c r="P669" s="74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</row>
    <row r="670" spans="1:29">
      <c r="A670" s="294" t="s">
        <v>453</v>
      </c>
      <c r="B670" s="1"/>
      <c r="C670" s="304">
        <v>0</v>
      </c>
      <c r="D670" s="304">
        <f>ROUND(($D$676/$C$676)*C670,0)</f>
        <v>0</v>
      </c>
      <c r="E670" s="348">
        <f>E651</f>
        <v>-19.87</v>
      </c>
      <c r="F670" s="309"/>
      <c r="G670" s="306">
        <f>ROUND(E670*$C670*$E$604,0)</f>
        <v>0</v>
      </c>
      <c r="H670" s="306">
        <f>ROUND(E670*$D670*$E$604,0)</f>
        <v>0</v>
      </c>
      <c r="I670" s="348">
        <f>I651</f>
        <v>-21.83</v>
      </c>
      <c r="J670" s="309"/>
      <c r="K670" s="306">
        <f>ROUND(I670*$C670*$E$604,0)</f>
        <v>0</v>
      </c>
      <c r="M670" s="20"/>
      <c r="N670" s="20"/>
      <c r="O670" s="74"/>
      <c r="P670" s="74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</row>
    <row r="671" spans="1:29">
      <c r="A671" s="308" t="s">
        <v>416</v>
      </c>
      <c r="B671" s="1"/>
      <c r="C671" s="304"/>
      <c r="D671" s="304"/>
      <c r="E671" s="369"/>
      <c r="F671" s="306"/>
      <c r="G671" s="306"/>
      <c r="H671" s="306"/>
      <c r="I671" s="369"/>
      <c r="J671" s="306"/>
      <c r="K671" s="306"/>
      <c r="M671" s="20"/>
      <c r="N671" s="20"/>
      <c r="O671" s="74"/>
      <c r="P671" s="74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</row>
    <row r="672" spans="1:29">
      <c r="A672" s="294" t="s">
        <v>454</v>
      </c>
      <c r="B672" s="1"/>
      <c r="C672" s="304">
        <v>0</v>
      </c>
      <c r="D672" s="304">
        <f>ROUND(($D$676/$C$676)*C672,0)</f>
        <v>0</v>
      </c>
      <c r="E672" s="370">
        <f>E653</f>
        <v>5.3710000000000004</v>
      </c>
      <c r="F672" s="306" t="s">
        <v>364</v>
      </c>
      <c r="G672" s="306">
        <f>ROUND(E672/100*$C672*$E$604,0)</f>
        <v>0</v>
      </c>
      <c r="H672" s="306">
        <f>ROUND(E672/100*$D672*$E$604,0)</f>
        <v>0</v>
      </c>
      <c r="I672" s="370">
        <f>I653</f>
        <v>5.9</v>
      </c>
      <c r="J672" s="306" t="s">
        <v>364</v>
      </c>
      <c r="K672" s="306">
        <f>ROUND(I672/100*$C672*$E$604,0)</f>
        <v>0</v>
      </c>
      <c r="M672" s="20"/>
      <c r="N672" s="20"/>
      <c r="O672" s="74"/>
      <c r="P672" s="74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</row>
    <row r="673" spans="1:29">
      <c r="A673" s="308" t="s">
        <v>390</v>
      </c>
      <c r="B673" s="1"/>
      <c r="C673" s="304">
        <v>0</v>
      </c>
      <c r="D673" s="304">
        <f>ROUND(($D$676/$C$676)*C673,0)</f>
        <v>0</v>
      </c>
      <c r="E673" s="360">
        <f>E654</f>
        <v>45</v>
      </c>
      <c r="F673" s="306" t="s">
        <v>364</v>
      </c>
      <c r="G673" s="306">
        <f>ROUND(E673/100*$C673*$E$604,0)</f>
        <v>0</v>
      </c>
      <c r="H673" s="306">
        <f>ROUND(E673/100*$D673*$E$604,0)</f>
        <v>0</v>
      </c>
      <c r="I673" s="360">
        <f>I654</f>
        <v>50</v>
      </c>
      <c r="J673" s="308" t="s">
        <v>364</v>
      </c>
      <c r="K673" s="306">
        <f>ROUND(I673/100*$C673*$E$604,0)</f>
        <v>0</v>
      </c>
      <c r="M673" s="20"/>
      <c r="N673" s="20"/>
      <c r="O673" s="74"/>
      <c r="P673" s="74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</row>
    <row r="674" spans="1:29">
      <c r="A674" s="308" t="s">
        <v>433</v>
      </c>
      <c r="B674" s="1"/>
      <c r="C674" s="304">
        <v>0</v>
      </c>
      <c r="D674" s="304">
        <v>0</v>
      </c>
      <c r="E674" s="283">
        <f>$E$623</f>
        <v>60</v>
      </c>
      <c r="F674" s="349" t="s">
        <v>31</v>
      </c>
      <c r="G674" s="306">
        <f>ROUND(E674*$C674,0)</f>
        <v>0</v>
      </c>
      <c r="H674" s="306">
        <f>ROUND(E674*$D674,0)</f>
        <v>0</v>
      </c>
      <c r="I674" s="283">
        <f>$I$623</f>
        <v>60</v>
      </c>
      <c r="J674" s="1"/>
      <c r="K674" s="306">
        <f>ROUND(I674*$C674,0)</f>
        <v>0</v>
      </c>
      <c r="M674" s="20"/>
      <c r="N674" s="20"/>
      <c r="O674" s="74"/>
      <c r="P674" s="74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</row>
    <row r="675" spans="1:29">
      <c r="A675" s="308" t="s">
        <v>434</v>
      </c>
      <c r="B675" s="1"/>
      <c r="C675" s="304">
        <v>0</v>
      </c>
      <c r="D675" s="304">
        <f>ROUND(($D$676/$C$676)*C675,0)</f>
        <v>0</v>
      </c>
      <c r="E675" s="324">
        <f>$E$624</f>
        <v>-30</v>
      </c>
      <c r="F675" s="306" t="s">
        <v>364</v>
      </c>
      <c r="G675" s="306">
        <f>ROUND(E675*$C675,0)</f>
        <v>0</v>
      </c>
      <c r="H675" s="306">
        <f>ROUND(E675*$D675,0)</f>
        <v>0</v>
      </c>
      <c r="I675" s="324">
        <f>$I$624</f>
        <v>-30</v>
      </c>
      <c r="J675" s="306" t="s">
        <v>364</v>
      </c>
      <c r="K675" s="306">
        <f>ROUND(I675*$C675,0)</f>
        <v>0</v>
      </c>
      <c r="M675" s="20"/>
      <c r="N675" s="20"/>
      <c r="O675" s="74"/>
      <c r="P675" s="74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</row>
    <row r="676" spans="1:29">
      <c r="A676" s="1" t="s">
        <v>371</v>
      </c>
      <c r="B676" s="1"/>
      <c r="C676" s="304">
        <f>SUM(C653:C653)</f>
        <v>144173305</v>
      </c>
      <c r="D676" s="304">
        <v>132402479.40697747</v>
      </c>
      <c r="E676" s="315"/>
      <c r="F676" s="2"/>
      <c r="G676" s="2">
        <f>SUM(G633:G675)</f>
        <v>9419089</v>
      </c>
      <c r="H676" s="2">
        <f>SUM(H633:H675)</f>
        <v>8660203</v>
      </c>
      <c r="I676" s="315"/>
      <c r="J676" s="308"/>
      <c r="K676" s="2">
        <f>SUM(K633:K675)</f>
        <v>10347787</v>
      </c>
      <c r="M676" s="20"/>
      <c r="N676" s="20"/>
      <c r="O676" s="74"/>
      <c r="P676" s="74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</row>
    <row r="677" spans="1:29">
      <c r="A677" s="1" t="s">
        <v>353</v>
      </c>
      <c r="B677" s="1"/>
      <c r="C677" s="334" t="e">
        <f>#REF!</f>
        <v>#REF!</v>
      </c>
      <c r="D677" s="334">
        <v>0</v>
      </c>
      <c r="E677" s="294"/>
      <c r="F677" s="294"/>
      <c r="G677" s="295" t="e">
        <f>#REF!</f>
        <v>#REF!</v>
      </c>
      <c r="H677" s="295">
        <v>0</v>
      </c>
      <c r="I677" s="294"/>
      <c r="J677" s="294"/>
      <c r="K677" s="295" t="e">
        <f>G677</f>
        <v>#REF!</v>
      </c>
      <c r="M677" s="429"/>
      <c r="N677" s="429"/>
      <c r="O677" s="272"/>
      <c r="P677" s="74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</row>
    <row r="678" spans="1:29" ht="16.5" thickBot="1">
      <c r="A678" s="1" t="s">
        <v>372</v>
      </c>
      <c r="B678" s="1"/>
      <c r="C678" s="351" t="e">
        <f>SUM(C676:C677)</f>
        <v>#REF!</v>
      </c>
      <c r="D678" s="351">
        <f>SUM(D676:D677)</f>
        <v>132402479.40697747</v>
      </c>
      <c r="E678" s="327"/>
      <c r="F678" s="328"/>
      <c r="G678" s="329" t="e">
        <f>G676+G677</f>
        <v>#REF!</v>
      </c>
      <c r="H678" s="329">
        <f>H676+H677</f>
        <v>8660203</v>
      </c>
      <c r="I678" s="327"/>
      <c r="J678" s="330"/>
      <c r="K678" s="329" t="e">
        <f>K676+K677</f>
        <v>#REF!</v>
      </c>
      <c r="M678" s="396"/>
      <c r="N678" s="396"/>
      <c r="O678" s="455"/>
      <c r="P678" s="74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</row>
    <row r="679" spans="1:29" ht="16.5" thickTop="1">
      <c r="A679" s="1"/>
      <c r="B679" s="1"/>
      <c r="C679" s="26"/>
      <c r="D679" s="26"/>
      <c r="E679" s="336"/>
      <c r="F679" s="337"/>
      <c r="G679" s="307"/>
      <c r="H679" s="307"/>
      <c r="I679" s="371" t="s">
        <v>31</v>
      </c>
      <c r="J679" s="23"/>
      <c r="K679" s="257" t="s">
        <v>31</v>
      </c>
      <c r="M679" s="20"/>
      <c r="N679" s="20"/>
      <c r="O679" s="74"/>
      <c r="P679" s="74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</row>
    <row r="680" spans="1:29">
      <c r="A680" s="278" t="s">
        <v>457</v>
      </c>
      <c r="B680" s="1"/>
      <c r="C680" s="21"/>
      <c r="D680" s="21"/>
      <c r="E680" s="322"/>
      <c r="F680" s="2"/>
      <c r="G680" s="2"/>
      <c r="H680" s="2"/>
      <c r="I680" s="322"/>
      <c r="J680" s="1"/>
      <c r="K680" s="2"/>
      <c r="M680" s="20"/>
      <c r="N680" s="20"/>
      <c r="O680" s="74"/>
      <c r="P680" s="74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</row>
    <row r="681" spans="1:29">
      <c r="A681" s="294" t="s">
        <v>458</v>
      </c>
      <c r="B681" s="1"/>
      <c r="C681" s="21"/>
      <c r="D681" s="21"/>
      <c r="E681" s="322"/>
      <c r="F681" s="2"/>
      <c r="G681" s="2"/>
      <c r="H681" s="2"/>
      <c r="I681" s="322"/>
      <c r="J681" s="1"/>
      <c r="K681" s="2"/>
      <c r="M681" s="20"/>
      <c r="N681" s="20"/>
      <c r="O681" s="74"/>
      <c r="P681" s="74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</row>
    <row r="682" spans="1:29">
      <c r="A682" s="308"/>
      <c r="B682" s="1"/>
      <c r="C682" s="21"/>
      <c r="D682" s="21"/>
      <c r="E682" s="322"/>
      <c r="F682" s="2"/>
      <c r="G682" s="365"/>
      <c r="H682" s="365"/>
      <c r="I682" s="322"/>
      <c r="J682" s="1"/>
      <c r="K682" s="366"/>
      <c r="M682" s="20"/>
      <c r="N682" s="20"/>
      <c r="O682" s="74"/>
      <c r="P682" s="74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</row>
    <row r="683" spans="1:29">
      <c r="A683" s="294" t="s">
        <v>439</v>
      </c>
      <c r="B683" s="1"/>
      <c r="C683" s="304"/>
      <c r="D683" s="304"/>
      <c r="E683" s="2" t="s">
        <v>31</v>
      </c>
      <c r="F683" s="2"/>
      <c r="G683" s="1"/>
      <c r="H683" s="1"/>
      <c r="I683" s="2" t="s">
        <v>31</v>
      </c>
      <c r="J683" s="1"/>
      <c r="K683" s="1"/>
      <c r="M683" s="20"/>
      <c r="N683" s="20"/>
      <c r="O683" s="74"/>
      <c r="P683" s="74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</row>
    <row r="684" spans="1:29">
      <c r="A684" s="294" t="s">
        <v>440</v>
      </c>
      <c r="B684" s="1"/>
      <c r="C684" s="304">
        <v>161</v>
      </c>
      <c r="D684" s="304">
        <v>167</v>
      </c>
      <c r="E684" s="322">
        <f>$E$582</f>
        <v>0</v>
      </c>
      <c r="F684" s="309"/>
      <c r="G684" s="306">
        <f>ROUND(E684*$C684,0)</f>
        <v>0</v>
      </c>
      <c r="H684" s="306">
        <f>ROUND(E684*$D684,0)</f>
        <v>0</v>
      </c>
      <c r="I684" s="322">
        <f>$I$582</f>
        <v>0</v>
      </c>
      <c r="J684" s="309"/>
      <c r="K684" s="306">
        <f>ROUND(I684*$C684,0)</f>
        <v>0</v>
      </c>
      <c r="M684" s="20"/>
      <c r="N684" s="20"/>
      <c r="O684" s="74"/>
      <c r="P684" s="74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</row>
    <row r="685" spans="1:29">
      <c r="A685" s="294" t="s">
        <v>441</v>
      </c>
      <c r="B685" s="1"/>
      <c r="C685" s="304"/>
      <c r="D685" s="304"/>
      <c r="E685" s="322"/>
      <c r="F685" s="309"/>
      <c r="G685" s="306"/>
      <c r="H685" s="306"/>
      <c r="I685" s="322"/>
      <c r="J685" s="309"/>
      <c r="K685" s="306"/>
      <c r="M685" s="20"/>
      <c r="N685" s="20"/>
      <c r="O685" s="74"/>
      <c r="P685" s="74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</row>
    <row r="686" spans="1:29">
      <c r="A686" s="294" t="s">
        <v>442</v>
      </c>
      <c r="B686" s="1"/>
      <c r="C686" s="304">
        <v>387</v>
      </c>
      <c r="D686" s="304">
        <v>401</v>
      </c>
      <c r="E686" s="322">
        <f>$E$584</f>
        <v>0</v>
      </c>
      <c r="F686" s="309"/>
      <c r="G686" s="306">
        <f>ROUND(E686*$C686,0)</f>
        <v>0</v>
      </c>
      <c r="H686" s="306">
        <f>ROUND(E686*$D686,0)</f>
        <v>0</v>
      </c>
      <c r="I686" s="322">
        <f>$I$584</f>
        <v>0</v>
      </c>
      <c r="J686" s="309"/>
      <c r="K686" s="306">
        <f>ROUND(I686*$C686,0)</f>
        <v>0</v>
      </c>
      <c r="M686" s="20"/>
      <c r="N686" s="20"/>
      <c r="O686" s="74"/>
      <c r="P686" s="74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</row>
    <row r="687" spans="1:29">
      <c r="A687" s="294" t="s">
        <v>443</v>
      </c>
      <c r="B687" s="1"/>
      <c r="C687" s="304">
        <v>37</v>
      </c>
      <c r="D687" s="304">
        <v>38</v>
      </c>
      <c r="E687" s="322">
        <f>$E$585</f>
        <v>301</v>
      </c>
      <c r="F687" s="309"/>
      <c r="G687" s="306">
        <f>ROUND(E687*$C687,0)</f>
        <v>11137</v>
      </c>
      <c r="H687" s="306">
        <f>ROUND(E687*$D687,0)</f>
        <v>11438</v>
      </c>
      <c r="I687" s="322">
        <f>$I$585</f>
        <v>333</v>
      </c>
      <c r="J687" s="309"/>
      <c r="K687" s="306">
        <f>ROUND(I687*$C687,0)</f>
        <v>12321</v>
      </c>
      <c r="M687" s="20"/>
      <c r="N687" s="20"/>
      <c r="O687" s="74"/>
      <c r="P687" s="74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</row>
    <row r="688" spans="1:29">
      <c r="A688" s="294" t="s">
        <v>444</v>
      </c>
      <c r="B688" s="1"/>
      <c r="C688" s="304">
        <v>2</v>
      </c>
      <c r="D688" s="304">
        <v>2</v>
      </c>
      <c r="E688" s="322">
        <f>$E$586</f>
        <v>1215</v>
      </c>
      <c r="F688" s="309"/>
      <c r="G688" s="306">
        <f>ROUND(E688*$C688,0)</f>
        <v>2430</v>
      </c>
      <c r="H688" s="306">
        <f>ROUND(E688*$D688,0)</f>
        <v>2430</v>
      </c>
      <c r="I688" s="322">
        <f>$I$586</f>
        <v>1335</v>
      </c>
      <c r="J688" s="309"/>
      <c r="K688" s="306">
        <f>ROUND(I688*$C688,0)</f>
        <v>2670</v>
      </c>
      <c r="M688" s="20"/>
      <c r="N688" s="20"/>
      <c r="O688" s="74"/>
      <c r="P688" s="74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</row>
    <row r="689" spans="1:29">
      <c r="A689" s="294" t="s">
        <v>352</v>
      </c>
      <c r="B689" s="1"/>
      <c r="C689" s="304">
        <f>SUM(C684:C688)</f>
        <v>587</v>
      </c>
      <c r="D689" s="304">
        <v>608.93144040394361</v>
      </c>
      <c r="E689" s="322"/>
      <c r="F689" s="309"/>
      <c r="G689" s="306"/>
      <c r="H689" s="306"/>
      <c r="I689" s="322"/>
      <c r="J689" s="309"/>
      <c r="K689" s="306"/>
      <c r="M689" s="20"/>
      <c r="N689" s="20"/>
      <c r="O689" s="74"/>
      <c r="P689" s="74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</row>
    <row r="690" spans="1:29">
      <c r="A690" s="294" t="s">
        <v>445</v>
      </c>
      <c r="B690" s="1"/>
      <c r="C690" s="304">
        <f>4+8+1033+2769+281+16</f>
        <v>4111</v>
      </c>
      <c r="D690" s="304">
        <v>4265</v>
      </c>
      <c r="E690" s="322"/>
      <c r="F690" s="306"/>
      <c r="G690" s="306"/>
      <c r="H690" s="306"/>
      <c r="I690" s="322"/>
      <c r="J690" s="306"/>
      <c r="K690" s="306"/>
      <c r="M690" s="20"/>
      <c r="N690" s="20"/>
      <c r="O690" s="74"/>
      <c r="P690" s="74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</row>
    <row r="691" spans="1:29">
      <c r="A691" s="294" t="s">
        <v>104</v>
      </c>
      <c r="B691" s="1"/>
      <c r="C691" s="304">
        <f>1+1+181+460+38+2</f>
        <v>683</v>
      </c>
      <c r="D691" s="304">
        <v>709</v>
      </c>
      <c r="E691" s="322"/>
      <c r="F691" s="306"/>
      <c r="G691" s="306"/>
      <c r="H691" s="306"/>
      <c r="I691" s="322"/>
      <c r="J691" s="306"/>
      <c r="K691" s="306"/>
      <c r="M691" s="20"/>
      <c r="N691" s="20"/>
      <c r="O691" s="74"/>
      <c r="P691" s="74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</row>
    <row r="692" spans="1:29">
      <c r="A692" s="294" t="s">
        <v>446</v>
      </c>
      <c r="B692" s="1"/>
      <c r="C692" s="304"/>
      <c r="D692" s="304"/>
      <c r="E692" s="322"/>
      <c r="F692" s="309"/>
      <c r="G692" s="306"/>
      <c r="H692" s="306"/>
      <c r="I692" s="322"/>
      <c r="J692" s="309"/>
      <c r="K692" s="306"/>
      <c r="M692" s="20"/>
      <c r="N692" s="20"/>
      <c r="O692" s="74"/>
      <c r="P692" s="74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</row>
    <row r="693" spans="1:29">
      <c r="A693" s="294" t="s">
        <v>447</v>
      </c>
      <c r="B693" s="1"/>
      <c r="C693" s="304">
        <v>959</v>
      </c>
      <c r="D693" s="304">
        <f>ROUND(($D$727/$C$727)*C693,0)</f>
        <v>874</v>
      </c>
      <c r="E693" s="322">
        <f>$E$591</f>
        <v>19.87</v>
      </c>
      <c r="F693" s="309"/>
      <c r="G693" s="306">
        <f>ROUND(E693*$C693,0)</f>
        <v>19055</v>
      </c>
      <c r="H693" s="306">
        <f>ROUND(E693*$D693,0)</f>
        <v>17366</v>
      </c>
      <c r="I693" s="322">
        <f>$I$591</f>
        <v>21.83</v>
      </c>
      <c r="J693" s="309"/>
      <c r="K693" s="306">
        <f>ROUND(I693*$C693,0)</f>
        <v>20935</v>
      </c>
      <c r="M693" s="20"/>
      <c r="N693" s="20"/>
      <c r="O693" s="74"/>
      <c r="P693" s="74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</row>
    <row r="694" spans="1:29">
      <c r="A694" s="294" t="s">
        <v>448</v>
      </c>
      <c r="B694" s="1"/>
      <c r="C694" s="304"/>
      <c r="D694" s="304"/>
      <c r="E694" s="322"/>
      <c r="F694" s="309"/>
      <c r="G694" s="306"/>
      <c r="H694" s="306"/>
      <c r="I694" s="322"/>
      <c r="J694" s="309"/>
      <c r="K694" s="306"/>
      <c r="M694" s="20"/>
      <c r="N694" s="20"/>
      <c r="O694" s="74"/>
      <c r="P694" s="74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</row>
    <row r="695" spans="1:29">
      <c r="A695" s="294" t="s">
        <v>442</v>
      </c>
      <c r="B695" s="1"/>
      <c r="C695" s="304">
        <f>6331+40</f>
        <v>6371</v>
      </c>
      <c r="D695" s="304">
        <f>ROUND(($D$727/$C$727)*C695,0)</f>
        <v>5809</v>
      </c>
      <c r="E695" s="322">
        <f>$E$593</f>
        <v>19.87</v>
      </c>
      <c r="F695" s="309"/>
      <c r="G695" s="306">
        <f>ROUND(E695*$C695,0)</f>
        <v>126592</v>
      </c>
      <c r="H695" s="306">
        <f>ROUND(E695*$D695,0)</f>
        <v>115425</v>
      </c>
      <c r="I695" s="322">
        <f>$I$593</f>
        <v>21.83</v>
      </c>
      <c r="J695" s="309"/>
      <c r="K695" s="306">
        <f>ROUND(I695*$C695,0)</f>
        <v>139079</v>
      </c>
      <c r="M695" s="20"/>
      <c r="N695" s="20"/>
      <c r="O695" s="74"/>
      <c r="P695" s="74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</row>
    <row r="696" spans="1:29">
      <c r="A696" s="294" t="s">
        <v>443</v>
      </c>
      <c r="B696" s="1"/>
      <c r="C696" s="304">
        <f>3750</f>
        <v>3750</v>
      </c>
      <c r="D696" s="304">
        <f>ROUND(($D$727/$C$727)*C696,0)</f>
        <v>3419</v>
      </c>
      <c r="E696" s="322">
        <f>$E$594</f>
        <v>13.64</v>
      </c>
      <c r="F696" s="309"/>
      <c r="G696" s="306">
        <f>ROUND(E696*$C696,0)</f>
        <v>51150</v>
      </c>
      <c r="H696" s="306">
        <f>ROUND(E696*$D696,0)</f>
        <v>46635</v>
      </c>
      <c r="I696" s="322">
        <f>$I$594</f>
        <v>14.98</v>
      </c>
      <c r="J696" s="309"/>
      <c r="K696" s="306">
        <f>ROUND(I696*$C696,0)</f>
        <v>56175</v>
      </c>
      <c r="M696" s="20"/>
      <c r="N696" s="20"/>
      <c r="O696" s="74"/>
      <c r="P696" s="74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</row>
    <row r="697" spans="1:29">
      <c r="A697" s="294" t="s">
        <v>444</v>
      </c>
      <c r="B697" s="1"/>
      <c r="C697" s="304">
        <f>969</f>
        <v>969</v>
      </c>
      <c r="D697" s="304">
        <f>ROUND(($D$727/$C$727)*C697,0)</f>
        <v>884</v>
      </c>
      <c r="E697" s="322">
        <f>$E$595</f>
        <v>10.62</v>
      </c>
      <c r="F697" s="309"/>
      <c r="G697" s="306">
        <f>ROUND(E697*$C697,0)</f>
        <v>10291</v>
      </c>
      <c r="H697" s="306">
        <f>ROUND(E697*$D697,0)</f>
        <v>9388</v>
      </c>
      <c r="I697" s="322">
        <f>$I$595</f>
        <v>11.67</v>
      </c>
      <c r="J697" s="309"/>
      <c r="K697" s="306">
        <f>ROUND(I697*$C697,0)</f>
        <v>11308</v>
      </c>
      <c r="M697" s="20"/>
      <c r="N697" s="20"/>
      <c r="O697" s="74"/>
      <c r="P697" s="74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</row>
    <row r="698" spans="1:29">
      <c r="A698" s="294" t="s">
        <v>450</v>
      </c>
      <c r="B698" s="1"/>
      <c r="C698" s="304">
        <v>31</v>
      </c>
      <c r="D698" s="304">
        <v>28</v>
      </c>
      <c r="E698" s="322">
        <f>$E$596</f>
        <v>59.61</v>
      </c>
      <c r="F698" s="309"/>
      <c r="G698" s="306">
        <f>ROUND(E698*$C698,0)</f>
        <v>1848</v>
      </c>
      <c r="H698" s="306">
        <f>ROUND(E698*$D698,0)</f>
        <v>1669</v>
      </c>
      <c r="I698" s="322">
        <f>$I$596</f>
        <v>65.48</v>
      </c>
      <c r="J698" s="309"/>
      <c r="K698" s="306">
        <f>ROUND(I698*$C698,0)</f>
        <v>2030</v>
      </c>
      <c r="M698" s="20"/>
      <c r="N698" s="20"/>
      <c r="O698" s="74"/>
      <c r="P698" s="74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</row>
    <row r="699" spans="1:29">
      <c r="A699" s="294" t="s">
        <v>451</v>
      </c>
      <c r="B699" s="1"/>
      <c r="C699" s="304">
        <v>148</v>
      </c>
      <c r="D699" s="304">
        <v>135</v>
      </c>
      <c r="E699" s="322">
        <f>$E$597</f>
        <v>119.22</v>
      </c>
      <c r="F699" s="309"/>
      <c r="G699" s="306">
        <f>ROUND(E699*$C699,0)</f>
        <v>17645</v>
      </c>
      <c r="H699" s="306">
        <f>ROUND(E699*$D699,0)</f>
        <v>16095</v>
      </c>
      <c r="I699" s="322">
        <f>$I$597</f>
        <v>130.96</v>
      </c>
      <c r="J699" s="309"/>
      <c r="K699" s="306">
        <f>ROUND(I699*$C699,0)</f>
        <v>19382</v>
      </c>
      <c r="M699" s="20"/>
      <c r="N699" s="20"/>
      <c r="O699" s="74"/>
      <c r="P699" s="74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</row>
    <row r="700" spans="1:29">
      <c r="A700" s="294" t="s">
        <v>452</v>
      </c>
      <c r="B700" s="1"/>
      <c r="C700" s="304"/>
      <c r="D700" s="304"/>
      <c r="E700" s="322"/>
      <c r="F700" s="309"/>
      <c r="G700" s="306"/>
      <c r="H700" s="306"/>
      <c r="I700" s="322"/>
      <c r="J700" s="309"/>
      <c r="K700" s="306"/>
      <c r="M700" s="20"/>
      <c r="N700" s="20"/>
      <c r="O700" s="74"/>
      <c r="P700" s="74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</row>
    <row r="701" spans="1:29">
      <c r="A701" s="294" t="s">
        <v>447</v>
      </c>
      <c r="B701" s="1"/>
      <c r="C701" s="304">
        <v>23</v>
      </c>
      <c r="D701" s="304">
        <f>ROUND(($D$727/$C$727)*C701,0)</f>
        <v>21</v>
      </c>
      <c r="E701" s="348">
        <f>-E693</f>
        <v>-19.87</v>
      </c>
      <c r="F701" s="309"/>
      <c r="G701" s="306">
        <f>ROUND(E701*$C701,0)</f>
        <v>-457</v>
      </c>
      <c r="H701" s="306">
        <f>ROUND(E701*$D701,0)</f>
        <v>-417</v>
      </c>
      <c r="I701" s="348">
        <f>-I693</f>
        <v>-21.83</v>
      </c>
      <c r="J701" s="309"/>
      <c r="K701" s="306">
        <f>ROUND(I701*$C701,0)</f>
        <v>-502</v>
      </c>
      <c r="M701" s="20"/>
      <c r="N701" s="20"/>
      <c r="O701" s="74"/>
      <c r="P701" s="74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</row>
    <row r="702" spans="1:29">
      <c r="A702" s="294" t="s">
        <v>453</v>
      </c>
      <c r="B702" s="1"/>
      <c r="C702" s="304">
        <v>959</v>
      </c>
      <c r="D702" s="304">
        <f>ROUND(($D$727/$C$727)*C702,0)</f>
        <v>874</v>
      </c>
      <c r="E702" s="348">
        <f>-E695</f>
        <v>-19.87</v>
      </c>
      <c r="F702" s="309"/>
      <c r="G702" s="306">
        <f>ROUND(E702*$C702,0)</f>
        <v>-19055</v>
      </c>
      <c r="H702" s="306">
        <f>ROUND(E702*$D702,0)</f>
        <v>-17366</v>
      </c>
      <c r="I702" s="348">
        <f>-I695</f>
        <v>-21.83</v>
      </c>
      <c r="J702" s="309"/>
      <c r="K702" s="306">
        <f>ROUND(I702*$C702,0)</f>
        <v>-20935</v>
      </c>
      <c r="M702" s="20"/>
      <c r="N702" s="20"/>
      <c r="O702" s="74"/>
      <c r="P702" s="74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</row>
    <row r="703" spans="1:29">
      <c r="A703" s="308" t="s">
        <v>416</v>
      </c>
      <c r="B703" s="1"/>
      <c r="C703" s="304"/>
      <c r="D703" s="304"/>
      <c r="E703" s="322"/>
      <c r="F703" s="306"/>
      <c r="G703" s="306"/>
      <c r="H703" s="306"/>
      <c r="I703" s="322"/>
      <c r="J703" s="306"/>
      <c r="K703" s="306"/>
      <c r="M703" s="20"/>
      <c r="N703" s="20"/>
      <c r="O703" s="74"/>
      <c r="P703" s="74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</row>
    <row r="704" spans="1:29">
      <c r="A704" s="294" t="s">
        <v>454</v>
      </c>
      <c r="B704" s="1"/>
      <c r="C704" s="304">
        <f>25216+1069389+10368352+7152668+1908160</f>
        <v>20523785</v>
      </c>
      <c r="D704" s="304">
        <f>ROUND(($D$727/$C$727)*C704,0)</f>
        <v>18714383</v>
      </c>
      <c r="E704" s="367">
        <f>$E$602</f>
        <v>5.3710000000000004</v>
      </c>
      <c r="F704" s="306" t="s">
        <v>364</v>
      </c>
      <c r="G704" s="306">
        <f>ROUND(E704/100*$C704,0)</f>
        <v>1102332</v>
      </c>
      <c r="H704" s="306">
        <f>ROUND(E704/100*$D704,0)</f>
        <v>1005150</v>
      </c>
      <c r="I704" s="367">
        <f>$I$602</f>
        <v>5.9</v>
      </c>
      <c r="J704" s="306" t="s">
        <v>364</v>
      </c>
      <c r="K704" s="306">
        <f>ROUND(I704/100*$C704,0)</f>
        <v>1210903</v>
      </c>
      <c r="M704" s="20"/>
      <c r="N704" s="20"/>
      <c r="O704" s="74"/>
      <c r="P704" s="74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</row>
    <row r="705" spans="1:29">
      <c r="A705" s="308" t="s">
        <v>390</v>
      </c>
      <c r="B705" s="1"/>
      <c r="C705" s="304">
        <f>362+2244+156</f>
        <v>2762</v>
      </c>
      <c r="D705" s="304">
        <f>ROUND(($D$727/$C$727)*C705,0)</f>
        <v>2518</v>
      </c>
      <c r="E705" s="324">
        <f>$E$603</f>
        <v>45</v>
      </c>
      <c r="F705" s="308" t="s">
        <v>364</v>
      </c>
      <c r="G705" s="306">
        <f>ROUND(E705*$C705/100,0)</f>
        <v>1243</v>
      </c>
      <c r="H705" s="306">
        <f>ROUND(E705*$D705/100,0)</f>
        <v>1133</v>
      </c>
      <c r="I705" s="324">
        <f>$I$603</f>
        <v>50</v>
      </c>
      <c r="J705" s="308" t="s">
        <v>364</v>
      </c>
      <c r="K705" s="306">
        <f>ROUND(I705*$C705/100,0)</f>
        <v>1381</v>
      </c>
      <c r="M705" s="20"/>
      <c r="N705" s="20"/>
      <c r="O705" s="74"/>
      <c r="P705" s="74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</row>
    <row r="706" spans="1:29">
      <c r="A706" s="345" t="s">
        <v>391</v>
      </c>
      <c r="B706" s="1"/>
      <c r="C706" s="304"/>
      <c r="D706" s="304"/>
      <c r="E706" s="317">
        <v>-0.01</v>
      </c>
      <c r="F706" s="2"/>
      <c r="G706" s="306"/>
      <c r="H706" s="306"/>
      <c r="I706" s="317">
        <v>-0.01</v>
      </c>
      <c r="J706" s="1"/>
      <c r="K706" s="306"/>
      <c r="M706" s="20"/>
      <c r="N706" s="20"/>
      <c r="O706" s="74"/>
      <c r="P706" s="74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</row>
    <row r="707" spans="1:29">
      <c r="A707" s="294" t="s">
        <v>380</v>
      </c>
      <c r="B707" s="1"/>
      <c r="C707" s="304">
        <v>0</v>
      </c>
      <c r="D707" s="304">
        <v>0</v>
      </c>
      <c r="E707" s="369">
        <f>E684</f>
        <v>0</v>
      </c>
      <c r="F707" s="309"/>
      <c r="G707" s="306">
        <f>ROUND(E707*$C707*$E$604,0)</f>
        <v>0</v>
      </c>
      <c r="H707" s="306">
        <f>ROUND(E707*$D707*$E$604,0)</f>
        <v>0</v>
      </c>
      <c r="I707" s="369">
        <f>I684</f>
        <v>0</v>
      </c>
      <c r="J707" s="309"/>
      <c r="K707" s="306">
        <f>ROUND(I707*$C707*$E$604,0)</f>
        <v>0</v>
      </c>
      <c r="M707" s="20"/>
      <c r="N707" s="20"/>
      <c r="O707" s="74"/>
      <c r="P707" s="74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</row>
    <row r="708" spans="1:29">
      <c r="A708" s="294" t="s">
        <v>381</v>
      </c>
      <c r="B708" s="1"/>
      <c r="C708" s="304"/>
      <c r="D708" s="304"/>
      <c r="E708" s="369"/>
      <c r="F708" s="309"/>
      <c r="G708" s="306"/>
      <c r="H708" s="306"/>
      <c r="I708" s="369"/>
      <c r="J708" s="309"/>
      <c r="K708" s="306"/>
      <c r="M708" s="20"/>
      <c r="N708" s="20"/>
      <c r="O708" s="74"/>
      <c r="P708" s="74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</row>
    <row r="709" spans="1:29">
      <c r="A709" s="294" t="s">
        <v>442</v>
      </c>
      <c r="B709" s="1"/>
      <c r="C709" s="304">
        <v>1</v>
      </c>
      <c r="D709" s="304">
        <v>1</v>
      </c>
      <c r="E709" s="369">
        <f>E686</f>
        <v>0</v>
      </c>
      <c r="F709" s="309"/>
      <c r="G709" s="306">
        <f>ROUND(E709*$C709*$E$604,0)</f>
        <v>0</v>
      </c>
      <c r="H709" s="306">
        <f>ROUND(E709*$D709*$E$604,0)</f>
        <v>0</v>
      </c>
      <c r="I709" s="369">
        <f>I686</f>
        <v>0</v>
      </c>
      <c r="J709" s="309"/>
      <c r="K709" s="306">
        <f>ROUND(I709*$C709*$E$604,0)</f>
        <v>0</v>
      </c>
      <c r="M709" s="20"/>
      <c r="N709" s="20"/>
      <c r="O709" s="74"/>
      <c r="P709" s="74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</row>
    <row r="710" spans="1:29">
      <c r="A710" s="294" t="s">
        <v>443</v>
      </c>
      <c r="B710" s="1"/>
      <c r="C710" s="304">
        <v>0</v>
      </c>
      <c r="D710" s="304">
        <v>0</v>
      </c>
      <c r="E710" s="369">
        <f>E687</f>
        <v>301</v>
      </c>
      <c r="F710" s="309"/>
      <c r="G710" s="306">
        <f>ROUND(E710*$C710*$E$604,0)</f>
        <v>0</v>
      </c>
      <c r="H710" s="306">
        <f>ROUND(E710*$D710*$E$604,0)</f>
        <v>0</v>
      </c>
      <c r="I710" s="369">
        <f>I687</f>
        <v>333</v>
      </c>
      <c r="J710" s="309"/>
      <c r="K710" s="306">
        <f>ROUND(I710*$C710*$E$604,0)</f>
        <v>0</v>
      </c>
      <c r="M710" s="20"/>
      <c r="N710" s="20"/>
      <c r="O710" s="74"/>
      <c r="P710" s="74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</row>
    <row r="711" spans="1:29">
      <c r="A711" s="294" t="s">
        <v>444</v>
      </c>
      <c r="B711" s="1"/>
      <c r="C711" s="304">
        <v>0</v>
      </c>
      <c r="D711" s="304">
        <v>0</v>
      </c>
      <c r="E711" s="369">
        <f>E688</f>
        <v>1215</v>
      </c>
      <c r="F711" s="309"/>
      <c r="G711" s="306">
        <f>ROUND(E711*$C711*$E$604,0)</f>
        <v>0</v>
      </c>
      <c r="H711" s="306">
        <f>ROUND(E711*$D711*$E$604,0)</f>
        <v>0</v>
      </c>
      <c r="I711" s="369">
        <f>I688</f>
        <v>1335</v>
      </c>
      <c r="J711" s="309"/>
      <c r="K711" s="306">
        <f>ROUND(I711*$C711*$E$604,0)</f>
        <v>0</v>
      </c>
      <c r="M711" s="20"/>
      <c r="N711" s="20"/>
      <c r="O711" s="74"/>
      <c r="P711" s="74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</row>
    <row r="712" spans="1:29">
      <c r="A712" s="294" t="s">
        <v>380</v>
      </c>
      <c r="B712" s="1"/>
      <c r="C712" s="304">
        <v>0</v>
      </c>
      <c r="D712" s="304">
        <f>ROUND(($D$727/$C$727)*C712,0)</f>
        <v>0</v>
      </c>
      <c r="E712" s="369">
        <f>E693</f>
        <v>19.87</v>
      </c>
      <c r="F712" s="309"/>
      <c r="G712" s="306">
        <f>ROUND(E712*$C712*$E$604,0)</f>
        <v>0</v>
      </c>
      <c r="H712" s="306">
        <f>ROUND(E712*$D712*$E$604,0)</f>
        <v>0</v>
      </c>
      <c r="I712" s="369">
        <f>I693</f>
        <v>21.83</v>
      </c>
      <c r="J712" s="309"/>
      <c r="K712" s="306">
        <f>ROUND(I712*$C712*$E$604,0)</f>
        <v>0</v>
      </c>
      <c r="M712" s="20"/>
      <c r="N712" s="20"/>
      <c r="O712" s="74"/>
      <c r="P712" s="74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</row>
    <row r="713" spans="1:29">
      <c r="A713" s="294" t="s">
        <v>381</v>
      </c>
      <c r="B713" s="1"/>
      <c r="C713" s="304"/>
      <c r="D713" s="304"/>
      <c r="E713" s="369"/>
      <c r="F713" s="309"/>
      <c r="G713" s="306"/>
      <c r="H713" s="306"/>
      <c r="I713" s="369"/>
      <c r="J713" s="309"/>
      <c r="K713" s="306"/>
      <c r="M713" s="20"/>
      <c r="N713" s="20"/>
      <c r="O713" s="74"/>
      <c r="P713" s="74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</row>
    <row r="714" spans="1:29">
      <c r="A714" s="294" t="s">
        <v>442</v>
      </c>
      <c r="B714" s="1"/>
      <c r="C714" s="304">
        <v>40</v>
      </c>
      <c r="D714" s="304">
        <f>ROUND(($D$727/$C$727)*C714,0)</f>
        <v>36</v>
      </c>
      <c r="E714" s="369">
        <f>E695</f>
        <v>19.87</v>
      </c>
      <c r="F714" s="309"/>
      <c r="G714" s="306">
        <f>ROUND(E714*$C714*$E$604,0)</f>
        <v>-8</v>
      </c>
      <c r="H714" s="306">
        <f>ROUND(E714*$D714*$E$604,0)</f>
        <v>-7</v>
      </c>
      <c r="I714" s="369">
        <f>I695</f>
        <v>21.83</v>
      </c>
      <c r="J714" s="309"/>
      <c r="K714" s="306">
        <f>ROUND(I714*$C714*$E$604,0)</f>
        <v>-9</v>
      </c>
      <c r="M714" s="20"/>
      <c r="N714" s="20"/>
      <c r="O714" s="74"/>
      <c r="P714" s="74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</row>
    <row r="715" spans="1:29">
      <c r="A715" s="294" t="s">
        <v>443</v>
      </c>
      <c r="B715" s="1"/>
      <c r="C715" s="304">
        <v>0</v>
      </c>
      <c r="D715" s="304">
        <f>ROUND(($D$727/$C$727)*C715,0)</f>
        <v>0</v>
      </c>
      <c r="E715" s="369">
        <f>E696</f>
        <v>13.64</v>
      </c>
      <c r="F715" s="309"/>
      <c r="G715" s="306">
        <f>ROUND(E715*$C715*$E$604,0)</f>
        <v>0</v>
      </c>
      <c r="H715" s="306">
        <f>ROUND(E715*$D715*$E$604,0)</f>
        <v>0</v>
      </c>
      <c r="I715" s="369">
        <f>I696</f>
        <v>14.98</v>
      </c>
      <c r="J715" s="309"/>
      <c r="K715" s="306">
        <f>ROUND(I715*$C715*$E$604,0)</f>
        <v>0</v>
      </c>
      <c r="M715" s="20"/>
      <c r="N715" s="20"/>
      <c r="O715" s="74"/>
      <c r="P715" s="74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</row>
    <row r="716" spans="1:29">
      <c r="A716" s="294" t="s">
        <v>444</v>
      </c>
      <c r="B716" s="1"/>
      <c r="C716" s="304">
        <v>0</v>
      </c>
      <c r="D716" s="304">
        <f>ROUND(($D$727/$C$727)*C716,0)</f>
        <v>0</v>
      </c>
      <c r="E716" s="369">
        <f>E697</f>
        <v>10.62</v>
      </c>
      <c r="F716" s="309"/>
      <c r="G716" s="306">
        <f>ROUND(E716*$C716*$E$604,0)</f>
        <v>0</v>
      </c>
      <c r="H716" s="306">
        <f>ROUND(E716*$D716*$E$604,0)</f>
        <v>0</v>
      </c>
      <c r="I716" s="369">
        <f>I697</f>
        <v>11.67</v>
      </c>
      <c r="J716" s="309"/>
      <c r="K716" s="306">
        <f>ROUND(I716*$C716*$E$604,0)</f>
        <v>0</v>
      </c>
      <c r="M716" s="20"/>
      <c r="N716" s="20"/>
      <c r="O716" s="74"/>
      <c r="P716" s="74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</row>
    <row r="717" spans="1:29">
      <c r="A717" s="294" t="s">
        <v>455</v>
      </c>
      <c r="B717" s="1"/>
      <c r="C717" s="304">
        <v>0</v>
      </c>
      <c r="D717" s="304">
        <v>0</v>
      </c>
      <c r="E717" s="338">
        <f>E698</f>
        <v>59.61</v>
      </c>
      <c r="F717" s="309"/>
      <c r="G717" s="306">
        <f>ROUND(E717*$C717*$E$604,0)</f>
        <v>0</v>
      </c>
      <c r="H717" s="306">
        <f>ROUND(E717*$D717*$E$604,0)</f>
        <v>0</v>
      </c>
      <c r="I717" s="338">
        <f>I698</f>
        <v>65.48</v>
      </c>
      <c r="J717" s="309"/>
      <c r="K717" s="306">
        <f>ROUND(I717*$C717*$E$604,0)</f>
        <v>0</v>
      </c>
      <c r="M717" s="20"/>
      <c r="N717" s="20"/>
      <c r="O717" s="74"/>
      <c r="P717" s="74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</row>
    <row r="718" spans="1:29">
      <c r="A718" s="294" t="s">
        <v>456</v>
      </c>
      <c r="B718" s="1"/>
      <c r="C718" s="304">
        <v>0</v>
      </c>
      <c r="D718" s="304">
        <v>0</v>
      </c>
      <c r="E718" s="338">
        <f>E699</f>
        <v>119.22</v>
      </c>
      <c r="F718" s="309"/>
      <c r="G718" s="306">
        <f>ROUND(E718*$C718*$E$604,0)</f>
        <v>0</v>
      </c>
      <c r="H718" s="306">
        <f>ROUND(E718*$D718*$E$604,0)</f>
        <v>0</v>
      </c>
      <c r="I718" s="338">
        <f>I699</f>
        <v>130.96</v>
      </c>
      <c r="J718" s="309"/>
      <c r="K718" s="306">
        <f>ROUND(I718*$C718*$E$604,0)</f>
        <v>0</v>
      </c>
      <c r="M718" s="20"/>
      <c r="N718" s="20"/>
      <c r="O718" s="74"/>
      <c r="P718" s="74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</row>
    <row r="719" spans="1:29">
      <c r="A719" s="294" t="s">
        <v>452</v>
      </c>
      <c r="B719" s="1"/>
      <c r="C719" s="304"/>
      <c r="D719" s="304"/>
      <c r="E719" s="322"/>
      <c r="F719" s="309"/>
      <c r="G719" s="306"/>
      <c r="H719" s="306"/>
      <c r="I719" s="322"/>
      <c r="J719" s="309"/>
      <c r="K719" s="306"/>
      <c r="M719" s="20"/>
      <c r="N719" s="20"/>
      <c r="O719" s="74"/>
      <c r="P719" s="74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</row>
    <row r="720" spans="1:29">
      <c r="A720" s="294" t="s">
        <v>447</v>
      </c>
      <c r="B720" s="1"/>
      <c r="C720" s="304">
        <v>0</v>
      </c>
      <c r="D720" s="304">
        <f>ROUND(($D$727/$C$727)*C720,0)</f>
        <v>0</v>
      </c>
      <c r="E720" s="348">
        <f>E701</f>
        <v>-19.87</v>
      </c>
      <c r="F720" s="309"/>
      <c r="G720" s="306">
        <f>ROUND(E720*$C720*$E$604,0)</f>
        <v>0</v>
      </c>
      <c r="H720" s="306">
        <f>ROUND(E720*$D720*$E$604,0)</f>
        <v>0</v>
      </c>
      <c r="I720" s="348">
        <f>I701</f>
        <v>-21.83</v>
      </c>
      <c r="J720" s="309"/>
      <c r="K720" s="306">
        <f>ROUND(I720*$C720*$E$604,0)</f>
        <v>0</v>
      </c>
      <c r="M720" s="20"/>
      <c r="N720" s="20"/>
      <c r="O720" s="74"/>
      <c r="P720" s="74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</row>
    <row r="721" spans="1:29">
      <c r="A721" s="294" t="s">
        <v>453</v>
      </c>
      <c r="B721" s="1"/>
      <c r="C721" s="304">
        <v>0</v>
      </c>
      <c r="D721" s="304">
        <f>ROUND(($D$727/$C$727)*C721,0)</f>
        <v>0</v>
      </c>
      <c r="E721" s="348">
        <f>E702</f>
        <v>-19.87</v>
      </c>
      <c r="F721" s="309"/>
      <c r="G721" s="306">
        <f>ROUND(E721*$C721*$E$604,0)</f>
        <v>0</v>
      </c>
      <c r="H721" s="306">
        <f>ROUND(E721*$D721*$E$604,0)</f>
        <v>0</v>
      </c>
      <c r="I721" s="348">
        <f>I702</f>
        <v>-21.83</v>
      </c>
      <c r="J721" s="309"/>
      <c r="K721" s="306">
        <f>ROUND(I721*$C721*$E$604,0)</f>
        <v>0</v>
      </c>
      <c r="M721" s="20"/>
      <c r="N721" s="20"/>
      <c r="O721" s="74"/>
      <c r="P721" s="74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</row>
    <row r="722" spans="1:29">
      <c r="A722" s="308" t="s">
        <v>416</v>
      </c>
      <c r="B722" s="1"/>
      <c r="C722" s="304"/>
      <c r="D722" s="304"/>
      <c r="E722" s="369"/>
      <c r="F722" s="306"/>
      <c r="G722" s="306"/>
      <c r="H722" s="306"/>
      <c r="I722" s="369"/>
      <c r="J722" s="306"/>
      <c r="K722" s="306"/>
      <c r="M722" s="20"/>
      <c r="N722" s="20"/>
      <c r="O722" s="74"/>
      <c r="P722" s="74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</row>
    <row r="723" spans="1:29">
      <c r="A723" s="294" t="s">
        <v>454</v>
      </c>
      <c r="B723" s="1"/>
      <c r="C723" s="304">
        <f>25216</f>
        <v>25216</v>
      </c>
      <c r="D723" s="304">
        <f>ROUND(($D$727/$C$727)*C723,0)</f>
        <v>22993</v>
      </c>
      <c r="E723" s="370">
        <f>E704</f>
        <v>5.3710000000000004</v>
      </c>
      <c r="F723" s="306" t="s">
        <v>364</v>
      </c>
      <c r="G723" s="306">
        <f>ROUND(E723/100*$C723*$E$604,0)</f>
        <v>-14</v>
      </c>
      <c r="H723" s="306">
        <f>ROUND(E723/100*$D723*$E$604,0)</f>
        <v>-12</v>
      </c>
      <c r="I723" s="370">
        <f>I704</f>
        <v>5.9</v>
      </c>
      <c r="J723" s="306" t="s">
        <v>364</v>
      </c>
      <c r="K723" s="306">
        <f>ROUND(I723/100*$C723*$E$604,0)</f>
        <v>-15</v>
      </c>
      <c r="M723" s="20"/>
      <c r="N723" s="20"/>
      <c r="O723" s="74"/>
      <c r="P723" s="74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</row>
    <row r="724" spans="1:29">
      <c r="A724" s="308" t="s">
        <v>390</v>
      </c>
      <c r="B724" s="1"/>
      <c r="C724" s="304">
        <v>0</v>
      </c>
      <c r="D724" s="304">
        <f>ROUND(($D$727/$C$727)*C724,0)</f>
        <v>0</v>
      </c>
      <c r="E724" s="360">
        <f>E705</f>
        <v>45</v>
      </c>
      <c r="F724" s="306" t="s">
        <v>364</v>
      </c>
      <c r="G724" s="306">
        <f>ROUND(E724/100*$C724*$E$604,0)</f>
        <v>0</v>
      </c>
      <c r="H724" s="306">
        <f>ROUND(E724/100*$D724*$E$604,0)</f>
        <v>0</v>
      </c>
      <c r="I724" s="360">
        <f>I705</f>
        <v>50</v>
      </c>
      <c r="J724" s="308" t="s">
        <v>364</v>
      </c>
      <c r="K724" s="306">
        <f>ROUND(I724/100*$C724*$E$604,0)</f>
        <v>0</v>
      </c>
      <c r="M724" s="20"/>
      <c r="N724" s="20"/>
      <c r="O724" s="74"/>
      <c r="P724" s="74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</row>
    <row r="725" spans="1:29">
      <c r="A725" s="308" t="s">
        <v>433</v>
      </c>
      <c r="B725" s="1"/>
      <c r="C725" s="304">
        <f>5+7</f>
        <v>12</v>
      </c>
      <c r="D725" s="304">
        <v>12</v>
      </c>
      <c r="E725" s="283">
        <f>$E$623</f>
        <v>60</v>
      </c>
      <c r="F725" s="349" t="s">
        <v>31</v>
      </c>
      <c r="G725" s="306">
        <f>ROUND(E725*$C725,0)</f>
        <v>720</v>
      </c>
      <c r="H725" s="306">
        <f>ROUND(E725*$D725,0)</f>
        <v>720</v>
      </c>
      <c r="I725" s="283">
        <f>$I$623</f>
        <v>60</v>
      </c>
      <c r="J725" s="1"/>
      <c r="K725" s="306">
        <f>ROUND(I725*$C725,0)</f>
        <v>720</v>
      </c>
      <c r="M725" s="20"/>
      <c r="N725" s="20"/>
      <c r="O725" s="74"/>
      <c r="P725" s="74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</row>
    <row r="726" spans="1:29">
      <c r="A726" s="308" t="s">
        <v>434</v>
      </c>
      <c r="B726" s="1"/>
      <c r="C726" s="304">
        <f>8*C714</f>
        <v>320</v>
      </c>
      <c r="D726" s="304">
        <f>ROUND(($D$727/$C$727)*C726,0)</f>
        <v>292</v>
      </c>
      <c r="E726" s="324">
        <f>$E$624</f>
        <v>-30</v>
      </c>
      <c r="F726" s="306" t="s">
        <v>364</v>
      </c>
      <c r="G726" s="306">
        <f>ROUND(E726*$C726/100,0)</f>
        <v>-96</v>
      </c>
      <c r="H726" s="306">
        <f>ROUND(E726*$D726/100,0)</f>
        <v>-88</v>
      </c>
      <c r="I726" s="324">
        <f>$I$624</f>
        <v>-30</v>
      </c>
      <c r="J726" s="306" t="s">
        <v>364</v>
      </c>
      <c r="K726" s="306">
        <f>ROUND(I726*$C726/100,0)</f>
        <v>-96</v>
      </c>
      <c r="M726" s="20"/>
      <c r="N726" s="20"/>
      <c r="O726" s="74"/>
      <c r="P726" s="74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</row>
    <row r="727" spans="1:29">
      <c r="A727" s="1" t="s">
        <v>371</v>
      </c>
      <c r="B727" s="1"/>
      <c r="C727" s="304">
        <f>SUM(C704:C704)</f>
        <v>20523785</v>
      </c>
      <c r="D727" s="304">
        <v>18714383.130874861</v>
      </c>
      <c r="E727" s="315"/>
      <c r="F727" s="2"/>
      <c r="G727" s="2">
        <f>SUM(G684:G726)</f>
        <v>1324813</v>
      </c>
      <c r="H727" s="2">
        <f>SUM(H684:H726)</f>
        <v>1209559</v>
      </c>
      <c r="I727" s="315"/>
      <c r="J727" s="308"/>
      <c r="K727" s="2">
        <f>SUM(K684:K726)</f>
        <v>1455347</v>
      </c>
      <c r="M727" s="20"/>
      <c r="N727" s="20"/>
      <c r="O727" s="74"/>
      <c r="P727" s="74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</row>
    <row r="728" spans="1:29">
      <c r="A728" s="1" t="s">
        <v>353</v>
      </c>
      <c r="B728" s="1"/>
      <c r="C728" s="334" t="e">
        <f>#REF!</f>
        <v>#REF!</v>
      </c>
      <c r="D728" s="334">
        <v>0</v>
      </c>
      <c r="E728" s="294"/>
      <c r="F728" s="294"/>
      <c r="G728" s="295" t="e">
        <f>#REF!</f>
        <v>#REF!</v>
      </c>
      <c r="H728" s="295">
        <v>0</v>
      </c>
      <c r="I728" s="294"/>
      <c r="J728" s="294"/>
      <c r="K728" s="295" t="e">
        <f>G728</f>
        <v>#REF!</v>
      </c>
      <c r="M728" s="429"/>
      <c r="N728" s="429"/>
      <c r="O728" s="272"/>
      <c r="P728" s="74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</row>
    <row r="729" spans="1:29" ht="16.5" thickBot="1">
      <c r="A729" s="1" t="s">
        <v>372</v>
      </c>
      <c r="B729" s="1"/>
      <c r="C729" s="351" t="e">
        <f>SUM(C727:C728)</f>
        <v>#REF!</v>
      </c>
      <c r="D729" s="351">
        <f>SUM(D727:D728)</f>
        <v>18714383.130874861</v>
      </c>
      <c r="E729" s="327"/>
      <c r="F729" s="328"/>
      <c r="G729" s="329" t="e">
        <f>G727+G728</f>
        <v>#REF!</v>
      </c>
      <c r="H729" s="329">
        <f>H727+H728</f>
        <v>1209559</v>
      </c>
      <c r="I729" s="327"/>
      <c r="J729" s="330"/>
      <c r="K729" s="329" t="e">
        <f>K727+K728</f>
        <v>#REF!</v>
      </c>
      <c r="M729" s="396"/>
      <c r="N729" s="396"/>
      <c r="O729" s="455"/>
      <c r="P729" s="74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</row>
    <row r="730" spans="1:29" ht="16.5" thickTop="1">
      <c r="A730" s="288"/>
      <c r="B730" s="363"/>
      <c r="C730" s="288"/>
      <c r="D730" s="288"/>
      <c r="E730" s="21"/>
      <c r="F730" s="21"/>
      <c r="G730" s="364"/>
      <c r="H730" s="364"/>
      <c r="I730" s="288"/>
      <c r="J730" s="288"/>
      <c r="K730" s="288"/>
      <c r="M730" s="20"/>
      <c r="N730" s="20"/>
      <c r="O730" s="74"/>
      <c r="P730" s="74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</row>
    <row r="731" spans="1:29">
      <c r="A731" s="278" t="s">
        <v>459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20"/>
      <c r="N731" s="20"/>
      <c r="O731" s="74"/>
      <c r="P731" s="74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</row>
    <row r="732" spans="1:29">
      <c r="A732" s="294" t="s">
        <v>460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20"/>
      <c r="N732" s="20"/>
      <c r="O732" s="74"/>
      <c r="P732" s="74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</row>
    <row r="733" spans="1:29">
      <c r="A733" s="308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20"/>
      <c r="N733" s="20"/>
      <c r="O733" s="74"/>
      <c r="P733" s="74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</row>
    <row r="734" spans="1:29">
      <c r="A734" s="308" t="s">
        <v>383</v>
      </c>
      <c r="B734" s="1"/>
      <c r="C734" s="304"/>
      <c r="D734" s="304"/>
      <c r="E734" s="2"/>
      <c r="F734" s="2"/>
      <c r="G734" s="1"/>
      <c r="H734" s="1"/>
      <c r="I734" s="2"/>
      <c r="J734" s="1"/>
      <c r="K734" s="1"/>
      <c r="M734" s="20"/>
      <c r="N734" s="20"/>
      <c r="O734" s="74"/>
      <c r="P734" s="74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</row>
    <row r="735" spans="1:29">
      <c r="A735" s="308" t="s">
        <v>461</v>
      </c>
      <c r="B735" s="1"/>
      <c r="C735" s="304">
        <v>12</v>
      </c>
      <c r="D735" s="304">
        <v>12</v>
      </c>
      <c r="E735" s="369">
        <f t="shared" ref="E735:E740" si="61">E794</f>
        <v>1205</v>
      </c>
      <c r="F735" s="322"/>
      <c r="G735" s="2">
        <f>ROUND(E735*$C735,0)</f>
        <v>14460</v>
      </c>
      <c r="H735" s="2">
        <f>ROUND(E735*$D735,0)</f>
        <v>14460</v>
      </c>
      <c r="I735" s="369">
        <f t="shared" ref="I735:I740" si="62">I794</f>
        <v>1330</v>
      </c>
      <c r="J735" s="306"/>
      <c r="K735" s="2">
        <f>ROUND(I735*$C735,0)</f>
        <v>15960</v>
      </c>
      <c r="M735" s="84">
        <f>I735*D735</f>
        <v>15960</v>
      </c>
      <c r="O735" s="14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</row>
    <row r="736" spans="1:29">
      <c r="A736" s="308" t="s">
        <v>462</v>
      </c>
      <c r="B736" s="1"/>
      <c r="C736" s="304">
        <v>0</v>
      </c>
      <c r="D736" s="304">
        <v>0</v>
      </c>
      <c r="E736" s="369">
        <f t="shared" si="61"/>
        <v>1450</v>
      </c>
      <c r="F736" s="322"/>
      <c r="G736" s="2">
        <f>ROUND(E736*$C736,0)</f>
        <v>0</v>
      </c>
      <c r="H736" s="2">
        <f>ROUND(E736*$D736,0)</f>
        <v>0</v>
      </c>
      <c r="I736" s="369">
        <f t="shared" si="62"/>
        <v>1600</v>
      </c>
      <c r="J736" s="309"/>
      <c r="K736" s="2">
        <f>ROUND(I736*$C736,0)</f>
        <v>0</v>
      </c>
      <c r="M736" s="84">
        <f>I736*D736</f>
        <v>0</v>
      </c>
      <c r="O736" s="14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</row>
    <row r="737" spans="1:29">
      <c r="A737" s="308" t="s">
        <v>384</v>
      </c>
      <c r="B737" s="1"/>
      <c r="C737" s="304">
        <f>SUM(C735:C736)</f>
        <v>12</v>
      </c>
      <c r="D737" s="304">
        <f>SUM(D735:D736)</f>
        <v>12</v>
      </c>
      <c r="E737" s="369" t="str">
        <f t="shared" si="61"/>
        <v xml:space="preserve"> </v>
      </c>
      <c r="F737" s="322"/>
      <c r="G737" s="2" t="s">
        <v>31</v>
      </c>
      <c r="H737" s="2" t="s">
        <v>31</v>
      </c>
      <c r="I737" s="369" t="str">
        <f t="shared" si="62"/>
        <v xml:space="preserve"> </v>
      </c>
      <c r="J737" s="306"/>
      <c r="K737" s="2" t="s">
        <v>31</v>
      </c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</row>
    <row r="738" spans="1:29">
      <c r="A738" s="308" t="s">
        <v>463</v>
      </c>
      <c r="B738" s="1"/>
      <c r="C738" s="304">
        <f>14980</f>
        <v>14980</v>
      </c>
      <c r="D738" s="304">
        <f>ROUND(($D$758/$C$758)*C738,0)</f>
        <v>28971</v>
      </c>
      <c r="E738" s="369">
        <f t="shared" si="61"/>
        <v>0.91</v>
      </c>
      <c r="F738" s="322"/>
      <c r="G738" s="2">
        <f>ROUND(E738*$C738,0)</f>
        <v>13632</v>
      </c>
      <c r="H738" s="2">
        <f>ROUND(E738*$D738,0)</f>
        <v>26364</v>
      </c>
      <c r="I738" s="369">
        <f t="shared" si="62"/>
        <v>1.01</v>
      </c>
      <c r="J738" s="306"/>
      <c r="K738" s="2">
        <f>ROUND(I738*$C738,0)</f>
        <v>15130</v>
      </c>
      <c r="M738" s="84">
        <f>I738*D738</f>
        <v>29260.71</v>
      </c>
      <c r="O738" s="14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</row>
    <row r="739" spans="1:29">
      <c r="A739" s="308" t="s">
        <v>464</v>
      </c>
      <c r="B739" s="1"/>
      <c r="C739" s="304">
        <v>0</v>
      </c>
      <c r="D739" s="304">
        <v>0</v>
      </c>
      <c r="E739" s="369">
        <f t="shared" si="61"/>
        <v>0.83</v>
      </c>
      <c r="F739" s="322"/>
      <c r="G739" s="2">
        <f>ROUND(E739*$C739,0)</f>
        <v>0</v>
      </c>
      <c r="H739" s="2">
        <f>ROUND(E739*$D739,0)</f>
        <v>0</v>
      </c>
      <c r="I739" s="369">
        <f t="shared" si="62"/>
        <v>0.92</v>
      </c>
      <c r="J739" s="306"/>
      <c r="K739" s="2">
        <f>ROUND(I739*$C739,0)</f>
        <v>0</v>
      </c>
      <c r="M739" s="84">
        <f>I739*D739</f>
        <v>0</v>
      </c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</row>
    <row r="740" spans="1:29">
      <c r="A740" s="294" t="s">
        <v>393</v>
      </c>
      <c r="B740" s="1"/>
      <c r="C740" s="304">
        <f>10820</f>
        <v>10820</v>
      </c>
      <c r="D740" s="304">
        <f>ROUND(($D$758/$C$758)*C740,0)</f>
        <v>20926</v>
      </c>
      <c r="E740" s="369">
        <f t="shared" si="61"/>
        <v>6.03</v>
      </c>
      <c r="F740" s="322"/>
      <c r="G740" s="2">
        <f>ROUND(E740*$C740,0)</f>
        <v>65245</v>
      </c>
      <c r="H740" s="2">
        <f>ROUND(E740*$D740,0)</f>
        <v>126184</v>
      </c>
      <c r="I740" s="369">
        <f t="shared" si="62"/>
        <v>6.53</v>
      </c>
      <c r="J740" s="306"/>
      <c r="K740" s="2">
        <f>ROUND(I740*$C740,0)</f>
        <v>70655</v>
      </c>
      <c r="M740" s="84">
        <f>I740*D740</f>
        <v>136646.78</v>
      </c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</row>
    <row r="741" spans="1:29">
      <c r="A741" s="308" t="s">
        <v>416</v>
      </c>
      <c r="B741" s="1"/>
      <c r="C741" s="304"/>
      <c r="D741" s="304"/>
      <c r="E741" s="369"/>
      <c r="F741" s="322"/>
      <c r="G741" s="2"/>
      <c r="H741" s="2"/>
      <c r="I741" s="369"/>
      <c r="J741" s="306"/>
      <c r="K741" s="2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</row>
    <row r="742" spans="1:29">
      <c r="A742" s="308" t="s">
        <v>454</v>
      </c>
      <c r="B742" s="1"/>
      <c r="C742" s="304">
        <v>1248100</v>
      </c>
      <c r="D742" s="304">
        <f>ROUND(($D$758/$C$758)*C742,0)</f>
        <v>2413782</v>
      </c>
      <c r="E742" s="372">
        <f>E801</f>
        <v>3.4990000000000001</v>
      </c>
      <c r="F742" s="306" t="s">
        <v>364</v>
      </c>
      <c r="G742" s="2">
        <f>ROUND(E742/100*$C742,0)</f>
        <v>43671</v>
      </c>
      <c r="H742" s="2">
        <f>ROUND(E742/100*$D742,0)</f>
        <v>84458</v>
      </c>
      <c r="I742" s="372">
        <f>I801</f>
        <v>3.8719999999999999</v>
      </c>
      <c r="J742" s="306" t="s">
        <v>364</v>
      </c>
      <c r="K742" s="2">
        <f>ROUND(I742/100*$C742,0)</f>
        <v>48326</v>
      </c>
      <c r="M742" s="84">
        <f>(I742/100)*D742</f>
        <v>93461.639039999995</v>
      </c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</row>
    <row r="743" spans="1:29">
      <c r="A743" s="308" t="s">
        <v>390</v>
      </c>
      <c r="B743" s="1"/>
      <c r="C743" s="304">
        <v>6132</v>
      </c>
      <c r="D743" s="304">
        <f>ROUND(($D$758/$C$758)*C743,0)</f>
        <v>11859</v>
      </c>
      <c r="E743" s="369">
        <f>E802</f>
        <v>0.45</v>
      </c>
      <c r="F743" s="306"/>
      <c r="G743" s="2">
        <f>ROUND(E743*$C743,0)</f>
        <v>2759</v>
      </c>
      <c r="H743" s="2">
        <f>ROUND(E743*$D743,0)</f>
        <v>5337</v>
      </c>
      <c r="I743" s="369">
        <f>I802</f>
        <v>0.5</v>
      </c>
      <c r="J743" s="306"/>
      <c r="K743" s="2">
        <f>ROUND(I743*$C743,0)</f>
        <v>3066</v>
      </c>
      <c r="M743" s="84">
        <f>I743*D743</f>
        <v>5929.5</v>
      </c>
      <c r="N743" s="304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</row>
    <row r="744" spans="1:29">
      <c r="A744" s="294" t="s">
        <v>418</v>
      </c>
      <c r="B744" s="1"/>
      <c r="C744" s="304">
        <v>0</v>
      </c>
      <c r="D744" s="304">
        <v>0</v>
      </c>
      <c r="E744" s="373">
        <v>5.9999999999999995E-4</v>
      </c>
      <c r="F744" s="306"/>
      <c r="G744" s="2">
        <f>ROUND(E744*$C744,0)</f>
        <v>0</v>
      </c>
      <c r="H744" s="2">
        <f>ROUND(E744*$D744,0)</f>
        <v>0</v>
      </c>
      <c r="I744" s="373">
        <v>5.9999999999999995E-4</v>
      </c>
      <c r="J744" s="306"/>
      <c r="K744" s="2">
        <f>ROUND(I744*$C744,0)</f>
        <v>0</v>
      </c>
      <c r="M744" s="84">
        <f>I744*D744</f>
        <v>0</v>
      </c>
      <c r="N744" s="304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</row>
    <row r="745" spans="1:29">
      <c r="A745" s="345" t="s">
        <v>391</v>
      </c>
      <c r="B745" s="1"/>
      <c r="C745" s="304"/>
      <c r="D745" s="304"/>
      <c r="E745" s="374">
        <f>E803</f>
        <v>-0.01</v>
      </c>
      <c r="F745" s="317"/>
      <c r="G745" s="2"/>
      <c r="H745" s="2"/>
      <c r="I745" s="374">
        <f>I803</f>
        <v>-0.01</v>
      </c>
      <c r="J745" s="346"/>
      <c r="K745" s="2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</row>
    <row r="746" spans="1:29">
      <c r="A746" s="308" t="s">
        <v>461</v>
      </c>
      <c r="B746" s="1"/>
      <c r="C746" s="304">
        <v>0</v>
      </c>
      <c r="D746" s="304">
        <v>0</v>
      </c>
      <c r="E746" s="369">
        <f>E735</f>
        <v>1205</v>
      </c>
      <c r="F746" s="319"/>
      <c r="G746" s="306">
        <f>ROUND(E746*$C746*$E$803,0)</f>
        <v>0</v>
      </c>
      <c r="H746" s="306">
        <f>ROUND(E746*$D746*$E$803,0)</f>
        <v>0</v>
      </c>
      <c r="I746" s="369">
        <f>I735</f>
        <v>1330</v>
      </c>
      <c r="J746" s="306"/>
      <c r="K746" s="306">
        <f>ROUND(I746*$C746*$E$803,0)</f>
        <v>0</v>
      </c>
      <c r="M746" s="84">
        <f>-(I746*D746)/100</f>
        <v>0</v>
      </c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</row>
    <row r="747" spans="1:29">
      <c r="A747" s="308" t="s">
        <v>462</v>
      </c>
      <c r="B747" s="1"/>
      <c r="C747" s="304">
        <f>C736</f>
        <v>0</v>
      </c>
      <c r="D747" s="304">
        <v>0</v>
      </c>
      <c r="E747" s="369">
        <f>E736</f>
        <v>1450</v>
      </c>
      <c r="F747" s="319"/>
      <c r="G747" s="306">
        <f>ROUND(E747*$C747*$E$803,0)</f>
        <v>0</v>
      </c>
      <c r="H747" s="306">
        <f>ROUND(E747*$D747*$E$803,0)</f>
        <v>0</v>
      </c>
      <c r="I747" s="369">
        <f>I736</f>
        <v>1600</v>
      </c>
      <c r="J747" s="306"/>
      <c r="K747" s="306">
        <f>ROUND(I747*$C747*$E$803,0)</f>
        <v>0</v>
      </c>
      <c r="M747" s="84">
        <f>-(I747*D747)/100</f>
        <v>0</v>
      </c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</row>
    <row r="748" spans="1:29">
      <c r="A748" s="308" t="s">
        <v>463</v>
      </c>
      <c r="B748" s="1"/>
      <c r="C748" s="304">
        <v>0</v>
      </c>
      <c r="D748" s="304">
        <v>0</v>
      </c>
      <c r="E748" s="369">
        <f>E738</f>
        <v>0.91</v>
      </c>
      <c r="F748" s="319"/>
      <c r="G748" s="306">
        <f>ROUND(E748*$C748*$E$803,0)</f>
        <v>0</v>
      </c>
      <c r="H748" s="306">
        <f>ROUND(E748*$D748*$E$803,0)</f>
        <v>0</v>
      </c>
      <c r="I748" s="369">
        <f>I738</f>
        <v>1.01</v>
      </c>
      <c r="J748" s="306"/>
      <c r="K748" s="306">
        <f>ROUND(I748*$C748*$E$803,0)</f>
        <v>0</v>
      </c>
      <c r="M748" s="84">
        <f>-(I748*D748)/100</f>
        <v>0</v>
      </c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</row>
    <row r="749" spans="1:29">
      <c r="A749" s="308" t="s">
        <v>464</v>
      </c>
      <c r="B749" s="1"/>
      <c r="C749" s="304">
        <f>C739</f>
        <v>0</v>
      </c>
      <c r="D749" s="304">
        <v>0</v>
      </c>
      <c r="E749" s="369">
        <f>E739</f>
        <v>0.83</v>
      </c>
      <c r="F749" s="319"/>
      <c r="G749" s="306">
        <f>ROUND(E749*$C749*$E$803,0)</f>
        <v>0</v>
      </c>
      <c r="H749" s="306">
        <f>ROUND(E749*$D749*$E$803,0)</f>
        <v>0</v>
      </c>
      <c r="I749" s="369">
        <f>I739</f>
        <v>0.92</v>
      </c>
      <c r="J749" s="306"/>
      <c r="K749" s="306">
        <f>ROUND(I749*$C749*$E$803,0)</f>
        <v>0</v>
      </c>
      <c r="M749" s="84">
        <f>-(I749*D749)/100</f>
        <v>0</v>
      </c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</row>
    <row r="750" spans="1:29">
      <c r="A750" s="294" t="s">
        <v>393</v>
      </c>
      <c r="B750" s="365"/>
      <c r="C750" s="304">
        <v>0</v>
      </c>
      <c r="D750" s="304">
        <v>0</v>
      </c>
      <c r="E750" s="369">
        <f>E740</f>
        <v>6.03</v>
      </c>
      <c r="F750" s="322"/>
      <c r="G750" s="306">
        <f>ROUND(E750*$C750*$E$803,0)</f>
        <v>0</v>
      </c>
      <c r="H750" s="306">
        <f>ROUND(E750*$D750*$E$803,0)</f>
        <v>0</v>
      </c>
      <c r="I750" s="369">
        <f>I740</f>
        <v>6.53</v>
      </c>
      <c r="J750" s="306"/>
      <c r="K750" s="306">
        <f>ROUND(I750*$C750*$E$803,0)</f>
        <v>0</v>
      </c>
      <c r="M750" s="84">
        <f>-(I750*D750)/100</f>
        <v>0</v>
      </c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</row>
    <row r="751" spans="1:29">
      <c r="A751" s="308" t="s">
        <v>454</v>
      </c>
      <c r="B751" s="1"/>
      <c r="C751" s="304">
        <v>0</v>
      </c>
      <c r="D751" s="304">
        <v>0</v>
      </c>
      <c r="E751" s="375">
        <f>E742</f>
        <v>3.4990000000000001</v>
      </c>
      <c r="F751" s="306" t="s">
        <v>364</v>
      </c>
      <c r="G751" s="306">
        <f>ROUND(E751/100*$C751*$E$803,0)</f>
        <v>0</v>
      </c>
      <c r="H751" s="306">
        <f>ROUND(E751/100*$D751*$E$803,0)</f>
        <v>0</v>
      </c>
      <c r="I751" s="375">
        <f>I742</f>
        <v>3.8719999999999999</v>
      </c>
      <c r="J751" s="306" t="s">
        <v>364</v>
      </c>
      <c r="K751" s="306">
        <f>ROUND(I751/100*$C751*$E$803,0)</f>
        <v>0</v>
      </c>
      <c r="M751" s="84">
        <f>-((I751*D751)/100)/100</f>
        <v>0</v>
      </c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</row>
    <row r="752" spans="1:29">
      <c r="A752" s="308" t="s">
        <v>390</v>
      </c>
      <c r="B752" s="1"/>
      <c r="C752" s="304">
        <v>0</v>
      </c>
      <c r="D752" s="304">
        <v>0</v>
      </c>
      <c r="E752" s="369">
        <f>E743</f>
        <v>0.45</v>
      </c>
      <c r="F752" s="306"/>
      <c r="G752" s="306">
        <f>ROUND(E752*$C752*$E$803,0)</f>
        <v>0</v>
      </c>
      <c r="H752" s="306">
        <f>ROUND(E752*$D752*$E$803,0)</f>
        <v>0</v>
      </c>
      <c r="I752" s="369">
        <f>I743</f>
        <v>0.5</v>
      </c>
      <c r="J752" s="306"/>
      <c r="K752" s="306">
        <f>ROUND(I752*$C752*$E$803,0)</f>
        <v>0</v>
      </c>
      <c r="M752" s="84">
        <f>-(I752*D752)/100</f>
        <v>0</v>
      </c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</row>
    <row r="753" spans="1:29">
      <c r="A753" s="294" t="s">
        <v>465</v>
      </c>
      <c r="B753" s="1"/>
      <c r="C753" s="304">
        <v>0</v>
      </c>
      <c r="D753" s="304">
        <v>0</v>
      </c>
      <c r="E753" s="369">
        <f>E811</f>
        <v>60</v>
      </c>
      <c r="F753" s="322"/>
      <c r="G753" s="306">
        <f>ROUND(E753*$C753,0)</f>
        <v>0</v>
      </c>
      <c r="H753" s="306">
        <f>ROUND(E753*$D753,0)</f>
        <v>0</v>
      </c>
      <c r="I753" s="369">
        <f>I811</f>
        <v>60</v>
      </c>
      <c r="J753" s="306"/>
      <c r="K753" s="306">
        <f>ROUND(I753*$C753,0)</f>
        <v>0</v>
      </c>
      <c r="M753" s="84">
        <f>-(I753*D753)/100</f>
        <v>0</v>
      </c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</row>
    <row r="754" spans="1:29">
      <c r="A754" s="294" t="s">
        <v>434</v>
      </c>
      <c r="B754" s="1"/>
      <c r="C754" s="304">
        <v>0</v>
      </c>
      <c r="D754" s="304">
        <v>0</v>
      </c>
      <c r="E754" s="369">
        <f>E812</f>
        <v>-0.75</v>
      </c>
      <c r="F754" s="306"/>
      <c r="G754" s="306">
        <f>ROUND(E754*$C754,0)</f>
        <v>0</v>
      </c>
      <c r="H754" s="306">
        <f>ROUND(E754*$D754,0)</f>
        <v>0</v>
      </c>
      <c r="I754" s="369">
        <f>I812</f>
        <v>-0.75</v>
      </c>
      <c r="J754" s="306"/>
      <c r="K754" s="306">
        <f>ROUND(I754*$C754,0)</f>
        <v>0</v>
      </c>
      <c r="M754" s="84">
        <f>-(I754*D754)/100</f>
        <v>0</v>
      </c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</row>
    <row r="755" spans="1:29">
      <c r="A755" s="294" t="s">
        <v>423</v>
      </c>
      <c r="B755" s="1"/>
      <c r="C755" s="304">
        <v>1180</v>
      </c>
      <c r="D755" s="304">
        <f>ROUND(($D$758/$C$758)*C755,0)</f>
        <v>2282</v>
      </c>
      <c r="E755" s="376">
        <f>ROUND(E740/2,3)</f>
        <v>3.0150000000000001</v>
      </c>
      <c r="F755" s="306"/>
      <c r="G755" s="306">
        <f>ROUND(E755*$C755,0)</f>
        <v>3558</v>
      </c>
      <c r="H755" s="306">
        <f>ROUND(E755*$D755,0)</f>
        <v>6880</v>
      </c>
      <c r="I755" s="376">
        <f>ROUND(I740/2,3)</f>
        <v>3.2650000000000001</v>
      </c>
      <c r="J755" s="306"/>
      <c r="K755" s="306">
        <f>ROUND($C755*I755,0)</f>
        <v>3853</v>
      </c>
      <c r="M755" s="84">
        <f>I755*D755</f>
        <v>7450.7300000000005</v>
      </c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</row>
    <row r="756" spans="1:29">
      <c r="A756" s="294" t="s">
        <v>424</v>
      </c>
      <c r="B756" s="1"/>
      <c r="C756" s="304">
        <v>520</v>
      </c>
      <c r="D756" s="304">
        <f>ROUND(($D$758/$C$758)*C756,0)</f>
        <v>1006</v>
      </c>
      <c r="E756" s="319">
        <f>E740*4</f>
        <v>24.12</v>
      </c>
      <c r="F756" s="306"/>
      <c r="G756" s="306">
        <f>ROUND(E756*$C756,0)</f>
        <v>12542</v>
      </c>
      <c r="H756" s="306">
        <f>ROUND(E756*$D756,0)</f>
        <v>24265</v>
      </c>
      <c r="I756" s="319">
        <f>I740*4</f>
        <v>26.12</v>
      </c>
      <c r="J756" s="306"/>
      <c r="K756" s="306">
        <f>ROUND($C756*I756,0)</f>
        <v>13582</v>
      </c>
      <c r="M756" s="84">
        <f>I756*D756</f>
        <v>26276.720000000001</v>
      </c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</row>
    <row r="757" spans="1:29">
      <c r="A757" s="3" t="s">
        <v>425</v>
      </c>
      <c r="B757" s="288"/>
      <c r="C757" s="304">
        <v>11900</v>
      </c>
      <c r="D757" s="304">
        <f>ROUND(($D$758/$C$758)*C757,0)</f>
        <v>23014</v>
      </c>
      <c r="E757" s="377">
        <f>E742*4</f>
        <v>13.996</v>
      </c>
      <c r="F757" s="306" t="s">
        <v>364</v>
      </c>
      <c r="G757" s="306">
        <f>ROUND($C757*E757/100,0)</f>
        <v>1666</v>
      </c>
      <c r="H757" s="306">
        <f>ROUND($D757*E757/100,0)</f>
        <v>3221</v>
      </c>
      <c r="I757" s="377">
        <f>I742*4</f>
        <v>15.488</v>
      </c>
      <c r="J757" s="306" t="s">
        <v>364</v>
      </c>
      <c r="K757" s="306">
        <f>ROUND($C757*I757/100,0)</f>
        <v>1843</v>
      </c>
      <c r="M757" s="84">
        <f>(I757/100)*D757</f>
        <v>3564.4083199999995</v>
      </c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</row>
    <row r="758" spans="1:29">
      <c r="A758" s="1" t="s">
        <v>371</v>
      </c>
      <c r="B758" s="1"/>
      <c r="C758" s="304">
        <f>C742+C757</f>
        <v>1260000</v>
      </c>
      <c r="D758" s="304">
        <v>2436796.4482688801</v>
      </c>
      <c r="E758" s="315"/>
      <c r="F758" s="2"/>
      <c r="G758" s="2">
        <f>SUM(G735:G757)</f>
        <v>157533</v>
      </c>
      <c r="H758" s="2">
        <f>SUM(H735:H757)</f>
        <v>291169</v>
      </c>
      <c r="I758" s="315"/>
      <c r="J758" s="1"/>
      <c r="K758" s="2">
        <f>SUM(K735:K757)</f>
        <v>172415</v>
      </c>
      <c r="M758" s="84">
        <f>SUM(M735:M757)</f>
        <v>318550.48735999997</v>
      </c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</row>
    <row r="759" spans="1:29">
      <c r="A759" s="1" t="s">
        <v>353</v>
      </c>
      <c r="B759" s="1"/>
      <c r="C759" s="304" t="e">
        <f>#REF!</f>
        <v>#REF!</v>
      </c>
      <c r="D759" s="304">
        <v>0</v>
      </c>
      <c r="E759" s="294"/>
      <c r="F759" s="294"/>
      <c r="G759" s="326" t="e">
        <f>#REF!</f>
        <v>#REF!</v>
      </c>
      <c r="H759" s="326">
        <v>0</v>
      </c>
      <c r="I759" s="294"/>
      <c r="J759" s="294"/>
      <c r="K759" s="326" t="e">
        <f>G759</f>
        <v>#REF!</v>
      </c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</row>
    <row r="760" spans="1:29" ht="16.5" thickBot="1">
      <c r="A760" s="1" t="s">
        <v>372</v>
      </c>
      <c r="B760" s="1"/>
      <c r="C760" s="378" t="e">
        <f>SUM(C758)+C759</f>
        <v>#REF!</v>
      </c>
      <c r="D760" s="378">
        <f>SUM(D742)+D759</f>
        <v>2413782</v>
      </c>
      <c r="E760" s="327"/>
      <c r="F760" s="328"/>
      <c r="G760" s="329" t="e">
        <f>G758+G759</f>
        <v>#REF!</v>
      </c>
      <c r="H760" s="329">
        <f>H758+H759</f>
        <v>291169</v>
      </c>
      <c r="I760" s="327"/>
      <c r="J760" s="330"/>
      <c r="K760" s="329" t="e">
        <f>K758+K759</f>
        <v>#REF!</v>
      </c>
      <c r="N760" s="3" t="s">
        <v>354</v>
      </c>
      <c r="O760" s="69" t="e">
        <f>#REF!*1000</f>
        <v>#REF!</v>
      </c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</row>
    <row r="761" spans="1:29" ht="16.5" thickTop="1">
      <c r="A761" s="1"/>
      <c r="B761" s="1"/>
      <c r="C761" s="21"/>
      <c r="D761" s="21"/>
      <c r="E761" s="322"/>
      <c r="F761" s="2"/>
      <c r="G761" s="2"/>
      <c r="H761" s="2"/>
      <c r="I761" s="322"/>
      <c r="J761" s="1"/>
      <c r="K761" s="365"/>
      <c r="N761" s="3" t="s">
        <v>257</v>
      </c>
      <c r="O761" s="69" t="e">
        <f>O760-K760</f>
        <v>#REF!</v>
      </c>
      <c r="P761" s="14" t="e">
        <f>(O760-K760)/K760</f>
        <v>#REF!</v>
      </c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</row>
    <row r="762" spans="1:29">
      <c r="A762" s="278" t="s">
        <v>466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20"/>
      <c r="N762" s="20"/>
      <c r="O762" s="74"/>
      <c r="P762" s="74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</row>
    <row r="763" spans="1:29">
      <c r="A763" s="294" t="s">
        <v>467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20"/>
      <c r="N763" s="20"/>
      <c r="O763" s="74"/>
      <c r="P763" s="74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</row>
    <row r="764" spans="1:29">
      <c r="A764" s="308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20"/>
      <c r="N764" s="20"/>
      <c r="O764" s="74"/>
      <c r="P764" s="74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</row>
    <row r="765" spans="1:29">
      <c r="A765" s="308" t="s">
        <v>383</v>
      </c>
      <c r="B765" s="1"/>
      <c r="C765" s="304"/>
      <c r="D765" s="304"/>
      <c r="E765" s="2"/>
      <c r="F765" s="2"/>
      <c r="G765" s="1"/>
      <c r="H765" s="1"/>
      <c r="I765" s="2"/>
      <c r="J765" s="1"/>
      <c r="K765" s="1"/>
      <c r="M765" s="20"/>
      <c r="N765" s="20"/>
      <c r="O765" s="74"/>
      <c r="P765" s="74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</row>
    <row r="766" spans="1:29">
      <c r="A766" s="308" t="s">
        <v>461</v>
      </c>
      <c r="B766" s="1"/>
      <c r="C766" s="304">
        <f>C794+C877</f>
        <v>658</v>
      </c>
      <c r="D766" s="304">
        <f>D794+D877</f>
        <v>692</v>
      </c>
      <c r="E766" s="322">
        <v>1205</v>
      </c>
      <c r="F766" s="322"/>
      <c r="G766" s="2">
        <f>G794+G877</f>
        <v>792890</v>
      </c>
      <c r="H766" s="2">
        <f>H794+H877</f>
        <v>833860</v>
      </c>
      <c r="I766" s="322">
        <v>1330</v>
      </c>
      <c r="J766" s="306"/>
      <c r="K766" s="2">
        <f>K794+K877</f>
        <v>875140</v>
      </c>
      <c r="M766" s="84">
        <f>I766*D766</f>
        <v>920360</v>
      </c>
      <c r="O766" s="14">
        <f>(I766-E766)/E766</f>
        <v>0.1037344398340249</v>
      </c>
      <c r="P766" s="14"/>
      <c r="R766" s="314"/>
      <c r="T766" s="3" t="s">
        <v>361</v>
      </c>
      <c r="U766" s="3" t="s">
        <v>296</v>
      </c>
      <c r="V766" s="3" t="s">
        <v>362</v>
      </c>
      <c r="W766" s="3" t="s">
        <v>305</v>
      </c>
      <c r="X766" s="20"/>
      <c r="Y766" s="20"/>
      <c r="Z766" s="20"/>
      <c r="AA766" s="20"/>
      <c r="AB766" s="20"/>
      <c r="AC766" s="20"/>
    </row>
    <row r="767" spans="1:29">
      <c r="A767" s="308" t="s">
        <v>462</v>
      </c>
      <c r="B767" s="1"/>
      <c r="C767" s="304">
        <f>C795+C878</f>
        <v>60</v>
      </c>
      <c r="D767" s="304">
        <f>D795+D878</f>
        <v>62</v>
      </c>
      <c r="E767" s="322">
        <v>1450</v>
      </c>
      <c r="F767" s="322"/>
      <c r="G767" s="2">
        <f>G795+G878</f>
        <v>87000</v>
      </c>
      <c r="H767" s="2">
        <f>H795+H878</f>
        <v>89900</v>
      </c>
      <c r="I767" s="322">
        <v>1600</v>
      </c>
      <c r="J767" s="309"/>
      <c r="K767" s="2">
        <f>K795+K878</f>
        <v>95400</v>
      </c>
      <c r="M767" s="84">
        <f>I767*D767</f>
        <v>99200</v>
      </c>
      <c r="O767" s="14">
        <f>(I767-E767)/E767</f>
        <v>0.10344827586206896</v>
      </c>
      <c r="R767" s="314"/>
      <c r="S767" s="3" t="s">
        <v>20</v>
      </c>
      <c r="T767" s="106">
        <f>E766*(D766+D767+D735)</f>
        <v>923030</v>
      </c>
      <c r="U767" s="106">
        <f>I766*(D766+D767+D735)</f>
        <v>1018780</v>
      </c>
      <c r="V767" s="106">
        <v>20746.582883790943</v>
      </c>
      <c r="W767" s="222">
        <f>U767/V767</f>
        <v>49.105918102588383</v>
      </c>
      <c r="X767" s="20"/>
      <c r="Y767" s="20"/>
      <c r="Z767" s="20"/>
      <c r="AA767" s="20"/>
      <c r="AB767" s="20"/>
      <c r="AC767" s="20"/>
    </row>
    <row r="768" spans="1:29">
      <c r="A768" s="308" t="s">
        <v>384</v>
      </c>
      <c r="B768" s="1"/>
      <c r="C768" s="304">
        <f>SUM(C766:C767)</f>
        <v>718</v>
      </c>
      <c r="D768" s="304">
        <f>SUM(D766:D767)</f>
        <v>754</v>
      </c>
      <c r="E768" s="322" t="s">
        <v>31</v>
      </c>
      <c r="F768" s="322"/>
      <c r="G768" s="2"/>
      <c r="H768" s="2"/>
      <c r="I768" s="322" t="s">
        <v>31</v>
      </c>
      <c r="J768" s="306"/>
      <c r="K768" s="2"/>
      <c r="O768" s="305"/>
      <c r="S768" s="3" t="s">
        <v>394</v>
      </c>
      <c r="T768" s="106">
        <f>SUM(H766:H770)+SUM(H735:H739)-T767</f>
        <v>2074380</v>
      </c>
      <c r="U768" s="106">
        <f>SUM(K766:K770)+SUM(K735:K739)-U767</f>
        <v>1669410</v>
      </c>
      <c r="V768" s="106">
        <v>3811025.9901367896</v>
      </c>
      <c r="W768" s="222">
        <f>U768/V768</f>
        <v>0.43804739309586277</v>
      </c>
      <c r="X768" s="20"/>
      <c r="Y768" s="20"/>
      <c r="Z768" s="20"/>
      <c r="AA768" s="20"/>
      <c r="AB768" s="20"/>
      <c r="AC768" s="20"/>
    </row>
    <row r="769" spans="1:29">
      <c r="A769" s="308" t="s">
        <v>463</v>
      </c>
      <c r="B769" s="1"/>
      <c r="C769" s="304">
        <f t="shared" ref="C769:D771" si="63">C797+C880</f>
        <v>898711</v>
      </c>
      <c r="D769" s="304">
        <f t="shared" si="63"/>
        <v>1752134</v>
      </c>
      <c r="E769" s="322">
        <v>0.91</v>
      </c>
      <c r="F769" s="322"/>
      <c r="G769" s="2">
        <f t="shared" ref="G769:H771" si="64">G797+G880</f>
        <v>817827</v>
      </c>
      <c r="H769" s="2">
        <f t="shared" si="64"/>
        <v>1594442</v>
      </c>
      <c r="I769" s="322">
        <v>1.01</v>
      </c>
      <c r="J769" s="306"/>
      <c r="K769" s="2">
        <f>K797+K880</f>
        <v>907698</v>
      </c>
      <c r="M769" s="84">
        <f>I769*D769</f>
        <v>1769655.34</v>
      </c>
      <c r="O769" s="14">
        <f>(I769-E769)/E769</f>
        <v>0.10989010989010986</v>
      </c>
      <c r="S769" s="3" t="s">
        <v>432</v>
      </c>
      <c r="T769" s="106">
        <f>SUM(T767:T768)</f>
        <v>2997410</v>
      </c>
      <c r="U769" s="106">
        <f>SUM(U767:U768)</f>
        <v>2688190</v>
      </c>
      <c r="V769" s="106">
        <f>SUM(V767:V768)</f>
        <v>3831772.5730205807</v>
      </c>
      <c r="W769" s="222">
        <f>U769/V769</f>
        <v>0.70155259707412743</v>
      </c>
      <c r="X769" s="20"/>
      <c r="Y769" s="20"/>
      <c r="Z769" s="20"/>
      <c r="AA769" s="20"/>
      <c r="AB769" s="20"/>
      <c r="AC769" s="20"/>
    </row>
    <row r="770" spans="1:29">
      <c r="A770" s="308" t="s">
        <v>464</v>
      </c>
      <c r="B770" s="1"/>
      <c r="C770" s="304">
        <f t="shared" si="63"/>
        <v>875536</v>
      </c>
      <c r="D770" s="304">
        <f t="shared" si="63"/>
        <v>528174</v>
      </c>
      <c r="E770" s="322">
        <v>0.83</v>
      </c>
      <c r="F770" s="322"/>
      <c r="G770" s="2">
        <f t="shared" si="64"/>
        <v>726694</v>
      </c>
      <c r="H770" s="2">
        <f t="shared" si="64"/>
        <v>438384</v>
      </c>
      <c r="I770" s="322">
        <v>0.92</v>
      </c>
      <c r="J770" s="306"/>
      <c r="K770" s="2">
        <f>K798+K881</f>
        <v>778862</v>
      </c>
      <c r="M770" s="84">
        <f>I770*D770</f>
        <v>485920.08</v>
      </c>
      <c r="O770" s="14">
        <f>(I770-E770)/E770</f>
        <v>0.10843373493975914</v>
      </c>
      <c r="S770" s="3" t="s">
        <v>396</v>
      </c>
      <c r="T770" s="106">
        <f>H771</f>
        <v>11639274</v>
      </c>
      <c r="U770" s="106">
        <f>K771</f>
        <v>10175585</v>
      </c>
      <c r="V770" s="106">
        <v>5205301.8106998745</v>
      </c>
      <c r="W770" s="222">
        <f>U770/V770</f>
        <v>1.9548501451123061</v>
      </c>
      <c r="X770" s="20"/>
      <c r="Y770" s="20"/>
      <c r="Z770" s="20"/>
      <c r="AA770" s="20"/>
      <c r="AB770" s="20"/>
      <c r="AC770" s="20"/>
    </row>
    <row r="771" spans="1:29">
      <c r="A771" s="294" t="s">
        <v>393</v>
      </c>
      <c r="B771" s="1"/>
      <c r="C771" s="304">
        <f t="shared" si="63"/>
        <v>1557283</v>
      </c>
      <c r="D771" s="304">
        <f t="shared" si="63"/>
        <v>1930228</v>
      </c>
      <c r="E771" s="322">
        <v>6.03</v>
      </c>
      <c r="F771" s="322"/>
      <c r="G771" s="2">
        <f t="shared" si="64"/>
        <v>9390417</v>
      </c>
      <c r="H771" s="2">
        <f t="shared" si="64"/>
        <v>11639274</v>
      </c>
      <c r="I771" s="322">
        <v>6.53</v>
      </c>
      <c r="J771" s="306"/>
      <c r="K771" s="2">
        <f>K799+K882</f>
        <v>10175585</v>
      </c>
      <c r="M771" s="84">
        <f>I771*D771</f>
        <v>12604388.84</v>
      </c>
      <c r="O771" s="14">
        <f>(I771-E771)/E771</f>
        <v>8.2918739635157543E-2</v>
      </c>
      <c r="S771" s="3" t="s">
        <v>366</v>
      </c>
      <c r="T771" s="106">
        <f>H773</f>
        <v>31238595</v>
      </c>
      <c r="U771" s="106">
        <f>K773</f>
        <v>32828416</v>
      </c>
      <c r="V771" s="106">
        <v>38185452.241358206</v>
      </c>
      <c r="W771" s="222">
        <f>U771/V771</f>
        <v>0.85971002235358984</v>
      </c>
      <c r="X771" s="20"/>
      <c r="Y771" s="20"/>
      <c r="Z771" s="20"/>
      <c r="AA771" s="20"/>
      <c r="AB771" s="20"/>
      <c r="AC771" s="20"/>
    </row>
    <row r="772" spans="1:29">
      <c r="A772" s="308" t="s">
        <v>416</v>
      </c>
      <c r="B772" s="1"/>
      <c r="C772" s="304"/>
      <c r="D772" s="304"/>
      <c r="E772" s="322" t="s">
        <v>31</v>
      </c>
      <c r="F772" s="322"/>
      <c r="G772" s="2"/>
      <c r="H772" s="2"/>
      <c r="I772" s="322" t="s">
        <v>31</v>
      </c>
      <c r="J772" s="306"/>
      <c r="K772" s="2"/>
      <c r="O772" s="305"/>
      <c r="V772" s="20"/>
      <c r="W772" s="20"/>
      <c r="X772" s="20"/>
      <c r="Y772" s="20"/>
      <c r="Z772" s="20"/>
      <c r="AA772" s="20"/>
      <c r="AB772" s="20"/>
      <c r="AC772" s="20"/>
    </row>
    <row r="773" spans="1:29">
      <c r="A773" s="308" t="s">
        <v>454</v>
      </c>
      <c r="B773" s="1"/>
      <c r="C773" s="304">
        <f>C801+C884</f>
        <v>848518988</v>
      </c>
      <c r="D773" s="304">
        <f>D801+D884</f>
        <v>892786384</v>
      </c>
      <c r="E773" s="368">
        <v>3.4990000000000001</v>
      </c>
      <c r="F773" s="306" t="s">
        <v>364</v>
      </c>
      <c r="G773" s="2">
        <f>G801+G884</f>
        <v>29689679</v>
      </c>
      <c r="H773" s="2">
        <f>H801+H884</f>
        <v>31238595</v>
      </c>
      <c r="I773" s="380">
        <v>3.875</v>
      </c>
      <c r="J773" s="306" t="s">
        <v>364</v>
      </c>
      <c r="K773" s="2">
        <f>K801+K884</f>
        <v>32828416</v>
      </c>
      <c r="M773" s="84">
        <f>(I773/100)*D773</f>
        <v>34595472.380000003</v>
      </c>
      <c r="O773" s="14">
        <f>(I773-E773)/E773</f>
        <v>0.10745927407830805</v>
      </c>
      <c r="V773" s="20"/>
      <c r="W773" s="20"/>
      <c r="X773" s="20"/>
      <c r="Y773" s="20"/>
      <c r="Z773" s="20"/>
      <c r="AA773" s="20"/>
      <c r="AB773" s="20"/>
      <c r="AC773" s="20"/>
    </row>
    <row r="774" spans="1:29">
      <c r="A774" s="308" t="s">
        <v>390</v>
      </c>
      <c r="B774" s="1"/>
      <c r="C774" s="304">
        <f>C802+C885</f>
        <v>395613</v>
      </c>
      <c r="D774" s="304">
        <f>D802+D885</f>
        <v>541286</v>
      </c>
      <c r="E774" s="322">
        <v>0.45</v>
      </c>
      <c r="F774" s="306"/>
      <c r="G774" s="2">
        <f>G802+G885</f>
        <v>178026</v>
      </c>
      <c r="H774" s="2">
        <f>H802+H885</f>
        <v>243579</v>
      </c>
      <c r="I774" s="322">
        <v>0.5</v>
      </c>
      <c r="J774" s="306"/>
      <c r="K774" s="2">
        <f>K802+K885</f>
        <v>197807</v>
      </c>
      <c r="M774" s="84">
        <f>I774*D774</f>
        <v>270643</v>
      </c>
      <c r="N774" s="305"/>
      <c r="O774" s="14">
        <f>(I774-E774)/E774</f>
        <v>0.11111111111111108</v>
      </c>
      <c r="V774" s="20"/>
      <c r="W774" s="20"/>
      <c r="X774" s="20"/>
      <c r="Y774" s="20"/>
      <c r="Z774" s="20"/>
      <c r="AA774" s="20"/>
      <c r="AB774" s="20"/>
      <c r="AC774" s="20"/>
    </row>
    <row r="775" spans="1:29">
      <c r="A775" s="345" t="s">
        <v>391</v>
      </c>
      <c r="B775" s="1"/>
      <c r="C775" s="304"/>
      <c r="D775" s="304"/>
      <c r="E775" s="317">
        <v>-0.01</v>
      </c>
      <c r="F775" s="317"/>
      <c r="G775" s="2"/>
      <c r="H775" s="2"/>
      <c r="I775" s="317">
        <v>-0.01</v>
      </c>
      <c r="J775" s="346"/>
      <c r="K775" s="2"/>
      <c r="V775" s="20"/>
      <c r="W775" s="20"/>
      <c r="X775" s="20"/>
      <c r="Y775" s="20"/>
      <c r="Z775" s="20"/>
      <c r="AA775" s="20"/>
      <c r="AB775" s="20"/>
      <c r="AC775" s="20"/>
    </row>
    <row r="776" spans="1:29">
      <c r="A776" s="308" t="s">
        <v>461</v>
      </c>
      <c r="B776" s="1"/>
      <c r="C776" s="304">
        <f t="shared" ref="C776:D786" si="65">C804+C887</f>
        <v>135</v>
      </c>
      <c r="D776" s="304">
        <f t="shared" si="65"/>
        <v>143</v>
      </c>
      <c r="E776" s="319">
        <f>E766</f>
        <v>1205</v>
      </c>
      <c r="F776" s="319"/>
      <c r="G776" s="306">
        <f t="shared" ref="G776:H786" si="66">G804+G887</f>
        <v>-1627</v>
      </c>
      <c r="H776" s="306">
        <f t="shared" si="66"/>
        <v>-1723</v>
      </c>
      <c r="I776" s="319">
        <f>I766</f>
        <v>1330</v>
      </c>
      <c r="J776" s="306"/>
      <c r="K776" s="306">
        <f t="shared" ref="K776:K785" si="67">K804+K887</f>
        <v>-1795</v>
      </c>
      <c r="M776" s="84">
        <f>-(I776/100)*D776</f>
        <v>-1901.9</v>
      </c>
      <c r="V776" s="20"/>
      <c r="W776" s="20"/>
      <c r="X776" s="20"/>
      <c r="Y776" s="20"/>
      <c r="Z776" s="20"/>
      <c r="AA776" s="20"/>
      <c r="AB776" s="20"/>
      <c r="AC776" s="20"/>
    </row>
    <row r="777" spans="1:29">
      <c r="A777" s="308" t="s">
        <v>462</v>
      </c>
      <c r="B777" s="1"/>
      <c r="C777" s="304">
        <f t="shared" si="65"/>
        <v>35</v>
      </c>
      <c r="D777" s="304">
        <f t="shared" si="65"/>
        <v>36</v>
      </c>
      <c r="E777" s="319">
        <f>E767</f>
        <v>1450</v>
      </c>
      <c r="F777" s="319"/>
      <c r="G777" s="306">
        <f t="shared" si="66"/>
        <v>-508</v>
      </c>
      <c r="H777" s="306">
        <f t="shared" si="66"/>
        <v>-522</v>
      </c>
      <c r="I777" s="319">
        <f>I767</f>
        <v>1600</v>
      </c>
      <c r="J777" s="306"/>
      <c r="K777" s="306">
        <f t="shared" si="67"/>
        <v>-554</v>
      </c>
      <c r="M777" s="84">
        <f>-(I777/100)*D777</f>
        <v>-576</v>
      </c>
      <c r="V777" s="20"/>
      <c r="W777" s="20"/>
      <c r="X777" s="20"/>
      <c r="Y777" s="20"/>
      <c r="Z777" s="20"/>
      <c r="AA777" s="20"/>
      <c r="AB777" s="20"/>
      <c r="AC777" s="20"/>
    </row>
    <row r="778" spans="1:29">
      <c r="A778" s="308" t="s">
        <v>463</v>
      </c>
      <c r="B778" s="1"/>
      <c r="C778" s="304">
        <f t="shared" si="65"/>
        <v>189773</v>
      </c>
      <c r="D778" s="304">
        <f t="shared" si="65"/>
        <v>250152</v>
      </c>
      <c r="E778" s="319">
        <f>E769</f>
        <v>0.91</v>
      </c>
      <c r="F778" s="319"/>
      <c r="G778" s="306">
        <f t="shared" si="66"/>
        <v>-1727</v>
      </c>
      <c r="H778" s="306">
        <f t="shared" si="66"/>
        <v>-2276</v>
      </c>
      <c r="I778" s="319">
        <f>I769</f>
        <v>1.01</v>
      </c>
      <c r="J778" s="306"/>
      <c r="K778" s="306">
        <f t="shared" si="67"/>
        <v>-1917</v>
      </c>
      <c r="M778" s="84">
        <f>-(I778/100)*D778</f>
        <v>-2526.5351999999998</v>
      </c>
      <c r="V778" s="20"/>
      <c r="W778" s="20"/>
      <c r="X778" s="20"/>
      <c r="Y778" s="20"/>
      <c r="Z778" s="20"/>
      <c r="AA778" s="20"/>
      <c r="AB778" s="20"/>
      <c r="AC778" s="20"/>
    </row>
    <row r="779" spans="1:29">
      <c r="A779" s="308" t="s">
        <v>464</v>
      </c>
      <c r="B779" s="1"/>
      <c r="C779" s="304">
        <f t="shared" si="65"/>
        <v>767389</v>
      </c>
      <c r="D779" s="304">
        <f t="shared" si="65"/>
        <v>242431</v>
      </c>
      <c r="E779" s="319">
        <f>E770</f>
        <v>0.83</v>
      </c>
      <c r="F779" s="319"/>
      <c r="G779" s="306">
        <f t="shared" si="66"/>
        <v>-6369</v>
      </c>
      <c r="H779" s="306">
        <f t="shared" si="66"/>
        <v>-2012</v>
      </c>
      <c r="I779" s="319">
        <f>I770</f>
        <v>0.92</v>
      </c>
      <c r="J779" s="306"/>
      <c r="K779" s="306">
        <f t="shared" si="67"/>
        <v>-6793</v>
      </c>
      <c r="M779" s="84">
        <f>-(I779/100)*D779</f>
        <v>-2230.3652000000002</v>
      </c>
      <c r="V779" s="20"/>
      <c r="W779" s="20"/>
      <c r="X779" s="20"/>
      <c r="Y779" s="20"/>
      <c r="Z779" s="20"/>
      <c r="AA779" s="20"/>
      <c r="AB779" s="20"/>
      <c r="AC779" s="20"/>
    </row>
    <row r="780" spans="1:29">
      <c r="A780" s="294" t="s">
        <v>393</v>
      </c>
      <c r="B780" s="365"/>
      <c r="C780" s="304">
        <f t="shared" si="65"/>
        <v>887827</v>
      </c>
      <c r="D780" s="304">
        <f t="shared" si="65"/>
        <v>417760</v>
      </c>
      <c r="E780" s="319">
        <f>E771</f>
        <v>6.03</v>
      </c>
      <c r="F780" s="322"/>
      <c r="G780" s="306">
        <f t="shared" si="66"/>
        <v>-53535</v>
      </c>
      <c r="H780" s="306">
        <f t="shared" si="66"/>
        <v>-25191</v>
      </c>
      <c r="I780" s="319">
        <f>I771</f>
        <v>6.53</v>
      </c>
      <c r="J780" s="306"/>
      <c r="K780" s="306">
        <f t="shared" si="67"/>
        <v>-58041</v>
      </c>
      <c r="M780" s="84">
        <f>-(I780/100)*D780</f>
        <v>-27279.727999999999</v>
      </c>
      <c r="V780" s="20"/>
      <c r="W780" s="20"/>
      <c r="X780" s="20"/>
      <c r="Y780" s="20"/>
      <c r="Z780" s="20"/>
      <c r="AA780" s="20"/>
      <c r="AB780" s="20"/>
      <c r="AC780" s="20"/>
    </row>
    <row r="781" spans="1:29">
      <c r="A781" s="308" t="s">
        <v>454</v>
      </c>
      <c r="B781" s="1"/>
      <c r="C781" s="304">
        <f t="shared" si="65"/>
        <v>541097802</v>
      </c>
      <c r="D781" s="304">
        <f t="shared" si="65"/>
        <v>196350613</v>
      </c>
      <c r="E781" s="320">
        <f>E773</f>
        <v>3.4990000000000001</v>
      </c>
      <c r="F781" s="306" t="s">
        <v>364</v>
      </c>
      <c r="G781" s="306">
        <f t="shared" si="66"/>
        <v>-189330</v>
      </c>
      <c r="H781" s="306">
        <f t="shared" si="66"/>
        <v>-68703</v>
      </c>
      <c r="I781" s="320">
        <f>I773</f>
        <v>3.875</v>
      </c>
      <c r="J781" s="306" t="s">
        <v>364</v>
      </c>
      <c r="K781" s="306">
        <f t="shared" si="67"/>
        <v>-209251</v>
      </c>
      <c r="M781" s="84">
        <f>-((I781/100)*D781)/100</f>
        <v>-76085.862537499997</v>
      </c>
      <c r="V781" s="20"/>
      <c r="W781" s="20"/>
      <c r="X781" s="20"/>
      <c r="Y781" s="20"/>
      <c r="Z781" s="20"/>
      <c r="AA781" s="20"/>
      <c r="AB781" s="20"/>
      <c r="AC781" s="20"/>
    </row>
    <row r="782" spans="1:29">
      <c r="A782" s="308" t="s">
        <v>390</v>
      </c>
      <c r="B782" s="1"/>
      <c r="C782" s="304">
        <f t="shared" si="65"/>
        <v>208290</v>
      </c>
      <c r="D782" s="304">
        <f t="shared" si="65"/>
        <v>87611</v>
      </c>
      <c r="E782" s="369">
        <f>E774</f>
        <v>0.45</v>
      </c>
      <c r="F782" s="306"/>
      <c r="G782" s="306">
        <f t="shared" si="66"/>
        <v>-937</v>
      </c>
      <c r="H782" s="306">
        <f t="shared" si="66"/>
        <v>-394</v>
      </c>
      <c r="I782" s="369">
        <f>I774</f>
        <v>0.5</v>
      </c>
      <c r="J782" s="306"/>
      <c r="K782" s="306">
        <f t="shared" si="67"/>
        <v>-1041</v>
      </c>
      <c r="M782" s="84">
        <f>-(I782/100)*D782</f>
        <v>-438.05500000000001</v>
      </c>
      <c r="V782" s="20"/>
      <c r="W782" s="20"/>
      <c r="X782" s="20"/>
      <c r="Y782" s="20"/>
      <c r="Z782" s="20"/>
      <c r="AA782" s="20"/>
      <c r="AB782" s="20"/>
      <c r="AC782" s="20"/>
    </row>
    <row r="783" spans="1:29">
      <c r="A783" s="294" t="s">
        <v>465</v>
      </c>
      <c r="B783" s="1"/>
      <c r="C783" s="304">
        <f t="shared" si="65"/>
        <v>170</v>
      </c>
      <c r="D783" s="304">
        <f t="shared" si="65"/>
        <v>179</v>
      </c>
      <c r="E783" s="322">
        <v>60</v>
      </c>
      <c r="F783" s="322"/>
      <c r="G783" s="306">
        <f t="shared" si="66"/>
        <v>10200</v>
      </c>
      <c r="H783" s="306">
        <f t="shared" si="66"/>
        <v>10740</v>
      </c>
      <c r="I783" s="322">
        <f>'Blocking - detail'!I783</f>
        <v>60</v>
      </c>
      <c r="J783" s="306"/>
      <c r="K783" s="306">
        <f t="shared" si="67"/>
        <v>10200</v>
      </c>
      <c r="M783" s="84">
        <f>I783*D783</f>
        <v>10740</v>
      </c>
      <c r="V783" s="20"/>
      <c r="W783" s="20"/>
      <c r="X783" s="20"/>
      <c r="Y783" s="20"/>
      <c r="Z783" s="20"/>
      <c r="AA783" s="20"/>
      <c r="AB783" s="20"/>
      <c r="AC783" s="20"/>
    </row>
    <row r="784" spans="1:29">
      <c r="A784" s="294" t="s">
        <v>434</v>
      </c>
      <c r="B784" s="1"/>
      <c r="C784" s="304">
        <f t="shared" si="65"/>
        <v>957162</v>
      </c>
      <c r="D784" s="304">
        <f t="shared" si="65"/>
        <v>492583</v>
      </c>
      <c r="E784" s="322">
        <v>-0.75</v>
      </c>
      <c r="F784" s="306"/>
      <c r="G784" s="306">
        <f t="shared" si="66"/>
        <v>-717872</v>
      </c>
      <c r="H784" s="306">
        <f t="shared" si="66"/>
        <v>-369437</v>
      </c>
      <c r="I784" s="322">
        <f>'Blocking - detail'!I784</f>
        <v>-0.75</v>
      </c>
      <c r="J784" s="306"/>
      <c r="K784" s="306">
        <f t="shared" si="67"/>
        <v>-717872</v>
      </c>
      <c r="M784" s="84">
        <f>I784*D784</f>
        <v>-369437.25</v>
      </c>
      <c r="V784" s="20"/>
      <c r="W784" s="20"/>
      <c r="X784" s="20"/>
      <c r="Y784" s="20"/>
      <c r="Z784" s="20"/>
      <c r="AA784" s="20"/>
      <c r="AB784" s="20"/>
      <c r="AC784" s="20"/>
    </row>
    <row r="785" spans="1:29">
      <c r="A785" s="1" t="s">
        <v>371</v>
      </c>
      <c r="B785" s="1"/>
      <c r="C785" s="304">
        <f t="shared" si="65"/>
        <v>848518988</v>
      </c>
      <c r="D785" s="304">
        <f t="shared" si="65"/>
        <v>892786385.17848599</v>
      </c>
      <c r="E785" s="315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84">
        <f>SUM(M766:M784)</f>
        <v>50275903.944062501</v>
      </c>
      <c r="V785" s="20"/>
      <c r="W785" s="20"/>
      <c r="X785" s="20"/>
      <c r="Y785" s="20"/>
      <c r="Z785" s="20"/>
      <c r="AA785" s="20"/>
      <c r="AB785" s="20"/>
      <c r="AC785" s="20"/>
    </row>
    <row r="786" spans="1:29">
      <c r="A786" s="1" t="s">
        <v>353</v>
      </c>
      <c r="B786" s="1"/>
      <c r="C786" s="304" t="e">
        <f t="shared" si="65"/>
        <v>#REF!</v>
      </c>
      <c r="D786" s="304">
        <f t="shared" si="65"/>
        <v>0</v>
      </c>
      <c r="E786" s="294"/>
      <c r="F786" s="294"/>
      <c r="G786" s="326" t="e">
        <f t="shared" si="66"/>
        <v>#REF!</v>
      </c>
      <c r="H786" s="326">
        <f t="shared" si="66"/>
        <v>0</v>
      </c>
      <c r="I786" s="294"/>
      <c r="J786" s="294"/>
      <c r="K786" s="326" t="e">
        <f>G786</f>
        <v>#REF!</v>
      </c>
      <c r="Q786" s="261"/>
      <c r="V786" s="20"/>
      <c r="W786" s="20"/>
      <c r="X786" s="20"/>
      <c r="Y786" s="20"/>
      <c r="Z786" s="20"/>
      <c r="AA786" s="20"/>
      <c r="AB786" s="20"/>
      <c r="AC786" s="20"/>
    </row>
    <row r="787" spans="1:29" ht="16.5" thickBot="1">
      <c r="A787" s="1" t="s">
        <v>372</v>
      </c>
      <c r="B787" s="1"/>
      <c r="C787" s="378" t="e">
        <f>SUM(C785)+C786</f>
        <v>#REF!</v>
      </c>
      <c r="D787" s="378">
        <f>SUM(D773)+D786</f>
        <v>892786384</v>
      </c>
      <c r="E787" s="327"/>
      <c r="F787" s="328"/>
      <c r="G787" s="329" t="e">
        <f>G785+G786</f>
        <v>#REF!</v>
      </c>
      <c r="H787" s="329">
        <f>H785+H786</f>
        <v>45618516</v>
      </c>
      <c r="I787" s="327"/>
      <c r="J787" s="330"/>
      <c r="K787" s="329" t="e">
        <f>K785+K786</f>
        <v>#REF!</v>
      </c>
      <c r="N787" s="3" t="s">
        <v>354</v>
      </c>
      <c r="O787" s="69">
        <v>43704978.563067347</v>
      </c>
      <c r="V787" s="20"/>
      <c r="W787" s="20"/>
      <c r="X787" s="20"/>
      <c r="Y787" s="20"/>
      <c r="Z787" s="20"/>
      <c r="AA787" s="20"/>
      <c r="AB787" s="20"/>
      <c r="AC787" s="20"/>
    </row>
    <row r="788" spans="1:29" ht="16.5" thickTop="1">
      <c r="A788" s="1"/>
      <c r="B788" s="1"/>
      <c r="C788" s="21"/>
      <c r="D788" s="21"/>
      <c r="E788" s="322"/>
      <c r="F788" s="2"/>
      <c r="G788" s="2"/>
      <c r="H788" s="2"/>
      <c r="I788" s="338" t="s">
        <v>31</v>
      </c>
      <c r="J788" s="1"/>
      <c r="K788" s="2" t="s">
        <v>31</v>
      </c>
      <c r="N788" s="3" t="s">
        <v>257</v>
      </c>
      <c r="O788" s="69" t="e">
        <f>O787-K787</f>
        <v>#REF!</v>
      </c>
      <c r="P788" s="261" t="e">
        <f>(O787-K787)/K787</f>
        <v>#REF!</v>
      </c>
      <c r="V788" s="20"/>
      <c r="W788" s="20"/>
      <c r="X788" s="20"/>
      <c r="Y788" s="20"/>
      <c r="Z788" s="20"/>
      <c r="AA788" s="20"/>
      <c r="AB788" s="20"/>
      <c r="AC788" s="20"/>
    </row>
    <row r="789" spans="1:29">
      <c r="A789" s="1"/>
      <c r="B789" s="1"/>
      <c r="C789" s="21"/>
      <c r="D789" s="21"/>
      <c r="E789" s="322"/>
      <c r="F789" s="2"/>
      <c r="G789" s="2"/>
      <c r="H789" s="2"/>
      <c r="I789" s="322"/>
      <c r="J789" s="1"/>
      <c r="K789" s="365"/>
      <c r="M789" s="20"/>
      <c r="N789" s="20"/>
      <c r="O789" s="74"/>
      <c r="P789" s="74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</row>
    <row r="790" spans="1:29">
      <c r="A790" s="278" t="s">
        <v>466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401"/>
      <c r="N790" s="401"/>
      <c r="O790" s="74"/>
      <c r="P790" s="74"/>
      <c r="Q790" s="20"/>
      <c r="R790" s="20"/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</row>
    <row r="791" spans="1:29">
      <c r="A791" s="294" t="s">
        <v>468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20"/>
      <c r="N791" s="20"/>
      <c r="O791" s="74"/>
      <c r="P791" s="74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</row>
    <row r="792" spans="1:29">
      <c r="A792" s="308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20"/>
      <c r="N792" s="20"/>
      <c r="O792" s="74"/>
      <c r="P792" s="74"/>
      <c r="Q792" s="20"/>
      <c r="R792" s="20"/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</row>
    <row r="793" spans="1:29">
      <c r="A793" s="308" t="s">
        <v>383</v>
      </c>
      <c r="B793" s="1"/>
      <c r="C793" s="304"/>
      <c r="D793" s="304"/>
      <c r="E793" s="2"/>
      <c r="F793" s="2"/>
      <c r="G793" s="1"/>
      <c r="H793" s="1"/>
      <c r="I793" s="2"/>
      <c r="J793" s="1"/>
      <c r="K793" s="1"/>
      <c r="M793" s="20"/>
      <c r="N793" s="20"/>
      <c r="O793" s="69" t="s">
        <v>31</v>
      </c>
      <c r="P793" s="74"/>
      <c r="Q793" s="20"/>
      <c r="R793" s="20"/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</row>
    <row r="794" spans="1:29">
      <c r="A794" s="308" t="s">
        <v>461</v>
      </c>
      <c r="B794" s="1"/>
      <c r="C794" s="304">
        <f>C822+C850</f>
        <v>658</v>
      </c>
      <c r="D794" s="304">
        <f>D822+D850</f>
        <v>692</v>
      </c>
      <c r="E794" s="322">
        <f>$E$766</f>
        <v>1205</v>
      </c>
      <c r="F794" s="322"/>
      <c r="G794" s="2">
        <f>G822+G850</f>
        <v>792890</v>
      </c>
      <c r="H794" s="2">
        <f>H822+H850</f>
        <v>833860</v>
      </c>
      <c r="I794" s="322">
        <v>1330</v>
      </c>
      <c r="J794" s="306"/>
      <c r="K794" s="2">
        <f>K822+K850</f>
        <v>875140</v>
      </c>
      <c r="M794" s="20"/>
      <c r="N794" s="20"/>
      <c r="O794" s="14">
        <f>(I794-E794)/E794</f>
        <v>0.1037344398340249</v>
      </c>
      <c r="P794" s="74"/>
      <c r="Q794" s="20"/>
      <c r="R794" s="2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</row>
    <row r="795" spans="1:29">
      <c r="A795" s="308" t="s">
        <v>462</v>
      </c>
      <c r="B795" s="1"/>
      <c r="C795" s="304">
        <f>C823+C851</f>
        <v>48</v>
      </c>
      <c r="D795" s="304">
        <f>D823+D851</f>
        <v>50</v>
      </c>
      <c r="E795" s="322">
        <f>$E$767</f>
        <v>1450</v>
      </c>
      <c r="F795" s="322"/>
      <c r="G795" s="2">
        <f>G823+G851</f>
        <v>69600</v>
      </c>
      <c r="H795" s="2">
        <f>H823+H851</f>
        <v>72500</v>
      </c>
      <c r="I795" s="322">
        <v>1600</v>
      </c>
      <c r="J795" s="309"/>
      <c r="K795" s="2">
        <f>K823+K851</f>
        <v>76800</v>
      </c>
      <c r="M795" s="20"/>
      <c r="N795" s="20"/>
      <c r="O795" s="14">
        <f>(I795-E795)/E795</f>
        <v>0.10344827586206896</v>
      </c>
      <c r="P795" s="74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</row>
    <row r="796" spans="1:29">
      <c r="A796" s="308" t="s">
        <v>384</v>
      </c>
      <c r="B796" s="1"/>
      <c r="C796" s="304">
        <f>SUM(C794:C795)</f>
        <v>706</v>
      </c>
      <c r="D796" s="304">
        <f>SUM(D794:D795)</f>
        <v>742</v>
      </c>
      <c r="E796" s="322" t="s">
        <v>31</v>
      </c>
      <c r="F796" s="322"/>
      <c r="G796" s="2"/>
      <c r="H796" s="2"/>
      <c r="I796" s="322" t="s">
        <v>31</v>
      </c>
      <c r="J796" s="306"/>
      <c r="K796" s="2"/>
      <c r="M796" s="20"/>
      <c r="N796" s="20"/>
      <c r="O796" s="305"/>
      <c r="P796" s="74"/>
      <c r="Q796" s="20"/>
      <c r="R796" s="20"/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</row>
    <row r="797" spans="1:29">
      <c r="A797" s="308" t="s">
        <v>463</v>
      </c>
      <c r="B797" s="1"/>
      <c r="C797" s="304">
        <f t="shared" ref="C797:D799" si="68">C825+C853</f>
        <v>898711</v>
      </c>
      <c r="D797" s="304">
        <f t="shared" si="68"/>
        <v>1752134</v>
      </c>
      <c r="E797" s="322">
        <f>$E$769</f>
        <v>0.91</v>
      </c>
      <c r="F797" s="322"/>
      <c r="G797" s="2">
        <f t="shared" ref="G797:H799" si="69">G825+G853</f>
        <v>817827</v>
      </c>
      <c r="H797" s="2">
        <f t="shared" si="69"/>
        <v>1594442</v>
      </c>
      <c r="I797" s="322">
        <v>1.01</v>
      </c>
      <c r="J797" s="306"/>
      <c r="K797" s="2">
        <f>K825+K853</f>
        <v>907698</v>
      </c>
      <c r="M797" s="20"/>
      <c r="N797" s="20"/>
      <c r="O797" s="14">
        <f>(I797-E797)/E797</f>
        <v>0.10989010989010986</v>
      </c>
      <c r="P797" s="74"/>
      <c r="Q797" s="20"/>
      <c r="R797" s="20"/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</row>
    <row r="798" spans="1:29">
      <c r="A798" s="308" t="s">
        <v>464</v>
      </c>
      <c r="B798" s="1"/>
      <c r="C798" s="304">
        <f t="shared" si="68"/>
        <v>209743</v>
      </c>
      <c r="D798" s="304">
        <f t="shared" si="68"/>
        <v>487863</v>
      </c>
      <c r="E798" s="322">
        <f>$E$770</f>
        <v>0.83</v>
      </c>
      <c r="F798" s="322"/>
      <c r="G798" s="2">
        <f t="shared" si="69"/>
        <v>174086</v>
      </c>
      <c r="H798" s="2">
        <f t="shared" si="69"/>
        <v>404926</v>
      </c>
      <c r="I798" s="322">
        <v>0.92</v>
      </c>
      <c r="J798" s="306"/>
      <c r="K798" s="2">
        <f>K826+K854</f>
        <v>192964</v>
      </c>
      <c r="M798" s="20"/>
      <c r="N798" s="20"/>
      <c r="O798" s="14">
        <f>(I798-E798)/E798</f>
        <v>0.10843373493975914</v>
      </c>
      <c r="P798" s="74"/>
      <c r="Q798" s="20"/>
      <c r="R798" s="20"/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</row>
    <row r="799" spans="1:29">
      <c r="A799" s="294" t="s">
        <v>393</v>
      </c>
      <c r="B799" s="1"/>
      <c r="C799" s="304">
        <f t="shared" si="68"/>
        <v>904657</v>
      </c>
      <c r="D799" s="304">
        <f t="shared" si="68"/>
        <v>1890714</v>
      </c>
      <c r="E799" s="322">
        <f>$E$771</f>
        <v>6.03</v>
      </c>
      <c r="F799" s="322"/>
      <c r="G799" s="2">
        <f t="shared" si="69"/>
        <v>5455082</v>
      </c>
      <c r="H799" s="2">
        <f t="shared" si="69"/>
        <v>11401005</v>
      </c>
      <c r="I799" s="322">
        <v>6.53</v>
      </c>
      <c r="J799" s="306"/>
      <c r="K799" s="2">
        <f>K827+K855</f>
        <v>5907411</v>
      </c>
      <c r="M799" s="20"/>
      <c r="N799" s="20"/>
      <c r="O799" s="14">
        <f>(I799-E799)/E799</f>
        <v>8.2918739635157543E-2</v>
      </c>
      <c r="P799" s="74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</row>
    <row r="800" spans="1:29">
      <c r="A800" s="308" t="s">
        <v>416</v>
      </c>
      <c r="B800" s="1"/>
      <c r="C800" s="304"/>
      <c r="D800" s="304"/>
      <c r="E800" s="322" t="s">
        <v>31</v>
      </c>
      <c r="F800" s="322"/>
      <c r="G800" s="2"/>
      <c r="H800" s="2"/>
      <c r="I800" s="322" t="s">
        <v>31</v>
      </c>
      <c r="J800" s="306"/>
      <c r="K800" s="2"/>
      <c r="M800" s="20"/>
      <c r="N800" s="20"/>
      <c r="O800" s="305"/>
      <c r="P800" s="74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</row>
    <row r="801" spans="1:29">
      <c r="A801" s="308" t="s">
        <v>454</v>
      </c>
      <c r="B801" s="1"/>
      <c r="C801" s="304">
        <f>C829+C857</f>
        <v>411194188</v>
      </c>
      <c r="D801" s="304">
        <f>D829+D857</f>
        <v>866308148</v>
      </c>
      <c r="E801" s="380">
        <f>$E$773</f>
        <v>3.4990000000000001</v>
      </c>
      <c r="F801" s="306" t="s">
        <v>364</v>
      </c>
      <c r="G801" s="2">
        <f>G829+G857</f>
        <v>14387684</v>
      </c>
      <c r="H801" s="2">
        <f>H829+H857</f>
        <v>30312122</v>
      </c>
      <c r="I801" s="380">
        <v>3.8719999999999999</v>
      </c>
      <c r="J801" s="306" t="s">
        <v>364</v>
      </c>
      <c r="K801" s="2">
        <f>K829+K857</f>
        <v>15921439</v>
      </c>
      <c r="M801" s="20"/>
      <c r="N801" s="20"/>
      <c r="O801" s="14">
        <f>(I801-E801)/E801</f>
        <v>0.10660188625321514</v>
      </c>
      <c r="P801" s="74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</row>
    <row r="802" spans="1:29">
      <c r="A802" s="308" t="s">
        <v>390</v>
      </c>
      <c r="B802" s="1"/>
      <c r="C802" s="304">
        <f>C830+C858</f>
        <v>226397</v>
      </c>
      <c r="D802" s="304">
        <f>D830+D858</f>
        <v>531041</v>
      </c>
      <c r="E802" s="322">
        <f>$E$774</f>
        <v>0.45</v>
      </c>
      <c r="F802" s="306"/>
      <c r="G802" s="2">
        <f>G830+G858</f>
        <v>101879</v>
      </c>
      <c r="H802" s="2">
        <f>H830+H858</f>
        <v>238969</v>
      </c>
      <c r="I802" s="322">
        <v>0.5</v>
      </c>
      <c r="J802" s="306"/>
      <c r="K802" s="2">
        <f>K830+K858</f>
        <v>113199</v>
      </c>
      <c r="M802" s="20"/>
      <c r="N802" s="20"/>
      <c r="O802" s="14">
        <f>(I802-E802)/E802</f>
        <v>0.11111111111111108</v>
      </c>
      <c r="P802" s="74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</row>
    <row r="803" spans="1:29">
      <c r="A803" s="345" t="s">
        <v>391</v>
      </c>
      <c r="B803" s="1"/>
      <c r="C803" s="304"/>
      <c r="D803" s="304"/>
      <c r="E803" s="317">
        <v>-0.01</v>
      </c>
      <c r="F803" s="317"/>
      <c r="G803" s="2"/>
      <c r="H803" s="2"/>
      <c r="I803" s="317">
        <v>-0.01</v>
      </c>
      <c r="J803" s="346"/>
      <c r="K803" s="2"/>
      <c r="M803" s="20"/>
      <c r="N803" s="20"/>
      <c r="O803" s="74"/>
      <c r="P803" s="74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</row>
    <row r="804" spans="1:29">
      <c r="A804" s="308" t="s">
        <v>461</v>
      </c>
      <c r="B804" s="1"/>
      <c r="C804" s="304">
        <f t="shared" ref="C804:D814" si="70">C832+C860</f>
        <v>135</v>
      </c>
      <c r="D804" s="304">
        <f t="shared" si="70"/>
        <v>143</v>
      </c>
      <c r="E804" s="319">
        <f>E794</f>
        <v>1205</v>
      </c>
      <c r="F804" s="319"/>
      <c r="G804" s="306">
        <f t="shared" ref="G804:H814" si="71">G832+G860</f>
        <v>-1627</v>
      </c>
      <c r="H804" s="306">
        <f t="shared" si="71"/>
        <v>-1723</v>
      </c>
      <c r="I804" s="319">
        <f>I794</f>
        <v>1330</v>
      </c>
      <c r="J804" s="306"/>
      <c r="K804" s="306">
        <f t="shared" ref="K804:K813" si="72">K832+K860</f>
        <v>-1795</v>
      </c>
      <c r="M804" s="20"/>
      <c r="N804" s="20"/>
      <c r="O804" s="74"/>
      <c r="P804" s="74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</row>
    <row r="805" spans="1:29">
      <c r="A805" s="308" t="s">
        <v>462</v>
      </c>
      <c r="B805" s="1"/>
      <c r="C805" s="304">
        <f t="shared" si="70"/>
        <v>23</v>
      </c>
      <c r="D805" s="304">
        <f t="shared" si="70"/>
        <v>24</v>
      </c>
      <c r="E805" s="319">
        <f>E795</f>
        <v>1450</v>
      </c>
      <c r="F805" s="319"/>
      <c r="G805" s="306">
        <f t="shared" si="71"/>
        <v>-334</v>
      </c>
      <c r="H805" s="306">
        <f t="shared" si="71"/>
        <v>-348</v>
      </c>
      <c r="I805" s="319">
        <f>I795</f>
        <v>1600</v>
      </c>
      <c r="J805" s="306"/>
      <c r="K805" s="306">
        <f t="shared" si="72"/>
        <v>-368</v>
      </c>
      <c r="M805" s="20"/>
      <c r="N805" s="20"/>
      <c r="O805" s="74"/>
      <c r="P805" s="74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</row>
    <row r="806" spans="1:29">
      <c r="A806" s="308" t="s">
        <v>463</v>
      </c>
      <c r="B806" s="1"/>
      <c r="C806" s="304">
        <f t="shared" si="70"/>
        <v>189773</v>
      </c>
      <c r="D806" s="304">
        <f t="shared" si="70"/>
        <v>250152</v>
      </c>
      <c r="E806" s="319">
        <f>E797</f>
        <v>0.91</v>
      </c>
      <c r="F806" s="319"/>
      <c r="G806" s="306">
        <f t="shared" si="71"/>
        <v>-1727</v>
      </c>
      <c r="H806" s="306">
        <f t="shared" si="71"/>
        <v>-2276</v>
      </c>
      <c r="I806" s="319">
        <f>I797</f>
        <v>1.01</v>
      </c>
      <c r="J806" s="306"/>
      <c r="K806" s="306">
        <f t="shared" si="72"/>
        <v>-1917</v>
      </c>
      <c r="M806" s="20"/>
      <c r="N806" s="20"/>
      <c r="O806" s="74"/>
      <c r="P806" s="74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</row>
    <row r="807" spans="1:29">
      <c r="A807" s="308" t="s">
        <v>464</v>
      </c>
      <c r="B807" s="1"/>
      <c r="C807" s="304">
        <f t="shared" si="70"/>
        <v>101596</v>
      </c>
      <c r="D807" s="304">
        <f t="shared" si="70"/>
        <v>202120</v>
      </c>
      <c r="E807" s="319">
        <f>E798</f>
        <v>0.83</v>
      </c>
      <c r="F807" s="319"/>
      <c r="G807" s="306">
        <f t="shared" si="71"/>
        <v>-843</v>
      </c>
      <c r="H807" s="306">
        <f t="shared" si="71"/>
        <v>-1677</v>
      </c>
      <c r="I807" s="319">
        <f>I798</f>
        <v>0.92</v>
      </c>
      <c r="J807" s="306"/>
      <c r="K807" s="306">
        <f t="shared" si="72"/>
        <v>-934</v>
      </c>
      <c r="M807" s="20"/>
      <c r="N807" s="20"/>
      <c r="O807" s="74"/>
      <c r="P807" s="74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</row>
    <row r="808" spans="1:29">
      <c r="A808" s="294" t="s">
        <v>393</v>
      </c>
      <c r="B808" s="365"/>
      <c r="C808" s="304">
        <f t="shared" si="70"/>
        <v>235201</v>
      </c>
      <c r="D808" s="304">
        <f t="shared" si="70"/>
        <v>378246</v>
      </c>
      <c r="E808" s="319">
        <f>E799</f>
        <v>6.03</v>
      </c>
      <c r="F808" s="322"/>
      <c r="G808" s="306">
        <f t="shared" si="71"/>
        <v>-14182</v>
      </c>
      <c r="H808" s="306">
        <f t="shared" si="71"/>
        <v>-22808</v>
      </c>
      <c r="I808" s="319">
        <f>I799</f>
        <v>6.53</v>
      </c>
      <c r="J808" s="306"/>
      <c r="K808" s="306">
        <f t="shared" si="72"/>
        <v>-15359</v>
      </c>
      <c r="M808" s="20"/>
      <c r="N808" s="20"/>
      <c r="O808" s="74"/>
      <c r="P808" s="74"/>
      <c r="Q808" s="20"/>
      <c r="R808" s="20"/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</row>
    <row r="809" spans="1:29">
      <c r="A809" s="308" t="s">
        <v>454</v>
      </c>
      <c r="B809" s="1"/>
      <c r="C809" s="304">
        <f t="shared" si="70"/>
        <v>103773002</v>
      </c>
      <c r="D809" s="304">
        <f t="shared" si="70"/>
        <v>169872377</v>
      </c>
      <c r="E809" s="320">
        <f>E801</f>
        <v>3.4990000000000001</v>
      </c>
      <c r="F809" s="306" t="s">
        <v>364</v>
      </c>
      <c r="G809" s="306">
        <f t="shared" si="71"/>
        <v>-36310</v>
      </c>
      <c r="H809" s="306">
        <f t="shared" si="71"/>
        <v>-59438</v>
      </c>
      <c r="I809" s="320">
        <f>I801</f>
        <v>3.8719999999999999</v>
      </c>
      <c r="J809" s="306" t="s">
        <v>364</v>
      </c>
      <c r="K809" s="306">
        <f t="shared" si="72"/>
        <v>-40181</v>
      </c>
      <c r="M809" s="20"/>
      <c r="N809" s="20"/>
      <c r="O809" s="74"/>
      <c r="P809" s="74"/>
      <c r="Q809" s="20"/>
      <c r="R809" s="20"/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</row>
    <row r="810" spans="1:29">
      <c r="A810" s="308" t="s">
        <v>390</v>
      </c>
      <c r="B810" s="1"/>
      <c r="C810" s="304">
        <f t="shared" si="70"/>
        <v>39074</v>
      </c>
      <c r="D810" s="304">
        <f t="shared" si="70"/>
        <v>77366</v>
      </c>
      <c r="E810" s="369">
        <f>E802</f>
        <v>0.45</v>
      </c>
      <c r="F810" s="306"/>
      <c r="G810" s="306">
        <f t="shared" si="71"/>
        <v>-176</v>
      </c>
      <c r="H810" s="306">
        <f t="shared" si="71"/>
        <v>-348</v>
      </c>
      <c r="I810" s="369">
        <f>I802</f>
        <v>0.5</v>
      </c>
      <c r="J810" s="306"/>
      <c r="K810" s="306">
        <f t="shared" si="72"/>
        <v>-195</v>
      </c>
      <c r="M810" s="20"/>
      <c r="N810" s="20"/>
      <c r="O810" s="74"/>
      <c r="P810" s="74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</row>
    <row r="811" spans="1:29">
      <c r="A811" s="294" t="s">
        <v>465</v>
      </c>
      <c r="B811" s="1"/>
      <c r="C811" s="304">
        <f t="shared" si="70"/>
        <v>158</v>
      </c>
      <c r="D811" s="304">
        <f t="shared" si="70"/>
        <v>167</v>
      </c>
      <c r="E811" s="322">
        <f>$E$783</f>
        <v>60</v>
      </c>
      <c r="F811" s="322"/>
      <c r="G811" s="306">
        <f t="shared" si="71"/>
        <v>9480</v>
      </c>
      <c r="H811" s="306">
        <f t="shared" si="71"/>
        <v>10020</v>
      </c>
      <c r="I811" s="322">
        <f>$I$783</f>
        <v>60</v>
      </c>
      <c r="J811" s="306"/>
      <c r="K811" s="306">
        <f t="shared" si="72"/>
        <v>9480</v>
      </c>
      <c r="M811" s="20"/>
      <c r="N811" s="20"/>
      <c r="O811" s="74"/>
      <c r="P811" s="74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</row>
    <row r="812" spans="1:29">
      <c r="A812" s="294" t="s">
        <v>434</v>
      </c>
      <c r="B812" s="1"/>
      <c r="C812" s="304">
        <f t="shared" si="70"/>
        <v>291369</v>
      </c>
      <c r="D812" s="304">
        <f t="shared" si="70"/>
        <v>452272</v>
      </c>
      <c r="E812" s="322">
        <f>$E$784</f>
        <v>-0.75</v>
      </c>
      <c r="F812" s="306"/>
      <c r="G812" s="306">
        <f t="shared" si="71"/>
        <v>-218527</v>
      </c>
      <c r="H812" s="306">
        <f t="shared" si="71"/>
        <v>-339204</v>
      </c>
      <c r="I812" s="322">
        <f>$I$784</f>
        <v>-0.75</v>
      </c>
      <c r="J812" s="306"/>
      <c r="K812" s="306">
        <f t="shared" si="72"/>
        <v>-218527</v>
      </c>
      <c r="M812" s="20"/>
      <c r="N812" s="20"/>
      <c r="O812" s="74"/>
      <c r="P812" s="74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</row>
    <row r="813" spans="1:29">
      <c r="A813" s="1" t="s">
        <v>371</v>
      </c>
      <c r="B813" s="1"/>
      <c r="C813" s="304">
        <f t="shared" si="70"/>
        <v>411194188</v>
      </c>
      <c r="D813" s="304">
        <f t="shared" si="70"/>
        <v>866308148.72444463</v>
      </c>
      <c r="E813" s="315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20"/>
      <c r="N813" s="20"/>
      <c r="O813" s="74"/>
      <c r="P813" s="74"/>
      <c r="Q813" s="20"/>
      <c r="R813" s="20"/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</row>
    <row r="814" spans="1:29">
      <c r="A814" s="1" t="s">
        <v>353</v>
      </c>
      <c r="B814" s="1"/>
      <c r="C814" s="304" t="e">
        <f t="shared" si="70"/>
        <v>#REF!</v>
      </c>
      <c r="D814" s="304">
        <f t="shared" si="70"/>
        <v>0</v>
      </c>
      <c r="E814" s="294"/>
      <c r="F814" s="294"/>
      <c r="G814" s="326" t="e">
        <f t="shared" si="71"/>
        <v>#REF!</v>
      </c>
      <c r="H814" s="326">
        <f t="shared" si="71"/>
        <v>0</v>
      </c>
      <c r="I814" s="294"/>
      <c r="J814" s="294"/>
      <c r="K814" s="326" t="e">
        <f>G814</f>
        <v>#REF!</v>
      </c>
      <c r="M814" s="429"/>
      <c r="N814" s="429"/>
      <c r="O814" s="272"/>
      <c r="P814" s="74"/>
      <c r="Q814" s="20"/>
      <c r="R814" s="20"/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</row>
    <row r="815" spans="1:29" ht="16.5" thickBot="1">
      <c r="A815" s="1" t="s">
        <v>372</v>
      </c>
      <c r="B815" s="1"/>
      <c r="C815" s="378" t="e">
        <f>SUM(C813)+C814</f>
        <v>#REF!</v>
      </c>
      <c r="D815" s="378">
        <f>SUM(D801)+D814</f>
        <v>866308148</v>
      </c>
      <c r="E815" s="327"/>
      <c r="F815" s="328"/>
      <c r="G815" s="329" t="e">
        <f>G813+G814</f>
        <v>#REF!</v>
      </c>
      <c r="H815" s="329">
        <f>H813+H814</f>
        <v>44440022</v>
      </c>
      <c r="I815" s="327"/>
      <c r="J815" s="330"/>
      <c r="K815" s="329" t="e">
        <f>K813+K814</f>
        <v>#REF!</v>
      </c>
      <c r="M815" s="396"/>
      <c r="N815" s="3" t="s">
        <v>354</v>
      </c>
      <c r="O815" s="69" t="e">
        <f>#REF!*1000+#REF!*1000</f>
        <v>#REF!</v>
      </c>
      <c r="Q815" s="20"/>
      <c r="R815" s="20"/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</row>
    <row r="816" spans="1:29" ht="16.5" thickTop="1">
      <c r="A816" s="1"/>
      <c r="B816" s="1"/>
      <c r="C816" s="21"/>
      <c r="D816" s="21"/>
      <c r="E816" s="322"/>
      <c r="F816" s="2"/>
      <c r="G816" s="2"/>
      <c r="H816" s="2"/>
      <c r="I816" s="338" t="s">
        <v>31</v>
      </c>
      <c r="J816" s="1"/>
      <c r="K816" s="2" t="s">
        <v>31</v>
      </c>
      <c r="M816" s="20"/>
      <c r="N816" s="3" t="s">
        <v>257</v>
      </c>
      <c r="O816" s="69" t="e">
        <f>O815-K815-K760</f>
        <v>#REF!</v>
      </c>
      <c r="P816" s="261" t="e">
        <f>(O815-K815)/K815</f>
        <v>#REF!</v>
      </c>
      <c r="Q816" s="20"/>
      <c r="R816" s="20"/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</row>
    <row r="817" spans="1:29">
      <c r="A817" s="1"/>
      <c r="B817" s="1"/>
      <c r="C817" s="21"/>
      <c r="D817" s="21"/>
      <c r="E817" s="322"/>
      <c r="F817" s="2"/>
      <c r="G817" s="2"/>
      <c r="H817" s="2"/>
      <c r="I817" s="322"/>
      <c r="J817" s="1"/>
      <c r="K817" s="365"/>
      <c r="M817" s="20"/>
      <c r="N817" s="20"/>
      <c r="O817" s="74"/>
      <c r="P817" s="74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</row>
    <row r="818" spans="1:29">
      <c r="A818" s="278" t="s">
        <v>466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20"/>
      <c r="N818" s="20"/>
      <c r="O818" s="74"/>
      <c r="P818" s="74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</row>
    <row r="819" spans="1:29">
      <c r="A819" s="294" t="s">
        <v>469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20"/>
      <c r="N819" s="20"/>
      <c r="O819" s="74"/>
      <c r="P819" s="74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</row>
    <row r="820" spans="1:29">
      <c r="A820" s="308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20"/>
      <c r="N820" s="20"/>
      <c r="O820" s="74"/>
      <c r="P820" s="74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</row>
    <row r="821" spans="1:29">
      <c r="A821" s="308" t="s">
        <v>383</v>
      </c>
      <c r="B821" s="1"/>
      <c r="C821" s="304"/>
      <c r="D821" s="304"/>
      <c r="E821" s="2"/>
      <c r="F821" s="2"/>
      <c r="G821" s="1"/>
      <c r="H821" s="1"/>
      <c r="I821" s="2"/>
      <c r="J821" s="1"/>
      <c r="K821" s="1"/>
      <c r="M821" s="20"/>
      <c r="N821" s="20"/>
      <c r="O821" s="74"/>
      <c r="P821" s="74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</row>
    <row r="822" spans="1:29">
      <c r="A822" s="308" t="s">
        <v>461</v>
      </c>
      <c r="B822" s="1"/>
      <c r="C822" s="304">
        <f>111+187</f>
        <v>298</v>
      </c>
      <c r="D822" s="304">
        <v>317</v>
      </c>
      <c r="E822" s="322">
        <f>$E$794</f>
        <v>1205</v>
      </c>
      <c r="F822" s="322"/>
      <c r="G822" s="2">
        <f>ROUND(E822*$C822,0)</f>
        <v>359090</v>
      </c>
      <c r="H822" s="2">
        <f>ROUND(E822*$D822,0)</f>
        <v>381985</v>
      </c>
      <c r="I822" s="322">
        <f>$I$794</f>
        <v>1330</v>
      </c>
      <c r="J822" s="306"/>
      <c r="K822" s="2">
        <f>ROUND(I822*$C822,0)</f>
        <v>396340</v>
      </c>
      <c r="M822" s="20"/>
      <c r="N822" s="20"/>
      <c r="O822" s="74"/>
      <c r="P822" s="74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</row>
    <row r="823" spans="1:29">
      <c r="A823" s="308" t="s">
        <v>462</v>
      </c>
      <c r="B823" s="1"/>
      <c r="C823" s="304">
        <v>11</v>
      </c>
      <c r="D823" s="304">
        <v>12</v>
      </c>
      <c r="E823" s="322">
        <f>$E$795</f>
        <v>1450</v>
      </c>
      <c r="F823" s="322"/>
      <c r="G823" s="2">
        <f>ROUND(E823*$C823,0)</f>
        <v>15950</v>
      </c>
      <c r="H823" s="2">
        <f>ROUND(E823*$D823,0)</f>
        <v>17400</v>
      </c>
      <c r="I823" s="322">
        <f>$I$795</f>
        <v>1600</v>
      </c>
      <c r="J823" s="309"/>
      <c r="K823" s="2">
        <f>ROUND(I823*$C823,0)</f>
        <v>17600</v>
      </c>
      <c r="M823" s="20"/>
      <c r="N823" s="20"/>
      <c r="O823" s="74"/>
      <c r="P823" s="74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</row>
    <row r="824" spans="1:29">
      <c r="A824" s="308" t="s">
        <v>384</v>
      </c>
      <c r="B824" s="1"/>
      <c r="C824" s="304">
        <f>SUM(C822:C823)</f>
        <v>309</v>
      </c>
      <c r="D824" s="304">
        <f>SUM(D822:D823)</f>
        <v>329</v>
      </c>
      <c r="E824" s="322" t="s">
        <v>31</v>
      </c>
      <c r="F824" s="322"/>
      <c r="G824" s="2" t="s">
        <v>31</v>
      </c>
      <c r="H824" s="2" t="s">
        <v>31</v>
      </c>
      <c r="I824" s="322" t="s">
        <v>31</v>
      </c>
      <c r="J824" s="306"/>
      <c r="K824" s="2" t="s">
        <v>31</v>
      </c>
      <c r="M824" s="20"/>
      <c r="N824" s="20"/>
      <c r="O824" s="74"/>
      <c r="P824" s="74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</row>
    <row r="825" spans="1:29">
      <c r="A825" s="308" t="s">
        <v>463</v>
      </c>
      <c r="B825" s="1"/>
      <c r="C825" s="304">
        <f>161644+238775</f>
        <v>400419</v>
      </c>
      <c r="D825" s="304">
        <f>ROUND((C825/$C$841)*$D$841,0)</f>
        <v>435560</v>
      </c>
      <c r="E825" s="322">
        <f>$E$797</f>
        <v>0.91</v>
      </c>
      <c r="F825" s="322"/>
      <c r="G825" s="2">
        <f>ROUND(E825*$C825,0)</f>
        <v>364381</v>
      </c>
      <c r="H825" s="2">
        <f>ROUND(E825*$D825,0)</f>
        <v>396360</v>
      </c>
      <c r="I825" s="322">
        <f>$I$797</f>
        <v>1.01</v>
      </c>
      <c r="J825" s="306"/>
      <c r="K825" s="2">
        <f>ROUND(I825*$C825,0)</f>
        <v>404423</v>
      </c>
      <c r="M825" s="20"/>
      <c r="N825" s="20"/>
      <c r="O825" s="74"/>
      <c r="P825" s="74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</row>
    <row r="826" spans="1:29">
      <c r="A826" s="308" t="s">
        <v>464</v>
      </c>
      <c r="B826" s="1"/>
      <c r="C826" s="304">
        <f>42662</f>
        <v>42662</v>
      </c>
      <c r="D826" s="304">
        <f>ROUND((C826/$C$841)*$D$841,0)</f>
        <v>46406</v>
      </c>
      <c r="E826" s="322">
        <f>$E$798</f>
        <v>0.83</v>
      </c>
      <c r="F826" s="322"/>
      <c r="G826" s="2">
        <f>ROUND(E826*$C826,0)</f>
        <v>35409</v>
      </c>
      <c r="H826" s="2">
        <f>ROUND(E826*$D826,0)</f>
        <v>38517</v>
      </c>
      <c r="I826" s="322">
        <f>$I$798</f>
        <v>0.92</v>
      </c>
      <c r="J826" s="306"/>
      <c r="K826" s="2">
        <f>ROUND(I826*$C826,0)</f>
        <v>39249</v>
      </c>
      <c r="M826" s="20"/>
      <c r="N826" s="20"/>
      <c r="O826" s="74"/>
      <c r="P826" s="74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</row>
    <row r="827" spans="1:29">
      <c r="A827" s="294" t="s">
        <v>393</v>
      </c>
      <c r="B827" s="1"/>
      <c r="C827" s="304">
        <f>121935+34520+164918</f>
        <v>321373</v>
      </c>
      <c r="D827" s="304">
        <f>ROUND((C827/$C$841)*$D$841,0)</f>
        <v>349577</v>
      </c>
      <c r="E827" s="322">
        <f>$E$799</f>
        <v>6.03</v>
      </c>
      <c r="F827" s="322"/>
      <c r="G827" s="2">
        <f>ROUND(E827*$C827,0)</f>
        <v>1937879</v>
      </c>
      <c r="H827" s="2">
        <f>ROUND(E827*$D827,0)</f>
        <v>2107949</v>
      </c>
      <c r="I827" s="322">
        <f>$I$799</f>
        <v>6.53</v>
      </c>
      <c r="J827" s="306"/>
      <c r="K827" s="2">
        <f>ROUND(I827*$C827,0)</f>
        <v>2098566</v>
      </c>
      <c r="M827" s="20"/>
      <c r="N827" s="20"/>
      <c r="O827" s="74"/>
      <c r="P827" s="74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</row>
    <row r="828" spans="1:29">
      <c r="A828" s="308" t="s">
        <v>416</v>
      </c>
      <c r="B828" s="1"/>
      <c r="C828" s="304"/>
      <c r="D828" s="304"/>
      <c r="E828" s="322" t="s">
        <v>31</v>
      </c>
      <c r="F828" s="322"/>
      <c r="G828" s="2"/>
      <c r="H828" s="2"/>
      <c r="I828" s="322" t="s">
        <v>31</v>
      </c>
      <c r="J828" s="306"/>
      <c r="K828" s="2"/>
      <c r="M828" s="20"/>
      <c r="N828" s="20"/>
      <c r="O828" s="74"/>
      <c r="P828" s="74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</row>
    <row r="829" spans="1:29">
      <c r="A829" s="308" t="s">
        <v>454</v>
      </c>
      <c r="B829" s="1"/>
      <c r="C829" s="304">
        <f>48095401+19012800+74513181</f>
        <v>141621382</v>
      </c>
      <c r="D829" s="304">
        <f>ROUND((C829/$C$841)*$D$841,0)</f>
        <v>154050076</v>
      </c>
      <c r="E829" s="380">
        <f>$E$801</f>
        <v>3.4990000000000001</v>
      </c>
      <c r="F829" s="306" t="s">
        <v>364</v>
      </c>
      <c r="G829" s="2">
        <f>ROUND(E829/100*$C829,0)</f>
        <v>4955332</v>
      </c>
      <c r="H829" s="2">
        <f>ROUND(E829/100*$D829,0)</f>
        <v>5390212</v>
      </c>
      <c r="I829" s="380">
        <f>$I$801</f>
        <v>3.8719999999999999</v>
      </c>
      <c r="J829" s="306" t="s">
        <v>364</v>
      </c>
      <c r="K829" s="2">
        <f>ROUND(I829/100*$C829,0)</f>
        <v>5483580</v>
      </c>
      <c r="M829" s="20"/>
      <c r="N829" s="20"/>
      <c r="O829" s="74"/>
      <c r="P829" s="74"/>
      <c r="Q829" s="20"/>
      <c r="R829" s="20"/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</row>
    <row r="830" spans="1:29">
      <c r="A830" s="308" t="s">
        <v>390</v>
      </c>
      <c r="B830" s="1"/>
      <c r="C830" s="304">
        <f>10682+5964+26547</f>
        <v>43193</v>
      </c>
      <c r="D830" s="304">
        <f>ROUND((C830/$C$841)*$D$841,0)</f>
        <v>46984</v>
      </c>
      <c r="E830" s="322">
        <f>$E$802</f>
        <v>0.45</v>
      </c>
      <c r="F830" s="306"/>
      <c r="G830" s="2">
        <f>ROUND(E830*$C830,0)</f>
        <v>19437</v>
      </c>
      <c r="H830" s="2">
        <f>ROUND(E830*$D830,0)</f>
        <v>21143</v>
      </c>
      <c r="I830" s="322">
        <f>$I$802</f>
        <v>0.5</v>
      </c>
      <c r="J830" s="306"/>
      <c r="K830" s="2">
        <f>ROUND(I830*$C830,0)</f>
        <v>21597</v>
      </c>
      <c r="M830" s="20"/>
      <c r="N830" s="20"/>
      <c r="O830" s="74"/>
      <c r="P830" s="74"/>
      <c r="Q830" s="20"/>
      <c r="R830" s="20"/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</row>
    <row r="831" spans="1:29">
      <c r="A831" s="345" t="s">
        <v>391</v>
      </c>
      <c r="B831" s="1"/>
      <c r="C831" s="304"/>
      <c r="D831" s="304"/>
      <c r="E831" s="317">
        <v>-0.01</v>
      </c>
      <c r="F831" s="317"/>
      <c r="G831" s="2"/>
      <c r="H831" s="2"/>
      <c r="I831" s="317">
        <v>-0.01</v>
      </c>
      <c r="J831" s="346"/>
      <c r="K831" s="2"/>
      <c r="M831" s="20"/>
      <c r="N831" s="20"/>
      <c r="O831" s="74"/>
      <c r="P831" s="74"/>
      <c r="Q831" s="20"/>
      <c r="R831" s="20"/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</row>
    <row r="832" spans="1:29">
      <c r="A832" s="308" t="s">
        <v>461</v>
      </c>
      <c r="B832" s="1"/>
      <c r="C832" s="304">
        <v>111</v>
      </c>
      <c r="D832" s="304">
        <v>118</v>
      </c>
      <c r="E832" s="319">
        <f>E822</f>
        <v>1205</v>
      </c>
      <c r="F832" s="319"/>
      <c r="G832" s="306">
        <f>ROUND(E832*$C832*$E$803,0)</f>
        <v>-1338</v>
      </c>
      <c r="H832" s="306">
        <f>ROUND(E832*$D832*$E$803,0)</f>
        <v>-1422</v>
      </c>
      <c r="I832" s="319">
        <f>I822</f>
        <v>1330</v>
      </c>
      <c r="J832" s="306"/>
      <c r="K832" s="306">
        <f>ROUND(I832*$C832*$E$803,0)</f>
        <v>-1476</v>
      </c>
      <c r="M832" s="20"/>
      <c r="N832" s="20"/>
      <c r="O832" s="74"/>
      <c r="P832" s="74"/>
      <c r="Q832" s="20"/>
      <c r="R832" s="20"/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</row>
    <row r="833" spans="1:29">
      <c r="A833" s="308" t="s">
        <v>462</v>
      </c>
      <c r="B833" s="1"/>
      <c r="C833" s="304">
        <v>11</v>
      </c>
      <c r="D833" s="304">
        <v>12</v>
      </c>
      <c r="E833" s="319">
        <f>E823</f>
        <v>1450</v>
      </c>
      <c r="F833" s="319"/>
      <c r="G833" s="306">
        <f>ROUND(E833*$C833*$E$803,0)</f>
        <v>-160</v>
      </c>
      <c r="H833" s="306">
        <f>ROUND(E833*$D833*$E$803,0)</f>
        <v>-174</v>
      </c>
      <c r="I833" s="319">
        <f>I823</f>
        <v>1600</v>
      </c>
      <c r="J833" s="306"/>
      <c r="K833" s="306">
        <f>ROUND(I833*$C833*$E$803,0)</f>
        <v>-176</v>
      </c>
      <c r="M833" s="20"/>
      <c r="N833" s="20"/>
      <c r="O833" s="74"/>
      <c r="P833" s="74"/>
      <c r="Q833" s="20"/>
      <c r="R833" s="20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</row>
    <row r="834" spans="1:29">
      <c r="A834" s="308" t="s">
        <v>463</v>
      </c>
      <c r="B834" s="1"/>
      <c r="C834" s="304">
        <v>161644</v>
      </c>
      <c r="D834" s="304">
        <f>ROUND((C834/$C$841)*$D$841,0)</f>
        <v>175830</v>
      </c>
      <c r="E834" s="319">
        <f>E825</f>
        <v>0.91</v>
      </c>
      <c r="F834" s="319"/>
      <c r="G834" s="306">
        <f>ROUND(E834*$C834*$E$803,0)</f>
        <v>-1471</v>
      </c>
      <c r="H834" s="306">
        <f>ROUND(E834*$D834*$E$803,0)</f>
        <v>-1600</v>
      </c>
      <c r="I834" s="319">
        <f>I825</f>
        <v>1.01</v>
      </c>
      <c r="J834" s="306"/>
      <c r="K834" s="306">
        <f>ROUND(I834*$C834*$E$803,0)</f>
        <v>-1633</v>
      </c>
      <c r="M834" s="20"/>
      <c r="N834" s="20"/>
      <c r="O834" s="74"/>
      <c r="P834" s="74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</row>
    <row r="835" spans="1:29">
      <c r="A835" s="308" t="s">
        <v>464</v>
      </c>
      <c r="B835" s="1"/>
      <c r="C835" s="304">
        <v>42662</v>
      </c>
      <c r="D835" s="304">
        <f>ROUND((C835/$C$841)*$D$841,0)</f>
        <v>46406</v>
      </c>
      <c r="E835" s="319">
        <f>E826</f>
        <v>0.83</v>
      </c>
      <c r="F835" s="319"/>
      <c r="G835" s="306">
        <f>ROUND(E835*$C835*$E$803,0)</f>
        <v>-354</v>
      </c>
      <c r="H835" s="306">
        <f>ROUND(E835*$D835*$E$803,0)</f>
        <v>-385</v>
      </c>
      <c r="I835" s="319">
        <f>I826</f>
        <v>0.92</v>
      </c>
      <c r="J835" s="306"/>
      <c r="K835" s="306">
        <f>ROUND(I835*$C835*$E$803,0)</f>
        <v>-392</v>
      </c>
      <c r="M835" s="20"/>
      <c r="N835" s="20"/>
      <c r="O835" s="74"/>
      <c r="P835" s="74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</row>
    <row r="836" spans="1:29">
      <c r="A836" s="294" t="s">
        <v>393</v>
      </c>
      <c r="B836" s="365"/>
      <c r="C836" s="304">
        <f>121935+34520</f>
        <v>156455</v>
      </c>
      <c r="D836" s="304">
        <f>ROUND((C836/$C$841)*$D$841,0)</f>
        <v>170185</v>
      </c>
      <c r="E836" s="319">
        <f>E827</f>
        <v>6.03</v>
      </c>
      <c r="F836" s="322"/>
      <c r="G836" s="306">
        <f>ROUND(E836*$C836*$E$803,0)</f>
        <v>-9434</v>
      </c>
      <c r="H836" s="306">
        <f>ROUND(E836*$D836*$E$803,0)</f>
        <v>-10262</v>
      </c>
      <c r="I836" s="319">
        <f>I827</f>
        <v>6.53</v>
      </c>
      <c r="J836" s="306"/>
      <c r="K836" s="306">
        <f>ROUND(I836*$C836*$E$803,0)</f>
        <v>-10217</v>
      </c>
      <c r="M836" s="20"/>
      <c r="N836" s="20"/>
      <c r="O836" s="74"/>
      <c r="P836" s="74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</row>
    <row r="837" spans="1:29">
      <c r="A837" s="308" t="s">
        <v>454</v>
      </c>
      <c r="B837" s="1"/>
      <c r="C837" s="304">
        <f>48095401+19012800</f>
        <v>67108201</v>
      </c>
      <c r="D837" s="304">
        <f>ROUND((C837/$C$841)*$D$841,0)</f>
        <v>72997618</v>
      </c>
      <c r="E837" s="320">
        <f>E829</f>
        <v>3.4990000000000001</v>
      </c>
      <c r="F837" s="306" t="s">
        <v>364</v>
      </c>
      <c r="G837" s="306">
        <f>ROUND(E837/100*$C837*$E$803,0)</f>
        <v>-23481</v>
      </c>
      <c r="H837" s="306">
        <f>ROUND(E837/100*$D837*$E$803,0)</f>
        <v>-25542</v>
      </c>
      <c r="I837" s="320">
        <f>I829</f>
        <v>3.8719999999999999</v>
      </c>
      <c r="J837" s="306" t="s">
        <v>364</v>
      </c>
      <c r="K837" s="306">
        <f>ROUND(I837/100*$C837*$E$803,0)</f>
        <v>-25984</v>
      </c>
      <c r="M837" s="20"/>
      <c r="N837" s="20"/>
      <c r="O837" s="74"/>
      <c r="P837" s="74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</row>
    <row r="838" spans="1:29">
      <c r="A838" s="308" t="s">
        <v>390</v>
      </c>
      <c r="B838" s="1"/>
      <c r="C838" s="304">
        <f>10682+5964</f>
        <v>16646</v>
      </c>
      <c r="D838" s="304">
        <f>ROUND((C838/$C$841)*$D$841,0)</f>
        <v>18107</v>
      </c>
      <c r="E838" s="369">
        <f>E830</f>
        <v>0.45</v>
      </c>
      <c r="F838" s="306"/>
      <c r="G838" s="306">
        <f>ROUND(E838*$C838*$E$803,0)</f>
        <v>-75</v>
      </c>
      <c r="H838" s="306">
        <f>ROUND(E838*$D838*$E$803,0)</f>
        <v>-81</v>
      </c>
      <c r="I838" s="369">
        <f>I830</f>
        <v>0.5</v>
      </c>
      <c r="J838" s="306"/>
      <c r="K838" s="306">
        <f>ROUND(I838*$C838*$E$803,0)</f>
        <v>-83</v>
      </c>
      <c r="M838" s="20"/>
      <c r="N838" s="20"/>
      <c r="O838" s="74"/>
      <c r="P838" s="74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</row>
    <row r="839" spans="1:29">
      <c r="A839" s="294" t="s">
        <v>465</v>
      </c>
      <c r="B839" s="1"/>
      <c r="C839" s="304">
        <f>111+11</f>
        <v>122</v>
      </c>
      <c r="D839" s="304">
        <v>130</v>
      </c>
      <c r="E839" s="322">
        <f>$E$811</f>
        <v>60</v>
      </c>
      <c r="F839" s="322"/>
      <c r="G839" s="306">
        <f>ROUND(E839*$C839,0)</f>
        <v>7320</v>
      </c>
      <c r="H839" s="306">
        <f>ROUND(E839*$D839,0)</f>
        <v>7800</v>
      </c>
      <c r="I839" s="322">
        <f>$I$811</f>
        <v>60</v>
      </c>
      <c r="J839" s="306"/>
      <c r="K839" s="306">
        <f>ROUND(I839*$C839,0)</f>
        <v>7320</v>
      </c>
      <c r="M839" s="20"/>
      <c r="N839" s="20"/>
      <c r="O839" s="74"/>
      <c r="P839" s="74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</row>
    <row r="840" spans="1:29">
      <c r="A840" s="294" t="s">
        <v>434</v>
      </c>
      <c r="B840" s="1"/>
      <c r="C840" s="304">
        <f>161644+42662</f>
        <v>204306</v>
      </c>
      <c r="D840" s="304">
        <f>ROUND((C840/$C$841)*$D$841,0)</f>
        <v>222236</v>
      </c>
      <c r="E840" s="322">
        <f>$E$812</f>
        <v>-0.75</v>
      </c>
      <c r="F840" s="306"/>
      <c r="G840" s="306">
        <f>ROUND(E840*$C840,0)</f>
        <v>-153230</v>
      </c>
      <c r="H840" s="306">
        <f>ROUND(E840*$D840,0)</f>
        <v>-166677</v>
      </c>
      <c r="I840" s="322">
        <f>$I$812</f>
        <v>-0.75</v>
      </c>
      <c r="J840" s="306"/>
      <c r="K840" s="306">
        <f>ROUND(I840*$C840,0)</f>
        <v>-153230</v>
      </c>
      <c r="M840" s="20"/>
      <c r="N840" s="20"/>
      <c r="O840" s="74"/>
      <c r="P840" s="74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</row>
    <row r="841" spans="1:29">
      <c r="A841" s="1" t="s">
        <v>371</v>
      </c>
      <c r="B841" s="1"/>
      <c r="C841" s="304">
        <f>C829</f>
        <v>141621382</v>
      </c>
      <c r="D841" s="304">
        <v>154050076.39425009</v>
      </c>
      <c r="E841" s="315"/>
      <c r="F841" s="2"/>
      <c r="G841" s="2">
        <f>SUM(G822:G840)</f>
        <v>7505255</v>
      </c>
      <c r="H841" s="2">
        <f>SUM(H822:H840)</f>
        <v>8155223</v>
      </c>
      <c r="I841" s="315"/>
      <c r="J841" s="1"/>
      <c r="K841" s="2">
        <f>SUM(K822:K840)</f>
        <v>8275484</v>
      </c>
      <c r="M841" s="20"/>
      <c r="N841" s="20"/>
      <c r="O841" s="74"/>
      <c r="P841" s="74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</row>
    <row r="842" spans="1:29">
      <c r="A842" s="1" t="s">
        <v>353</v>
      </c>
      <c r="B842" s="1"/>
      <c r="C842" s="304" t="e">
        <f>#REF!</f>
        <v>#REF!</v>
      </c>
      <c r="D842" s="304">
        <v>0</v>
      </c>
      <c r="E842" s="294"/>
      <c r="F842" s="294"/>
      <c r="G842" s="326" t="e">
        <f>#REF!</f>
        <v>#REF!</v>
      </c>
      <c r="H842" s="326">
        <v>0</v>
      </c>
      <c r="I842" s="294"/>
      <c r="J842" s="294"/>
      <c r="K842" s="326" t="e">
        <f>G842</f>
        <v>#REF!</v>
      </c>
      <c r="M842" s="429"/>
      <c r="N842" s="429"/>
      <c r="O842" s="272"/>
      <c r="P842" s="74"/>
      <c r="Q842" s="20"/>
      <c r="R842" s="20"/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</row>
    <row r="843" spans="1:29" ht="16.5" thickBot="1">
      <c r="A843" s="1" t="s">
        <v>372</v>
      </c>
      <c r="B843" s="1"/>
      <c r="C843" s="378" t="e">
        <f>SUM(C841)+C842</f>
        <v>#REF!</v>
      </c>
      <c r="D843" s="378">
        <f>SUM(D829)+D842</f>
        <v>154050076</v>
      </c>
      <c r="E843" s="327"/>
      <c r="F843" s="328"/>
      <c r="G843" s="329" t="e">
        <f>G841+G842</f>
        <v>#REF!</v>
      </c>
      <c r="H843" s="329">
        <f>H841+H842</f>
        <v>8155223</v>
      </c>
      <c r="I843" s="327"/>
      <c r="J843" s="330"/>
      <c r="K843" s="329" t="e">
        <f>K841+K842</f>
        <v>#REF!</v>
      </c>
      <c r="M843" s="396"/>
      <c r="N843" s="396"/>
      <c r="O843" s="455"/>
      <c r="P843" s="74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</row>
    <row r="844" spans="1:29" ht="16.5" thickTop="1">
      <c r="A844" s="1"/>
      <c r="B844" s="1"/>
      <c r="C844" s="21"/>
      <c r="D844" s="21"/>
      <c r="E844" s="322"/>
      <c r="F844" s="2"/>
      <c r="G844" s="2"/>
      <c r="H844" s="2"/>
      <c r="I844" s="338" t="s">
        <v>31</v>
      </c>
      <c r="J844" s="1"/>
      <c r="K844" s="2" t="s">
        <v>31</v>
      </c>
      <c r="M844" s="20"/>
      <c r="N844" s="20"/>
      <c r="O844" s="74"/>
      <c r="P844" s="74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spans="1:29">
      <c r="A845" s="1"/>
      <c r="B845" s="1"/>
      <c r="C845" s="21"/>
      <c r="D845" s="21"/>
      <c r="E845" s="322"/>
      <c r="F845" s="2"/>
      <c r="G845" s="2"/>
      <c r="H845" s="2"/>
      <c r="I845" s="322"/>
      <c r="J845" s="1"/>
      <c r="K845" s="365"/>
      <c r="M845" s="20"/>
      <c r="N845" s="20"/>
      <c r="O845" s="74"/>
      <c r="P845" s="74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</row>
    <row r="846" spans="1:29">
      <c r="A846" s="278" t="s">
        <v>466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20"/>
      <c r="N846" s="20"/>
      <c r="O846" s="74"/>
      <c r="P846" s="74"/>
      <c r="Q846" s="20"/>
      <c r="R846" s="20"/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</row>
    <row r="847" spans="1:29">
      <c r="A847" s="294" t="s">
        <v>470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20"/>
      <c r="N847" s="20"/>
      <c r="O847" s="74"/>
      <c r="P847" s="74"/>
      <c r="Q847" s="20"/>
      <c r="R847" s="20"/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</row>
    <row r="848" spans="1:29">
      <c r="A848" s="308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20"/>
      <c r="N848" s="20"/>
      <c r="O848" s="74"/>
      <c r="P848" s="74"/>
      <c r="Q848" s="20"/>
      <c r="R848" s="20"/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</row>
    <row r="849" spans="1:29">
      <c r="A849" s="308" t="s">
        <v>383</v>
      </c>
      <c r="B849" s="1"/>
      <c r="C849" s="304"/>
      <c r="D849" s="304"/>
      <c r="E849" s="2"/>
      <c r="F849" s="2"/>
      <c r="G849" s="1"/>
      <c r="H849" s="1"/>
      <c r="I849" s="2"/>
      <c r="J849" s="1"/>
      <c r="K849" s="1"/>
      <c r="M849" s="20"/>
      <c r="N849" s="20"/>
      <c r="O849" s="74"/>
      <c r="P849" s="74"/>
      <c r="Q849" s="20"/>
      <c r="R849" s="20"/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</row>
    <row r="850" spans="1:29">
      <c r="A850" s="308" t="s">
        <v>461</v>
      </c>
      <c r="B850" s="1"/>
      <c r="C850" s="304">
        <f>24+336</f>
        <v>360</v>
      </c>
      <c r="D850" s="304">
        <v>375</v>
      </c>
      <c r="E850" s="322">
        <f>$E$794</f>
        <v>1205</v>
      </c>
      <c r="F850" s="322"/>
      <c r="G850" s="2">
        <f>ROUND(E850*$C850,0)</f>
        <v>433800</v>
      </c>
      <c r="H850" s="2">
        <f>ROUND(E850*$D850,0)</f>
        <v>451875</v>
      </c>
      <c r="I850" s="322">
        <f>$I$794</f>
        <v>1330</v>
      </c>
      <c r="J850" s="306"/>
      <c r="K850" s="2">
        <f>ROUND(I850*$C850,0)</f>
        <v>478800</v>
      </c>
      <c r="M850" s="20"/>
      <c r="N850" s="20"/>
      <c r="O850" s="74"/>
      <c r="P850" s="74"/>
      <c r="Q850" s="20"/>
      <c r="R850" s="20"/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</row>
    <row r="851" spans="1:29">
      <c r="A851" s="308" t="s">
        <v>462</v>
      </c>
      <c r="B851" s="1"/>
      <c r="C851" s="304">
        <f>24+25-C878</f>
        <v>37</v>
      </c>
      <c r="D851" s="304">
        <v>38</v>
      </c>
      <c r="E851" s="322">
        <f>$E$795</f>
        <v>1450</v>
      </c>
      <c r="F851" s="322"/>
      <c r="G851" s="2">
        <f>ROUND(E851*$C851,0)</f>
        <v>53650</v>
      </c>
      <c r="H851" s="2">
        <f>ROUND(E851*$D851,0)</f>
        <v>55100</v>
      </c>
      <c r="I851" s="322">
        <f>$I$795</f>
        <v>1600</v>
      </c>
      <c r="J851" s="309"/>
      <c r="K851" s="2">
        <f>ROUND(I851*$C851,0)</f>
        <v>59200</v>
      </c>
      <c r="M851" s="20"/>
      <c r="N851" s="20"/>
      <c r="O851" s="74"/>
      <c r="P851" s="74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</row>
    <row r="852" spans="1:29">
      <c r="A852" s="308" t="s">
        <v>384</v>
      </c>
      <c r="B852" s="1"/>
      <c r="C852" s="304">
        <f>SUM(C850:C851)</f>
        <v>397</v>
      </c>
      <c r="D852" s="304">
        <f>SUM(D850:D851)</f>
        <v>413</v>
      </c>
      <c r="E852" s="322" t="s">
        <v>31</v>
      </c>
      <c r="F852" s="322"/>
      <c r="G852" s="2" t="s">
        <v>31</v>
      </c>
      <c r="H852" s="2" t="s">
        <v>31</v>
      </c>
      <c r="I852" s="322" t="s">
        <v>31</v>
      </c>
      <c r="J852" s="306"/>
      <c r="K852" s="2" t="s">
        <v>31</v>
      </c>
      <c r="M852" s="20"/>
      <c r="N852" s="20"/>
      <c r="O852" s="74"/>
      <c r="P852" s="74"/>
      <c r="Q852" s="20"/>
      <c r="R852" s="20"/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</row>
    <row r="853" spans="1:29">
      <c r="A853" s="308" t="s">
        <v>463</v>
      </c>
      <c r="B853" s="1"/>
      <c r="C853" s="304">
        <f>28129+470163</f>
        <v>498292</v>
      </c>
      <c r="D853" s="304">
        <f>ROUND(($D$869/$C$869)*C853,0)</f>
        <v>1316574</v>
      </c>
      <c r="E853" s="322">
        <f>$E$797</f>
        <v>0.91</v>
      </c>
      <c r="F853" s="322"/>
      <c r="G853" s="2">
        <f>ROUND(E853*$C853,0)</f>
        <v>453446</v>
      </c>
      <c r="H853" s="2">
        <f>ROUND(E853*$D853,0)</f>
        <v>1198082</v>
      </c>
      <c r="I853" s="322">
        <f>$I$797</f>
        <v>1.01</v>
      </c>
      <c r="J853" s="306"/>
      <c r="K853" s="2">
        <f>ROUND(I853*$C853,0)</f>
        <v>503275</v>
      </c>
      <c r="M853" s="20"/>
      <c r="N853" s="20"/>
      <c r="O853" s="74"/>
      <c r="P853" s="74"/>
      <c r="Q853" s="20"/>
      <c r="R853" s="20"/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</row>
    <row r="854" spans="1:29">
      <c r="A854" s="308" t="s">
        <v>464</v>
      </c>
      <c r="B854" s="1"/>
      <c r="C854" s="304">
        <f>724727+108147-C881</f>
        <v>167081</v>
      </c>
      <c r="D854" s="304">
        <f>ROUND(($D$869/$C$869)*C854,0)</f>
        <v>441457</v>
      </c>
      <c r="E854" s="322">
        <f>$E$798</f>
        <v>0.83</v>
      </c>
      <c r="F854" s="322"/>
      <c r="G854" s="2">
        <f>ROUND(E854*$C854,0)</f>
        <v>138677</v>
      </c>
      <c r="H854" s="2">
        <f>ROUND(E854*$D854,0)</f>
        <v>366409</v>
      </c>
      <c r="I854" s="322">
        <f>$I$798</f>
        <v>0.92</v>
      </c>
      <c r="J854" s="306"/>
      <c r="K854" s="2">
        <f>ROUND(I854*$C854,0)</f>
        <v>153715</v>
      </c>
      <c r="M854" s="20"/>
      <c r="N854" s="20"/>
      <c r="O854" s="74"/>
      <c r="P854" s="74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</row>
    <row r="855" spans="1:29">
      <c r="A855" s="294" t="s">
        <v>393</v>
      </c>
      <c r="B855" s="1"/>
      <c r="C855" s="304">
        <f>23089+708283+406336+98202-C882</f>
        <v>583284</v>
      </c>
      <c r="D855" s="304">
        <f>ROUND(($D$869/$C$869)*C855,0)</f>
        <v>1541137</v>
      </c>
      <c r="E855" s="322">
        <f>$E$799</f>
        <v>6.03</v>
      </c>
      <c r="F855" s="322"/>
      <c r="G855" s="2">
        <f>ROUND(E855*$C855,0)</f>
        <v>3517203</v>
      </c>
      <c r="H855" s="2">
        <f>ROUND(E855*$D855,0)</f>
        <v>9293056</v>
      </c>
      <c r="I855" s="322">
        <f>$I$799</f>
        <v>6.53</v>
      </c>
      <c r="J855" s="306"/>
      <c r="K855" s="2">
        <f>ROUND(I855*$C855,0)</f>
        <v>3808845</v>
      </c>
      <c r="M855" s="20"/>
      <c r="N855" s="20"/>
      <c r="O855" s="74"/>
      <c r="P855" s="74"/>
      <c r="Q855" s="20"/>
      <c r="R855" s="20"/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</row>
    <row r="856" spans="1:29">
      <c r="A856" s="308" t="s">
        <v>416</v>
      </c>
      <c r="B856" s="1"/>
      <c r="C856" s="304"/>
      <c r="D856" s="304"/>
      <c r="E856" s="322" t="s">
        <v>31</v>
      </c>
      <c r="F856" s="322"/>
      <c r="G856" s="2"/>
      <c r="H856" s="2"/>
      <c r="I856" s="322" t="s">
        <v>31</v>
      </c>
      <c r="J856" s="306"/>
      <c r="K856" s="2"/>
      <c r="M856" s="20"/>
      <c r="N856" s="20"/>
      <c r="O856" s="74"/>
      <c r="P856" s="74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</row>
    <row r="857" spans="1:29">
      <c r="A857" s="308" t="s">
        <v>454</v>
      </c>
      <c r="B857" s="1"/>
      <c r="C857" s="304">
        <f>5533801+468455800+177233604+55674401-C884</f>
        <v>269572806</v>
      </c>
      <c r="D857" s="304">
        <f>ROUND(($D$869/$C$869)*C857,0)</f>
        <v>712258072</v>
      </c>
      <c r="E857" s="380">
        <f>$E$801</f>
        <v>3.4990000000000001</v>
      </c>
      <c r="F857" s="306" t="s">
        <v>364</v>
      </c>
      <c r="G857" s="2">
        <f>ROUND(E857/100*$C857,0)</f>
        <v>9432352</v>
      </c>
      <c r="H857" s="2">
        <f>ROUND(E857/100*$D857,0)</f>
        <v>24921910</v>
      </c>
      <c r="I857" s="380">
        <f>$I$801</f>
        <v>3.8719999999999999</v>
      </c>
      <c r="J857" s="306" t="s">
        <v>364</v>
      </c>
      <c r="K857" s="2">
        <f>ROUND(I857/100*$C857,0)</f>
        <v>10437859</v>
      </c>
      <c r="M857" s="20"/>
      <c r="N857" s="20"/>
      <c r="O857" s="74"/>
      <c r="P857" s="74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</row>
    <row r="858" spans="1:29">
      <c r="A858" s="308" t="s">
        <v>390</v>
      </c>
      <c r="B858" s="1"/>
      <c r="C858" s="304">
        <f>6402+185242+134464+26312-C885</f>
        <v>183204</v>
      </c>
      <c r="D858" s="304">
        <f>ROUND(($D$869/$C$869)*C858,0)</f>
        <v>484057</v>
      </c>
      <c r="E858" s="322">
        <f>$E$802</f>
        <v>0.45</v>
      </c>
      <c r="F858" s="306"/>
      <c r="G858" s="2">
        <f>ROUND(E858*$C858,0)</f>
        <v>82442</v>
      </c>
      <c r="H858" s="2">
        <f>ROUND(E858*$D858,0)</f>
        <v>217826</v>
      </c>
      <c r="I858" s="322">
        <f>$I$802</f>
        <v>0.5</v>
      </c>
      <c r="J858" s="306"/>
      <c r="K858" s="2">
        <f>ROUND(I858*$C858,0)</f>
        <v>91602</v>
      </c>
      <c r="M858" s="20"/>
      <c r="N858" s="20"/>
      <c r="O858" s="74"/>
      <c r="P858" s="74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</row>
    <row r="859" spans="1:29">
      <c r="A859" s="345" t="s">
        <v>391</v>
      </c>
      <c r="B859" s="1"/>
      <c r="C859" s="304"/>
      <c r="D859" s="304"/>
      <c r="E859" s="317">
        <v>-0.01</v>
      </c>
      <c r="F859" s="317"/>
      <c r="G859" s="2"/>
      <c r="H859" s="2"/>
      <c r="I859" s="317">
        <v>-0.01</v>
      </c>
      <c r="J859" s="346"/>
      <c r="K859" s="2"/>
      <c r="M859" s="20"/>
      <c r="N859" s="20"/>
      <c r="O859" s="74"/>
      <c r="P859" s="74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</row>
    <row r="860" spans="1:29">
      <c r="A860" s="308" t="s">
        <v>461</v>
      </c>
      <c r="B860" s="1"/>
      <c r="C860" s="304">
        <v>24</v>
      </c>
      <c r="D860" s="304">
        <v>25</v>
      </c>
      <c r="E860" s="319">
        <f>E850</f>
        <v>1205</v>
      </c>
      <c r="F860" s="319"/>
      <c r="G860" s="306">
        <f>ROUND(E860*$C860*$E$803,0)</f>
        <v>-289</v>
      </c>
      <c r="H860" s="306">
        <f>ROUND(E860*$D860*$E$803,0)</f>
        <v>-301</v>
      </c>
      <c r="I860" s="319">
        <f>I850</f>
        <v>1330</v>
      </c>
      <c r="J860" s="306"/>
      <c r="K860" s="306">
        <f>ROUND(I860*$C860*$E$803,0)</f>
        <v>-319</v>
      </c>
      <c r="M860" s="20"/>
      <c r="N860" s="20"/>
      <c r="O860" s="74"/>
      <c r="P860" s="74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</row>
    <row r="861" spans="1:29">
      <c r="A861" s="308" t="s">
        <v>462</v>
      </c>
      <c r="B861" s="1"/>
      <c r="C861" s="304">
        <f>24-C888</f>
        <v>12</v>
      </c>
      <c r="D861" s="304">
        <v>12</v>
      </c>
      <c r="E861" s="319">
        <f>E851</f>
        <v>1450</v>
      </c>
      <c r="F861" s="319"/>
      <c r="G861" s="306">
        <f>ROUND(E861*$C861*$E$803,0)</f>
        <v>-174</v>
      </c>
      <c r="H861" s="306">
        <f>ROUND(E861*$D861*$E$803,0)</f>
        <v>-174</v>
      </c>
      <c r="I861" s="319">
        <f>I851</f>
        <v>1600</v>
      </c>
      <c r="J861" s="306"/>
      <c r="K861" s="306">
        <f>ROUND(I861*$C861*$E$803,0)</f>
        <v>-192</v>
      </c>
      <c r="M861" s="20"/>
      <c r="N861" s="20"/>
      <c r="O861" s="74"/>
      <c r="P861" s="74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</row>
    <row r="862" spans="1:29">
      <c r="A862" s="308" t="s">
        <v>463</v>
      </c>
      <c r="B862" s="1"/>
      <c r="C862" s="304">
        <v>28129</v>
      </c>
      <c r="D862" s="304">
        <f>ROUND(($D$869/$C$869)*C862,0)</f>
        <v>74322</v>
      </c>
      <c r="E862" s="319">
        <f>E853</f>
        <v>0.91</v>
      </c>
      <c r="F862" s="319"/>
      <c r="G862" s="306">
        <f>ROUND(E862*$C862*$E$803,0)</f>
        <v>-256</v>
      </c>
      <c r="H862" s="306">
        <f>ROUND(E862*$D862*$E$803,0)</f>
        <v>-676</v>
      </c>
      <c r="I862" s="319">
        <f>I853</f>
        <v>1.01</v>
      </c>
      <c r="J862" s="306"/>
      <c r="K862" s="306">
        <f>ROUND(I862*$C862*$E$803,0)</f>
        <v>-284</v>
      </c>
      <c r="M862" s="20"/>
      <c r="N862" s="20"/>
      <c r="O862" s="74"/>
      <c r="P862" s="74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</row>
    <row r="863" spans="1:29">
      <c r="A863" s="308" t="s">
        <v>464</v>
      </c>
      <c r="B863" s="1"/>
      <c r="C863" s="304">
        <f>724727-C881</f>
        <v>58934</v>
      </c>
      <c r="D863" s="304">
        <f>ROUND(($D$869/$C$869)*C863,0)</f>
        <v>155714</v>
      </c>
      <c r="E863" s="319">
        <f>E854</f>
        <v>0.83</v>
      </c>
      <c r="F863" s="319"/>
      <c r="G863" s="306">
        <f>ROUND(E863*$C863*$E$803,0)</f>
        <v>-489</v>
      </c>
      <c r="H863" s="306">
        <f>ROUND(E863*$D863*$E$803,0)</f>
        <v>-1292</v>
      </c>
      <c r="I863" s="319">
        <f>I854</f>
        <v>0.92</v>
      </c>
      <c r="J863" s="306"/>
      <c r="K863" s="306">
        <f>ROUND(I863*$C863*$E$803,0)</f>
        <v>-542</v>
      </c>
      <c r="M863" s="20"/>
      <c r="N863" s="20"/>
      <c r="O863" s="74"/>
      <c r="P863" s="74"/>
      <c r="Q863" s="20"/>
      <c r="R863" s="20"/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</row>
    <row r="864" spans="1:29">
      <c r="A864" s="294" t="s">
        <v>393</v>
      </c>
      <c r="B864" s="365"/>
      <c r="C864" s="304">
        <f>23089+708283-C882</f>
        <v>78746</v>
      </c>
      <c r="D864" s="304">
        <f>ROUND(($D$869/$C$869)*C864,0)</f>
        <v>208061</v>
      </c>
      <c r="E864" s="319">
        <f>E855</f>
        <v>6.03</v>
      </c>
      <c r="F864" s="322"/>
      <c r="G864" s="306">
        <f>ROUND(E864*$C864*$E$803,0)</f>
        <v>-4748</v>
      </c>
      <c r="H864" s="306">
        <f>ROUND(E864*$D864*$E$803,0)</f>
        <v>-12546</v>
      </c>
      <c r="I864" s="319">
        <f>I855</f>
        <v>6.53</v>
      </c>
      <c r="J864" s="306"/>
      <c r="K864" s="306">
        <f>ROUND(I864*$C864*$E$803,0)</f>
        <v>-5142</v>
      </c>
      <c r="M864" s="20"/>
      <c r="N864" s="20"/>
      <c r="O864" s="74"/>
      <c r="P864" s="74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</row>
    <row r="865" spans="1:29">
      <c r="A865" s="308" t="s">
        <v>454</v>
      </c>
      <c r="B865" s="1"/>
      <c r="C865" s="304">
        <f>5533801+468455800-C884</f>
        <v>36664801</v>
      </c>
      <c r="D865" s="304">
        <f>ROUND(($D$869/$C$869)*C865,0)</f>
        <v>96874759</v>
      </c>
      <c r="E865" s="320">
        <f>E857</f>
        <v>3.4990000000000001</v>
      </c>
      <c r="F865" s="306" t="s">
        <v>364</v>
      </c>
      <c r="G865" s="306">
        <f>ROUND(E865/100*$C865*$E$803,0)</f>
        <v>-12829</v>
      </c>
      <c r="H865" s="306">
        <f>ROUND(E865/100*$D865*$E$803,0)</f>
        <v>-33896</v>
      </c>
      <c r="I865" s="320">
        <f>I857</f>
        <v>3.8719999999999999</v>
      </c>
      <c r="J865" s="306" t="s">
        <v>364</v>
      </c>
      <c r="K865" s="306">
        <f>ROUND(I865/100*$C865*$E$803,0)</f>
        <v>-14197</v>
      </c>
      <c r="M865" s="20"/>
      <c r="N865" s="20"/>
      <c r="O865" s="74"/>
      <c r="P865" s="74"/>
      <c r="Q865" s="20"/>
      <c r="R865" s="20"/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</row>
    <row r="866" spans="1:29">
      <c r="A866" s="308" t="s">
        <v>390</v>
      </c>
      <c r="B866" s="1"/>
      <c r="C866" s="304">
        <f>6402+185242-C885</f>
        <v>22428</v>
      </c>
      <c r="D866" s="304">
        <f>ROUND(($D$869/$C$869)*C866,0)</f>
        <v>59259</v>
      </c>
      <c r="E866" s="369">
        <f>E858</f>
        <v>0.45</v>
      </c>
      <c r="F866" s="306"/>
      <c r="G866" s="306">
        <f>ROUND(E866*$C866*$E$803,0)</f>
        <v>-101</v>
      </c>
      <c r="H866" s="306">
        <f>ROUND(E866*$D866*$E$803,0)</f>
        <v>-267</v>
      </c>
      <c r="I866" s="369">
        <f>I858</f>
        <v>0.5</v>
      </c>
      <c r="J866" s="306"/>
      <c r="K866" s="306">
        <f>ROUND(I866*$C866*$E$803,0)</f>
        <v>-112</v>
      </c>
      <c r="M866" s="20"/>
      <c r="N866" s="20"/>
      <c r="O866" s="74"/>
      <c r="P866" s="74"/>
      <c r="Q866" s="20"/>
      <c r="R866" s="20"/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</row>
    <row r="867" spans="1:29">
      <c r="A867" s="294" t="s">
        <v>465</v>
      </c>
      <c r="B867" s="1"/>
      <c r="C867" s="304">
        <f>24+24-C894</f>
        <v>36</v>
      </c>
      <c r="D867" s="304">
        <v>37</v>
      </c>
      <c r="E867" s="322">
        <f>$E$811</f>
        <v>60</v>
      </c>
      <c r="F867" s="322"/>
      <c r="G867" s="306">
        <f>ROUND(E867*$C867,0)</f>
        <v>2160</v>
      </c>
      <c r="H867" s="306">
        <f>ROUND(E867*$D867,0)</f>
        <v>2220</v>
      </c>
      <c r="I867" s="322">
        <f>$I$811</f>
        <v>60</v>
      </c>
      <c r="J867" s="306"/>
      <c r="K867" s="306">
        <f>ROUND(I867*$C867,0)</f>
        <v>2160</v>
      </c>
      <c r="M867" s="20"/>
      <c r="N867" s="20"/>
      <c r="O867" s="74"/>
      <c r="P867" s="74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</row>
    <row r="868" spans="1:29">
      <c r="A868" s="294" t="s">
        <v>434</v>
      </c>
      <c r="B868" s="1"/>
      <c r="C868" s="304">
        <f>28129+724727-C895</f>
        <v>87063</v>
      </c>
      <c r="D868" s="304">
        <f>ROUND(($D$869/$C$869)*C868,0)</f>
        <v>230036</v>
      </c>
      <c r="E868" s="322">
        <f>$E$812</f>
        <v>-0.75</v>
      </c>
      <c r="F868" s="306"/>
      <c r="G868" s="306">
        <f>ROUND(E868*$C868,0)</f>
        <v>-65297</v>
      </c>
      <c r="H868" s="306">
        <f>ROUND(E868*$D868,0)</f>
        <v>-172527</v>
      </c>
      <c r="I868" s="322">
        <f>$I$812</f>
        <v>-0.75</v>
      </c>
      <c r="J868" s="306"/>
      <c r="K868" s="306">
        <f>ROUND(I868*$C868,0)</f>
        <v>-65297</v>
      </c>
      <c r="M868" s="20"/>
      <c r="N868" s="20"/>
      <c r="O868" s="74"/>
      <c r="P868" s="74"/>
      <c r="Q868" s="20"/>
      <c r="R868" s="20"/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</row>
    <row r="869" spans="1:29">
      <c r="A869" s="1" t="s">
        <v>371</v>
      </c>
      <c r="B869" s="1"/>
      <c r="C869" s="304">
        <f>C857</f>
        <v>269572806</v>
      </c>
      <c r="D869" s="304">
        <v>712258072.33019459</v>
      </c>
      <c r="E869" s="315"/>
      <c r="F869" s="2"/>
      <c r="G869" s="2">
        <f>SUM(G850:G868)</f>
        <v>14029547</v>
      </c>
      <c r="H869" s="2">
        <f>SUM(H850:H868)</f>
        <v>36284799</v>
      </c>
      <c r="I869" s="315"/>
      <c r="J869" s="1"/>
      <c r="K869" s="2">
        <f>SUM(K850:K868)</f>
        <v>15449371</v>
      </c>
      <c r="M869" s="20"/>
      <c r="N869" s="20"/>
      <c r="O869" s="74"/>
      <c r="P869" s="74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</row>
    <row r="870" spans="1:29">
      <c r="A870" s="1" t="s">
        <v>353</v>
      </c>
      <c r="B870" s="1"/>
      <c r="C870" s="304" t="e">
        <f>#REF!</f>
        <v>#REF!</v>
      </c>
      <c r="D870" s="304">
        <v>0</v>
      </c>
      <c r="E870" s="294"/>
      <c r="F870" s="294"/>
      <c r="G870" s="326" t="e">
        <f>#REF!</f>
        <v>#REF!</v>
      </c>
      <c r="H870" s="326">
        <v>0</v>
      </c>
      <c r="I870" s="294"/>
      <c r="J870" s="294"/>
      <c r="K870" s="326" t="e">
        <f>G870</f>
        <v>#REF!</v>
      </c>
      <c r="M870" s="429"/>
      <c r="N870" s="429"/>
      <c r="O870" s="272"/>
      <c r="P870" s="74"/>
      <c r="Q870" s="20"/>
      <c r="R870" s="20"/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</row>
    <row r="871" spans="1:29" ht="16.5" thickBot="1">
      <c r="A871" s="1" t="s">
        <v>372</v>
      </c>
      <c r="B871" s="1"/>
      <c r="C871" s="378" t="e">
        <f>SUM(C869)+C870</f>
        <v>#REF!</v>
      </c>
      <c r="D871" s="378">
        <f>SUM(D857)+D870</f>
        <v>712258072</v>
      </c>
      <c r="E871" s="327"/>
      <c r="F871" s="328"/>
      <c r="G871" s="329" t="e">
        <f>G869+G870</f>
        <v>#REF!</v>
      </c>
      <c r="H871" s="329">
        <f>H869+H870</f>
        <v>36284799</v>
      </c>
      <c r="I871" s="327"/>
      <c r="J871" s="330"/>
      <c r="K871" s="329" t="e">
        <f>K869+K870</f>
        <v>#REF!</v>
      </c>
      <c r="M871" s="396"/>
      <c r="N871" s="396"/>
      <c r="O871" s="455"/>
      <c r="P871" s="74"/>
      <c r="Q871" s="20"/>
      <c r="R871" s="20"/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</row>
    <row r="872" spans="1:29" ht="16.5" thickTop="1">
      <c r="A872" s="1"/>
      <c r="B872" s="1"/>
      <c r="C872" s="21"/>
      <c r="D872" s="21"/>
      <c r="E872" s="322"/>
      <c r="F872" s="2"/>
      <c r="G872" s="2"/>
      <c r="H872" s="2"/>
      <c r="I872" s="338" t="s">
        <v>31</v>
      </c>
      <c r="J872" s="1"/>
      <c r="K872" s="2" t="s">
        <v>31</v>
      </c>
      <c r="M872" s="20"/>
      <c r="N872" s="20"/>
      <c r="O872" s="74"/>
      <c r="P872" s="74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</row>
    <row r="873" spans="1:29">
      <c r="A873" s="278" t="s">
        <v>568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20"/>
      <c r="N873" s="20"/>
      <c r="O873" s="74"/>
      <c r="P873" s="74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</row>
    <row r="874" spans="1:29">
      <c r="A874" s="294" t="s">
        <v>604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20"/>
      <c r="N874" s="20"/>
      <c r="O874" s="74"/>
      <c r="P874" s="74"/>
      <c r="Q874" s="20"/>
      <c r="R874" s="20"/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</row>
    <row r="875" spans="1:29">
      <c r="A875" s="308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20"/>
      <c r="N875" s="20"/>
      <c r="O875" s="74"/>
      <c r="P875" s="74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</row>
    <row r="876" spans="1:29">
      <c r="A876" s="308" t="s">
        <v>383</v>
      </c>
      <c r="B876" s="1"/>
      <c r="C876" s="304"/>
      <c r="D876" s="304"/>
      <c r="E876" s="2"/>
      <c r="F876" s="2"/>
      <c r="G876" s="1"/>
      <c r="H876" s="1"/>
      <c r="I876" s="2"/>
      <c r="J876" s="1"/>
      <c r="K876" s="1"/>
      <c r="M876" s="20"/>
      <c r="N876" s="20"/>
      <c r="P876" s="74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</row>
    <row r="877" spans="1:29">
      <c r="A877" s="308" t="s">
        <v>461</v>
      </c>
      <c r="B877" s="1"/>
      <c r="C877" s="304">
        <v>0</v>
      </c>
      <c r="D877" s="304">
        <v>0</v>
      </c>
      <c r="E877" s="322">
        <f>$E$766</f>
        <v>1205</v>
      </c>
      <c r="F877" s="322"/>
      <c r="G877" s="2">
        <f>ROUND(E877*$C877,0)</f>
        <v>0</v>
      </c>
      <c r="H877" s="2">
        <f>ROUND(E877*$D877,0)</f>
        <v>0</v>
      </c>
      <c r="I877" s="322">
        <v>1330</v>
      </c>
      <c r="J877" s="306"/>
      <c r="K877" s="2">
        <f>ROUND(I877*$C877,0)</f>
        <v>0</v>
      </c>
      <c r="M877" s="20"/>
      <c r="N877" s="20"/>
      <c r="O877" s="14">
        <f>(I877-E877)/E877</f>
        <v>0.1037344398340249</v>
      </c>
      <c r="P877" s="74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</row>
    <row r="878" spans="1:29">
      <c r="A878" s="308" t="s">
        <v>462</v>
      </c>
      <c r="B878" s="1"/>
      <c r="C878" s="304">
        <v>12</v>
      </c>
      <c r="D878" s="304">
        <v>12</v>
      </c>
      <c r="E878" s="322">
        <f>$E$767</f>
        <v>1450</v>
      </c>
      <c r="F878" s="322"/>
      <c r="G878" s="2">
        <f>ROUND(E878*$C878,0)</f>
        <v>17400</v>
      </c>
      <c r="H878" s="2">
        <f>ROUND(E878*$D878,0)</f>
        <v>17400</v>
      </c>
      <c r="I878" s="322">
        <v>1550</v>
      </c>
      <c r="J878" s="309"/>
      <c r="K878" s="2">
        <f>ROUND(I878*$C878,0)</f>
        <v>18600</v>
      </c>
      <c r="M878" s="20"/>
      <c r="N878" s="20"/>
      <c r="O878" s="14">
        <f>(I878-E878)/E878</f>
        <v>6.8965517241379309E-2</v>
      </c>
      <c r="P878" s="74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</row>
    <row r="879" spans="1:29">
      <c r="A879" s="308" t="s">
        <v>384</v>
      </c>
      <c r="B879" s="1"/>
      <c r="C879" s="304">
        <f>SUM(C877:C878)</f>
        <v>12</v>
      </c>
      <c r="D879" s="304">
        <v>12</v>
      </c>
      <c r="E879" s="322" t="s">
        <v>31</v>
      </c>
      <c r="F879" s="322"/>
      <c r="G879" s="2" t="s">
        <v>31</v>
      </c>
      <c r="H879" s="2" t="s">
        <v>31</v>
      </c>
      <c r="I879" s="322" t="s">
        <v>31</v>
      </c>
      <c r="J879" s="306"/>
      <c r="K879" s="2" t="s">
        <v>31</v>
      </c>
      <c r="M879" s="20"/>
      <c r="N879" s="20"/>
      <c r="O879" s="305"/>
      <c r="P879" s="74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</row>
    <row r="880" spans="1:29">
      <c r="A880" s="308" t="s">
        <v>463</v>
      </c>
      <c r="B880" s="1"/>
      <c r="C880" s="304">
        <v>0</v>
      </c>
      <c r="D880" s="304">
        <v>0</v>
      </c>
      <c r="E880" s="322">
        <f>$E$769</f>
        <v>0.91</v>
      </c>
      <c r="F880" s="322"/>
      <c r="G880" s="2">
        <f>ROUND(E880*$C880,0)</f>
        <v>0</v>
      </c>
      <c r="H880" s="2">
        <f>ROUND(E880*$D880,0)</f>
        <v>0</v>
      </c>
      <c r="I880" s="322">
        <v>1.01</v>
      </c>
      <c r="J880" s="306"/>
      <c r="K880" s="2">
        <f>ROUND(I880*$C880,0)</f>
        <v>0</v>
      </c>
      <c r="M880" s="20"/>
      <c r="N880" s="20"/>
      <c r="O880" s="14">
        <f>(I880-E880)/E880</f>
        <v>0.10989010989010986</v>
      </c>
      <c r="P880" s="74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</row>
    <row r="881" spans="1:29">
      <c r="A881" s="308" t="s">
        <v>464</v>
      </c>
      <c r="B881" s="1"/>
      <c r="C881" s="304">
        <v>665793</v>
      </c>
      <c r="D881" s="304">
        <f>ROUND(($D$896/$C$896)*C881,0)</f>
        <v>40311</v>
      </c>
      <c r="E881" s="322">
        <f>$E$770</f>
        <v>0.83</v>
      </c>
      <c r="F881" s="322"/>
      <c r="G881" s="2">
        <f>ROUND(E881*$C881,0)</f>
        <v>552608</v>
      </c>
      <c r="H881" s="2">
        <f>ROUND(E881*$D881,0)</f>
        <v>33458</v>
      </c>
      <c r="I881" s="322">
        <v>0.88</v>
      </c>
      <c r="J881" s="306"/>
      <c r="K881" s="2">
        <f>ROUND(I881*$C881,0)</f>
        <v>585898</v>
      </c>
      <c r="M881" s="20"/>
      <c r="N881" s="20"/>
      <c r="O881" s="14">
        <f>(I881-E881)/E881</f>
        <v>6.0240963855421742E-2</v>
      </c>
      <c r="P881" s="74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</row>
    <row r="882" spans="1:29">
      <c r="A882" s="294" t="s">
        <v>393</v>
      </c>
      <c r="B882" s="1"/>
      <c r="C882" s="304">
        <v>652626</v>
      </c>
      <c r="D882" s="304">
        <f>ROUND(($D$896/$C$896)*C882,0)</f>
        <v>39514</v>
      </c>
      <c r="E882" s="322">
        <f>$E$771</f>
        <v>6.03</v>
      </c>
      <c r="F882" s="322"/>
      <c r="G882" s="2">
        <f>ROUND(E882*$C882,0)</f>
        <v>3935335</v>
      </c>
      <c r="H882" s="2">
        <f>ROUND(E882*$D882,0)</f>
        <v>238269</v>
      </c>
      <c r="I882" s="322">
        <v>6.54</v>
      </c>
      <c r="J882" s="306"/>
      <c r="K882" s="2">
        <f>ROUND(I882*$C882,0)</f>
        <v>4268174</v>
      </c>
      <c r="M882" s="20"/>
      <c r="N882" s="20"/>
      <c r="O882" s="14">
        <f>(I882-E882)/E882</f>
        <v>8.4577114427860658E-2</v>
      </c>
      <c r="P882" s="74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</row>
    <row r="883" spans="1:29">
      <c r="A883" s="308" t="s">
        <v>416</v>
      </c>
      <c r="B883" s="1"/>
      <c r="C883" s="260" t="s">
        <v>31</v>
      </c>
      <c r="D883" s="304"/>
      <c r="E883" s="322" t="s">
        <v>31</v>
      </c>
      <c r="F883" s="322"/>
      <c r="G883" s="2"/>
      <c r="H883" s="2"/>
      <c r="I883" s="322" t="s">
        <v>31</v>
      </c>
      <c r="J883" s="306"/>
      <c r="K883" s="2"/>
      <c r="M883" s="20"/>
      <c r="N883" s="20"/>
      <c r="O883" s="305"/>
      <c r="P883" s="74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</row>
    <row r="884" spans="1:29">
      <c r="A884" s="308" t="s">
        <v>454</v>
      </c>
      <c r="B884" s="1"/>
      <c r="C884" s="304">
        <v>437324800</v>
      </c>
      <c r="D884" s="304">
        <f>ROUND(($D$896/$C$896)*C884,0)</f>
        <v>26478236</v>
      </c>
      <c r="E884" s="380">
        <f>$E$773</f>
        <v>3.4990000000000001</v>
      </c>
      <c r="F884" s="306" t="s">
        <v>364</v>
      </c>
      <c r="G884" s="2">
        <f>ROUND(E884/100*$C884,0)</f>
        <v>15301995</v>
      </c>
      <c r="H884" s="2">
        <f>ROUND(E884/100*$D884,0)</f>
        <v>926473</v>
      </c>
      <c r="I884" s="380">
        <v>3.8660000000000001</v>
      </c>
      <c r="J884" s="306" t="s">
        <v>364</v>
      </c>
      <c r="K884" s="2">
        <f>ROUND(I884/100*$C884,0)</f>
        <v>16906977</v>
      </c>
      <c r="M884" s="20"/>
      <c r="N884" s="20"/>
      <c r="O884" s="14">
        <f>(I884-E884)/E884</f>
        <v>0.10488711060302944</v>
      </c>
      <c r="P884" s="74"/>
      <c r="Q884" s="20"/>
      <c r="R884" s="20"/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</row>
    <row r="885" spans="1:29">
      <c r="A885" s="308" t="s">
        <v>390</v>
      </c>
      <c r="B885" s="1"/>
      <c r="C885" s="304">
        <v>169216</v>
      </c>
      <c r="D885" s="304">
        <f>ROUND(($D$896/$C$896)*C885,0)</f>
        <v>10245</v>
      </c>
      <c r="E885" s="322">
        <f>$E$774</f>
        <v>0.45</v>
      </c>
      <c r="F885" s="306"/>
      <c r="G885" s="2">
        <f>ROUND(E885*$C885,0)</f>
        <v>76147</v>
      </c>
      <c r="H885" s="2">
        <f>ROUND(E885*$D885,0)</f>
        <v>4610</v>
      </c>
      <c r="I885" s="322">
        <v>0.5</v>
      </c>
      <c r="J885" s="306"/>
      <c r="K885" s="2">
        <f>ROUND(I885*$C885,0)</f>
        <v>84608</v>
      </c>
      <c r="M885" s="20"/>
      <c r="N885" s="20"/>
      <c r="O885" s="14">
        <f>(I885-E885)/E885</f>
        <v>0.11111111111111108</v>
      </c>
      <c r="P885" s="74"/>
      <c r="Q885" s="20"/>
      <c r="R885" s="20"/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</row>
    <row r="886" spans="1:29">
      <c r="A886" s="345" t="s">
        <v>391</v>
      </c>
      <c r="B886" s="1"/>
      <c r="C886" s="304"/>
      <c r="D886" s="304"/>
      <c r="E886" s="317">
        <v>-0.01</v>
      </c>
      <c r="F886" s="317"/>
      <c r="G886" s="2"/>
      <c r="H886" s="2"/>
      <c r="I886" s="317">
        <v>-0.01</v>
      </c>
      <c r="J886" s="346"/>
      <c r="K886" s="2"/>
      <c r="M886" s="20"/>
      <c r="N886" s="20"/>
      <c r="O886" s="74"/>
      <c r="P886" s="74"/>
      <c r="Q886" s="20"/>
      <c r="R886" s="2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</row>
    <row r="887" spans="1:29">
      <c r="A887" s="308" t="s">
        <v>461</v>
      </c>
      <c r="B887" s="1"/>
      <c r="C887" s="304">
        <v>0</v>
      </c>
      <c r="D887" s="304">
        <v>0</v>
      </c>
      <c r="E887" s="319">
        <f>E877</f>
        <v>1205</v>
      </c>
      <c r="F887" s="319"/>
      <c r="G887" s="306">
        <f>ROUND(E887*$C887*$E$803,0)</f>
        <v>0</v>
      </c>
      <c r="H887" s="306">
        <f>ROUND(E887*$D887*$E$803,0)</f>
        <v>0</v>
      </c>
      <c r="I887" s="319">
        <f>I877</f>
        <v>1330</v>
      </c>
      <c r="J887" s="306"/>
      <c r="K887" s="306">
        <f>ROUND(I887*$C887*$E$803,0)</f>
        <v>0</v>
      </c>
      <c r="M887" s="20"/>
      <c r="N887" s="20"/>
      <c r="O887" s="74"/>
      <c r="P887" s="74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</row>
    <row r="888" spans="1:29">
      <c r="A888" s="308" t="s">
        <v>462</v>
      </c>
      <c r="B888" s="1"/>
      <c r="C888" s="304">
        <v>12</v>
      </c>
      <c r="D888" s="304">
        <v>12</v>
      </c>
      <c r="E888" s="319">
        <f>E878</f>
        <v>1450</v>
      </c>
      <c r="F888" s="319"/>
      <c r="G888" s="306">
        <f>ROUND(E888*$C888*$E$803,0)</f>
        <v>-174</v>
      </c>
      <c r="H888" s="306">
        <f>ROUND(E888*$D888*$E$803,0)</f>
        <v>-174</v>
      </c>
      <c r="I888" s="319">
        <f>I878</f>
        <v>1550</v>
      </c>
      <c r="J888" s="306"/>
      <c r="K888" s="306">
        <f>ROUND(I888*$C888*$E$803,0)</f>
        <v>-186</v>
      </c>
      <c r="M888" s="20"/>
      <c r="N888" s="20"/>
      <c r="O888" s="69" t="e">
        <f>O898-K898</f>
        <v>#REF!</v>
      </c>
      <c r="P888" s="74"/>
      <c r="Q888" s="20"/>
      <c r="R888" s="20"/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</row>
    <row r="889" spans="1:29">
      <c r="A889" s="308" t="s">
        <v>463</v>
      </c>
      <c r="B889" s="1"/>
      <c r="C889" s="304">
        <v>0</v>
      </c>
      <c r="D889" s="304">
        <v>0</v>
      </c>
      <c r="E889" s="319">
        <f>E880</f>
        <v>0.91</v>
      </c>
      <c r="F889" s="319"/>
      <c r="G889" s="306">
        <f>ROUND(E889*$C889*$E$803,0)</f>
        <v>0</v>
      </c>
      <c r="H889" s="306">
        <f>ROUND(E889*$D889*$E$803,0)</f>
        <v>0</v>
      </c>
      <c r="I889" s="319">
        <f>I880</f>
        <v>1.01</v>
      </c>
      <c r="J889" s="306"/>
      <c r="K889" s="306">
        <f>ROUND(I889*$C889*$E$803,0)</f>
        <v>0</v>
      </c>
      <c r="M889" s="20"/>
      <c r="N889" s="20"/>
      <c r="O889" s="74"/>
      <c r="P889" s="74"/>
      <c r="Q889" s="20"/>
      <c r="R889" s="20"/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</row>
    <row r="890" spans="1:29">
      <c r="A890" s="308" t="s">
        <v>464</v>
      </c>
      <c r="B890" s="1"/>
      <c r="C890" s="304">
        <f>C881</f>
        <v>665793</v>
      </c>
      <c r="D890" s="304">
        <f>ROUND(($D$896/$C$896)*C890,0)</f>
        <v>40311</v>
      </c>
      <c r="E890" s="319">
        <f>E881</f>
        <v>0.83</v>
      </c>
      <c r="F890" s="319"/>
      <c r="G890" s="306">
        <f>ROUND(E890*$C890*$E$803,0)</f>
        <v>-5526</v>
      </c>
      <c r="H890" s="306">
        <f>ROUND(E890*$D890*$E$803,0)</f>
        <v>-335</v>
      </c>
      <c r="I890" s="319">
        <f>I881</f>
        <v>0.88</v>
      </c>
      <c r="J890" s="306"/>
      <c r="K890" s="306">
        <f>ROUND(I890*$C890*$E$803,0)</f>
        <v>-5859</v>
      </c>
      <c r="M890" s="20"/>
      <c r="N890" s="20"/>
      <c r="O890" s="74"/>
      <c r="P890" s="74"/>
      <c r="Q890" s="20"/>
      <c r="R890" s="20"/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</row>
    <row r="891" spans="1:29">
      <c r="A891" s="294" t="s">
        <v>393</v>
      </c>
      <c r="B891" s="365"/>
      <c r="C891" s="304">
        <f>C882</f>
        <v>652626</v>
      </c>
      <c r="D891" s="304">
        <f>ROUND(($D$896/$C$896)*C891,0)</f>
        <v>39514</v>
      </c>
      <c r="E891" s="319">
        <f>E882</f>
        <v>6.03</v>
      </c>
      <c r="F891" s="322"/>
      <c r="G891" s="306">
        <f>ROUND(E891*$C891*$E$803,0)</f>
        <v>-39353</v>
      </c>
      <c r="H891" s="306">
        <f>ROUND(E891*$D891*$E$803,0)</f>
        <v>-2383</v>
      </c>
      <c r="I891" s="319">
        <f>I882</f>
        <v>6.54</v>
      </c>
      <c r="J891" s="306"/>
      <c r="K891" s="306">
        <f>ROUND(I891*$C891*$E$803,0)</f>
        <v>-42682</v>
      </c>
      <c r="M891" s="20"/>
      <c r="N891" s="20"/>
      <c r="O891" s="74"/>
      <c r="P891" s="74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</row>
    <row r="892" spans="1:29">
      <c r="A892" s="308" t="s">
        <v>454</v>
      </c>
      <c r="B892" s="1"/>
      <c r="C892" s="304">
        <f>C884</f>
        <v>437324800</v>
      </c>
      <c r="D892" s="304">
        <f>ROUND(($D$896/$C$896)*C892,0)</f>
        <v>26478236</v>
      </c>
      <c r="E892" s="320">
        <f>E884</f>
        <v>3.4990000000000001</v>
      </c>
      <c r="F892" s="306" t="s">
        <v>364</v>
      </c>
      <c r="G892" s="306">
        <f>ROUND(E892/100*$C892*$E$803,0)</f>
        <v>-153020</v>
      </c>
      <c r="H892" s="306">
        <f>ROUND(E892/100*$D892*$E$803,0)</f>
        <v>-9265</v>
      </c>
      <c r="I892" s="320">
        <f>I884</f>
        <v>3.8660000000000001</v>
      </c>
      <c r="J892" s="306" t="s">
        <v>364</v>
      </c>
      <c r="K892" s="306">
        <f>ROUND(I892/100*$C892*$E$803,0)</f>
        <v>-169070</v>
      </c>
      <c r="M892" s="20"/>
      <c r="N892" s="20"/>
      <c r="O892" s="74"/>
      <c r="P892" s="74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</row>
    <row r="893" spans="1:29">
      <c r="A893" s="308" t="s">
        <v>390</v>
      </c>
      <c r="B893" s="1"/>
      <c r="C893" s="304">
        <f>C885</f>
        <v>169216</v>
      </c>
      <c r="D893" s="304">
        <f>ROUND(($D$896/$C$896)*C893,0)</f>
        <v>10245</v>
      </c>
      <c r="E893" s="369">
        <f>E885</f>
        <v>0.45</v>
      </c>
      <c r="F893" s="306"/>
      <c r="G893" s="306">
        <f>ROUND(E893*$C893*$E$803,0)</f>
        <v>-761</v>
      </c>
      <c r="H893" s="306">
        <f>ROUND(E893*$D893*$E$803,0)</f>
        <v>-46</v>
      </c>
      <c r="I893" s="369">
        <f>I885</f>
        <v>0.5</v>
      </c>
      <c r="J893" s="306"/>
      <c r="K893" s="306">
        <f>ROUND(I893*$C893*$E$803,0)</f>
        <v>-846</v>
      </c>
      <c r="M893" s="20"/>
      <c r="N893" s="20"/>
      <c r="O893" s="74"/>
      <c r="P893" s="74"/>
      <c r="Q893" s="20"/>
      <c r="R893" s="20"/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</row>
    <row r="894" spans="1:29">
      <c r="A894" s="294" t="s">
        <v>465</v>
      </c>
      <c r="B894" s="1"/>
      <c r="C894" s="304">
        <v>12</v>
      </c>
      <c r="D894" s="304">
        <v>12</v>
      </c>
      <c r="E894" s="322">
        <f>$E$783</f>
        <v>60</v>
      </c>
      <c r="F894" s="322"/>
      <c r="G894" s="306">
        <f>ROUND(E894*$C894,0)</f>
        <v>720</v>
      </c>
      <c r="H894" s="306">
        <f>ROUND(E894*$D894,0)</f>
        <v>720</v>
      </c>
      <c r="I894" s="322">
        <f>$I$783</f>
        <v>60</v>
      </c>
      <c r="J894" s="306"/>
      <c r="K894" s="306">
        <f>ROUND(I894*$C894,0)</f>
        <v>720</v>
      </c>
      <c r="M894" s="20"/>
      <c r="N894" s="20"/>
      <c r="O894" s="74"/>
      <c r="P894" s="74"/>
      <c r="Q894" s="20"/>
      <c r="R894" s="20"/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</row>
    <row r="895" spans="1:29">
      <c r="A895" s="294" t="s">
        <v>434</v>
      </c>
      <c r="B895" s="1"/>
      <c r="C895" s="304">
        <f>C881</f>
        <v>665793</v>
      </c>
      <c r="D895" s="304">
        <f>ROUND(($D$896/$C$896)*C895,0)</f>
        <v>40311</v>
      </c>
      <c r="E895" s="322">
        <f>$E$784</f>
        <v>-0.75</v>
      </c>
      <c r="F895" s="306"/>
      <c r="G895" s="306">
        <f>ROUND(E895*$C895,0)</f>
        <v>-499345</v>
      </c>
      <c r="H895" s="306">
        <f>ROUND(E895*$D895,0)</f>
        <v>-30233</v>
      </c>
      <c r="I895" s="322">
        <f>$I$784</f>
        <v>-0.75</v>
      </c>
      <c r="J895" s="306"/>
      <c r="K895" s="306">
        <f>ROUND(I895*$C895,0)</f>
        <v>-499345</v>
      </c>
      <c r="M895" s="20"/>
      <c r="N895" s="20"/>
      <c r="O895" s="74"/>
      <c r="P895" s="74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</row>
    <row r="896" spans="1:29">
      <c r="A896" s="1" t="s">
        <v>371</v>
      </c>
      <c r="B896" s="1"/>
      <c r="C896" s="304">
        <f>C884</f>
        <v>437324800</v>
      </c>
      <c r="D896" s="304">
        <v>26478236.454041336</v>
      </c>
      <c r="E896" s="315"/>
      <c r="F896" s="2"/>
      <c r="G896" s="2">
        <f>SUM(G877:G895)</f>
        <v>19186026</v>
      </c>
      <c r="H896" s="2">
        <f>SUM(H877:H895)</f>
        <v>1178494</v>
      </c>
      <c r="I896" s="315"/>
      <c r="J896" s="1"/>
      <c r="K896" s="2">
        <f>SUM(K877:K895)</f>
        <v>21146989</v>
      </c>
      <c r="M896" s="20"/>
      <c r="N896" s="20"/>
      <c r="O896" s="74"/>
      <c r="P896" s="74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</row>
    <row r="897" spans="1:29">
      <c r="A897" s="1" t="s">
        <v>353</v>
      </c>
      <c r="B897" s="1"/>
      <c r="C897" s="304" t="e">
        <f>#REF!</f>
        <v>#REF!</v>
      </c>
      <c r="D897" s="304">
        <v>0</v>
      </c>
      <c r="E897" s="294"/>
      <c r="F897" s="294"/>
      <c r="G897" s="326" t="e">
        <f>#REF!</f>
        <v>#REF!</v>
      </c>
      <c r="H897" s="326">
        <v>0</v>
      </c>
      <c r="I897" s="294"/>
      <c r="J897" s="294"/>
      <c r="K897" s="326" t="e">
        <f>G897</f>
        <v>#REF!</v>
      </c>
      <c r="M897" s="429"/>
      <c r="N897" s="429"/>
      <c r="O897" s="272"/>
      <c r="P897" s="74"/>
      <c r="Q897" s="20"/>
      <c r="R897" s="20"/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</row>
    <row r="898" spans="1:29" ht="16.5" thickBot="1">
      <c r="A898" s="1" t="s">
        <v>372</v>
      </c>
      <c r="B898" s="1"/>
      <c r="C898" s="378" t="e">
        <f>SUM(C896)+C897</f>
        <v>#REF!</v>
      </c>
      <c r="D898" s="378">
        <f>SUM(D884)+D897</f>
        <v>26478236</v>
      </c>
      <c r="E898" s="327"/>
      <c r="F898" s="328"/>
      <c r="G898" s="329" t="e">
        <f>G896+G897</f>
        <v>#REF!</v>
      </c>
      <c r="H898" s="329">
        <f>H896+H897</f>
        <v>1178494</v>
      </c>
      <c r="I898" s="327"/>
      <c r="J898" s="330"/>
      <c r="K898" s="329" t="e">
        <f>K896+K897</f>
        <v>#REF!</v>
      </c>
      <c r="M898" s="396"/>
      <c r="N898" s="3" t="s">
        <v>354</v>
      </c>
      <c r="O898" s="69" t="e">
        <f>#REF!*1000</f>
        <v>#REF!</v>
      </c>
      <c r="P898" s="74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</row>
    <row r="899" spans="1:29" ht="16.5" thickTop="1">
      <c r="A899" s="1"/>
      <c r="B899" s="1"/>
      <c r="C899" s="21"/>
      <c r="D899" s="21"/>
      <c r="E899" s="322"/>
      <c r="F899" s="2"/>
      <c r="G899" s="2"/>
      <c r="H899" s="2"/>
      <c r="I899" s="338" t="s">
        <v>31</v>
      </c>
      <c r="J899" s="1"/>
      <c r="K899" s="2" t="s">
        <v>31</v>
      </c>
      <c r="M899" s="20"/>
      <c r="N899" s="3" t="s">
        <v>257</v>
      </c>
      <c r="P899" s="74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</row>
    <row r="900" spans="1:29">
      <c r="A900" s="278" t="s">
        <v>472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20"/>
      <c r="N900" s="20"/>
      <c r="O900" s="74"/>
      <c r="P900" s="74"/>
      <c r="Q900" s="20"/>
      <c r="R900" s="20"/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</row>
    <row r="901" spans="1:29">
      <c r="A901" s="1" t="s">
        <v>575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63"/>
      <c r="N901" s="263"/>
      <c r="O901" s="263"/>
      <c r="P901" s="263"/>
      <c r="Q901" s="263"/>
      <c r="R901" s="263"/>
      <c r="S901" s="263"/>
      <c r="T901" s="263"/>
      <c r="U901" s="263"/>
      <c r="V901" s="263"/>
      <c r="W901" s="263"/>
      <c r="X901" s="263"/>
      <c r="Y901" s="20"/>
      <c r="Z901" s="20"/>
      <c r="AA901" s="20"/>
      <c r="AB901" s="20"/>
      <c r="AC901" s="20"/>
    </row>
    <row r="902" spans="1:29">
      <c r="A902" s="1" t="s">
        <v>576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63"/>
      <c r="N902" s="263"/>
      <c r="O902" s="263"/>
      <c r="P902" s="263"/>
      <c r="Q902" s="263"/>
      <c r="R902" s="263"/>
      <c r="S902" s="263"/>
      <c r="T902" s="263"/>
      <c r="U902" s="263"/>
      <c r="V902" s="263"/>
      <c r="W902" s="263"/>
      <c r="X902" s="263"/>
      <c r="Y902" s="20"/>
      <c r="Z902" s="20"/>
      <c r="AA902" s="20"/>
      <c r="AB902" s="20"/>
      <c r="AC902" s="20"/>
    </row>
    <row r="903" spans="1:29">
      <c r="A903" s="1" t="s">
        <v>474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63"/>
      <c r="N903" s="263"/>
      <c r="O903" s="263"/>
      <c r="P903" s="74"/>
      <c r="Q903" s="264"/>
      <c r="R903" s="265"/>
      <c r="S903" s="266"/>
      <c r="T903" s="267"/>
      <c r="U903" s="263"/>
      <c r="V903" s="263"/>
      <c r="W903" s="263"/>
      <c r="X903" s="263"/>
      <c r="Y903" s="20"/>
      <c r="Z903" s="20"/>
      <c r="AA903" s="20"/>
      <c r="AB903" s="20"/>
      <c r="AC903" s="20"/>
    </row>
    <row r="904" spans="1:29">
      <c r="A904" s="3" t="s">
        <v>348</v>
      </c>
      <c r="C904" s="249">
        <f>15020</f>
        <v>15020</v>
      </c>
      <c r="D904" s="249">
        <f t="shared" ref="D904:D913" si="73">ROUND(($D$923/$C$923)*C904,0)</f>
        <v>14891</v>
      </c>
      <c r="E904" s="250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250" t="e">
        <f t="shared" ref="I904:I913" si="76">E904+(E904*$P$925)</f>
        <v>#REF!</v>
      </c>
      <c r="K904" s="2" t="e">
        <f t="shared" ref="K904:K913" si="77">ROUND(I904*$C904,0)</f>
        <v>#REF!</v>
      </c>
      <c r="M904" s="84" t="e">
        <f t="shared" ref="M904:M913" si="78">I904*D904</f>
        <v>#REF!</v>
      </c>
      <c r="O904" s="383">
        <v>31</v>
      </c>
      <c r="P904" s="384">
        <f t="shared" ref="P904:P913" si="79">O904*D904</f>
        <v>461621</v>
      </c>
      <c r="Q904" s="385" t="e">
        <f t="shared" ref="Q904:Q913" si="80">$P$924*O904</f>
        <v>#REF!</v>
      </c>
      <c r="R904" s="386" t="e">
        <f t="shared" ref="R904:R913" si="81">ROUND(E904+Q904,2)</f>
        <v>#REF!</v>
      </c>
      <c r="S904" s="269"/>
      <c r="T904" s="263"/>
      <c r="U904" s="266"/>
      <c r="V904" s="266"/>
      <c r="W904" s="270"/>
      <c r="X904" s="266"/>
      <c r="Y904" s="20"/>
      <c r="Z904" s="20"/>
      <c r="AA904" s="20"/>
      <c r="AB904" s="20"/>
      <c r="AC904" s="20"/>
    </row>
    <row r="905" spans="1:29">
      <c r="A905" s="3" t="s">
        <v>475</v>
      </c>
      <c r="C905" s="249">
        <f>15262</f>
        <v>15262</v>
      </c>
      <c r="D905" s="249">
        <f t="shared" si="73"/>
        <v>15131</v>
      </c>
      <c r="E905" s="250">
        <v>9.1300000000000008</v>
      </c>
      <c r="G905" s="2">
        <f t="shared" si="74"/>
        <v>139342</v>
      </c>
      <c r="H905" s="2">
        <f t="shared" si="75"/>
        <v>138146</v>
      </c>
      <c r="I905" s="250" t="e">
        <f t="shared" si="76"/>
        <v>#REF!</v>
      </c>
      <c r="K905" s="2" t="e">
        <f t="shared" si="77"/>
        <v>#REF!</v>
      </c>
      <c r="M905" s="84" t="e">
        <f t="shared" si="78"/>
        <v>#REF!</v>
      </c>
      <c r="O905" s="387">
        <v>44</v>
      </c>
      <c r="P905" s="74">
        <f t="shared" si="79"/>
        <v>665764</v>
      </c>
      <c r="Q905" s="388" t="e">
        <f t="shared" si="80"/>
        <v>#REF!</v>
      </c>
      <c r="R905" s="389" t="e">
        <f t="shared" si="81"/>
        <v>#REF!</v>
      </c>
      <c r="S905" s="263"/>
      <c r="T905" s="263"/>
      <c r="U905" s="266"/>
      <c r="V905" s="266"/>
      <c r="W905" s="270"/>
      <c r="X905" s="266"/>
      <c r="Y905" s="20"/>
      <c r="Z905" s="20"/>
      <c r="AA905" s="20"/>
      <c r="AB905" s="20"/>
      <c r="AC905" s="20"/>
    </row>
    <row r="906" spans="1:29">
      <c r="A906" s="3" t="s">
        <v>578</v>
      </c>
      <c r="C906" s="249">
        <v>0</v>
      </c>
      <c r="D906" s="249">
        <f t="shared" si="73"/>
        <v>0</v>
      </c>
      <c r="E906" s="250">
        <v>29.01</v>
      </c>
      <c r="G906" s="2">
        <f t="shared" si="74"/>
        <v>0</v>
      </c>
      <c r="H906" s="2">
        <f t="shared" si="75"/>
        <v>0</v>
      </c>
      <c r="I906" s="250" t="e">
        <f t="shared" si="76"/>
        <v>#REF!</v>
      </c>
      <c r="K906" s="2" t="e">
        <f t="shared" si="77"/>
        <v>#REF!</v>
      </c>
      <c r="M906" s="84" t="e">
        <f t="shared" si="78"/>
        <v>#REF!</v>
      </c>
      <c r="O906" s="387">
        <v>44</v>
      </c>
      <c r="P906" s="74">
        <f t="shared" si="79"/>
        <v>0</v>
      </c>
      <c r="Q906" s="388" t="e">
        <f t="shared" si="80"/>
        <v>#REF!</v>
      </c>
      <c r="R906" s="389" t="e">
        <f t="shared" si="81"/>
        <v>#REF!</v>
      </c>
      <c r="S906" s="263"/>
      <c r="T906" s="263"/>
      <c r="U906" s="266"/>
      <c r="V906" s="266"/>
      <c r="W906" s="270"/>
      <c r="X906" s="266"/>
      <c r="Y906" s="20"/>
      <c r="Z906" s="20"/>
      <c r="AA906" s="20"/>
      <c r="AB906" s="20"/>
      <c r="AC906" s="20"/>
    </row>
    <row r="907" spans="1:29">
      <c r="A907" s="3" t="s">
        <v>579</v>
      </c>
      <c r="C907" s="249">
        <v>0</v>
      </c>
      <c r="D907" s="249">
        <f t="shared" si="73"/>
        <v>0</v>
      </c>
      <c r="E907" s="250">
        <v>22.56</v>
      </c>
      <c r="G907" s="2">
        <f t="shared" si="74"/>
        <v>0</v>
      </c>
      <c r="H907" s="2">
        <f t="shared" si="75"/>
        <v>0</v>
      </c>
      <c r="I907" s="250" t="e">
        <f t="shared" si="76"/>
        <v>#REF!</v>
      </c>
      <c r="K907" s="2" t="e">
        <f t="shared" si="77"/>
        <v>#REF!</v>
      </c>
      <c r="M907" s="84" t="e">
        <f t="shared" si="78"/>
        <v>#REF!</v>
      </c>
      <c r="O907" s="387">
        <v>44</v>
      </c>
      <c r="P907" s="74">
        <f t="shared" si="79"/>
        <v>0</v>
      </c>
      <c r="Q907" s="388" t="e">
        <f t="shared" si="80"/>
        <v>#REF!</v>
      </c>
      <c r="R907" s="389" t="e">
        <f t="shared" si="81"/>
        <v>#REF!</v>
      </c>
      <c r="S907" s="263"/>
      <c r="T907" s="263"/>
      <c r="U907" s="266"/>
      <c r="V907" s="266"/>
      <c r="W907" s="270"/>
      <c r="X907" s="266"/>
      <c r="Y907" s="20"/>
      <c r="Z907" s="20"/>
      <c r="AA907" s="20"/>
      <c r="AB907" s="20"/>
      <c r="AC907" s="20"/>
    </row>
    <row r="908" spans="1:29">
      <c r="A908" s="3" t="s">
        <v>573</v>
      </c>
      <c r="C908" s="249">
        <v>0</v>
      </c>
      <c r="D908" s="249">
        <f t="shared" si="73"/>
        <v>0</v>
      </c>
      <c r="E908" s="250">
        <v>11.68</v>
      </c>
      <c r="G908" s="2">
        <f t="shared" si="74"/>
        <v>0</v>
      </c>
      <c r="H908" s="2">
        <f t="shared" si="75"/>
        <v>0</v>
      </c>
      <c r="I908" s="250" t="e">
        <f t="shared" si="76"/>
        <v>#REF!</v>
      </c>
      <c r="K908" s="2" t="e">
        <f t="shared" si="77"/>
        <v>#REF!</v>
      </c>
      <c r="M908" s="84" t="e">
        <f t="shared" si="78"/>
        <v>#REF!</v>
      </c>
      <c r="O908" s="387">
        <v>64</v>
      </c>
      <c r="P908" s="74">
        <f t="shared" si="79"/>
        <v>0</v>
      </c>
      <c r="Q908" s="388" t="e">
        <f t="shared" si="80"/>
        <v>#REF!</v>
      </c>
      <c r="R908" s="389" t="e">
        <f t="shared" si="81"/>
        <v>#REF!</v>
      </c>
      <c r="S908" s="263"/>
      <c r="T908" s="263"/>
      <c r="U908" s="266"/>
      <c r="V908" s="266"/>
      <c r="W908" s="270"/>
      <c r="X908" s="266"/>
      <c r="Y908" s="20"/>
      <c r="Z908" s="20"/>
      <c r="AA908" s="20"/>
      <c r="AB908" s="20"/>
      <c r="AC908" s="20"/>
    </row>
    <row r="909" spans="1:29">
      <c r="A909" s="3" t="s">
        <v>580</v>
      </c>
      <c r="C909" s="249">
        <v>0</v>
      </c>
      <c r="D909" s="249">
        <f t="shared" si="73"/>
        <v>0</v>
      </c>
      <c r="E909" s="250">
        <v>30.06</v>
      </c>
      <c r="G909" s="2">
        <f t="shared" si="74"/>
        <v>0</v>
      </c>
      <c r="H909" s="2">
        <f t="shared" si="75"/>
        <v>0</v>
      </c>
      <c r="I909" s="250" t="e">
        <f t="shared" si="76"/>
        <v>#REF!</v>
      </c>
      <c r="K909" s="2" t="e">
        <f t="shared" si="77"/>
        <v>#REF!</v>
      </c>
      <c r="M909" s="84" t="e">
        <f t="shared" si="78"/>
        <v>#REF!</v>
      </c>
      <c r="O909" s="387">
        <v>64</v>
      </c>
      <c r="P909" s="74">
        <f t="shared" si="79"/>
        <v>0</v>
      </c>
      <c r="Q909" s="388" t="e">
        <f t="shared" si="80"/>
        <v>#REF!</v>
      </c>
      <c r="R909" s="389" t="e">
        <f t="shared" si="81"/>
        <v>#REF!</v>
      </c>
      <c r="S909" s="263"/>
      <c r="T909" s="263"/>
      <c r="U909" s="266"/>
      <c r="V909" s="266"/>
      <c r="W909" s="270"/>
      <c r="X909" s="266"/>
      <c r="Y909" s="20"/>
      <c r="Z909" s="20"/>
      <c r="AA909" s="20"/>
      <c r="AB909" s="20"/>
      <c r="AC909" s="20"/>
    </row>
    <row r="910" spans="1:29">
      <c r="A910" s="3" t="s">
        <v>581</v>
      </c>
      <c r="C910" s="249">
        <v>0</v>
      </c>
      <c r="D910" s="249">
        <f t="shared" si="73"/>
        <v>0</v>
      </c>
      <c r="E910" s="250">
        <v>23.65</v>
      </c>
      <c r="G910" s="2">
        <f t="shared" si="74"/>
        <v>0</v>
      </c>
      <c r="H910" s="2">
        <f t="shared" si="75"/>
        <v>0</v>
      </c>
      <c r="I910" s="250" t="e">
        <f t="shared" si="76"/>
        <v>#REF!</v>
      </c>
      <c r="K910" s="2" t="e">
        <f t="shared" si="77"/>
        <v>#REF!</v>
      </c>
      <c r="M910" s="84" t="e">
        <f t="shared" si="78"/>
        <v>#REF!</v>
      </c>
      <c r="O910" s="387">
        <v>64</v>
      </c>
      <c r="P910" s="74">
        <f t="shared" si="79"/>
        <v>0</v>
      </c>
      <c r="Q910" s="388" t="e">
        <f t="shared" si="80"/>
        <v>#REF!</v>
      </c>
      <c r="R910" s="389" t="e">
        <f t="shared" si="81"/>
        <v>#REF!</v>
      </c>
      <c r="S910" s="263"/>
      <c r="T910" s="263"/>
      <c r="U910" s="266"/>
      <c r="V910" s="266"/>
      <c r="W910" s="270"/>
      <c r="X910" s="266"/>
      <c r="Y910" s="20"/>
      <c r="Z910" s="20"/>
      <c r="AA910" s="20"/>
      <c r="AB910" s="20"/>
      <c r="AC910" s="20"/>
    </row>
    <row r="911" spans="1:29">
      <c r="A911" s="3" t="s">
        <v>349</v>
      </c>
      <c r="C911" s="249">
        <f>18290</f>
        <v>18290</v>
      </c>
      <c r="D911" s="249">
        <f t="shared" si="73"/>
        <v>18133</v>
      </c>
      <c r="E911" s="250">
        <v>13.33</v>
      </c>
      <c r="G911" s="2">
        <f t="shared" si="74"/>
        <v>243806</v>
      </c>
      <c r="H911" s="2">
        <f t="shared" si="75"/>
        <v>241713</v>
      </c>
      <c r="I911" s="250" t="e">
        <f t="shared" si="76"/>
        <v>#REF!</v>
      </c>
      <c r="K911" s="2" t="e">
        <f t="shared" si="77"/>
        <v>#REF!</v>
      </c>
      <c r="M911" s="84" t="e">
        <f t="shared" si="78"/>
        <v>#REF!</v>
      </c>
      <c r="O911" s="387">
        <v>85</v>
      </c>
      <c r="P911" s="74">
        <f t="shared" si="79"/>
        <v>1541305</v>
      </c>
      <c r="Q911" s="388" t="e">
        <f t="shared" si="80"/>
        <v>#REF!</v>
      </c>
      <c r="R911" s="389" t="e">
        <f t="shared" si="81"/>
        <v>#REF!</v>
      </c>
      <c r="S911" s="263"/>
      <c r="T911" s="263"/>
      <c r="U911" s="266"/>
      <c r="V911" s="266"/>
      <c r="W911" s="270"/>
      <c r="X911" s="266"/>
      <c r="Y911" s="20"/>
      <c r="Z911" s="20"/>
      <c r="AA911" s="20"/>
      <c r="AB911" s="20"/>
      <c r="AC911" s="20"/>
    </row>
    <row r="912" spans="1:29">
      <c r="A912" s="3" t="s">
        <v>574</v>
      </c>
      <c r="C912" s="249">
        <v>0</v>
      </c>
      <c r="D912" s="249">
        <f t="shared" si="73"/>
        <v>0</v>
      </c>
      <c r="E912" s="250">
        <v>16.91</v>
      </c>
      <c r="G912" s="2">
        <f t="shared" si="74"/>
        <v>0</v>
      </c>
      <c r="H912" s="2">
        <f t="shared" si="75"/>
        <v>0</v>
      </c>
      <c r="I912" s="250" t="e">
        <f t="shared" si="76"/>
        <v>#REF!</v>
      </c>
      <c r="K912" s="2" t="e">
        <f t="shared" si="77"/>
        <v>#REF!</v>
      </c>
      <c r="M912" s="84" t="e">
        <f t="shared" si="78"/>
        <v>#REF!</v>
      </c>
      <c r="O912" s="387">
        <v>115</v>
      </c>
      <c r="P912" s="74">
        <f t="shared" si="79"/>
        <v>0</v>
      </c>
      <c r="Q912" s="388" t="e">
        <f t="shared" si="80"/>
        <v>#REF!</v>
      </c>
      <c r="R912" s="389" t="e">
        <f t="shared" si="81"/>
        <v>#REF!</v>
      </c>
      <c r="S912" s="263"/>
      <c r="T912" s="263"/>
      <c r="U912" s="266"/>
      <c r="V912" s="266"/>
      <c r="W912" s="270"/>
      <c r="X912" s="266"/>
      <c r="Y912" s="20"/>
      <c r="Z912" s="20"/>
      <c r="AA912" s="20"/>
      <c r="AB912" s="20"/>
      <c r="AC912" s="20"/>
    </row>
    <row r="913" spans="1:29">
      <c r="A913" s="3" t="s">
        <v>350</v>
      </c>
      <c r="C913" s="249">
        <f>1621</f>
        <v>1621</v>
      </c>
      <c r="D913" s="249">
        <f t="shared" si="73"/>
        <v>1607</v>
      </c>
      <c r="E913" s="250">
        <v>22.32</v>
      </c>
      <c r="G913" s="2">
        <f t="shared" si="74"/>
        <v>36181</v>
      </c>
      <c r="H913" s="2">
        <f t="shared" si="75"/>
        <v>35868</v>
      </c>
      <c r="I913" s="250" t="e">
        <f t="shared" si="76"/>
        <v>#REF!</v>
      </c>
      <c r="K913" s="2" t="e">
        <f t="shared" si="77"/>
        <v>#REF!</v>
      </c>
      <c r="M913" s="84" t="e">
        <f t="shared" si="78"/>
        <v>#REF!</v>
      </c>
      <c r="O913" s="387">
        <v>176</v>
      </c>
      <c r="P913" s="74">
        <f t="shared" si="79"/>
        <v>282832</v>
      </c>
      <c r="Q913" s="388" t="e">
        <f t="shared" si="80"/>
        <v>#REF!</v>
      </c>
      <c r="R913" s="389" t="e">
        <f t="shared" si="81"/>
        <v>#REF!</v>
      </c>
      <c r="S913" s="263"/>
      <c r="T913" s="263"/>
      <c r="U913" s="266"/>
      <c r="V913" s="266"/>
      <c r="W913" s="270"/>
      <c r="X913" s="266"/>
      <c r="Y913" s="20"/>
      <c r="Z913" s="20"/>
      <c r="AA913" s="20"/>
      <c r="AB913" s="20"/>
      <c r="AC913" s="20"/>
    </row>
    <row r="914" spans="1:29">
      <c r="A914" s="3" t="s">
        <v>577</v>
      </c>
      <c r="C914" s="249"/>
      <c r="D914" s="249"/>
      <c r="E914" s="250"/>
      <c r="G914" s="2"/>
      <c r="H914" s="2"/>
      <c r="I914" s="250"/>
      <c r="K914" s="2"/>
      <c r="M914" s="84"/>
      <c r="O914" s="387"/>
      <c r="P914" s="74"/>
      <c r="Q914" s="388"/>
      <c r="R914" s="389"/>
      <c r="S914" s="263"/>
      <c r="T914" s="263"/>
      <c r="U914" s="266"/>
      <c r="V914" s="266"/>
      <c r="W914" s="270"/>
      <c r="X914" s="266"/>
      <c r="Y914" s="20"/>
      <c r="Z914" s="20"/>
      <c r="AA914" s="20"/>
      <c r="AB914" s="20"/>
      <c r="AC914" s="20"/>
    </row>
    <row r="915" spans="1:29">
      <c r="A915" s="3" t="s">
        <v>582</v>
      </c>
      <c r="C915" s="249">
        <v>0</v>
      </c>
      <c r="D915" s="249">
        <f t="shared" ref="D915:D921" si="82">ROUND(($D$923/$C$923)*C915,0)</f>
        <v>0</v>
      </c>
      <c r="E915" s="250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250" t="e">
        <f t="shared" ref="I915:I921" si="85">E915+(E915*$P$925)</f>
        <v>#REF!</v>
      </c>
      <c r="K915" s="2" t="e">
        <f t="shared" ref="K915:K921" si="86">ROUND(I915*$C915,0)</f>
        <v>#REF!</v>
      </c>
      <c r="M915" s="84" t="e">
        <f t="shared" ref="M915:M921" si="87">I915*D915</f>
        <v>#REF!</v>
      </c>
      <c r="O915" s="387">
        <v>39</v>
      </c>
      <c r="P915" s="74">
        <f t="shared" ref="P915:P921" si="88">O915*D915</f>
        <v>0</v>
      </c>
      <c r="Q915" s="388" t="e">
        <f t="shared" ref="Q915:Q921" si="89">$P$924*O915</f>
        <v>#REF!</v>
      </c>
      <c r="R915" s="389" t="e">
        <f t="shared" ref="R915:R921" si="90">ROUND(E915+Q915,2)</f>
        <v>#REF!</v>
      </c>
      <c r="S915" s="263"/>
      <c r="T915" s="263"/>
      <c r="U915" s="266"/>
      <c r="V915" s="266"/>
      <c r="W915" s="270"/>
      <c r="X915" s="266"/>
      <c r="Y915" s="20"/>
      <c r="Z915" s="20"/>
      <c r="AA915" s="20"/>
      <c r="AB915" s="20"/>
      <c r="AC915" s="20"/>
    </row>
    <row r="916" spans="1:29">
      <c r="A916" s="3" t="s">
        <v>583</v>
      </c>
      <c r="C916" s="249">
        <v>0</v>
      </c>
      <c r="D916" s="249">
        <f t="shared" si="82"/>
        <v>0</v>
      </c>
      <c r="E916" s="250">
        <v>24.46</v>
      </c>
      <c r="G916" s="2">
        <f t="shared" si="83"/>
        <v>0</v>
      </c>
      <c r="H916" s="2">
        <f t="shared" si="84"/>
        <v>0</v>
      </c>
      <c r="I916" s="250" t="e">
        <f t="shared" si="85"/>
        <v>#REF!</v>
      </c>
      <c r="K916" s="2" t="e">
        <f t="shared" si="86"/>
        <v>#REF!</v>
      </c>
      <c r="M916" s="84" t="e">
        <f t="shared" si="87"/>
        <v>#REF!</v>
      </c>
      <c r="O916" s="387">
        <v>39</v>
      </c>
      <c r="P916" s="74">
        <f t="shared" si="88"/>
        <v>0</v>
      </c>
      <c r="Q916" s="388" t="e">
        <f t="shared" si="89"/>
        <v>#REF!</v>
      </c>
      <c r="R916" s="389" t="e">
        <f t="shared" si="90"/>
        <v>#REF!</v>
      </c>
      <c r="S916" s="263"/>
      <c r="T916" s="263"/>
      <c r="U916" s="266"/>
      <c r="V916" s="266"/>
      <c r="W916" s="270"/>
      <c r="X916" s="266"/>
      <c r="Y916" s="20"/>
      <c r="Z916" s="20"/>
      <c r="AA916" s="20"/>
      <c r="AB916" s="20"/>
      <c r="AC916" s="20"/>
    </row>
    <row r="917" spans="1:29">
      <c r="A917" s="3" t="s">
        <v>584</v>
      </c>
      <c r="C917" s="249">
        <v>0</v>
      </c>
      <c r="D917" s="249">
        <f t="shared" si="82"/>
        <v>0</v>
      </c>
      <c r="E917" s="250">
        <v>22.55</v>
      </c>
      <c r="G917" s="2">
        <f t="shared" si="83"/>
        <v>0</v>
      </c>
      <c r="H917" s="2">
        <f t="shared" si="84"/>
        <v>0</v>
      </c>
      <c r="I917" s="250" t="e">
        <f t="shared" si="85"/>
        <v>#REF!</v>
      </c>
      <c r="K917" s="2" t="e">
        <f t="shared" si="86"/>
        <v>#REF!</v>
      </c>
      <c r="M917" s="84" t="e">
        <f t="shared" si="87"/>
        <v>#REF!</v>
      </c>
      <c r="O917" s="387">
        <v>68</v>
      </c>
      <c r="P917" s="74">
        <f t="shared" si="88"/>
        <v>0</v>
      </c>
      <c r="Q917" s="388" t="e">
        <f t="shared" si="89"/>
        <v>#REF!</v>
      </c>
      <c r="R917" s="389" t="e">
        <f t="shared" si="90"/>
        <v>#REF!</v>
      </c>
      <c r="S917" s="263"/>
      <c r="T917" s="263"/>
      <c r="U917" s="266"/>
      <c r="V917" s="266"/>
      <c r="W917" s="270"/>
      <c r="X917" s="266"/>
      <c r="Y917" s="20"/>
      <c r="Z917" s="20"/>
      <c r="AA917" s="20"/>
      <c r="AB917" s="20"/>
      <c r="AC917" s="20"/>
    </row>
    <row r="918" spans="1:29">
      <c r="A918" s="3" t="s">
        <v>585</v>
      </c>
      <c r="C918" s="249">
        <v>0</v>
      </c>
      <c r="D918" s="249">
        <f t="shared" si="82"/>
        <v>0</v>
      </c>
      <c r="E918" s="250">
        <v>32.950000000000003</v>
      </c>
      <c r="G918" s="2">
        <f t="shared" si="83"/>
        <v>0</v>
      </c>
      <c r="H918" s="2">
        <f t="shared" si="84"/>
        <v>0</v>
      </c>
      <c r="I918" s="250" t="e">
        <f t="shared" si="85"/>
        <v>#REF!</v>
      </c>
      <c r="K918" s="2" t="e">
        <f t="shared" si="86"/>
        <v>#REF!</v>
      </c>
      <c r="M918" s="84" t="e">
        <f t="shared" si="87"/>
        <v>#REF!</v>
      </c>
      <c r="O918" s="387">
        <v>68</v>
      </c>
      <c r="P918" s="74">
        <f t="shared" si="88"/>
        <v>0</v>
      </c>
      <c r="Q918" s="388" t="e">
        <f t="shared" si="89"/>
        <v>#REF!</v>
      </c>
      <c r="R918" s="389" t="e">
        <f t="shared" si="90"/>
        <v>#REF!</v>
      </c>
      <c r="S918" s="263"/>
      <c r="T918" s="263"/>
      <c r="U918" s="266"/>
      <c r="V918" s="266"/>
      <c r="W918" s="270"/>
      <c r="X918" s="266"/>
      <c r="Y918" s="20"/>
      <c r="Z918" s="20"/>
      <c r="AA918" s="20"/>
      <c r="AB918" s="20"/>
      <c r="AC918" s="20"/>
    </row>
    <row r="919" spans="1:29">
      <c r="A919" s="3" t="s">
        <v>586</v>
      </c>
      <c r="C919" s="249">
        <v>0</v>
      </c>
      <c r="D919" s="249">
        <f t="shared" si="82"/>
        <v>0</v>
      </c>
      <c r="E919" s="250">
        <v>26.53</v>
      </c>
      <c r="G919" s="2">
        <f t="shared" si="83"/>
        <v>0</v>
      </c>
      <c r="H919" s="2">
        <f t="shared" si="84"/>
        <v>0</v>
      </c>
      <c r="I919" s="250" t="e">
        <f t="shared" si="85"/>
        <v>#REF!</v>
      </c>
      <c r="K919" s="2" t="e">
        <f t="shared" si="86"/>
        <v>#REF!</v>
      </c>
      <c r="M919" s="84" t="e">
        <f t="shared" si="87"/>
        <v>#REF!</v>
      </c>
      <c r="O919" s="387">
        <v>68</v>
      </c>
      <c r="P919" s="74">
        <f t="shared" si="88"/>
        <v>0</v>
      </c>
      <c r="Q919" s="388" t="e">
        <f t="shared" si="89"/>
        <v>#REF!</v>
      </c>
      <c r="R919" s="389" t="e">
        <f t="shared" si="90"/>
        <v>#REF!</v>
      </c>
      <c r="S919" s="263"/>
      <c r="T919" s="263"/>
      <c r="U919" s="266"/>
      <c r="V919" s="266"/>
      <c r="W919" s="270"/>
      <c r="X919" s="266"/>
      <c r="Y919" s="20"/>
      <c r="Z919" s="20"/>
      <c r="AA919" s="20"/>
      <c r="AB919" s="20"/>
      <c r="AC919" s="20"/>
    </row>
    <row r="920" spans="1:29">
      <c r="A920" s="3" t="s">
        <v>587</v>
      </c>
      <c r="C920" s="249">
        <v>0</v>
      </c>
      <c r="D920" s="249">
        <f t="shared" si="82"/>
        <v>0</v>
      </c>
      <c r="E920" s="250">
        <v>26.07</v>
      </c>
      <c r="G920" s="2">
        <f t="shared" si="83"/>
        <v>0</v>
      </c>
      <c r="H920" s="2">
        <f t="shared" si="84"/>
        <v>0</v>
      </c>
      <c r="I920" s="250" t="e">
        <f t="shared" si="85"/>
        <v>#REF!</v>
      </c>
      <c r="K920" s="2" t="e">
        <f t="shared" si="86"/>
        <v>#REF!</v>
      </c>
      <c r="M920" s="84" t="e">
        <f t="shared" si="87"/>
        <v>#REF!</v>
      </c>
      <c r="O920" s="387">
        <v>68</v>
      </c>
      <c r="P920" s="74">
        <f t="shared" si="88"/>
        <v>0</v>
      </c>
      <c r="Q920" s="388" t="e">
        <f t="shared" si="89"/>
        <v>#REF!</v>
      </c>
      <c r="R920" s="389" t="e">
        <f t="shared" si="90"/>
        <v>#REF!</v>
      </c>
      <c r="S920" s="263"/>
      <c r="T920" s="263"/>
      <c r="U920" s="266"/>
      <c r="V920" s="266"/>
      <c r="W920" s="270"/>
      <c r="X920" s="266"/>
      <c r="Y920" s="20"/>
      <c r="Z920" s="20"/>
      <c r="AA920" s="20"/>
      <c r="AB920" s="20"/>
      <c r="AC920" s="20"/>
    </row>
    <row r="921" spans="1:29">
      <c r="A921" s="3" t="s">
        <v>588</v>
      </c>
      <c r="C921" s="249">
        <v>0</v>
      </c>
      <c r="D921" s="249">
        <f t="shared" si="82"/>
        <v>0</v>
      </c>
      <c r="E921" s="250">
        <v>28.39</v>
      </c>
      <c r="G921" s="2">
        <f t="shared" si="83"/>
        <v>0</v>
      </c>
      <c r="H921" s="2">
        <f t="shared" si="84"/>
        <v>0</v>
      </c>
      <c r="I921" s="250" t="e">
        <f t="shared" si="85"/>
        <v>#REF!</v>
      </c>
      <c r="K921" s="2" t="e">
        <f t="shared" si="86"/>
        <v>#REF!</v>
      </c>
      <c r="M921" s="84" t="e">
        <f t="shared" si="87"/>
        <v>#REF!</v>
      </c>
      <c r="O921" s="387">
        <v>68</v>
      </c>
      <c r="P921" s="74">
        <f t="shared" si="88"/>
        <v>0</v>
      </c>
      <c r="Q921" s="388" t="e">
        <f t="shared" si="89"/>
        <v>#REF!</v>
      </c>
      <c r="R921" s="389" t="e">
        <f t="shared" si="90"/>
        <v>#REF!</v>
      </c>
      <c r="S921" s="263"/>
      <c r="T921" s="263"/>
      <c r="U921" s="266"/>
      <c r="V921" s="266"/>
      <c r="W921" s="270"/>
      <c r="X921" s="266"/>
      <c r="Y921" s="20"/>
      <c r="Z921" s="20"/>
      <c r="AA921" s="20"/>
      <c r="AB921" s="20"/>
      <c r="AC921" s="20"/>
    </row>
    <row r="922" spans="1:29">
      <c r="A922" s="3" t="s">
        <v>352</v>
      </c>
      <c r="C922" s="249">
        <f>181*12</f>
        <v>2172</v>
      </c>
      <c r="D922" s="249">
        <v>1874</v>
      </c>
      <c r="E922" s="250"/>
      <c r="G922" s="2"/>
      <c r="H922" s="2"/>
      <c r="I922" s="250"/>
      <c r="K922" s="2"/>
      <c r="O922" s="387"/>
      <c r="P922" s="74">
        <f>SUM(P904:P916)</f>
        <v>2951522</v>
      </c>
      <c r="Q922" s="388"/>
      <c r="R922" s="389"/>
      <c r="S922" s="263"/>
      <c r="T922" s="263"/>
      <c r="U922" s="266"/>
      <c r="V922" s="266"/>
      <c r="W922" s="266"/>
      <c r="X922" s="266"/>
      <c r="Y922" s="20"/>
      <c r="Z922" s="20"/>
      <c r="AA922" s="20"/>
      <c r="AB922" s="20"/>
      <c r="AC922" s="20"/>
    </row>
    <row r="923" spans="1:29">
      <c r="A923" s="3" t="s">
        <v>371</v>
      </c>
      <c r="C923" s="249">
        <v>2977084</v>
      </c>
      <c r="D923" s="249">
        <v>2951534.6465794938</v>
      </c>
      <c r="E923" s="254"/>
      <c r="F923" s="20"/>
      <c r="G923" s="257">
        <f>SUM(G904:G916)</f>
        <v>533631</v>
      </c>
      <c r="H923" s="257">
        <f>SUM(H904:H916)</f>
        <v>529048</v>
      </c>
      <c r="I923" s="254"/>
      <c r="J923" s="20"/>
      <c r="K923" s="257" t="e">
        <f>SUM(K904:K916)</f>
        <v>#REF!</v>
      </c>
      <c r="M923" s="84" t="e">
        <f>SUM(M904:M922)</f>
        <v>#REF!</v>
      </c>
      <c r="O923" s="387"/>
      <c r="P923" s="390" t="e">
        <f>O925-H925</f>
        <v>#REF!</v>
      </c>
      <c r="Q923" s="20"/>
      <c r="R923" s="391"/>
      <c r="S923" s="263"/>
      <c r="T923" s="263"/>
      <c r="U923" s="273"/>
      <c r="V923" s="263"/>
      <c r="W923" s="263"/>
      <c r="X923" s="263"/>
      <c r="Y923" s="20"/>
      <c r="Z923" s="20"/>
      <c r="AA923" s="20"/>
      <c r="AB923" s="20"/>
      <c r="AC923" s="20"/>
    </row>
    <row r="924" spans="1:29">
      <c r="A924" s="3" t="s">
        <v>353</v>
      </c>
      <c r="C924" s="249" t="e">
        <f>#REF!</f>
        <v>#REF!</v>
      </c>
      <c r="D924" s="249">
        <v>0</v>
      </c>
      <c r="E924" s="254"/>
      <c r="F924" s="20"/>
      <c r="G924" s="257" t="e">
        <f>#REF!</f>
        <v>#REF!</v>
      </c>
      <c r="H924" s="257">
        <v>0</v>
      </c>
      <c r="I924" s="254"/>
      <c r="J924" s="20"/>
      <c r="K924" s="257" t="e">
        <f>G924</f>
        <v>#REF!</v>
      </c>
      <c r="M924" s="274"/>
      <c r="N924" s="274"/>
      <c r="O924" s="392"/>
      <c r="P924" s="393" t="e">
        <f>P923/P922</f>
        <v>#REF!</v>
      </c>
      <c r="Q924" s="113"/>
      <c r="R924" s="394"/>
      <c r="S924" s="266"/>
      <c r="T924" s="263"/>
      <c r="U924" s="20"/>
      <c r="V924" s="20"/>
      <c r="W924" s="20"/>
      <c r="X924" s="20"/>
      <c r="Y924" s="20"/>
      <c r="Z924" s="20"/>
      <c r="AA924" s="20"/>
      <c r="AB924" s="20"/>
      <c r="AC924" s="20"/>
    </row>
    <row r="925" spans="1:29" ht="16.5" thickBot="1">
      <c r="A925" s="3" t="s">
        <v>9</v>
      </c>
      <c r="C925" s="258" t="e">
        <f>C923+C924</f>
        <v>#REF!</v>
      </c>
      <c r="D925" s="258">
        <f>D923+D924</f>
        <v>2951534.6465794938</v>
      </c>
      <c r="E925" s="259"/>
      <c r="F925" s="259"/>
      <c r="G925" s="259" t="e">
        <f>G923+G924</f>
        <v>#REF!</v>
      </c>
      <c r="H925" s="259">
        <f>H923+H924</f>
        <v>529048</v>
      </c>
      <c r="I925" s="259"/>
      <c r="J925" s="259"/>
      <c r="K925" s="259" t="e">
        <f>K923+K924</f>
        <v>#REF!</v>
      </c>
      <c r="M925" s="276"/>
      <c r="N925" s="262" t="s">
        <v>399</v>
      </c>
      <c r="O925" s="395" t="e">
        <f>#REF!*1000</f>
        <v>#REF!</v>
      </c>
      <c r="P925" s="14" t="e">
        <f>((O925-G925)/G925)+0.0028</f>
        <v>#REF!</v>
      </c>
      <c r="S925" s="263"/>
      <c r="T925" s="263"/>
      <c r="U925" s="20"/>
      <c r="V925" s="20"/>
      <c r="W925" s="20"/>
      <c r="X925" s="20"/>
      <c r="Y925" s="20"/>
      <c r="Z925" s="20"/>
      <c r="AA925" s="20"/>
      <c r="AB925" s="20"/>
      <c r="AC925" s="20"/>
    </row>
    <row r="926" spans="1:29" ht="16.5" thickTop="1">
      <c r="A926" s="1"/>
      <c r="B926" s="1"/>
      <c r="C926" s="21"/>
      <c r="D926" s="21"/>
      <c r="E926" s="21"/>
      <c r="F926" s="21"/>
      <c r="G926" s="2"/>
      <c r="H926" s="2"/>
      <c r="I926" s="21" t="s">
        <v>31</v>
      </c>
      <c r="J926" s="21"/>
      <c r="K926" s="2" t="s">
        <v>31</v>
      </c>
      <c r="M926" s="262"/>
      <c r="N926" s="262" t="s">
        <v>257</v>
      </c>
      <c r="O926" s="396" t="e">
        <f>O925-K925</f>
        <v>#REF!</v>
      </c>
      <c r="P926" s="14" t="e">
        <f>(O925-K925)/K925</f>
        <v>#REF!</v>
      </c>
      <c r="Q926" s="262"/>
      <c r="R926" s="262"/>
      <c r="S926" s="263"/>
      <c r="T926" s="263"/>
      <c r="U926" s="20"/>
      <c r="V926" s="20"/>
      <c r="W926" s="20"/>
      <c r="X926" s="20"/>
      <c r="Y926" s="20"/>
      <c r="Z926" s="20"/>
      <c r="AA926" s="20"/>
      <c r="AB926" s="20"/>
      <c r="AC926" s="20"/>
    </row>
    <row r="927" spans="1:29">
      <c r="A927" s="278" t="s">
        <v>476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263"/>
      <c r="N927" s="263"/>
      <c r="O927" s="272"/>
      <c r="P927" s="263"/>
      <c r="Q927" s="20"/>
      <c r="R927" s="20"/>
      <c r="S927" s="20"/>
      <c r="T927" s="263"/>
      <c r="U927" s="263"/>
      <c r="V927" s="263"/>
      <c r="W927" s="263"/>
      <c r="X927" s="263"/>
      <c r="Y927" s="20"/>
      <c r="Z927" s="20"/>
      <c r="AA927" s="20"/>
      <c r="AB927" s="20"/>
      <c r="AC927" s="20"/>
    </row>
    <row r="928" spans="1:29">
      <c r="A928" s="1" t="s">
        <v>477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20"/>
      <c r="N928" s="20"/>
      <c r="O928" s="74"/>
      <c r="P928" s="74"/>
      <c r="Q928" s="20"/>
      <c r="R928" s="20"/>
      <c r="S928" s="20"/>
      <c r="T928" s="263"/>
      <c r="U928" s="263"/>
      <c r="V928" s="263"/>
      <c r="W928" s="263"/>
      <c r="X928" s="263"/>
      <c r="Y928" s="20"/>
      <c r="Z928" s="20"/>
      <c r="AA928" s="20"/>
      <c r="AB928" s="20"/>
      <c r="AC928" s="20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20"/>
      <c r="N929" s="20"/>
      <c r="O929" s="74"/>
      <c r="P929" s="74" t="s">
        <v>31</v>
      </c>
      <c r="Q929" s="20"/>
      <c r="R929" s="20"/>
      <c r="S929" s="20"/>
      <c r="T929" s="263"/>
      <c r="U929" s="263"/>
      <c r="V929" s="263"/>
      <c r="W929" s="263"/>
      <c r="X929" s="263"/>
      <c r="Y929" s="20"/>
      <c r="Z929" s="20"/>
      <c r="AA929" s="20"/>
      <c r="AB929" s="20"/>
      <c r="AC929" s="20"/>
    </row>
    <row r="930" spans="1:29">
      <c r="A930" s="1" t="s">
        <v>478</v>
      </c>
      <c r="B930" s="1"/>
      <c r="C930" s="21"/>
      <c r="D930" s="21"/>
      <c r="E930" s="283"/>
      <c r="F930" s="1"/>
      <c r="G930" s="397">
        <v>30454.32</v>
      </c>
      <c r="H930" s="397">
        <v>30454.32</v>
      </c>
      <c r="I930" s="283"/>
      <c r="J930" s="1"/>
      <c r="K930" s="2">
        <f>G930</f>
        <v>30454.32</v>
      </c>
      <c r="M930" s="84">
        <f>K930</f>
        <v>30454.32</v>
      </c>
      <c r="N930" s="20"/>
      <c r="O930" s="74"/>
      <c r="P930" s="74" t="s">
        <v>31</v>
      </c>
      <c r="Q930" s="20"/>
      <c r="R930" s="20"/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</row>
    <row r="931" spans="1:29">
      <c r="A931" s="1" t="s">
        <v>479</v>
      </c>
      <c r="B931" s="1"/>
      <c r="C931" s="249">
        <v>448995</v>
      </c>
      <c r="D931" s="304">
        <f>ROUND(($D$934/$C$934)*C931,0)</f>
        <v>453966</v>
      </c>
      <c r="E931" s="398">
        <v>6.4050000000000002</v>
      </c>
      <c r="F931" s="1" t="s">
        <v>364</v>
      </c>
      <c r="G931" s="399">
        <f>ROUND(C931*E931/100,0)</f>
        <v>28758</v>
      </c>
      <c r="H931" s="399">
        <f>ROUND(D931*E931/100,0)</f>
        <v>29077</v>
      </c>
      <c r="I931" s="398">
        <v>7.4130000000000003</v>
      </c>
      <c r="J931" s="1" t="s">
        <v>364</v>
      </c>
      <c r="K931" s="2">
        <f>ROUND(I931*$C931/100,0)</f>
        <v>33284</v>
      </c>
      <c r="M931" s="84">
        <f>(I931/100)*D931</f>
        <v>33652.499580000003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</row>
    <row r="932" spans="1:29">
      <c r="A932" s="1" t="s">
        <v>480</v>
      </c>
      <c r="B932" s="1"/>
      <c r="C932" s="249">
        <v>0</v>
      </c>
      <c r="D932" s="304">
        <f>ROUND(($D$934/$C$934)*C932,0)</f>
        <v>0</v>
      </c>
      <c r="E932" s="398">
        <v>7.1669999999999998</v>
      </c>
      <c r="F932" s="1" t="s">
        <v>364</v>
      </c>
      <c r="G932" s="399">
        <f>ROUND(C932*E932/100,0)</f>
        <v>0</v>
      </c>
      <c r="H932" s="399">
        <f>ROUND(D932*E932/100,0)</f>
        <v>0</v>
      </c>
      <c r="I932" s="398">
        <f>ROUND(I931/E931*E932,3)</f>
        <v>8.2949999999999999</v>
      </c>
      <c r="J932" s="1" t="s">
        <v>364</v>
      </c>
      <c r="K932" s="2">
        <f>ROUND(I932*D932/100,0)</f>
        <v>0</v>
      </c>
      <c r="M932" s="84">
        <f>(I932/100)*D932</f>
        <v>0</v>
      </c>
      <c r="N932" s="20"/>
      <c r="O932" s="74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</row>
    <row r="933" spans="1:29">
      <c r="A933" s="1" t="s">
        <v>352</v>
      </c>
      <c r="B933" s="1"/>
      <c r="C933" s="249">
        <f>27*12</f>
        <v>324</v>
      </c>
      <c r="D933" s="304">
        <v>241</v>
      </c>
      <c r="E933" s="400"/>
      <c r="F933" s="1"/>
      <c r="G933" s="2"/>
      <c r="H933" s="2"/>
      <c r="I933" s="400"/>
      <c r="J933" s="1"/>
      <c r="K933" s="2"/>
      <c r="M933" s="20"/>
      <c r="N933" s="20"/>
      <c r="O933" s="74"/>
      <c r="P933" s="74"/>
      <c r="Q933" s="20"/>
      <c r="R933" s="20"/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</row>
    <row r="934" spans="1:29">
      <c r="A934" s="3" t="s">
        <v>481</v>
      </c>
      <c r="C934" s="249">
        <f>SUM(C931:C932)</f>
        <v>448995</v>
      </c>
      <c r="D934" s="249">
        <v>453965.95876460936</v>
      </c>
      <c r="E934" s="254"/>
      <c r="F934" s="20"/>
      <c r="G934" s="257">
        <f>SUM(G930:G932)</f>
        <v>59212.32</v>
      </c>
      <c r="H934" s="257">
        <f>SUM(H930:H932)</f>
        <v>59531.32</v>
      </c>
      <c r="I934" s="254"/>
      <c r="J934" s="20"/>
      <c r="K934" s="257">
        <f>SUM(K930:K932)</f>
        <v>63738.32</v>
      </c>
      <c r="M934" s="401">
        <f>SUM(M930:M933)</f>
        <v>64106.819580000003</v>
      </c>
      <c r="N934" s="20"/>
      <c r="O934" s="74"/>
      <c r="P934" s="74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</row>
    <row r="935" spans="1:29">
      <c r="A935" s="3" t="s">
        <v>482</v>
      </c>
      <c r="C935" s="249" t="e">
        <f>#REF!</f>
        <v>#REF!</v>
      </c>
      <c r="D935" s="249">
        <v>0</v>
      </c>
      <c r="E935" s="254"/>
      <c r="F935" s="20"/>
      <c r="G935" s="257" t="e">
        <f>#REF!</f>
        <v>#REF!</v>
      </c>
      <c r="H935" s="257">
        <v>0</v>
      </c>
      <c r="I935" s="254"/>
      <c r="J935" s="20"/>
      <c r="K935" s="257" t="e">
        <f>G935</f>
        <v>#REF!</v>
      </c>
      <c r="M935" s="274"/>
      <c r="N935" s="274"/>
      <c r="O935" s="275"/>
      <c r="P935" s="74"/>
      <c r="Q935" s="20"/>
      <c r="R935" s="20"/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</row>
    <row r="936" spans="1:29" ht="16.5" thickBot="1">
      <c r="A936" s="1" t="s">
        <v>9</v>
      </c>
      <c r="B936" s="1"/>
      <c r="C936" s="378" t="e">
        <f>C934+C935</f>
        <v>#REF!</v>
      </c>
      <c r="D936" s="378">
        <f>D934+D935</f>
        <v>453965.95876460936</v>
      </c>
      <c r="E936" s="402"/>
      <c r="F936" s="403"/>
      <c r="G936" s="259" t="e">
        <f>G934+G935</f>
        <v>#REF!</v>
      </c>
      <c r="H936" s="259">
        <f>H934+H935</f>
        <v>59531.32</v>
      </c>
      <c r="I936" s="402"/>
      <c r="J936" s="403"/>
      <c r="K936" s="259" t="e">
        <f>K934+K935</f>
        <v>#REF!</v>
      </c>
      <c r="M936" s="276"/>
      <c r="N936" s="262" t="s">
        <v>399</v>
      </c>
      <c r="O936" s="401" t="e">
        <f>#REF!*1000</f>
        <v>#REF!</v>
      </c>
      <c r="P936" s="14" t="s">
        <v>31</v>
      </c>
      <c r="Q936" s="20"/>
      <c r="R936" s="20"/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</row>
    <row r="937" spans="1:29" ht="16.5" thickTop="1">
      <c r="A937" s="1"/>
      <c r="B937" s="1"/>
      <c r="C937" s="1"/>
      <c r="D937" s="1"/>
      <c r="E937" s="404"/>
      <c r="F937" s="1"/>
      <c r="G937" s="1"/>
      <c r="H937" s="1"/>
      <c r="I937" s="404" t="s">
        <v>31</v>
      </c>
      <c r="J937" s="1"/>
      <c r="K937" s="2" t="s">
        <v>31</v>
      </c>
      <c r="M937" s="20"/>
      <c r="N937" s="262" t="s">
        <v>257</v>
      </c>
      <c r="O937" s="401" t="e">
        <f>O936-K936</f>
        <v>#REF!</v>
      </c>
      <c r="P937" s="14" t="e">
        <f>(O936-K936)/K936</f>
        <v>#REF!</v>
      </c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</row>
    <row r="938" spans="1:29">
      <c r="A938" s="278" t="s">
        <v>483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</row>
    <row r="939" spans="1:29">
      <c r="A939" s="1" t="s">
        <v>484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</row>
    <row r="940" spans="1:29">
      <c r="A940" s="1"/>
      <c r="B940" s="1"/>
      <c r="C940" s="1"/>
      <c r="D940" s="1"/>
      <c r="E940" s="404"/>
      <c r="F940" s="1"/>
      <c r="G940" s="1"/>
      <c r="H940" s="1"/>
      <c r="I940" s="404"/>
      <c r="J940" s="1"/>
      <c r="K940" s="1"/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</row>
    <row r="941" spans="1:29">
      <c r="A941" s="1" t="s">
        <v>478</v>
      </c>
      <c r="B941" s="1"/>
      <c r="C941" s="21"/>
      <c r="D941" s="21"/>
      <c r="E941" s="283"/>
      <c r="F941" s="1"/>
      <c r="G941" s="397">
        <f>G952+G978</f>
        <v>2152.73</v>
      </c>
      <c r="H941" s="397">
        <f>H952+H978</f>
        <v>2349.2199999999998</v>
      </c>
      <c r="I941" s="283"/>
      <c r="J941" s="1"/>
      <c r="K941" s="2">
        <f>G941</f>
        <v>2152.73</v>
      </c>
      <c r="M941" s="401">
        <f>K941</f>
        <v>2152.73</v>
      </c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</row>
    <row r="942" spans="1:29">
      <c r="A942" s="1" t="s">
        <v>600</v>
      </c>
      <c r="B942" s="1"/>
      <c r="C942" s="249">
        <f>C968+C979+C980</f>
        <v>2017979</v>
      </c>
      <c r="D942" s="249">
        <f>D968+D979</f>
        <v>999683</v>
      </c>
      <c r="E942" s="398">
        <v>6.1459999999999999</v>
      </c>
      <c r="F942" s="1" t="s">
        <v>364</v>
      </c>
      <c r="G942" s="399">
        <f>G968+G979+G980</f>
        <v>124025</v>
      </c>
      <c r="H942" s="399">
        <f>H968+H979</f>
        <v>61441</v>
      </c>
      <c r="I942" s="398">
        <f>'Blocking - detail'!I939</f>
        <v>6.1459999999999999</v>
      </c>
      <c r="J942" s="1" t="s">
        <v>364</v>
      </c>
      <c r="K942" s="2">
        <f>K968+K979</f>
        <v>65376</v>
      </c>
      <c r="M942" s="84">
        <f>(I942/100)*D942</f>
        <v>61440.517180000003</v>
      </c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</row>
    <row r="943" spans="1:29">
      <c r="A943" s="1" t="s">
        <v>602</v>
      </c>
      <c r="B943" s="1"/>
      <c r="C943" s="249">
        <f>C969</f>
        <v>2425702</v>
      </c>
      <c r="D943" s="249">
        <f>D969+D980</f>
        <v>3439646</v>
      </c>
      <c r="E943" s="406">
        <f>E942</f>
        <v>6.1459999999999999</v>
      </c>
      <c r="F943" s="1" t="s">
        <v>364</v>
      </c>
      <c r="G943" s="399">
        <f>SUM(G954:G966)</f>
        <v>149307.61000000002</v>
      </c>
      <c r="H943" s="399">
        <f>H969+H980</f>
        <v>60532</v>
      </c>
      <c r="I943" s="406">
        <f>I942</f>
        <v>6.1459999999999999</v>
      </c>
      <c r="J943" s="1" t="s">
        <v>364</v>
      </c>
      <c r="K943" s="2">
        <f>K969+K980</f>
        <v>68174</v>
      </c>
      <c r="M943" s="84">
        <f>(I943/100)*D943</f>
        <v>211400.64316000001</v>
      </c>
      <c r="N943" s="20"/>
      <c r="O943" s="74"/>
      <c r="P943" s="74"/>
      <c r="Q943" s="20"/>
      <c r="R943" s="20"/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</row>
    <row r="944" spans="1:29">
      <c r="A944" s="1" t="s">
        <v>352</v>
      </c>
      <c r="B944" s="1"/>
      <c r="C944" s="249">
        <f>C970+C981</f>
        <v>3046</v>
      </c>
      <c r="D944" s="249">
        <f>D970+D981</f>
        <v>3401</v>
      </c>
      <c r="E944" s="400"/>
      <c r="F944" s="1"/>
      <c r="G944" s="2"/>
      <c r="H944" s="2"/>
      <c r="I944" s="400"/>
      <c r="J944" s="1"/>
      <c r="K944" s="2"/>
      <c r="M944" s="20"/>
      <c r="N944" s="20"/>
      <c r="O944" s="74"/>
      <c r="P944" s="74"/>
      <c r="Q944" s="20"/>
      <c r="R944" s="20"/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</row>
    <row r="945" spans="1:29">
      <c r="A945" s="3" t="s">
        <v>481</v>
      </c>
      <c r="C945" s="249">
        <f>C971+C982</f>
        <v>4443681</v>
      </c>
      <c r="D945" s="249">
        <f>D971+D982</f>
        <v>4439329.75109665</v>
      </c>
      <c r="E945" s="254"/>
      <c r="F945" s="20"/>
      <c r="G945" s="257">
        <f>G941+G942+G943</f>
        <v>275485.34000000003</v>
      </c>
      <c r="H945" s="257">
        <f>H971+H982</f>
        <v>124322.22</v>
      </c>
      <c r="I945" s="254"/>
      <c r="J945" s="20"/>
      <c r="K945" s="257">
        <f>K971+K982</f>
        <v>296529.72609999997</v>
      </c>
      <c r="M945" s="401">
        <f>SUM(M941:M944)</f>
        <v>274993.89034000004</v>
      </c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</row>
    <row r="946" spans="1:29">
      <c r="A946" s="3" t="s">
        <v>482</v>
      </c>
      <c r="C946" s="249" t="e">
        <f>C972+C983</f>
        <v>#REF!</v>
      </c>
      <c r="D946" s="249">
        <f>D972+D983</f>
        <v>0</v>
      </c>
      <c r="E946" s="254"/>
      <c r="F946" s="20"/>
      <c r="G946" s="257" t="e">
        <f>G972+G983</f>
        <v>#REF!</v>
      </c>
      <c r="H946" s="257">
        <f>H972+H983</f>
        <v>0</v>
      </c>
      <c r="I946" s="254"/>
      <c r="J946" s="20"/>
      <c r="K946" s="257" t="e">
        <f>G946</f>
        <v>#REF!</v>
      </c>
      <c r="M946" s="274"/>
      <c r="N946" s="274"/>
      <c r="O946" s="275"/>
      <c r="P946" s="74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</row>
    <row r="947" spans="1:29" ht="16.5" thickBot="1">
      <c r="A947" s="1" t="s">
        <v>9</v>
      </c>
      <c r="B947" s="1"/>
      <c r="C947" s="378" t="e">
        <f>C945+C946</f>
        <v>#REF!</v>
      </c>
      <c r="D947" s="378">
        <f>D945+D946</f>
        <v>4439329.75109665</v>
      </c>
      <c r="E947" s="402"/>
      <c r="F947" s="403"/>
      <c r="G947" s="259" t="e">
        <f>G945+G946</f>
        <v>#REF!</v>
      </c>
      <c r="H947" s="259">
        <f>H945+H946</f>
        <v>124322.22</v>
      </c>
      <c r="I947" s="402"/>
      <c r="J947" s="403"/>
      <c r="K947" s="259" t="e">
        <f>K945+K946</f>
        <v>#REF!</v>
      </c>
      <c r="M947" s="276"/>
      <c r="N947" s="262" t="s">
        <v>399</v>
      </c>
      <c r="O947" s="401" t="e">
        <f>#REF!*1000</f>
        <v>#REF!</v>
      </c>
      <c r="P947" s="74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</row>
    <row r="948" spans="1:29" ht="16.5" thickTop="1">
      <c r="A948" s="1"/>
      <c r="B948" s="1"/>
      <c r="C948" s="26"/>
      <c r="D948" s="26"/>
      <c r="E948" s="407"/>
      <c r="F948" s="23"/>
      <c r="G948" s="51"/>
      <c r="H948" s="51"/>
      <c r="I948" s="407" t="s">
        <v>31</v>
      </c>
      <c r="J948" s="23"/>
      <c r="K948" s="51" t="s">
        <v>31</v>
      </c>
      <c r="M948" s="20"/>
      <c r="N948" s="262" t="s">
        <v>257</v>
      </c>
      <c r="P948" s="74"/>
      <c r="Q948" s="20"/>
      <c r="R948" s="20"/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</row>
    <row r="949" spans="1:29">
      <c r="A949" s="278" t="s">
        <v>487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401"/>
      <c r="N949" s="401"/>
      <c r="O949" s="74"/>
      <c r="P949" s="74"/>
      <c r="Q949" s="20"/>
      <c r="R949" s="20"/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</row>
    <row r="950" spans="1:29">
      <c r="A950" s="1" t="s">
        <v>488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</row>
    <row r="951" spans="1:29">
      <c r="A951" s="1"/>
      <c r="B951" s="1"/>
      <c r="C951" s="1"/>
      <c r="D951" s="1"/>
      <c r="E951" s="404"/>
      <c r="F951" s="1"/>
      <c r="G951" s="1"/>
      <c r="H951" s="1"/>
      <c r="I951" s="404"/>
      <c r="J951" s="1"/>
      <c r="K951" s="1"/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</row>
    <row r="952" spans="1:29">
      <c r="A952" s="1" t="s">
        <v>478</v>
      </c>
      <c r="B952" s="1"/>
      <c r="C952" s="21"/>
      <c r="D952" s="21"/>
      <c r="E952" s="283"/>
      <c r="F952" s="1"/>
      <c r="G952" s="397">
        <v>2152.73</v>
      </c>
      <c r="H952" s="397">
        <v>2349.2199999999998</v>
      </c>
      <c r="I952" s="283"/>
      <c r="J952" s="1"/>
      <c r="K952" s="2">
        <f>G952</f>
        <v>2152.73</v>
      </c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</row>
    <row r="953" spans="1:29">
      <c r="A953" s="1" t="s">
        <v>576</v>
      </c>
      <c r="B953" s="1"/>
      <c r="C953" s="21"/>
      <c r="D953" s="21"/>
      <c r="E953" s="283"/>
      <c r="F953" s="1"/>
      <c r="G953" s="397"/>
      <c r="H953" s="397"/>
      <c r="I953" s="283"/>
      <c r="J953" s="1"/>
      <c r="K953" s="2"/>
      <c r="M953" s="20"/>
      <c r="N953" s="20"/>
      <c r="O953" s="401" t="e">
        <f>O947-K947</f>
        <v>#REF!</v>
      </c>
      <c r="P953" s="74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</row>
    <row r="954" spans="1:29">
      <c r="A954" s="3" t="s">
        <v>589</v>
      </c>
      <c r="B954" s="1"/>
      <c r="C954" s="21">
        <f>4115+22+44+10+367+2+4</f>
        <v>4564</v>
      </c>
      <c r="D954" s="21"/>
      <c r="E954" s="283">
        <v>1.91</v>
      </c>
      <c r="F954" s="1"/>
      <c r="G954" s="397">
        <f t="shared" ref="G954:G959" si="91">E954*C954</f>
        <v>8717.24</v>
      </c>
      <c r="H954" s="397"/>
      <c r="I954" s="283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20"/>
      <c r="N954" s="20"/>
      <c r="O954" s="74">
        <v>31</v>
      </c>
      <c r="P954" s="640">
        <f t="shared" ref="P954:P959" si="94">E954/O954</f>
        <v>6.1612903225806447E-2</v>
      </c>
      <c r="Q954" s="20"/>
      <c r="R954" s="20">
        <v>6.1460000000000001E-2</v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</row>
    <row r="955" spans="1:29">
      <c r="A955" s="3" t="s">
        <v>590</v>
      </c>
      <c r="B955" s="1"/>
      <c r="C955" s="21">
        <f>7386+30+690+6</f>
        <v>8112</v>
      </c>
      <c r="D955" s="21"/>
      <c r="E955" s="283">
        <v>2.7</v>
      </c>
      <c r="F955" s="1"/>
      <c r="G955" s="397">
        <f t="shared" si="91"/>
        <v>21902.400000000001</v>
      </c>
      <c r="H955" s="397"/>
      <c r="I955" s="283">
        <f t="shared" si="92"/>
        <v>2.9119200000000003</v>
      </c>
      <c r="J955" s="1"/>
      <c r="K955" s="2">
        <f t="shared" si="93"/>
        <v>23621.495040000002</v>
      </c>
      <c r="M955" s="20"/>
      <c r="N955" s="20"/>
      <c r="O955" s="74">
        <v>44</v>
      </c>
      <c r="P955" s="640">
        <f t="shared" si="94"/>
        <v>6.136363636363637E-2</v>
      </c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</row>
    <row r="956" spans="1:29">
      <c r="A956" s="3" t="s">
        <v>591</v>
      </c>
      <c r="B956" s="1"/>
      <c r="C956" s="21">
        <f>357+715+39+65</f>
        <v>1176</v>
      </c>
      <c r="D956" s="21"/>
      <c r="E956" s="283">
        <v>3.93</v>
      </c>
      <c r="F956" s="1"/>
      <c r="G956" s="397">
        <f t="shared" si="91"/>
        <v>4621.68</v>
      </c>
      <c r="H956" s="397"/>
      <c r="I956" s="283">
        <f t="shared" si="92"/>
        <v>4.2355200000000002</v>
      </c>
      <c r="J956" s="1"/>
      <c r="K956" s="2">
        <f t="shared" si="93"/>
        <v>4980.9715200000001</v>
      </c>
      <c r="M956" s="20"/>
      <c r="N956" s="20"/>
      <c r="O956" s="74">
        <v>64</v>
      </c>
      <c r="P956" s="640">
        <f t="shared" si="94"/>
        <v>6.1406250000000002E-2</v>
      </c>
      <c r="Q956" s="20"/>
      <c r="R956" s="20"/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</row>
    <row r="957" spans="1:29">
      <c r="A957" s="3" t="s">
        <v>592</v>
      </c>
      <c r="B957" s="1"/>
      <c r="C957" s="21">
        <f>10556+1033</f>
        <v>11589</v>
      </c>
      <c r="D957" s="21"/>
      <c r="E957" s="283">
        <v>5.22</v>
      </c>
      <c r="F957" s="1"/>
      <c r="G957" s="397">
        <f t="shared" si="91"/>
        <v>60494.579999999994</v>
      </c>
      <c r="H957" s="397"/>
      <c r="I957" s="283">
        <f t="shared" si="92"/>
        <v>5.6252999999999993</v>
      </c>
      <c r="J957" s="1"/>
      <c r="K957" s="2">
        <f t="shared" si="93"/>
        <v>65191.601699999992</v>
      </c>
      <c r="M957" s="20"/>
      <c r="N957" s="20"/>
      <c r="O957" s="74">
        <v>85</v>
      </c>
      <c r="P957" s="640">
        <f t="shared" si="94"/>
        <v>6.1411764705882353E-2</v>
      </c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</row>
    <row r="958" spans="1:29">
      <c r="A958" s="3" t="s">
        <v>593</v>
      </c>
      <c r="B958" s="1"/>
      <c r="C958" s="21">
        <f>1478+146+231+2458</f>
        <v>4313</v>
      </c>
      <c r="D958" s="21"/>
      <c r="E958" s="283">
        <v>7.07</v>
      </c>
      <c r="F958" s="1"/>
      <c r="G958" s="397">
        <f t="shared" si="91"/>
        <v>30492.91</v>
      </c>
      <c r="H958" s="397"/>
      <c r="I958" s="283">
        <f t="shared" si="92"/>
        <v>7.6107000000000005</v>
      </c>
      <c r="J958" s="1"/>
      <c r="K958" s="2">
        <f t="shared" si="93"/>
        <v>32824.949100000005</v>
      </c>
      <c r="M958" s="20"/>
      <c r="N958" s="20"/>
      <c r="O958" s="74">
        <v>115</v>
      </c>
      <c r="P958" s="640">
        <f t="shared" si="94"/>
        <v>6.1478260869565218E-2</v>
      </c>
      <c r="Q958" s="20"/>
      <c r="R958" s="20"/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</row>
    <row r="959" spans="1:29">
      <c r="A959" s="3" t="s">
        <v>594</v>
      </c>
      <c r="B959" s="1"/>
      <c r="C959" s="21">
        <f>1575+177</f>
        <v>1752</v>
      </c>
      <c r="D959" s="21"/>
      <c r="E959" s="283">
        <v>10.82</v>
      </c>
      <c r="F959" s="1"/>
      <c r="G959" s="397">
        <f t="shared" si="91"/>
        <v>18956.64</v>
      </c>
      <c r="H959" s="397"/>
      <c r="I959" s="283">
        <f t="shared" si="92"/>
        <v>11.647680000000001</v>
      </c>
      <c r="J959" s="1"/>
      <c r="K959" s="2">
        <f t="shared" si="93"/>
        <v>20406.735360000002</v>
      </c>
      <c r="M959" s="20"/>
      <c r="N959" s="20"/>
      <c r="O959" s="74">
        <v>176</v>
      </c>
      <c r="P959" s="640">
        <f t="shared" si="94"/>
        <v>6.1477272727272728E-2</v>
      </c>
      <c r="Q959" s="20"/>
      <c r="R959" s="20"/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</row>
    <row r="960" spans="1:29">
      <c r="B960" s="1"/>
      <c r="C960" s="21"/>
      <c r="D960" s="21"/>
      <c r="E960" s="283"/>
      <c r="F960" s="1"/>
      <c r="G960" s="397"/>
      <c r="H960" s="397"/>
      <c r="I960" s="283"/>
      <c r="J960" s="1"/>
      <c r="K960" s="2"/>
      <c r="M960" s="20"/>
      <c r="N960" s="20"/>
      <c r="O960" s="74"/>
      <c r="P960" s="74"/>
      <c r="Q960" s="20"/>
      <c r="R960" s="20"/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</row>
    <row r="961" spans="1:29">
      <c r="A961" s="3" t="s">
        <v>577</v>
      </c>
      <c r="B961" s="1"/>
      <c r="C961" s="21"/>
      <c r="D961" s="21"/>
      <c r="E961" s="283"/>
      <c r="F961" s="1"/>
      <c r="G961" s="397"/>
      <c r="H961" s="397"/>
      <c r="I961" s="283" t="s">
        <v>31</v>
      </c>
      <c r="J961" s="1"/>
      <c r="K961" s="2"/>
      <c r="M961" s="20"/>
      <c r="N961" s="20"/>
      <c r="O961" s="74"/>
      <c r="P961" s="74"/>
      <c r="Q961" s="20"/>
      <c r="R961" s="20"/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</row>
    <row r="962" spans="1:29">
      <c r="A962" s="3" t="s">
        <v>595</v>
      </c>
      <c r="B962" s="1"/>
      <c r="C962" s="21">
        <v>0</v>
      </c>
      <c r="D962" s="21"/>
      <c r="E962" s="283">
        <v>2.4</v>
      </c>
      <c r="F962" s="1"/>
      <c r="G962" s="397">
        <f>E962*C962</f>
        <v>0</v>
      </c>
      <c r="H962" s="397"/>
      <c r="I962" s="283">
        <f>$I$968*O962/100</f>
        <v>2.5810200000000005</v>
      </c>
      <c r="J962" s="1"/>
      <c r="K962" s="2">
        <f>I962*$C962</f>
        <v>0</v>
      </c>
      <c r="M962" s="20"/>
      <c r="N962" s="20"/>
      <c r="O962" s="74">
        <v>39</v>
      </c>
      <c r="P962" s="640">
        <f>E962/O962</f>
        <v>6.1538461538461535E-2</v>
      </c>
      <c r="Q962" s="20"/>
      <c r="R962" s="20"/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</row>
    <row r="963" spans="1:29">
      <c r="A963" s="3" t="s">
        <v>596</v>
      </c>
      <c r="B963" s="1"/>
      <c r="C963" s="21">
        <f>370</f>
        <v>370</v>
      </c>
      <c r="D963" s="21"/>
      <c r="E963" s="283">
        <v>4.18</v>
      </c>
      <c r="F963" s="1"/>
      <c r="G963" s="397">
        <f>E963*C963</f>
        <v>1546.6</v>
      </c>
      <c r="H963" s="397"/>
      <c r="I963" s="283">
        <f>$I$968*O963/100</f>
        <v>4.5002399999999998</v>
      </c>
      <c r="J963" s="1"/>
      <c r="K963" s="2">
        <f>I963*$C963</f>
        <v>1665.0888</v>
      </c>
      <c r="M963" s="20"/>
      <c r="N963" s="20"/>
      <c r="O963" s="74">
        <v>68</v>
      </c>
      <c r="P963" s="640">
        <f>E963/O963</f>
        <v>6.147058823529411E-2</v>
      </c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</row>
    <row r="964" spans="1:29">
      <c r="A964" s="3" t="s">
        <v>597</v>
      </c>
      <c r="B964" s="1"/>
      <c r="C964" s="21">
        <f>4</f>
        <v>4</v>
      </c>
      <c r="D964" s="21"/>
      <c r="E964" s="283">
        <v>5.78</v>
      </c>
      <c r="F964" s="1"/>
      <c r="G964" s="397">
        <f>E964*C964</f>
        <v>23.12</v>
      </c>
      <c r="H964" s="397"/>
      <c r="I964" s="283">
        <f>$I$968*O964/100</f>
        <v>6.2209199999999996</v>
      </c>
      <c r="J964" s="1"/>
      <c r="K964" s="2">
        <f>I964*$C964</f>
        <v>24.883679999999998</v>
      </c>
      <c r="M964" s="20"/>
      <c r="N964" s="20"/>
      <c r="O964" s="74">
        <v>94</v>
      </c>
      <c r="P964" s="640">
        <f>E964/O964</f>
        <v>6.1489361702127661E-2</v>
      </c>
      <c r="Q964" s="20"/>
      <c r="R964" s="20"/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</row>
    <row r="965" spans="1:29">
      <c r="A965" s="3" t="s">
        <v>598</v>
      </c>
      <c r="B965" s="1"/>
      <c r="C965" s="21">
        <f>128+39</f>
        <v>167</v>
      </c>
      <c r="D965" s="21"/>
      <c r="E965" s="283">
        <v>9.16</v>
      </c>
      <c r="F965" s="1"/>
      <c r="G965" s="397">
        <f>E965*C965</f>
        <v>1529.72</v>
      </c>
      <c r="H965" s="397"/>
      <c r="I965" s="283">
        <f>$I$968*O965/100</f>
        <v>9.8608200000000004</v>
      </c>
      <c r="J965" s="1"/>
      <c r="K965" s="2">
        <f>I965*$C965</f>
        <v>1646.75694</v>
      </c>
      <c r="M965" s="20"/>
      <c r="N965" s="20"/>
      <c r="O965" s="74">
        <v>149</v>
      </c>
      <c r="P965" s="640">
        <f>E965/O965</f>
        <v>6.1476510067114097E-2</v>
      </c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</row>
    <row r="966" spans="1:29">
      <c r="A966" s="3" t="s">
        <v>599</v>
      </c>
      <c r="B966" s="1"/>
      <c r="C966" s="21">
        <f>47</f>
        <v>47</v>
      </c>
      <c r="D966" s="21"/>
      <c r="E966" s="283">
        <v>21.76</v>
      </c>
      <c r="F966" s="1"/>
      <c r="G966" s="397">
        <f>E966*C966</f>
        <v>1022.72</v>
      </c>
      <c r="H966" s="397"/>
      <c r="I966" s="283">
        <f>$I$968*O966/100</f>
        <v>23.427720000000001</v>
      </c>
      <c r="J966" s="1"/>
      <c r="K966" s="2">
        <f>I966*$C966</f>
        <v>1101.10284</v>
      </c>
      <c r="M966" s="20"/>
      <c r="N966" s="20"/>
      <c r="O966" s="74">
        <v>354</v>
      </c>
      <c r="P966" s="640">
        <f>E966/O966</f>
        <v>6.1468926553672323E-2</v>
      </c>
      <c r="Q966" s="20" t="s">
        <v>31</v>
      </c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</row>
    <row r="967" spans="1:29">
      <c r="A967" s="1"/>
      <c r="B967" s="1"/>
      <c r="C967" s="21"/>
      <c r="D967" s="21"/>
      <c r="E967" s="283"/>
      <c r="F967" s="1"/>
      <c r="G967" s="397"/>
      <c r="H967" s="397"/>
      <c r="I967" s="283"/>
      <c r="J967" s="1"/>
      <c r="K967" s="2"/>
      <c r="M967" s="20"/>
      <c r="N967" s="20"/>
      <c r="O967" s="74"/>
      <c r="P967" s="74"/>
      <c r="Q967" s="20"/>
      <c r="R967" s="20"/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</row>
    <row r="968" spans="1:29">
      <c r="A968" s="1" t="s">
        <v>600</v>
      </c>
      <c r="B968" s="1"/>
      <c r="C968" s="249">
        <f>363706+292497+2160+112145+73788+6445+101667+34034+586+824</f>
        <v>987852</v>
      </c>
      <c r="D968" s="304">
        <f>ROUND(($D$971/$C$971)*C968,0)</f>
        <v>999683</v>
      </c>
      <c r="E968" s="398">
        <f>$E$942</f>
        <v>6.1459999999999999</v>
      </c>
      <c r="F968" s="1" t="s">
        <v>364</v>
      </c>
      <c r="G968" s="399">
        <f>ROUND(C968*E968/100,0)</f>
        <v>60713</v>
      </c>
      <c r="H968" s="399">
        <f>ROUND(D968*E968/100,0)</f>
        <v>61441</v>
      </c>
      <c r="I968" s="398">
        <v>6.6180000000000003</v>
      </c>
      <c r="J968" s="1" t="s">
        <v>364</v>
      </c>
      <c r="K968" s="2">
        <f>ROUND(I968*C968/100,0)</f>
        <v>65376</v>
      </c>
      <c r="M968" s="20"/>
      <c r="N968" s="20"/>
      <c r="O968" s="74"/>
      <c r="P968" s="74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</row>
    <row r="969" spans="1:29">
      <c r="A969" s="1" t="s">
        <v>601</v>
      </c>
      <c r="B969" s="1"/>
      <c r="C969" s="249">
        <f>127566+324980+1320+22848+897247+169940+277177+682+1364+39325+272844+4120+11377+30360+264+2496+87808+16790+31152+28120+432+22016+6708+19364+62+124+3575+25641</f>
        <v>2425702</v>
      </c>
      <c r="D969" s="304">
        <f>ROUND(($D$971/$C$971)*C969,0)</f>
        <v>2454753</v>
      </c>
      <c r="E969" s="406" t="s">
        <v>31</v>
      </c>
      <c r="F969" s="1" t="s">
        <v>31</v>
      </c>
      <c r="G969" s="399" t="s">
        <v>31</v>
      </c>
      <c r="H969" s="399">
        <f>ROUND(D969*E969/100,0)</f>
        <v>0</v>
      </c>
      <c r="I969" s="406">
        <v>0</v>
      </c>
      <c r="J969" s="1" t="s">
        <v>364</v>
      </c>
      <c r="K969" s="2">
        <v>0</v>
      </c>
      <c r="M969" s="20"/>
      <c r="N969" s="20"/>
      <c r="O969" s="74"/>
      <c r="P969" s="74">
        <v>211950</v>
      </c>
      <c r="Q969" s="2">
        <f>C969*0.06146</f>
        <v>149083.64491999999</v>
      </c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</row>
    <row r="970" spans="1:29">
      <c r="A970" s="1" t="s">
        <v>352</v>
      </c>
      <c r="B970" s="1"/>
      <c r="C970" s="249">
        <f>54+1950</f>
        <v>2004</v>
      </c>
      <c r="D970" s="304">
        <v>2369</v>
      </c>
      <c r="E970" s="400"/>
      <c r="F970" s="1"/>
      <c r="G970" s="2"/>
      <c r="H970" s="2"/>
      <c r="I970" s="400"/>
      <c r="J970" s="1"/>
      <c r="K970" s="2"/>
      <c r="M970" s="20"/>
      <c r="N970" s="20"/>
      <c r="O970" s="74"/>
      <c r="P970" s="74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</row>
    <row r="971" spans="1:29">
      <c r="A971" s="3" t="s">
        <v>481</v>
      </c>
      <c r="C971" s="249">
        <f>C968+C969</f>
        <v>3413554</v>
      </c>
      <c r="D971" s="249">
        <v>3454436.4805654008</v>
      </c>
      <c r="E971" s="254"/>
      <c r="F971" s="20"/>
      <c r="G971" s="257">
        <f>SUM(G952:G969)</f>
        <v>212173.34</v>
      </c>
      <c r="H971" s="257">
        <f>SUM(H952:H969)</f>
        <v>63790.22</v>
      </c>
      <c r="I971" s="254"/>
      <c r="J971" s="20"/>
      <c r="K971" s="257">
        <f>SUM(K952:K969)</f>
        <v>228355.72609999997</v>
      </c>
      <c r="M971" s="20"/>
      <c r="N971" s="20"/>
      <c r="O971" s="74"/>
      <c r="P971" s="74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</row>
    <row r="972" spans="1:29">
      <c r="A972" s="3" t="s">
        <v>482</v>
      </c>
      <c r="C972" s="249" t="e">
        <f>#REF!</f>
        <v>#REF!</v>
      </c>
      <c r="D972" s="249">
        <v>0</v>
      </c>
      <c r="E972" s="254"/>
      <c r="F972" s="20"/>
      <c r="G972" s="257" t="e">
        <f>#REF!</f>
        <v>#REF!</v>
      </c>
      <c r="H972" s="257">
        <v>0</v>
      </c>
      <c r="I972" s="254"/>
      <c r="J972" s="20"/>
      <c r="K972" s="257" t="e">
        <f>G972</f>
        <v>#REF!</v>
      </c>
      <c r="M972" s="429"/>
      <c r="N972" s="429"/>
      <c r="O972" s="272"/>
      <c r="P972" s="74"/>
      <c r="Q972" s="20"/>
      <c r="R972" s="20"/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</row>
    <row r="973" spans="1:29" ht="16.5" thickBot="1">
      <c r="A973" s="1" t="s">
        <v>9</v>
      </c>
      <c r="B973" s="1"/>
      <c r="C973" s="378" t="e">
        <f>C971+C972</f>
        <v>#REF!</v>
      </c>
      <c r="D973" s="378">
        <f>D971+D972</f>
        <v>3454436.4805654008</v>
      </c>
      <c r="E973" s="402"/>
      <c r="F973" s="403"/>
      <c r="G973" s="259" t="e">
        <f>G971+G972</f>
        <v>#REF!</v>
      </c>
      <c r="H973" s="259">
        <f>H971+H972</f>
        <v>63790.22</v>
      </c>
      <c r="I973" s="402"/>
      <c r="J973" s="403"/>
      <c r="K973" s="259" t="e">
        <f>K971+K972</f>
        <v>#REF!</v>
      </c>
      <c r="M973" s="396"/>
      <c r="N973" s="396"/>
      <c r="O973" s="455"/>
      <c r="P973" s="74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</row>
    <row r="974" spans="1:29" ht="16.5" thickTop="1">
      <c r="A974" s="1"/>
      <c r="B974" s="1"/>
      <c r="C974" s="26"/>
      <c r="D974" s="26"/>
      <c r="E974" s="407"/>
      <c r="F974" s="23"/>
      <c r="G974" s="51"/>
      <c r="H974" s="51"/>
      <c r="I974" s="407" t="s">
        <v>31</v>
      </c>
      <c r="J974" s="23"/>
      <c r="K974" s="51" t="s">
        <v>31</v>
      </c>
      <c r="M974" s="20"/>
      <c r="N974" s="20"/>
      <c r="O974" s="74"/>
      <c r="P974" s="74" t="s">
        <v>31</v>
      </c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</row>
    <row r="975" spans="1:29">
      <c r="A975" s="278" t="s">
        <v>489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20"/>
      <c r="N975" s="20"/>
      <c r="O975" s="74"/>
      <c r="P975" s="74"/>
      <c r="Q975" s="20"/>
      <c r="R975" s="20"/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</row>
    <row r="976" spans="1:29">
      <c r="A976" s="1" t="s">
        <v>490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20"/>
      <c r="N976" s="20"/>
      <c r="O976" s="74"/>
      <c r="P976" s="74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</row>
    <row r="977" spans="1:29">
      <c r="A977" s="1"/>
      <c r="B977" s="1"/>
      <c r="C977" s="1"/>
      <c r="D977" s="1"/>
      <c r="E977" s="404"/>
      <c r="F977" s="1"/>
      <c r="G977" s="1"/>
      <c r="H977" s="1"/>
      <c r="I977" s="404"/>
      <c r="J977" s="1"/>
      <c r="K977" s="1"/>
      <c r="M977" s="20"/>
      <c r="N977" s="20"/>
      <c r="O977" s="74"/>
      <c r="P977" s="74"/>
      <c r="Q977" s="20"/>
      <c r="R977" s="20"/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</row>
    <row r="978" spans="1:29">
      <c r="A978" s="1" t="s">
        <v>478</v>
      </c>
      <c r="B978" s="1"/>
      <c r="C978" s="21"/>
      <c r="D978" s="21"/>
      <c r="E978" s="283"/>
      <c r="F978" s="1"/>
      <c r="G978" s="397">
        <v>0</v>
      </c>
      <c r="H978" s="397">
        <v>0</v>
      </c>
      <c r="I978" s="283"/>
      <c r="J978" s="1"/>
      <c r="K978" s="2">
        <f>G978</f>
        <v>0</v>
      </c>
      <c r="M978" s="20"/>
      <c r="N978" s="20"/>
      <c r="O978" s="74"/>
      <c r="P978" s="74"/>
      <c r="Q978" s="20"/>
      <c r="R978" s="2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</row>
    <row r="979" spans="1:29">
      <c r="A979" s="1" t="s">
        <v>485</v>
      </c>
      <c r="B979" s="1"/>
      <c r="C979" s="249">
        <v>0</v>
      </c>
      <c r="D979" s="304">
        <f>ROUND(($D$982/$C$982)*C979,0)</f>
        <v>0</v>
      </c>
      <c r="E979" s="398">
        <f>$E$942</f>
        <v>6.1459999999999999</v>
      </c>
      <c r="F979" s="1" t="s">
        <v>364</v>
      </c>
      <c r="G979" s="399">
        <f>ROUND(C979*E979/100,0)</f>
        <v>0</v>
      </c>
      <c r="H979" s="399">
        <f>ROUND(D979*E979/100,0)</f>
        <v>0</v>
      </c>
      <c r="I979" s="398">
        <f>I968</f>
        <v>6.6180000000000003</v>
      </c>
      <c r="J979" s="1" t="s">
        <v>364</v>
      </c>
      <c r="K979" s="2">
        <f>ROUND(I979*D979/100,0)</f>
        <v>0</v>
      </c>
      <c r="M979" s="20"/>
      <c r="N979" s="20"/>
      <c r="O979" s="74"/>
      <c r="P979" s="74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</row>
    <row r="980" spans="1:29">
      <c r="A980" s="1" t="s">
        <v>486</v>
      </c>
      <c r="B980" s="1"/>
      <c r="C980" s="249">
        <v>1030127</v>
      </c>
      <c r="D980" s="304">
        <f>ROUND(($D$982/$C$982)*C980,0)</f>
        <v>984893</v>
      </c>
      <c r="E980" s="406">
        <f>E979</f>
        <v>6.1459999999999999</v>
      </c>
      <c r="F980" s="1" t="s">
        <v>364</v>
      </c>
      <c r="G980" s="399">
        <f>ROUND(C980*E980/100,0)</f>
        <v>63312</v>
      </c>
      <c r="H980" s="399">
        <f>ROUND(D980*E980/100,0)</f>
        <v>60532</v>
      </c>
      <c r="I980" s="406">
        <f>I979</f>
        <v>6.6180000000000003</v>
      </c>
      <c r="J980" s="1" t="s">
        <v>364</v>
      </c>
      <c r="K980" s="2">
        <f>ROUND(I980*$C980/100,0)</f>
        <v>68174</v>
      </c>
      <c r="M980" s="20"/>
      <c r="N980" s="20"/>
      <c r="O980" s="74"/>
      <c r="P980" s="74"/>
      <c r="Q980" s="20"/>
      <c r="R980" s="20"/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</row>
    <row r="981" spans="1:29">
      <c r="A981" s="1" t="s">
        <v>352</v>
      </c>
      <c r="B981" s="1"/>
      <c r="C981" s="249">
        <v>1042</v>
      </c>
      <c r="D981" s="304">
        <v>1032</v>
      </c>
      <c r="E981" s="400"/>
      <c r="F981" s="1"/>
      <c r="G981" s="2"/>
      <c r="H981" s="2"/>
      <c r="I981" s="400"/>
      <c r="J981" s="1"/>
      <c r="K981" s="2"/>
      <c r="M981" s="20"/>
      <c r="N981" s="20"/>
      <c r="O981" s="74"/>
      <c r="P981" s="74"/>
      <c r="Q981" s="20"/>
      <c r="R981" s="20"/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</row>
    <row r="982" spans="1:29">
      <c r="A982" s="3" t="s">
        <v>481</v>
      </c>
      <c r="C982" s="249">
        <f>C979+C980</f>
        <v>1030127</v>
      </c>
      <c r="D982" s="249">
        <v>984893.270531249</v>
      </c>
      <c r="E982" s="254"/>
      <c r="F982" s="20"/>
      <c r="G982" s="257">
        <f>SUM(G978:G980)</f>
        <v>63312</v>
      </c>
      <c r="H982" s="257">
        <f>SUM(H978:H980)</f>
        <v>60532</v>
      </c>
      <c r="I982" s="254"/>
      <c r="J982" s="20"/>
      <c r="K982" s="257">
        <f>SUM(K978:K980)</f>
        <v>68174</v>
      </c>
      <c r="M982" s="20"/>
      <c r="N982" s="20"/>
      <c r="O982" s="74"/>
      <c r="P982" s="74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</row>
    <row r="983" spans="1:29">
      <c r="A983" s="3" t="s">
        <v>482</v>
      </c>
      <c r="C983" s="249" t="e">
        <f>#REF!</f>
        <v>#REF!</v>
      </c>
      <c r="D983" s="249">
        <v>0</v>
      </c>
      <c r="E983" s="254"/>
      <c r="F983" s="20"/>
      <c r="G983" s="257" t="e">
        <f>#REF!</f>
        <v>#REF!</v>
      </c>
      <c r="H983" s="257">
        <v>0</v>
      </c>
      <c r="I983" s="254"/>
      <c r="J983" s="20"/>
      <c r="K983" s="257" t="e">
        <f>G983</f>
        <v>#REF!</v>
      </c>
      <c r="M983" s="429"/>
      <c r="N983" s="429"/>
      <c r="O983" s="272"/>
      <c r="P983" s="74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</row>
    <row r="984" spans="1:29" ht="16.5" thickBot="1">
      <c r="A984" s="1" t="s">
        <v>9</v>
      </c>
      <c r="B984" s="1"/>
      <c r="C984" s="378" t="e">
        <f>C982+C983</f>
        <v>#REF!</v>
      </c>
      <c r="D984" s="378">
        <f>D982+D983</f>
        <v>984893.270531249</v>
      </c>
      <c r="E984" s="402"/>
      <c r="F984" s="403"/>
      <c r="G984" s="259" t="e">
        <f>G982+G983</f>
        <v>#REF!</v>
      </c>
      <c r="H984" s="259">
        <f>H982+H983</f>
        <v>60532</v>
      </c>
      <c r="I984" s="402"/>
      <c r="J984" s="403"/>
      <c r="K984" s="259" t="e">
        <f>K982+K983</f>
        <v>#REF!</v>
      </c>
      <c r="M984" s="396"/>
      <c r="N984" s="396"/>
      <c r="O984" s="455"/>
      <c r="P984" s="74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</row>
    <row r="985" spans="1:29" ht="16.5" thickTop="1">
      <c r="A985" s="1"/>
      <c r="B985" s="1"/>
      <c r="C985" s="26"/>
      <c r="D985" s="26"/>
      <c r="E985" s="407"/>
      <c r="F985" s="23"/>
      <c r="G985" s="51"/>
      <c r="H985" s="51"/>
      <c r="I985" s="407" t="s">
        <v>31</v>
      </c>
      <c r="J985" s="23"/>
      <c r="K985" s="51" t="s">
        <v>31</v>
      </c>
      <c r="M985" s="20"/>
      <c r="N985" s="20"/>
      <c r="O985" s="74"/>
      <c r="P985" s="74"/>
      <c r="Q985" s="20"/>
      <c r="R985" s="20"/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</row>
    <row r="986" spans="1:29">
      <c r="A986" s="278" t="s">
        <v>491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31</v>
      </c>
      <c r="M986" s="20"/>
      <c r="N986" s="20"/>
      <c r="O986" s="74"/>
      <c r="P986" s="74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</row>
    <row r="987" spans="1:29">
      <c r="A987" s="1" t="s">
        <v>186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20"/>
      <c r="N987" s="20"/>
      <c r="O987" s="74"/>
      <c r="P987" s="74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20"/>
      <c r="N988" s="20"/>
      <c r="O988" s="74"/>
      <c r="P988" s="74"/>
      <c r="Q988" s="20"/>
      <c r="R988" s="20"/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</row>
    <row r="989" spans="1:29">
      <c r="A989" s="1" t="s">
        <v>492</v>
      </c>
      <c r="B989" s="1"/>
      <c r="C989" s="21">
        <v>192</v>
      </c>
      <c r="D989" s="304">
        <v>190</v>
      </c>
      <c r="E989" s="283">
        <v>3.5</v>
      </c>
      <c r="F989" s="1"/>
      <c r="G989" s="2">
        <f>ROUND(E989*C989,0)</f>
        <v>672</v>
      </c>
      <c r="H989" s="2">
        <f>ROUND(E989*D989,0)</f>
        <v>665</v>
      </c>
      <c r="I989" s="283">
        <f>'Blocking - detail'!I960</f>
        <v>3.5</v>
      </c>
      <c r="J989" s="1"/>
      <c r="K989" s="2">
        <f>ROUND(I989*$C989,0)</f>
        <v>672</v>
      </c>
      <c r="M989" s="84">
        <f>I989*D989</f>
        <v>665</v>
      </c>
      <c r="N989" s="20"/>
      <c r="O989" s="410"/>
      <c r="P989" s="41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</row>
    <row r="990" spans="1:29">
      <c r="A990" s="1" t="s">
        <v>493</v>
      </c>
      <c r="B990" s="1"/>
      <c r="C990" s="21">
        <v>146</v>
      </c>
      <c r="D990" s="304">
        <v>145</v>
      </c>
      <c r="E990" s="283">
        <v>6.5</v>
      </c>
      <c r="F990" s="1"/>
      <c r="G990" s="2">
        <f>ROUND(E990*C990,0)</f>
        <v>949</v>
      </c>
      <c r="H990" s="2">
        <f>ROUND(E990*D990,0)</f>
        <v>943</v>
      </c>
      <c r="I990" s="283">
        <f>'Blocking - detail'!I961</f>
        <v>6.5</v>
      </c>
      <c r="J990" s="1"/>
      <c r="K990" s="2">
        <f>ROUND(I990*$C990,0)</f>
        <v>949</v>
      </c>
      <c r="M990" s="84">
        <f>I990*D990</f>
        <v>942.5</v>
      </c>
      <c r="N990" s="20"/>
      <c r="O990" s="410"/>
      <c r="P990" s="41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</row>
    <row r="991" spans="1:29">
      <c r="A991" s="1" t="s">
        <v>494</v>
      </c>
      <c r="B991" s="1"/>
      <c r="C991" s="21">
        <f>SUM(C989:C990)</f>
        <v>338</v>
      </c>
      <c r="D991" s="304">
        <v>335</v>
      </c>
      <c r="E991" s="359"/>
      <c r="F991" s="1"/>
      <c r="G991" s="399"/>
      <c r="H991" s="399"/>
      <c r="I991" s="359"/>
      <c r="J991" s="1"/>
      <c r="K991" s="2"/>
      <c r="M991" s="20"/>
      <c r="N991" s="20"/>
      <c r="O991" s="410"/>
      <c r="P991" s="41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</row>
    <row r="992" spans="1:29">
      <c r="A992" s="1" t="s">
        <v>454</v>
      </c>
      <c r="B992" s="1"/>
      <c r="C992" s="21">
        <f>88297+144017</f>
        <v>232314</v>
      </c>
      <c r="D992" s="304">
        <v>235030</v>
      </c>
      <c r="E992" s="312">
        <v>7.2930000000000001</v>
      </c>
      <c r="F992" s="1" t="s">
        <v>364</v>
      </c>
      <c r="G992" s="399">
        <f>ROUND(C992*E992/100,0)</f>
        <v>16943</v>
      </c>
      <c r="H992" s="399">
        <f>ROUND(D992*E992/100,0)</f>
        <v>17141</v>
      </c>
      <c r="I992" s="312">
        <v>7.88</v>
      </c>
      <c r="J992" s="2" t="s">
        <v>364</v>
      </c>
      <c r="K992" s="2">
        <f>ROUND(I992*$C992/100,0)</f>
        <v>18306</v>
      </c>
      <c r="M992" s="84">
        <f>(I992/100)*D992</f>
        <v>18520.363999999998</v>
      </c>
      <c r="N992" s="20"/>
      <c r="O992" s="410"/>
      <c r="P992" s="41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</row>
    <row r="993" spans="1:29">
      <c r="A993" s="1" t="s">
        <v>371</v>
      </c>
      <c r="B993" s="1"/>
      <c r="C993" s="304">
        <f>SUM(C992)</f>
        <v>232314</v>
      </c>
      <c r="D993" s="304">
        <f>SUM(D992)</f>
        <v>235030</v>
      </c>
      <c r="E993" s="21"/>
      <c r="F993" s="21"/>
      <c r="G993" s="399">
        <f>SUM(G989:G992)</f>
        <v>18564</v>
      </c>
      <c r="H993" s="399">
        <f>SUM(H989:H992)</f>
        <v>18749</v>
      </c>
      <c r="I993" s="21"/>
      <c r="J993" s="2"/>
      <c r="K993" s="399">
        <f>SUM(K989:K992)</f>
        <v>19927</v>
      </c>
      <c r="M993" s="401">
        <f>SUM(M989:M992)</f>
        <v>20127.863999999998</v>
      </c>
      <c r="N993" s="20"/>
      <c r="O993" s="74"/>
      <c r="P993" s="74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</row>
    <row r="994" spans="1:29">
      <c r="A994" s="1" t="s">
        <v>353</v>
      </c>
      <c r="B994" s="1"/>
      <c r="C994" s="334" t="e">
        <f>#REF!</f>
        <v>#REF!</v>
      </c>
      <c r="D994" s="334">
        <v>0</v>
      </c>
      <c r="E994" s="412"/>
      <c r="F994" s="412"/>
      <c r="G994" s="413" t="e">
        <f>#REF!</f>
        <v>#REF!</v>
      </c>
      <c r="H994" s="413">
        <v>0</v>
      </c>
      <c r="I994" s="412"/>
      <c r="J994" s="412"/>
      <c r="K994" s="413" t="e">
        <f>G994</f>
        <v>#REF!</v>
      </c>
      <c r="M994" s="274"/>
      <c r="N994" s="274"/>
      <c r="O994" s="275"/>
      <c r="P994" s="74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</row>
    <row r="995" spans="1:29" ht="16.5" thickBot="1">
      <c r="A995" s="1" t="s">
        <v>372</v>
      </c>
      <c r="B995" s="1"/>
      <c r="C995" s="351" t="e">
        <f>C993+C994</f>
        <v>#REF!</v>
      </c>
      <c r="D995" s="351">
        <f>D992+D994</f>
        <v>235030</v>
      </c>
      <c r="E995" s="330"/>
      <c r="F995" s="330"/>
      <c r="G995" s="297" t="e">
        <f>G993+G994</f>
        <v>#REF!</v>
      </c>
      <c r="H995" s="297">
        <f>H993+H994</f>
        <v>18749</v>
      </c>
      <c r="I995" s="330"/>
      <c r="J995" s="330"/>
      <c r="K995" s="297" t="e">
        <f>K993+K994</f>
        <v>#REF!</v>
      </c>
      <c r="M995" s="276"/>
      <c r="N995" s="262" t="s">
        <v>399</v>
      </c>
      <c r="O995" s="69" t="e">
        <f>#REF!*1000</f>
        <v>#REF!</v>
      </c>
      <c r="P995" s="74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</row>
    <row r="996" spans="1:29" ht="16.5" thickTop="1">
      <c r="A996" s="1"/>
      <c r="B996" s="298"/>
      <c r="C996" s="1"/>
      <c r="D996" s="1"/>
      <c r="E996" s="1"/>
      <c r="F996" s="1"/>
      <c r="G996" s="1"/>
      <c r="H996" s="1"/>
      <c r="I996" s="1" t="s">
        <v>31</v>
      </c>
      <c r="J996" s="1"/>
      <c r="K996" s="2" t="s">
        <v>31</v>
      </c>
      <c r="M996" s="20"/>
      <c r="N996" s="262" t="s">
        <v>257</v>
      </c>
      <c r="O996" s="401" t="e">
        <f>O995-K995</f>
        <v>#REF!</v>
      </c>
      <c r="P996" s="261" t="e">
        <f>(O995-K995)/K995</f>
        <v>#REF!</v>
      </c>
      <c r="Q996" s="20"/>
      <c r="R996" s="20"/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</row>
    <row r="997" spans="1:29">
      <c r="A997" s="247" t="s">
        <v>495</v>
      </c>
      <c r="B997" s="288"/>
      <c r="C997" s="288"/>
      <c r="D997" s="288"/>
      <c r="E997" s="288"/>
      <c r="F997" s="288"/>
      <c r="G997" s="288"/>
      <c r="H997" s="288"/>
      <c r="I997" s="288"/>
      <c r="J997" s="288"/>
      <c r="K997" s="288"/>
      <c r="M997" s="20"/>
      <c r="N997" s="20"/>
      <c r="O997" s="74"/>
      <c r="P997" s="74"/>
      <c r="Q997" s="20"/>
      <c r="R997" s="20"/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</row>
    <row r="998" spans="1:29">
      <c r="A998" s="288" t="s">
        <v>496</v>
      </c>
      <c r="B998" s="288"/>
      <c r="C998" s="288"/>
      <c r="D998" s="288"/>
      <c r="E998" s="288"/>
      <c r="F998" s="288"/>
      <c r="G998" s="288"/>
      <c r="H998" s="288"/>
      <c r="I998" s="288"/>
      <c r="J998" s="288"/>
      <c r="K998" s="288"/>
      <c r="M998" s="263"/>
      <c r="N998" s="263"/>
      <c r="O998" s="263"/>
      <c r="P998" s="263"/>
      <c r="Q998" s="263"/>
      <c r="R998" s="263"/>
      <c r="S998" s="263"/>
      <c r="T998" s="263"/>
      <c r="U998" s="263"/>
      <c r="V998" s="263"/>
      <c r="W998" s="263"/>
      <c r="X998" s="263"/>
      <c r="Y998" s="20"/>
      <c r="Z998" s="20"/>
      <c r="AA998" s="20"/>
      <c r="AB998" s="20"/>
      <c r="AC998" s="20"/>
    </row>
    <row r="999" spans="1:29">
      <c r="A999" s="415" t="s">
        <v>497</v>
      </c>
      <c r="B999" s="288"/>
      <c r="C999" s="288"/>
      <c r="D999" s="288"/>
      <c r="E999" s="288"/>
      <c r="F999" s="288"/>
      <c r="G999" s="288"/>
      <c r="H999" s="288"/>
      <c r="I999" s="288"/>
      <c r="J999" s="288"/>
      <c r="K999" s="288"/>
      <c r="M999" s="263"/>
      <c r="N999" s="263"/>
      <c r="O999" s="263"/>
      <c r="P999" s="263"/>
      <c r="Q999" s="263"/>
      <c r="R999" s="263"/>
      <c r="S999" s="263"/>
      <c r="T999" s="263"/>
      <c r="U999" s="263"/>
      <c r="V999" s="263"/>
      <c r="W999" s="263"/>
      <c r="X999" s="263"/>
      <c r="Y999" s="20"/>
      <c r="Z999" s="20"/>
      <c r="AA999" s="20"/>
      <c r="AB999" s="20"/>
      <c r="AC999" s="20"/>
    </row>
    <row r="1000" spans="1:29">
      <c r="A1000" s="3" t="s">
        <v>498</v>
      </c>
      <c r="G1000" s="248"/>
      <c r="H1000" s="248"/>
      <c r="M1000" s="263"/>
      <c r="N1000" s="263"/>
      <c r="O1000" s="263"/>
      <c r="P1000" s="74"/>
      <c r="Q1000" s="264"/>
      <c r="R1000" s="265"/>
      <c r="S1000" s="416"/>
      <c r="T1000" s="267"/>
      <c r="U1000" s="263"/>
      <c r="V1000" s="263"/>
      <c r="W1000" s="263"/>
      <c r="X1000" s="263"/>
      <c r="Y1000" s="20"/>
      <c r="Z1000" s="20"/>
      <c r="AA1000" s="20"/>
      <c r="AB1000" s="20"/>
      <c r="AC1000" s="20"/>
    </row>
    <row r="1001" spans="1:29">
      <c r="A1001" s="3" t="s">
        <v>344</v>
      </c>
      <c r="C1001" s="249">
        <f>10803</f>
        <v>10803</v>
      </c>
      <c r="D1001" s="249">
        <f>ROUND(($D$1030/$C$1030)*C1001,0)</f>
        <v>10983</v>
      </c>
      <c r="E1001" s="250">
        <v>8.7799999999999994</v>
      </c>
      <c r="G1001" s="2">
        <f>ROUND(E1001*$C1001,0)</f>
        <v>94850</v>
      </c>
      <c r="H1001" s="2">
        <f>ROUND(E1001*$D1001,0)</f>
        <v>96431</v>
      </c>
      <c r="I1001" s="250" t="e">
        <f>E1001+(E1001*$P$1032)</f>
        <v>#REF!</v>
      </c>
      <c r="K1001" s="2" t="e">
        <f>ROUND(I1001*$C1001,0)</f>
        <v>#REF!</v>
      </c>
      <c r="M1001" s="84" t="e">
        <f>I1001*D1001</f>
        <v>#REF!</v>
      </c>
      <c r="N1001" s="20"/>
      <c r="O1001" s="266"/>
      <c r="P1001" s="74"/>
      <c r="Q1001" s="388"/>
      <c r="R1001" s="268"/>
      <c r="S1001" s="269"/>
      <c r="T1001" s="263"/>
      <c r="U1001" s="266"/>
      <c r="V1001" s="266"/>
      <c r="W1001" s="417"/>
      <c r="X1001" s="266"/>
      <c r="Y1001" s="20"/>
      <c r="Z1001" s="20"/>
      <c r="AA1001" s="20"/>
      <c r="AB1001" s="20"/>
      <c r="AC1001" s="20"/>
    </row>
    <row r="1002" spans="1:29">
      <c r="A1002" s="3" t="s">
        <v>345</v>
      </c>
      <c r="C1002" s="249">
        <f>1449</f>
        <v>1449</v>
      </c>
      <c r="D1002" s="249">
        <f>ROUND(($D$1030/$C$1030)*C1002,0)</f>
        <v>1473</v>
      </c>
      <c r="E1002" s="250">
        <v>16.079999999999998</v>
      </c>
      <c r="G1002" s="2">
        <f>ROUND(E1002*$C1002,0)</f>
        <v>23300</v>
      </c>
      <c r="H1002" s="2">
        <f>ROUND(E1002*$D1002,0)</f>
        <v>23686</v>
      </c>
      <c r="I1002" s="250" t="e">
        <f>E1002+(E1002*$P$1032)</f>
        <v>#REF!</v>
      </c>
      <c r="K1002" s="2" t="e">
        <f>ROUND(I1002*$C1002,0)</f>
        <v>#REF!</v>
      </c>
      <c r="M1002" s="84" t="e">
        <f>I1002*D1002</f>
        <v>#REF!</v>
      </c>
      <c r="N1002" s="20"/>
      <c r="O1002" s="266"/>
      <c r="P1002" s="74"/>
      <c r="Q1002" s="388"/>
      <c r="R1002" s="268"/>
      <c r="S1002" s="263"/>
      <c r="T1002" s="263"/>
      <c r="U1002" s="266"/>
      <c r="V1002" s="266"/>
      <c r="W1002" s="417"/>
      <c r="X1002" s="266"/>
      <c r="Y1002" s="20"/>
      <c r="Z1002" s="20"/>
      <c r="AA1002" s="20"/>
      <c r="AB1002" s="20"/>
      <c r="AC1002" s="20"/>
    </row>
    <row r="1003" spans="1:29">
      <c r="A1003" s="3" t="s">
        <v>346</v>
      </c>
      <c r="C1003" s="249">
        <v>36</v>
      </c>
      <c r="D1003" s="249">
        <f>ROUND(($D$1030/$C$1030)*C1003,0)</f>
        <v>37</v>
      </c>
      <c r="E1003" s="250">
        <v>32.53</v>
      </c>
      <c r="G1003" s="2">
        <f>ROUND(E1003*$C1003,0)</f>
        <v>1171</v>
      </c>
      <c r="H1003" s="2">
        <f>ROUND(E1003*$D1003,0)</f>
        <v>1204</v>
      </c>
      <c r="I1003" s="250" t="e">
        <f>E1003+(E1003*$P$1032)</f>
        <v>#REF!</v>
      </c>
      <c r="K1003" s="2" t="e">
        <f>ROUND(I1003*$C1003,0)</f>
        <v>#REF!</v>
      </c>
      <c r="M1003" s="84" t="e">
        <f>I1003*D1003</f>
        <v>#REF!</v>
      </c>
      <c r="N1003" s="20"/>
      <c r="O1003" s="266"/>
      <c r="P1003" s="74"/>
      <c r="Q1003" s="388"/>
      <c r="R1003" s="268"/>
      <c r="S1003" s="263"/>
      <c r="T1003" s="263"/>
      <c r="U1003" s="266"/>
      <c r="V1003" s="266"/>
      <c r="W1003" s="417"/>
      <c r="X1003" s="266"/>
      <c r="Y1003" s="20"/>
      <c r="Z1003" s="20"/>
      <c r="AA1003" s="20"/>
      <c r="AB1003" s="20"/>
      <c r="AC1003" s="20"/>
    </row>
    <row r="1004" spans="1:29">
      <c r="A1004" s="3" t="s">
        <v>499</v>
      </c>
      <c r="C1004" s="249"/>
      <c r="D1004" s="249"/>
      <c r="E1004" s="418"/>
      <c r="G1004" s="248"/>
      <c r="H1004" s="248"/>
      <c r="I1004" s="418"/>
      <c r="N1004" s="20"/>
      <c r="O1004" s="266"/>
      <c r="P1004" s="74"/>
      <c r="Q1004" s="20"/>
      <c r="R1004" s="272"/>
      <c r="S1004" s="263"/>
      <c r="T1004" s="263"/>
      <c r="U1004" s="266"/>
      <c r="V1004" s="266"/>
      <c r="W1004" s="417"/>
      <c r="X1004" s="266"/>
      <c r="Y1004" s="20"/>
      <c r="Z1004" s="20"/>
      <c r="AA1004" s="20"/>
      <c r="AB1004" s="20"/>
      <c r="AC1004" s="20"/>
    </row>
    <row r="1005" spans="1:29">
      <c r="A1005" s="3" t="s">
        <v>344</v>
      </c>
      <c r="C1005" s="249">
        <f>5042</f>
        <v>5042</v>
      </c>
      <c r="D1005" s="249">
        <f>ROUND(($D$1030/$C$1030)*C1005,0)</f>
        <v>5126</v>
      </c>
      <c r="E1005" s="250">
        <v>8.23</v>
      </c>
      <c r="G1005" s="2">
        <f>ROUND(E1005*$C1005,0)</f>
        <v>41496</v>
      </c>
      <c r="H1005" s="2">
        <f>ROUND(E1005*$D1005,0)</f>
        <v>42187</v>
      </c>
      <c r="I1005" s="250" t="e">
        <f>E1005+(E1005*$P$1032)</f>
        <v>#REF!</v>
      </c>
      <c r="K1005" s="2" t="e">
        <f>ROUND(I1005*$C1005,0)</f>
        <v>#REF!</v>
      </c>
      <c r="M1005" s="84" t="e">
        <f>I1005*D1005</f>
        <v>#REF!</v>
      </c>
      <c r="N1005" s="20"/>
      <c r="O1005" s="266"/>
      <c r="P1005" s="74"/>
      <c r="Q1005" s="388"/>
      <c r="R1005" s="268"/>
      <c r="S1005" s="20"/>
      <c r="T1005" s="20"/>
      <c r="U1005" s="266"/>
      <c r="V1005" s="266"/>
      <c r="W1005" s="417"/>
      <c r="X1005" s="266"/>
      <c r="Y1005" s="20"/>
      <c r="Z1005" s="20"/>
      <c r="AA1005" s="20"/>
      <c r="AB1005" s="20"/>
      <c r="AC1005" s="20"/>
    </row>
    <row r="1006" spans="1:29">
      <c r="A1006" s="3" t="s">
        <v>345</v>
      </c>
      <c r="C1006" s="249">
        <v>0</v>
      </c>
      <c r="D1006" s="249">
        <f>ROUND(($D$1030/$C$1030)*C1006,0)</f>
        <v>0</v>
      </c>
      <c r="E1006" s="250">
        <v>15</v>
      </c>
      <c r="G1006" s="2">
        <f>ROUND(E1006*$C1006,0)</f>
        <v>0</v>
      </c>
      <c r="H1006" s="2">
        <f>ROUND(E1006*$D1006,0)</f>
        <v>0</v>
      </c>
      <c r="I1006" s="250" t="e">
        <f>E1006+(E1006*$P$1032)</f>
        <v>#REF!</v>
      </c>
      <c r="K1006" s="2" t="e">
        <f>ROUND(I1006*$C1006,0)</f>
        <v>#REF!</v>
      </c>
      <c r="M1006" s="84" t="e">
        <f>I1006*D1006</f>
        <v>#REF!</v>
      </c>
      <c r="N1006" s="20"/>
      <c r="O1006" s="266"/>
      <c r="P1006" s="74"/>
      <c r="Q1006" s="388"/>
      <c r="R1006" s="268"/>
      <c r="S1006" s="20"/>
      <c r="T1006" s="20"/>
      <c r="U1006" s="266"/>
      <c r="V1006" s="266"/>
      <c r="W1006" s="417"/>
      <c r="X1006" s="266"/>
      <c r="Y1006" s="20"/>
      <c r="Z1006" s="20"/>
      <c r="AA1006" s="20"/>
      <c r="AB1006" s="20"/>
      <c r="AC1006" s="20"/>
    </row>
    <row r="1007" spans="1:29">
      <c r="A1007" s="415" t="s">
        <v>500</v>
      </c>
      <c r="C1007" s="249"/>
      <c r="D1007" s="249"/>
      <c r="E1007" s="250"/>
      <c r="G1007" s="2"/>
      <c r="H1007" s="2"/>
      <c r="I1007" s="250"/>
      <c r="K1007" s="2"/>
      <c r="N1007" s="20"/>
      <c r="O1007" s="266"/>
      <c r="P1007" s="74"/>
      <c r="Q1007" s="20"/>
      <c r="R1007" s="20"/>
      <c r="S1007" s="20"/>
      <c r="T1007" s="20"/>
      <c r="U1007" s="20"/>
      <c r="V1007" s="20"/>
      <c r="W1007" s="417"/>
      <c r="X1007" s="20"/>
      <c r="Y1007" s="20"/>
      <c r="Z1007" s="20"/>
      <c r="AA1007" s="20"/>
      <c r="AB1007" s="20"/>
      <c r="AC1007" s="20"/>
    </row>
    <row r="1008" spans="1:29">
      <c r="A1008" s="3" t="s">
        <v>498</v>
      </c>
      <c r="C1008" s="249"/>
      <c r="D1008" s="249"/>
      <c r="E1008" s="418"/>
      <c r="G1008" s="248"/>
      <c r="H1008" s="248"/>
      <c r="I1008" s="418"/>
      <c r="N1008" s="20"/>
      <c r="O1008" s="74"/>
      <c r="P1008" s="74"/>
      <c r="Q1008" s="20"/>
      <c r="R1008" s="20"/>
      <c r="S1008" s="20"/>
      <c r="T1008" s="20"/>
      <c r="U1008" s="20"/>
      <c r="V1008" s="20"/>
      <c r="W1008" s="417"/>
      <c r="X1008" s="20"/>
      <c r="Y1008" s="20"/>
      <c r="Z1008" s="20"/>
      <c r="AA1008" s="20"/>
      <c r="AB1008" s="20"/>
      <c r="AC1008" s="20"/>
    </row>
    <row r="1009" spans="1:29">
      <c r="A1009" s="3" t="s">
        <v>344</v>
      </c>
      <c r="C1009" s="249">
        <f>471</f>
        <v>471</v>
      </c>
      <c r="D1009" s="249">
        <f>ROUND(($D$1030/$C$1030)*C1009,0)</f>
        <v>479</v>
      </c>
      <c r="E1009" s="250">
        <v>11.47</v>
      </c>
      <c r="G1009" s="2">
        <f>ROUND(E1009*$C1009,0)</f>
        <v>5402</v>
      </c>
      <c r="H1009" s="2">
        <f>ROUND(E1009*$D1009,0)</f>
        <v>5494</v>
      </c>
      <c r="I1009" s="250" t="e">
        <f>E1009+(E1009*$P$1032)</f>
        <v>#REF!</v>
      </c>
      <c r="K1009" s="2" t="e">
        <f>ROUND(I1009*$C1009,0)</f>
        <v>#REF!</v>
      </c>
      <c r="M1009" s="84" t="e">
        <f>I1009*D1009</f>
        <v>#REF!</v>
      </c>
      <c r="N1009" s="20"/>
      <c r="O1009" s="266"/>
      <c r="P1009" s="74"/>
      <c r="Q1009" s="388"/>
      <c r="R1009" s="268"/>
      <c r="S1009" s="20"/>
      <c r="T1009" s="20"/>
      <c r="U1009" s="266"/>
      <c r="V1009" s="266"/>
      <c r="W1009" s="417"/>
      <c r="X1009" s="266"/>
      <c r="Y1009" s="20"/>
      <c r="Z1009" s="20"/>
      <c r="AA1009" s="20"/>
      <c r="AB1009" s="20"/>
      <c r="AC1009" s="20"/>
    </row>
    <row r="1010" spans="1:29">
      <c r="A1010" s="3" t="s">
        <v>345</v>
      </c>
      <c r="C1010" s="249">
        <f>456</f>
        <v>456</v>
      </c>
      <c r="D1010" s="249">
        <f>ROUND(($D$1030/$C$1030)*C1010,0)</f>
        <v>464</v>
      </c>
      <c r="E1010" s="250">
        <v>19.260000000000002</v>
      </c>
      <c r="G1010" s="2">
        <f>ROUND(E1010*$C1010,0)</f>
        <v>8783</v>
      </c>
      <c r="H1010" s="2">
        <f>ROUND(E1010*$D1010,0)</f>
        <v>8937</v>
      </c>
      <c r="I1010" s="250" t="e">
        <f>E1010+(E1010*$P$1032)</f>
        <v>#REF!</v>
      </c>
      <c r="K1010" s="2" t="e">
        <f>ROUND(I1010*$C1010,0)</f>
        <v>#REF!</v>
      </c>
      <c r="M1010" s="84" t="e">
        <f>I1010*D1010</f>
        <v>#REF!</v>
      </c>
      <c r="N1010" s="20"/>
      <c r="O1010" s="266"/>
      <c r="P1010" s="74"/>
      <c r="Q1010" s="388"/>
      <c r="R1010" s="268"/>
      <c r="S1010" s="414"/>
      <c r="T1010" s="414"/>
      <c r="U1010" s="266"/>
      <c r="V1010" s="266"/>
      <c r="W1010" s="417"/>
      <c r="X1010" s="266"/>
      <c r="Y1010" s="20"/>
      <c r="Z1010" s="20"/>
      <c r="AA1010" s="20"/>
      <c r="AB1010" s="20"/>
      <c r="AC1010" s="20"/>
    </row>
    <row r="1011" spans="1:29">
      <c r="A1011" s="3" t="s">
        <v>346</v>
      </c>
      <c r="C1011" s="249">
        <v>0</v>
      </c>
      <c r="D1011" s="249">
        <f>ROUND(($D$1030/$C$1030)*C1011,0)</f>
        <v>0</v>
      </c>
      <c r="E1011" s="250">
        <v>35.75</v>
      </c>
      <c r="G1011" s="2">
        <f>ROUND(E1011*$C1011,0)</f>
        <v>0</v>
      </c>
      <c r="H1011" s="2">
        <f>ROUND(E1011*$D1011,0)</f>
        <v>0</v>
      </c>
      <c r="I1011" s="250" t="e">
        <f>E1011+(E1011*$P$1032)</f>
        <v>#REF!</v>
      </c>
      <c r="K1011" s="2" t="e">
        <f>ROUND(I1011*$C1011,0)</f>
        <v>#REF!</v>
      </c>
      <c r="M1011" s="84" t="e">
        <f>I1011*D1011</f>
        <v>#REF!</v>
      </c>
      <c r="N1011" s="20"/>
      <c r="O1011" s="266"/>
      <c r="P1011" s="74"/>
      <c r="Q1011" s="388"/>
      <c r="R1011" s="268"/>
      <c r="S1011" s="414"/>
      <c r="T1011" s="414"/>
      <c r="U1011" s="266"/>
      <c r="V1011" s="266"/>
      <c r="W1011" s="417"/>
      <c r="X1011" s="266"/>
      <c r="Y1011" s="20"/>
      <c r="Z1011" s="20"/>
      <c r="AA1011" s="20"/>
      <c r="AB1011" s="20"/>
      <c r="AC1011" s="20"/>
    </row>
    <row r="1012" spans="1:29">
      <c r="A1012" s="3" t="s">
        <v>499</v>
      </c>
      <c r="C1012" s="249"/>
      <c r="D1012" s="249"/>
      <c r="E1012" s="418"/>
      <c r="G1012" s="248"/>
      <c r="H1012" s="248"/>
      <c r="I1012" s="418"/>
      <c r="M1012" s="20"/>
      <c r="N1012" s="20"/>
      <c r="O1012" s="20"/>
      <c r="P1012" s="420"/>
      <c r="Q1012" s="420"/>
      <c r="R1012" s="704"/>
      <c r="S1012" s="414"/>
      <c r="T1012" s="414"/>
      <c r="U1012" s="422"/>
      <c r="V1012" s="20"/>
      <c r="W1012" s="417"/>
      <c r="X1012" s="20"/>
      <c r="Y1012" s="20"/>
      <c r="Z1012" s="20"/>
      <c r="AA1012" s="20"/>
      <c r="AB1012" s="20"/>
      <c r="AC1012" s="20"/>
    </row>
    <row r="1013" spans="1:29">
      <c r="A1013" s="3" t="s">
        <v>344</v>
      </c>
      <c r="C1013" s="249">
        <v>0</v>
      </c>
      <c r="D1013" s="249">
        <f>ROUND(($D$1030/$C$1030)*C1013,0)</f>
        <v>0</v>
      </c>
      <c r="E1013" s="250">
        <v>10.86</v>
      </c>
      <c r="G1013" s="2">
        <f>ROUND(E1013*$C1013,0)</f>
        <v>0</v>
      </c>
      <c r="H1013" s="2">
        <f>ROUND(E1013*$D1013,0)</f>
        <v>0</v>
      </c>
      <c r="I1013" s="250" t="e">
        <f>E1013+(E1013*$P$1032)</f>
        <v>#REF!</v>
      </c>
      <c r="K1013" s="2" t="e">
        <f>ROUND(I1013*$C1013,0)</f>
        <v>#REF!</v>
      </c>
      <c r="M1013" s="84" t="e">
        <f>I1013*D1013</f>
        <v>#REF!</v>
      </c>
      <c r="N1013" s="20"/>
      <c r="O1013" s="266"/>
      <c r="P1013" s="74"/>
      <c r="Q1013" s="388"/>
      <c r="R1013" s="268"/>
      <c r="S1013" s="414"/>
      <c r="T1013" s="414"/>
      <c r="U1013" s="266"/>
      <c r="V1013" s="266"/>
      <c r="W1013" s="417"/>
      <c r="X1013" s="266"/>
      <c r="Y1013" s="20"/>
      <c r="Z1013" s="20"/>
      <c r="AA1013" s="20"/>
      <c r="AB1013" s="20"/>
      <c r="AC1013" s="20"/>
    </row>
    <row r="1014" spans="1:29">
      <c r="A1014" s="3" t="s">
        <v>345</v>
      </c>
      <c r="C1014" s="249">
        <v>0</v>
      </c>
      <c r="D1014" s="249">
        <f>ROUND(($D$1030/$C$1030)*C1014,0)</f>
        <v>0</v>
      </c>
      <c r="E1014" s="250">
        <v>18.21</v>
      </c>
      <c r="G1014" s="2">
        <f>ROUND(E1014*$C1014,0)</f>
        <v>0</v>
      </c>
      <c r="H1014" s="2">
        <f>ROUND(E1014*$D1014,0)</f>
        <v>0</v>
      </c>
      <c r="I1014" s="250" t="e">
        <f>E1014+(E1014*$P$1032)</f>
        <v>#REF!</v>
      </c>
      <c r="K1014" s="2" t="e">
        <f>ROUND(I1014*$C1014,0)</f>
        <v>#REF!</v>
      </c>
      <c r="M1014" s="84" t="e">
        <f>I1014*D1014</f>
        <v>#REF!</v>
      </c>
      <c r="N1014" s="20"/>
      <c r="O1014" s="266"/>
      <c r="P1014" s="74"/>
      <c r="Q1014" s="388"/>
      <c r="R1014" s="268"/>
      <c r="S1014" s="414"/>
      <c r="T1014" s="414"/>
      <c r="U1014" s="266"/>
      <c r="V1014" s="266"/>
      <c r="W1014" s="417"/>
      <c r="X1014" s="266"/>
      <c r="Y1014" s="20"/>
      <c r="Z1014" s="20"/>
      <c r="AA1014" s="20"/>
      <c r="AB1014" s="20"/>
      <c r="AC1014" s="20"/>
    </row>
    <row r="1015" spans="1:29">
      <c r="A1015" s="415" t="s">
        <v>501</v>
      </c>
      <c r="B1015" s="288"/>
      <c r="C1015" s="249"/>
      <c r="D1015" s="249"/>
      <c r="E1015" s="418"/>
      <c r="F1015" s="288"/>
      <c r="G1015" s="288"/>
      <c r="H1015" s="288"/>
      <c r="I1015" s="418"/>
      <c r="J1015" s="288"/>
      <c r="K1015" s="288"/>
      <c r="M1015" s="20"/>
      <c r="N1015" s="20"/>
      <c r="O1015" s="20"/>
      <c r="P1015" s="420"/>
      <c r="Q1015" s="420"/>
      <c r="R1015" s="704"/>
      <c r="S1015" s="414"/>
      <c r="T1015" s="414"/>
      <c r="U1015" s="422"/>
      <c r="V1015" s="20"/>
      <c r="W1015" s="417"/>
      <c r="X1015" s="20"/>
      <c r="Y1015" s="20"/>
      <c r="Z1015" s="20"/>
      <c r="AA1015" s="20"/>
      <c r="AB1015" s="20"/>
      <c r="AC1015" s="20"/>
    </row>
    <row r="1016" spans="1:29">
      <c r="A1016" s="3" t="s">
        <v>498</v>
      </c>
      <c r="C1016" s="249"/>
      <c r="D1016" s="249"/>
      <c r="E1016" s="418"/>
      <c r="G1016" s="248"/>
      <c r="H1016" s="248"/>
      <c r="I1016" s="418"/>
      <c r="M1016" s="20"/>
      <c r="N1016" s="20"/>
      <c r="O1016" s="20"/>
      <c r="P1016" s="420"/>
      <c r="Q1016" s="420"/>
      <c r="R1016" s="704"/>
      <c r="S1016" s="414"/>
      <c r="T1016" s="414"/>
      <c r="U1016" s="422"/>
      <c r="V1016" s="20"/>
      <c r="W1016" s="417"/>
      <c r="X1016" s="20"/>
      <c r="Y1016" s="20"/>
      <c r="Z1016" s="20"/>
      <c r="AA1016" s="20"/>
      <c r="AB1016" s="20"/>
      <c r="AC1016" s="20"/>
    </row>
    <row r="1017" spans="1:29">
      <c r="A1017" s="3" t="s">
        <v>344</v>
      </c>
      <c r="C1017" s="249">
        <v>0</v>
      </c>
      <c r="D1017" s="249">
        <f>ROUND(($D$1030/$C$1030)*C1017,0)</f>
        <v>0</v>
      </c>
      <c r="E1017" s="250">
        <v>11.47</v>
      </c>
      <c r="G1017" s="2">
        <f>ROUND(E1017*$C1017,0)</f>
        <v>0</v>
      </c>
      <c r="H1017" s="2">
        <f>ROUND(E1017*$D1017,0)</f>
        <v>0</v>
      </c>
      <c r="I1017" s="250" t="e">
        <f>E1017+(E1017*$P$1032)</f>
        <v>#REF!</v>
      </c>
      <c r="K1017" s="2" t="e">
        <f>ROUND(I1017*$C1017,0)</f>
        <v>#REF!</v>
      </c>
      <c r="M1017" s="84" t="e">
        <f>I1017*D1017</f>
        <v>#REF!</v>
      </c>
      <c r="N1017" s="20"/>
      <c r="O1017" s="266"/>
      <c r="P1017" s="74"/>
      <c r="Q1017" s="388"/>
      <c r="R1017" s="268"/>
      <c r="S1017" s="414"/>
      <c r="T1017" s="414"/>
      <c r="U1017" s="266"/>
      <c r="V1017" s="266"/>
      <c r="W1017" s="417"/>
      <c r="X1017" s="266"/>
      <c r="Y1017" s="20"/>
      <c r="Z1017" s="20"/>
      <c r="AA1017" s="20"/>
      <c r="AB1017" s="20"/>
      <c r="AC1017" s="20"/>
    </row>
    <row r="1018" spans="1:29">
      <c r="A1018" s="3" t="s">
        <v>345</v>
      </c>
      <c r="C1018" s="249">
        <v>0</v>
      </c>
      <c r="D1018" s="249">
        <f>ROUND(($D$1030/$C$1030)*C1018,0)</f>
        <v>0</v>
      </c>
      <c r="E1018" s="250">
        <v>18.649999999999999</v>
      </c>
      <c r="G1018" s="2">
        <f>ROUND(E1018*$C1018,0)</f>
        <v>0</v>
      </c>
      <c r="H1018" s="2">
        <f>ROUND(E1018*$D1018,0)</f>
        <v>0</v>
      </c>
      <c r="I1018" s="250" t="e">
        <f>E1018+(E1018*$P$1032)</f>
        <v>#REF!</v>
      </c>
      <c r="K1018" s="2" t="e">
        <f>ROUND(I1018*$C1018,0)</f>
        <v>#REF!</v>
      </c>
      <c r="M1018" s="84" t="e">
        <f>I1018*D1018</f>
        <v>#REF!</v>
      </c>
      <c r="N1018" s="20"/>
      <c r="O1018" s="266"/>
      <c r="P1018" s="74"/>
      <c r="Q1018" s="388"/>
      <c r="R1018" s="268"/>
      <c r="S1018" s="414"/>
      <c r="T1018" s="414"/>
      <c r="U1018" s="266"/>
      <c r="V1018" s="266"/>
      <c r="W1018" s="417"/>
      <c r="X1018" s="266"/>
      <c r="Y1018" s="20"/>
      <c r="Z1018" s="20"/>
      <c r="AA1018" s="20"/>
      <c r="AB1018" s="20"/>
      <c r="AC1018" s="20"/>
    </row>
    <row r="1019" spans="1:29">
      <c r="A1019" s="3" t="s">
        <v>346</v>
      </c>
      <c r="C1019" s="249">
        <v>0</v>
      </c>
      <c r="D1019" s="249">
        <f>ROUND(($D$1030/$C$1030)*C1019,0)</f>
        <v>0</v>
      </c>
      <c r="E1019" s="250">
        <v>35.130000000000003</v>
      </c>
      <c r="G1019" s="2">
        <f>ROUND(E1019*$C1019,0)</f>
        <v>0</v>
      </c>
      <c r="H1019" s="2">
        <f>ROUND(E1019*$D1019,0)</f>
        <v>0</v>
      </c>
      <c r="I1019" s="250" t="e">
        <f>E1019+(E1019*$P$1032)</f>
        <v>#REF!</v>
      </c>
      <c r="K1019" s="2" t="e">
        <f>ROUND(I1019*$C1019,0)</f>
        <v>#REF!</v>
      </c>
      <c r="M1019" s="84" t="e">
        <f>I1019*D1019</f>
        <v>#REF!</v>
      </c>
      <c r="N1019" s="20"/>
      <c r="O1019" s="266"/>
      <c r="P1019" s="74"/>
      <c r="Q1019" s="388"/>
      <c r="R1019" s="268"/>
      <c r="S1019" s="414"/>
      <c r="T1019" s="414"/>
      <c r="U1019" s="266"/>
      <c r="V1019" s="266"/>
      <c r="W1019" s="417"/>
      <c r="X1019" s="266"/>
      <c r="Y1019" s="20"/>
      <c r="Z1019" s="20"/>
      <c r="AA1019" s="20"/>
      <c r="AB1019" s="20"/>
      <c r="AC1019" s="20"/>
    </row>
    <row r="1020" spans="1:29">
      <c r="A1020" s="3" t="s">
        <v>499</v>
      </c>
      <c r="C1020" s="249"/>
      <c r="D1020" s="249"/>
      <c r="E1020" s="418"/>
      <c r="G1020" s="248"/>
      <c r="H1020" s="248"/>
      <c r="I1020" s="418"/>
      <c r="M1020" s="20"/>
      <c r="N1020" s="20"/>
      <c r="O1020" s="20"/>
      <c r="P1020" s="420"/>
      <c r="Q1020" s="420"/>
      <c r="R1020" s="704"/>
      <c r="S1020" s="414"/>
      <c r="T1020" s="414"/>
      <c r="U1020" s="422"/>
      <c r="V1020" s="20"/>
      <c r="W1020" s="417"/>
      <c r="X1020" s="20"/>
      <c r="Y1020" s="20"/>
      <c r="Z1020" s="20"/>
      <c r="AA1020" s="20"/>
      <c r="AB1020" s="20"/>
      <c r="AC1020" s="20"/>
    </row>
    <row r="1021" spans="1:29">
      <c r="A1021" s="3" t="s">
        <v>344</v>
      </c>
      <c r="C1021" s="249">
        <v>0</v>
      </c>
      <c r="D1021" s="249">
        <f>ROUND(($D$1030/$C$1030)*C1021,0)</f>
        <v>0</v>
      </c>
      <c r="E1021" s="250">
        <v>10.86</v>
      </c>
      <c r="G1021" s="2">
        <f>ROUND(E1021*$C1021,0)</f>
        <v>0</v>
      </c>
      <c r="H1021" s="2">
        <f>ROUND(E1021*$D1021,0)</f>
        <v>0</v>
      </c>
      <c r="I1021" s="250" t="e">
        <f>E1021+(E1021*$P$1032)</f>
        <v>#REF!</v>
      </c>
      <c r="K1021" s="2" t="e">
        <f>ROUND(I1021*$C1021,0)</f>
        <v>#REF!</v>
      </c>
      <c r="M1021" s="84" t="e">
        <f>I1021*D1021</f>
        <v>#REF!</v>
      </c>
      <c r="N1021" s="20"/>
      <c r="O1021" s="266"/>
      <c r="P1021" s="74"/>
      <c r="Q1021" s="388"/>
      <c r="R1021" s="268"/>
      <c r="S1021" s="414"/>
      <c r="T1021" s="414"/>
      <c r="U1021" s="266"/>
      <c r="V1021" s="266"/>
      <c r="W1021" s="417"/>
      <c r="X1021" s="266"/>
      <c r="Y1021" s="20"/>
      <c r="Z1021" s="20"/>
      <c r="AA1021" s="20"/>
      <c r="AB1021" s="20"/>
      <c r="AC1021" s="20"/>
    </row>
    <row r="1022" spans="1:29">
      <c r="A1022" s="3" t="s">
        <v>345</v>
      </c>
      <c r="C1022" s="249">
        <v>0</v>
      </c>
      <c r="D1022" s="249">
        <f>ROUND(($D$1030/$C$1030)*C1022,0)</f>
        <v>0</v>
      </c>
      <c r="E1022" s="250">
        <v>17.600000000000001</v>
      </c>
      <c r="G1022" s="2">
        <f>ROUND(E1022*$C1022,0)</f>
        <v>0</v>
      </c>
      <c r="H1022" s="2">
        <f>ROUND(E1022*$D1022,0)</f>
        <v>0</v>
      </c>
      <c r="I1022" s="250" t="e">
        <f>E1022+(E1022*$P$1032)</f>
        <v>#REF!</v>
      </c>
      <c r="K1022" s="2" t="e">
        <f>ROUND(I1022*$C1022,0)</f>
        <v>#REF!</v>
      </c>
      <c r="M1022" s="84" t="e">
        <f>I1022*D1022</f>
        <v>#REF!</v>
      </c>
      <c r="N1022" s="20"/>
      <c r="O1022" s="266"/>
      <c r="P1022" s="74"/>
      <c r="Q1022" s="388"/>
      <c r="R1022" s="268"/>
      <c r="S1022" s="414"/>
      <c r="T1022" s="414"/>
      <c r="U1022" s="266"/>
      <c r="V1022" s="266"/>
      <c r="W1022" s="417"/>
      <c r="X1022" s="266"/>
      <c r="Y1022" s="20"/>
      <c r="Z1022" s="20"/>
      <c r="AA1022" s="20"/>
      <c r="AB1022" s="20"/>
      <c r="AC1022" s="20"/>
    </row>
    <row r="1023" spans="1:29">
      <c r="A1023" s="415" t="s">
        <v>502</v>
      </c>
      <c r="B1023" s="288"/>
      <c r="C1023" s="249"/>
      <c r="D1023" s="249"/>
      <c r="E1023" s="418"/>
      <c r="F1023" s="288"/>
      <c r="G1023" s="288"/>
      <c r="H1023" s="288"/>
      <c r="I1023" s="418"/>
      <c r="J1023" s="288"/>
      <c r="K1023" s="288"/>
      <c r="M1023" s="20"/>
      <c r="N1023" s="20"/>
      <c r="O1023" s="20"/>
      <c r="P1023" s="420"/>
      <c r="Q1023" s="420"/>
      <c r="R1023" s="704"/>
      <c r="S1023" s="414"/>
      <c r="T1023" s="414"/>
      <c r="U1023" s="422"/>
      <c r="V1023" s="20"/>
      <c r="W1023" s="417"/>
      <c r="X1023" s="20"/>
      <c r="Y1023" s="20"/>
      <c r="Z1023" s="20"/>
      <c r="AA1023" s="20"/>
      <c r="AB1023" s="20"/>
      <c r="AC1023" s="20"/>
    </row>
    <row r="1024" spans="1:29">
      <c r="A1024" s="3" t="s">
        <v>344</v>
      </c>
      <c r="C1024" s="249">
        <f>1999</f>
        <v>1999</v>
      </c>
      <c r="D1024" s="249">
        <f>ROUND(($D$1030/$C$1030)*C1024,0)</f>
        <v>2032</v>
      </c>
      <c r="E1024" s="250">
        <v>9.18</v>
      </c>
      <c r="G1024" s="2">
        <f>ROUND(E1024*$C1024,0)</f>
        <v>18351</v>
      </c>
      <c r="H1024" s="2">
        <f>ROUND(E1024*$D1024,0)</f>
        <v>18654</v>
      </c>
      <c r="I1024" s="250" t="e">
        <f>E1024+(E1024*$P$1032)</f>
        <v>#REF!</v>
      </c>
      <c r="K1024" s="2" t="e">
        <f>ROUND(I1024*$C1024,0)</f>
        <v>#REF!</v>
      </c>
      <c r="M1024" s="84" t="e">
        <f>I1024*D1024</f>
        <v>#REF!</v>
      </c>
      <c r="N1024" s="20"/>
      <c r="O1024" s="266"/>
      <c r="P1024" s="74"/>
      <c r="Q1024" s="388"/>
      <c r="R1024" s="268"/>
      <c r="S1024" s="414"/>
      <c r="T1024" s="414"/>
      <c r="U1024" s="266"/>
      <c r="V1024" s="266"/>
      <c r="W1024" s="417"/>
      <c r="X1024" s="266"/>
      <c r="Y1024" s="20"/>
      <c r="Z1024" s="20"/>
      <c r="AA1024" s="20"/>
      <c r="AB1024" s="20"/>
      <c r="AC1024" s="20"/>
    </row>
    <row r="1025" spans="1:29">
      <c r="A1025" s="3" t="s">
        <v>345</v>
      </c>
      <c r="C1025" s="249">
        <f>1691</f>
        <v>1691</v>
      </c>
      <c r="D1025" s="249">
        <f>ROUND(($D$1030/$C$1030)*C1025,0)</f>
        <v>1719</v>
      </c>
      <c r="E1025" s="250">
        <v>16.079999999999998</v>
      </c>
      <c r="G1025" s="2">
        <f>ROUND(E1025*$C1025,0)</f>
        <v>27191</v>
      </c>
      <c r="H1025" s="2">
        <f>ROUND(E1025*$D1025,0)</f>
        <v>27642</v>
      </c>
      <c r="I1025" s="250" t="e">
        <f>E1025+(E1025*$P$1032)</f>
        <v>#REF!</v>
      </c>
      <c r="K1025" s="2" t="e">
        <f>ROUND(I1025*$C1025,0)</f>
        <v>#REF!</v>
      </c>
      <c r="M1025" s="84" t="e">
        <f>I1025*D1025</f>
        <v>#REF!</v>
      </c>
      <c r="N1025" s="20"/>
      <c r="O1025" s="266"/>
      <c r="P1025" s="74"/>
      <c r="Q1025" s="388"/>
      <c r="R1025" s="268"/>
      <c r="S1025" s="414"/>
      <c r="T1025" s="414"/>
      <c r="U1025" s="266"/>
      <c r="V1025" s="266"/>
      <c r="W1025" s="417"/>
      <c r="X1025" s="266"/>
      <c r="Y1025" s="20"/>
      <c r="Z1025" s="20"/>
      <c r="AA1025" s="20"/>
      <c r="AB1025" s="20"/>
      <c r="AC1025" s="20"/>
    </row>
    <row r="1026" spans="1:29">
      <c r="A1026" s="3" t="s">
        <v>346</v>
      </c>
      <c r="C1026" s="249">
        <v>0</v>
      </c>
      <c r="D1026" s="249">
        <f>ROUND(($D$1030/$C$1030)*C1026,0)</f>
        <v>0</v>
      </c>
      <c r="E1026" s="250">
        <v>34.340000000000003</v>
      </c>
      <c r="G1026" s="2">
        <f>ROUND(E1026*$C1026,0)</f>
        <v>0</v>
      </c>
      <c r="H1026" s="2">
        <f>ROUND(E1026*$D1026,0)</f>
        <v>0</v>
      </c>
      <c r="I1026" s="250" t="e">
        <f>E1026+(E1026*$P$1032)</f>
        <v>#REF!</v>
      </c>
      <c r="K1026" s="2" t="e">
        <f>ROUND(I1026*$C1026,0)</f>
        <v>#REF!</v>
      </c>
      <c r="M1026" s="84" t="e">
        <f>I1026*D1026</f>
        <v>#REF!</v>
      </c>
      <c r="N1026" s="20"/>
      <c r="O1026" s="266"/>
      <c r="P1026" s="74"/>
      <c r="Q1026" s="388"/>
      <c r="R1026" s="268"/>
      <c r="S1026" s="414"/>
      <c r="T1026" s="414"/>
      <c r="U1026" s="266"/>
      <c r="V1026" s="266"/>
      <c r="W1026" s="417"/>
      <c r="X1026" s="266"/>
      <c r="Y1026" s="20"/>
      <c r="Z1026" s="20"/>
      <c r="AA1026" s="20"/>
      <c r="AB1026" s="20"/>
      <c r="AC1026" s="20"/>
    </row>
    <row r="1027" spans="1:29">
      <c r="A1027" s="5" t="s">
        <v>503</v>
      </c>
      <c r="C1027" s="249"/>
      <c r="D1027" s="249"/>
      <c r="E1027" s="250"/>
      <c r="G1027" s="2"/>
      <c r="H1027" s="2"/>
      <c r="I1027" s="250"/>
      <c r="K1027" s="2"/>
      <c r="M1027" s="20"/>
      <c r="N1027" s="20"/>
      <c r="O1027" s="20"/>
      <c r="P1027" s="420"/>
      <c r="Q1027" s="420"/>
      <c r="R1027" s="705"/>
      <c r="S1027" s="414"/>
      <c r="T1027" s="414"/>
      <c r="U1027" s="422"/>
      <c r="V1027" s="20"/>
      <c r="W1027" s="417"/>
      <c r="X1027" s="20"/>
      <c r="Y1027" s="20"/>
      <c r="Z1027" s="20"/>
      <c r="AA1027" s="20"/>
      <c r="AB1027" s="20"/>
      <c r="AC1027" s="20"/>
    </row>
    <row r="1028" spans="1:29">
      <c r="A1028" s="3" t="s">
        <v>504</v>
      </c>
      <c r="C1028" s="249">
        <f>96</f>
        <v>96</v>
      </c>
      <c r="D1028" s="249">
        <f>ROUND(($D$1030/$C$1030)*C1028,0)</f>
        <v>98</v>
      </c>
      <c r="E1028" s="250">
        <v>32.950000000000003</v>
      </c>
      <c r="G1028" s="2">
        <f>ROUND(E1028*$C1028,0)</f>
        <v>3163</v>
      </c>
      <c r="H1028" s="2">
        <f>ROUND(E1028*$D1028,0)</f>
        <v>3229</v>
      </c>
      <c r="I1028" s="250" t="e">
        <f>E1028+(E1028*$P$1032)</f>
        <v>#REF!</v>
      </c>
      <c r="K1028" s="2" t="e">
        <f>ROUND(I1028*$C1028,0)</f>
        <v>#REF!</v>
      </c>
      <c r="M1028" s="84" t="e">
        <f>I1028*D1028</f>
        <v>#REF!</v>
      </c>
      <c r="N1028" s="20"/>
      <c r="O1028" s="266"/>
      <c r="P1028" s="74"/>
      <c r="Q1028" s="388"/>
      <c r="R1028" s="268"/>
      <c r="S1028" s="414"/>
      <c r="T1028" s="414"/>
      <c r="U1028" s="266"/>
      <c r="V1028" s="266"/>
      <c r="W1028" s="417"/>
      <c r="X1028" s="266"/>
      <c r="Y1028" s="20"/>
      <c r="Z1028" s="20"/>
      <c r="AA1028" s="20"/>
      <c r="AB1028" s="20"/>
      <c r="AC1028" s="20"/>
    </row>
    <row r="1029" spans="1:29">
      <c r="A1029" s="3" t="s">
        <v>352</v>
      </c>
      <c r="C1029" s="249">
        <f>74+91+41+12+35+35+27+62+12</f>
        <v>389</v>
      </c>
      <c r="D1029" s="249">
        <v>588</v>
      </c>
      <c r="E1029" s="424"/>
      <c r="G1029" s="2"/>
      <c r="H1029" s="2"/>
      <c r="I1029" s="424"/>
      <c r="K1029" s="2"/>
      <c r="N1029" s="20"/>
      <c r="O1029" s="266"/>
      <c r="P1029" s="425"/>
      <c r="Q1029" s="20"/>
      <c r="R1029" s="272"/>
      <c r="S1029" s="263"/>
      <c r="T1029" s="263"/>
      <c r="U1029" s="266"/>
      <c r="V1029" s="266"/>
      <c r="W1029" s="266"/>
      <c r="X1029" s="266"/>
      <c r="Y1029" s="20"/>
      <c r="Z1029" s="20"/>
      <c r="AA1029" s="20"/>
      <c r="AB1029" s="20"/>
      <c r="AC1029" s="20"/>
    </row>
    <row r="1030" spans="1:29">
      <c r="A1030" s="3" t="s">
        <v>371</v>
      </c>
      <c r="C1030" s="249">
        <f>2042049</f>
        <v>2042049</v>
      </c>
      <c r="D1030" s="249">
        <v>2075987.7990116791</v>
      </c>
      <c r="E1030" s="254"/>
      <c r="F1030" s="20"/>
      <c r="G1030" s="257">
        <f>SUM(G1001:G1028)</f>
        <v>223707</v>
      </c>
      <c r="H1030" s="257">
        <f>SUM(H1001:H1028)</f>
        <v>227464</v>
      </c>
      <c r="I1030" s="254"/>
      <c r="J1030" s="20"/>
      <c r="K1030" s="257" t="e">
        <f>SUM(K1001:K1028)</f>
        <v>#REF!</v>
      </c>
      <c r="M1030" s="84" t="e">
        <f>SUM(M1001:M1029)</f>
        <v>#REF!</v>
      </c>
      <c r="N1030" s="20"/>
      <c r="O1030" s="266"/>
      <c r="P1030" s="706"/>
      <c r="Q1030" s="20"/>
      <c r="R1030" s="272"/>
      <c r="S1030" s="263"/>
      <c r="T1030" s="263"/>
      <c r="U1030" s="273"/>
      <c r="V1030" s="263"/>
      <c r="W1030" s="263"/>
      <c r="X1030" s="263"/>
      <c r="Y1030" s="20"/>
      <c r="Z1030" s="20"/>
      <c r="AA1030" s="20"/>
      <c r="AB1030" s="20"/>
      <c r="AC1030" s="20"/>
    </row>
    <row r="1031" spans="1:29">
      <c r="A1031" s="3" t="s">
        <v>353</v>
      </c>
      <c r="C1031" s="249" t="e">
        <f>#REF!</f>
        <v>#REF!</v>
      </c>
      <c r="D1031" s="249">
        <v>0</v>
      </c>
      <c r="E1031" s="254"/>
      <c r="F1031" s="20"/>
      <c r="G1031" s="257" t="e">
        <f>#REF!</f>
        <v>#REF!</v>
      </c>
      <c r="H1031" s="257">
        <v>0</v>
      </c>
      <c r="I1031" s="254"/>
      <c r="J1031" s="20"/>
      <c r="K1031" s="257" t="e">
        <f>G1031</f>
        <v>#REF!</v>
      </c>
      <c r="M1031" s="274"/>
      <c r="N1031" s="429"/>
      <c r="O1031" s="272"/>
      <c r="P1031" s="263"/>
      <c r="Q1031" s="263"/>
      <c r="R1031" s="268"/>
      <c r="S1031" s="266"/>
      <c r="T1031" s="263"/>
      <c r="U1031" s="20"/>
      <c r="V1031" s="20"/>
      <c r="W1031" s="20"/>
      <c r="X1031" s="20"/>
      <c r="Y1031" s="20"/>
      <c r="Z1031" s="20"/>
      <c r="AA1031" s="20"/>
      <c r="AB1031" s="20"/>
      <c r="AC1031" s="20"/>
    </row>
    <row r="1032" spans="1:29" ht="16.5" thickBot="1">
      <c r="A1032" s="3" t="s">
        <v>9</v>
      </c>
      <c r="C1032" s="258" t="e">
        <f>C1030+C1031</f>
        <v>#REF!</v>
      </c>
      <c r="D1032" s="258">
        <f>D1030+D1031</f>
        <v>2075987.7990116791</v>
      </c>
      <c r="E1032" s="259"/>
      <c r="F1032" s="259"/>
      <c r="G1032" s="259" t="e">
        <f>G1030+G1031</f>
        <v>#REF!</v>
      </c>
      <c r="H1032" s="259">
        <f>H1030+H1031</f>
        <v>227464</v>
      </c>
      <c r="I1032" s="259"/>
      <c r="J1032" s="259"/>
      <c r="K1032" s="259" t="e">
        <f>K1030+K1031</f>
        <v>#REF!</v>
      </c>
      <c r="M1032" s="276"/>
      <c r="N1032" s="262" t="s">
        <v>399</v>
      </c>
      <c r="O1032" s="69" t="e">
        <f>#REF!*1000</f>
        <v>#REF!</v>
      </c>
      <c r="P1032" s="14" t="e">
        <f>(O1032-G1032)/G1032+0.00276</f>
        <v>#REF!</v>
      </c>
      <c r="Q1032" s="263"/>
      <c r="R1032" s="263"/>
      <c r="S1032" s="263"/>
      <c r="T1032" s="263"/>
      <c r="U1032" s="20"/>
      <c r="V1032" s="20"/>
      <c r="W1032" s="20"/>
      <c r="X1032" s="20"/>
      <c r="Y1032" s="20"/>
      <c r="Z1032" s="20"/>
      <c r="AA1032" s="20"/>
      <c r="AB1032" s="20"/>
      <c r="AC1032" s="20"/>
    </row>
    <row r="1033" spans="1:29" ht="16.5" thickTop="1">
      <c r="C1033" s="260"/>
      <c r="D1033" s="260"/>
      <c r="E1033" s="260"/>
      <c r="F1033" s="260"/>
      <c r="G1033" s="248"/>
      <c r="H1033" s="248"/>
      <c r="I1033" s="260" t="s">
        <v>31</v>
      </c>
      <c r="J1033" s="260"/>
      <c r="K1033" s="2" t="s">
        <v>31</v>
      </c>
      <c r="M1033" s="262"/>
      <c r="N1033" s="262" t="s">
        <v>257</v>
      </c>
      <c r="O1033" s="401" t="e">
        <f>O1032-K1032</f>
        <v>#REF!</v>
      </c>
      <c r="P1033" s="279" t="e">
        <f>(O1032-K1032)/K1032</f>
        <v>#REF!</v>
      </c>
      <c r="Q1033" s="263"/>
      <c r="R1033" s="263"/>
      <c r="S1033" s="263"/>
      <c r="T1033" s="263"/>
      <c r="U1033" s="20"/>
      <c r="V1033" s="20"/>
      <c r="W1033" s="20"/>
      <c r="X1033" s="20"/>
      <c r="Y1033" s="20"/>
      <c r="Z1033" s="20"/>
      <c r="AA1033" s="20"/>
      <c r="AB1033" s="20"/>
      <c r="AC1033" s="20"/>
    </row>
    <row r="1034" spans="1:29">
      <c r="A1034" s="288"/>
      <c r="B1034" s="298"/>
      <c r="C1034" s="430"/>
      <c r="D1034" s="430"/>
      <c r="E1034" s="431"/>
      <c r="F1034" s="2"/>
      <c r="G1034" s="2"/>
      <c r="H1034" s="2"/>
      <c r="I1034" s="431"/>
      <c r="J1034" s="288"/>
      <c r="K1034" s="2"/>
      <c r="M1034" s="20"/>
      <c r="N1034" s="20"/>
      <c r="O1034" s="74"/>
      <c r="P1034" s="74"/>
      <c r="Q1034" s="20"/>
      <c r="R1034" s="20"/>
      <c r="S1034" s="20"/>
      <c r="T1034" s="20"/>
      <c r="U1034" s="20"/>
      <c r="V1034" s="20"/>
      <c r="W1034" s="20"/>
      <c r="X1034" s="20"/>
    </row>
    <row r="1035" spans="1:29" s="4" customFormat="1" ht="19.899999999999999" customHeight="1" thickBot="1">
      <c r="A1035" s="432" t="s">
        <v>505</v>
      </c>
      <c r="B1035" s="433"/>
      <c r="C1035" s="434" t="e">
        <f>C27+C91+C176+C474+C508+C627+C760+C787+C925+C936+C947+C995+C1032</f>
        <v>#REF!</v>
      </c>
      <c r="D1035" s="434" t="e">
        <f>D27+D91+D176+D474+D508+D627+D760+D787+D925+D936+D947+D995+D1032</f>
        <v>#REF!</v>
      </c>
      <c r="E1035" s="435"/>
      <c r="F1035" s="436"/>
      <c r="G1035" s="436" t="e">
        <f>G27+G91+G176+G474+G508+G627+G760+G787+G925+G936+G947+G995+G1032</f>
        <v>#REF!</v>
      </c>
      <c r="H1035" s="436" t="e">
        <f>H27+H91+H176+H474+H508+H627+H760+H787+H925+H936+H947+H995+H1032</f>
        <v>#REF!</v>
      </c>
      <c r="I1035" s="435"/>
      <c r="J1035" s="436"/>
      <c r="K1035" s="436" t="e">
        <f>K27+K91+K176+K474+K508+K627+K760+K787+K925+K936+K947+K995+K1032</f>
        <v>#REF!</v>
      </c>
      <c r="M1035" s="20"/>
      <c r="N1035" s="7" t="s">
        <v>399</v>
      </c>
      <c r="O1035" s="443" t="e">
        <f>O27+O91+O176+O508+O627+O815+O898+O925+O936+O947+O995+O1032</f>
        <v>#REF!</v>
      </c>
      <c r="P1035" s="74"/>
      <c r="Q1035" s="7"/>
      <c r="R1035" s="7"/>
      <c r="S1035" s="7"/>
      <c r="T1035" s="7"/>
      <c r="U1035" s="7"/>
      <c r="V1035" s="7"/>
      <c r="W1035" s="7"/>
      <c r="X1035" s="7"/>
    </row>
    <row r="1036" spans="1:29" ht="16.5" thickTop="1">
      <c r="A1036" s="1"/>
      <c r="B1036" s="298"/>
      <c r="C1036" s="21"/>
      <c r="D1036" s="21"/>
      <c r="E1036" s="322"/>
      <c r="F1036" s="2"/>
      <c r="G1036" s="2"/>
      <c r="H1036" s="2"/>
      <c r="I1036" s="338" t="s">
        <v>31</v>
      </c>
      <c r="J1036" s="1"/>
      <c r="K1036" s="2" t="s">
        <v>31</v>
      </c>
      <c r="M1036" s="20"/>
      <c r="N1036" s="20" t="s">
        <v>257</v>
      </c>
      <c r="O1036" s="74" t="e">
        <f>O1035-K1035</f>
        <v>#REF!</v>
      </c>
      <c r="P1036" s="299" t="e">
        <f>(O1035-K1038)/K1038</f>
        <v>#REF!</v>
      </c>
      <c r="Q1036" s="20"/>
      <c r="R1036" s="20"/>
      <c r="S1036" s="20"/>
      <c r="T1036" s="20"/>
      <c r="U1036" s="20"/>
      <c r="V1036" s="20"/>
      <c r="W1036" s="20"/>
      <c r="X1036" s="20"/>
    </row>
    <row r="1037" spans="1:29">
      <c r="A1037" s="1" t="s">
        <v>34</v>
      </c>
      <c r="B1037" s="298"/>
      <c r="C1037" s="438"/>
      <c r="D1037" s="438"/>
      <c r="E1037" s="439"/>
      <c r="F1037" s="440"/>
      <c r="G1037" s="440" t="e">
        <f>#REF!+#REF!+#REF!+#REF!+#REF!</f>
        <v>#REF!</v>
      </c>
      <c r="H1037" s="440">
        <v>311006.74</v>
      </c>
      <c r="I1037" s="441"/>
      <c r="J1037" s="442"/>
      <c r="K1037" s="440" t="e">
        <f>G1037</f>
        <v>#REF!</v>
      </c>
      <c r="M1037" s="20"/>
      <c r="Q1037" s="20"/>
      <c r="R1037" s="20"/>
      <c r="S1037" s="20"/>
      <c r="T1037" s="20"/>
      <c r="U1037" s="20"/>
      <c r="V1037" s="20"/>
      <c r="W1037" s="20"/>
      <c r="X1037" s="20"/>
    </row>
    <row r="1038" spans="1:29" s="4" customFormat="1" ht="19.899999999999999" customHeight="1" thickBot="1">
      <c r="A1038" s="444" t="s">
        <v>506</v>
      </c>
      <c r="B1038" s="445"/>
      <c r="C1038" s="446" t="e">
        <f>C1035+C1037</f>
        <v>#REF!</v>
      </c>
      <c r="D1038" s="446" t="e">
        <f>D1035+D1037</f>
        <v>#REF!</v>
      </c>
      <c r="E1038" s="447"/>
      <c r="F1038" s="448"/>
      <c r="G1038" s="449" t="e">
        <f>G1035+G1037</f>
        <v>#REF!</v>
      </c>
      <c r="H1038" s="464" t="e">
        <f>H1035+H1037</f>
        <v>#REF!</v>
      </c>
      <c r="I1038" s="450"/>
      <c r="J1038" s="448"/>
      <c r="K1038" s="464" t="e">
        <f>K1035+K1037</f>
        <v>#REF!</v>
      </c>
      <c r="M1038" s="7"/>
      <c r="Q1038" s="7"/>
      <c r="R1038" s="7"/>
      <c r="S1038" s="7"/>
      <c r="T1038" s="7"/>
      <c r="U1038" s="7"/>
      <c r="V1038" s="7"/>
      <c r="W1038" s="7"/>
      <c r="X1038" s="7"/>
    </row>
    <row r="1039" spans="1:29" ht="16.5" thickTop="1">
      <c r="A1039" s="1"/>
      <c r="B1039" s="298"/>
      <c r="C1039" s="21"/>
      <c r="D1039" s="21"/>
      <c r="E1039" s="451" t="s">
        <v>31</v>
      </c>
      <c r="F1039" s="2"/>
      <c r="G1039" s="2" t="s">
        <v>31</v>
      </c>
      <c r="H1039" s="2" t="s">
        <v>31</v>
      </c>
      <c r="I1039" s="322"/>
      <c r="J1039" s="1"/>
      <c r="K1039" s="2"/>
      <c r="M1039" s="20"/>
      <c r="N1039" s="20"/>
      <c r="O1039" s="74"/>
      <c r="P1039" s="74"/>
      <c r="Q1039" s="20"/>
      <c r="R1039" s="20"/>
      <c r="S1039" s="20"/>
      <c r="T1039" s="20"/>
      <c r="U1039" s="20"/>
      <c r="V1039" s="20"/>
      <c r="W1039" s="20"/>
      <c r="X1039" s="20"/>
    </row>
    <row r="1040" spans="1:29">
      <c r="C1040" s="452"/>
      <c r="D1040" s="452"/>
      <c r="E1040" s="255"/>
      <c r="H1040" s="453"/>
      <c r="K1040" s="249"/>
      <c r="M1040" s="20"/>
      <c r="N1040" s="20"/>
      <c r="O1040" s="74"/>
      <c r="P1040" s="74"/>
      <c r="Q1040" s="20"/>
      <c r="R1040" s="20"/>
      <c r="S1040" s="20"/>
      <c r="T1040" s="20"/>
      <c r="U1040" s="20"/>
      <c r="V1040" s="20"/>
      <c r="W1040" s="20"/>
      <c r="X1040" s="20"/>
    </row>
    <row r="1041" spans="1:24">
      <c r="A1041" s="454"/>
      <c r="M1041" s="20"/>
      <c r="N1041" s="20"/>
      <c r="O1041" s="74"/>
      <c r="P1041" s="74"/>
      <c r="Q1041" s="20"/>
      <c r="R1041" s="20"/>
      <c r="S1041" s="20"/>
      <c r="T1041" s="20"/>
      <c r="U1041" s="20"/>
      <c r="V1041" s="20"/>
      <c r="W1041" s="20"/>
      <c r="X1041" s="20"/>
    </row>
    <row r="1042" spans="1:24">
      <c r="A1042" s="1" t="s">
        <v>162</v>
      </c>
      <c r="B1042" s="3" t="s">
        <v>507</v>
      </c>
      <c r="C1042" s="249" t="e">
        <f>#REF!</f>
        <v>#REF!</v>
      </c>
      <c r="D1042" s="249">
        <v>4081125563.3743143</v>
      </c>
      <c r="G1042" s="84" t="e">
        <f>#REF!</f>
        <v>#REF!</v>
      </c>
      <c r="H1042" s="84">
        <v>239244616.27999997</v>
      </c>
      <c r="M1042" s="20"/>
      <c r="N1042" s="20"/>
      <c r="O1042" s="74"/>
      <c r="P1042" s="74"/>
      <c r="Q1042" s="20"/>
      <c r="R1042" s="20"/>
      <c r="S1042" s="20"/>
      <c r="T1042" s="20"/>
      <c r="U1042" s="20"/>
      <c r="V1042" s="20"/>
      <c r="W1042" s="20"/>
      <c r="X1042" s="20"/>
    </row>
    <row r="1043" spans="1:24">
      <c r="B1043" s="3" t="s">
        <v>508</v>
      </c>
      <c r="C1043" s="249" t="e">
        <f>#REF!</f>
        <v>#REF!</v>
      </c>
      <c r="D1043" s="249">
        <v>4081125563.3743143</v>
      </c>
      <c r="G1043" s="84" t="e">
        <f>#REF!</f>
        <v>#REF!</v>
      </c>
      <c r="H1043" s="84">
        <v>239244616.27999997</v>
      </c>
      <c r="M1043" s="20"/>
      <c r="N1043" s="20"/>
      <c r="O1043" s="74"/>
      <c r="P1043" s="74"/>
      <c r="Q1043" s="20"/>
      <c r="R1043" s="20"/>
      <c r="S1043" s="20"/>
      <c r="T1043" s="20"/>
      <c r="U1043" s="20"/>
      <c r="V1043" s="20"/>
      <c r="W1043" s="20"/>
      <c r="X1043" s="20"/>
    </row>
    <row r="1044" spans="1:24">
      <c r="M1044" s="20"/>
      <c r="N1044" s="20"/>
      <c r="O1044" s="74"/>
      <c r="P1044" s="74"/>
      <c r="Q1044" s="20"/>
      <c r="R1044" s="20"/>
      <c r="S1044" s="20"/>
      <c r="T1044" s="20"/>
      <c r="U1044" s="20"/>
      <c r="V1044" s="20"/>
      <c r="W1044" s="20"/>
      <c r="X1044" s="20"/>
    </row>
    <row r="1045" spans="1:24">
      <c r="B1045" s="3" t="s">
        <v>245</v>
      </c>
      <c r="C1045" s="249" t="e">
        <f>C1038-C1043</f>
        <v>#REF!</v>
      </c>
      <c r="D1045" s="249" t="e">
        <f>D1038-D1043</f>
        <v>#REF!</v>
      </c>
      <c r="G1045" s="249" t="e">
        <f>G1038-G1043</f>
        <v>#REF!</v>
      </c>
      <c r="H1045" s="249" t="e">
        <f>H1038-H1043</f>
        <v>#REF!</v>
      </c>
      <c r="M1045" s="20"/>
      <c r="N1045" s="20"/>
      <c r="O1045" s="74"/>
      <c r="P1045" s="74"/>
      <c r="Q1045" s="20"/>
      <c r="R1045" s="20"/>
      <c r="S1045" s="20"/>
      <c r="T1045" s="20"/>
      <c r="U1045" s="20"/>
      <c r="V1045" s="20"/>
      <c r="W1045" s="20"/>
      <c r="X1045" s="20"/>
    </row>
    <row r="1046" spans="1:24">
      <c r="M1046" s="20"/>
      <c r="N1046" s="20"/>
      <c r="O1046" s="74"/>
      <c r="P1046" s="74"/>
      <c r="Q1046" s="20"/>
      <c r="R1046" s="20"/>
      <c r="S1046" s="20"/>
      <c r="T1046" s="20"/>
      <c r="U1046" s="20"/>
      <c r="V1046" s="20"/>
      <c r="W1046" s="20"/>
      <c r="X1046" s="20"/>
    </row>
    <row r="1048" spans="1:24">
      <c r="B1048" s="3" t="s">
        <v>509</v>
      </c>
      <c r="C1048" s="249">
        <f>C24+C83+C157+C483+C587+C737+C768+C922+C933+C944+C991+C1029</f>
        <v>1499468</v>
      </c>
      <c r="D1048" s="249">
        <f>D24+D83+D157+D483+D587+D737+D768+D922+D933+D944+D991+D1029</f>
        <v>1458185.8409090908</v>
      </c>
    </row>
    <row r="1049" spans="1:24">
      <c r="B1049" s="3" t="s">
        <v>40</v>
      </c>
      <c r="C1049" s="249">
        <f>((C83+C186+C271+C483+C737+C768+C922+C933+C944+C991+C1029)/12)+C358+C587+C24</f>
        <v>160240.41666666669</v>
      </c>
      <c r="D1049" s="249">
        <f>((D83+D186+D271+D483+D737+D768+D922+D933+D944+D991+D1029)/12)+D358+D587+D24</f>
        <v>129032.00757575758</v>
      </c>
    </row>
    <row r="1051" spans="1:24">
      <c r="B1051" s="3" t="s">
        <v>245</v>
      </c>
      <c r="C1051" s="249">
        <v>-31827.666666666672</v>
      </c>
      <c r="D1051" s="249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69" customWidth="1"/>
    <col min="16" max="16" width="11.75" style="69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231" t="s">
        <v>31</v>
      </c>
      <c r="B1" s="232"/>
      <c r="C1" s="232"/>
      <c r="D1" s="232"/>
      <c r="E1" s="233"/>
      <c r="F1" s="233"/>
      <c r="G1" s="232"/>
      <c r="H1" s="232"/>
      <c r="I1" s="233"/>
      <c r="J1" s="232"/>
      <c r="K1" s="232"/>
    </row>
    <row r="2" spans="1:31" ht="18">
      <c r="A2" s="231" t="s">
        <v>179</v>
      </c>
      <c r="B2" s="232"/>
      <c r="C2" s="232"/>
      <c r="D2" s="232"/>
      <c r="E2" s="233"/>
      <c r="F2" s="233"/>
      <c r="G2" s="232"/>
      <c r="H2" s="232"/>
      <c r="I2" s="233"/>
      <c r="J2" s="232"/>
      <c r="K2" s="232"/>
    </row>
    <row r="3" spans="1:31" ht="18">
      <c r="A3" s="231" t="s">
        <v>336</v>
      </c>
      <c r="B3" s="232"/>
      <c r="C3" s="232"/>
      <c r="D3" s="232"/>
      <c r="E3" s="233"/>
      <c r="F3" s="233"/>
      <c r="G3" s="232"/>
      <c r="H3" s="232"/>
      <c r="I3" s="233"/>
      <c r="J3" s="232"/>
      <c r="K3" s="232"/>
    </row>
    <row r="4" spans="1:31">
      <c r="A4" s="234" t="s">
        <v>294</v>
      </c>
      <c r="B4" s="235"/>
      <c r="C4" s="235"/>
      <c r="D4" s="235"/>
      <c r="E4" s="236"/>
      <c r="F4" s="236"/>
      <c r="G4" s="235"/>
      <c r="H4" s="235"/>
      <c r="I4" s="236"/>
      <c r="J4" s="235"/>
      <c r="K4" s="235"/>
    </row>
    <row r="5" spans="1:31">
      <c r="A5" s="237" t="s">
        <v>337</v>
      </c>
      <c r="B5" s="235"/>
      <c r="C5" s="235"/>
      <c r="D5" s="235"/>
      <c r="E5" s="236"/>
      <c r="F5" s="236"/>
      <c r="G5" s="235"/>
      <c r="H5" s="235"/>
      <c r="I5" s="236"/>
      <c r="J5" s="235"/>
      <c r="K5" s="235"/>
    </row>
    <row r="6" spans="1:31">
      <c r="A6" s="237"/>
      <c r="B6" s="235"/>
      <c r="C6" s="235"/>
      <c r="D6" s="235"/>
      <c r="E6" s="236"/>
      <c r="F6" s="236"/>
      <c r="G6" s="235"/>
      <c r="H6" s="235"/>
      <c r="I6" s="236"/>
      <c r="J6" s="235"/>
      <c r="K6" s="235"/>
    </row>
    <row r="7" spans="1:31">
      <c r="A7" s="237"/>
      <c r="B7" s="235"/>
      <c r="C7" s="235"/>
      <c r="D7" s="235"/>
      <c r="E7" s="236"/>
      <c r="F7" s="236"/>
      <c r="G7" s="235"/>
      <c r="H7" s="235"/>
      <c r="I7" s="236"/>
      <c r="J7" s="235"/>
      <c r="K7" s="235"/>
    </row>
    <row r="8" spans="1:31">
      <c r="A8" s="235"/>
      <c r="B8" s="235"/>
      <c r="C8" s="235"/>
      <c r="D8" s="235"/>
      <c r="E8" s="236"/>
      <c r="F8" s="236"/>
      <c r="G8" s="235"/>
      <c r="H8" s="235"/>
      <c r="I8" s="236"/>
      <c r="J8" s="235"/>
      <c r="K8" s="235"/>
    </row>
    <row r="9" spans="1:31">
      <c r="A9" s="238"/>
      <c r="B9" s="238"/>
      <c r="C9" s="239"/>
      <c r="D9" s="239"/>
      <c r="E9" s="240"/>
      <c r="F9" s="240"/>
      <c r="G9" s="241" t="s">
        <v>191</v>
      </c>
      <c r="H9" s="242"/>
      <c r="I9" s="240"/>
      <c r="J9" s="241"/>
      <c r="K9" s="241"/>
    </row>
    <row r="10" spans="1:31">
      <c r="A10" s="238"/>
      <c r="B10" s="238"/>
      <c r="C10" s="239" t="s">
        <v>338</v>
      </c>
      <c r="D10" s="239"/>
      <c r="E10" s="241" t="s">
        <v>191</v>
      </c>
      <c r="F10" s="240"/>
      <c r="G10" s="243" t="s">
        <v>339</v>
      </c>
      <c r="H10" s="242" t="s">
        <v>191</v>
      </c>
      <c r="I10" s="241" t="s">
        <v>296</v>
      </c>
      <c r="J10" s="239"/>
      <c r="K10" s="241" t="s">
        <v>296</v>
      </c>
    </row>
    <row r="11" spans="1:31">
      <c r="A11" s="238"/>
      <c r="B11" s="238"/>
      <c r="C11" s="244" t="s">
        <v>295</v>
      </c>
      <c r="D11" s="239" t="s">
        <v>338</v>
      </c>
      <c r="E11" s="245" t="s">
        <v>13</v>
      </c>
      <c r="F11" s="246"/>
      <c r="G11" s="245" t="s">
        <v>295</v>
      </c>
      <c r="H11" s="241" t="s">
        <v>339</v>
      </c>
      <c r="I11" s="245" t="s">
        <v>13</v>
      </c>
      <c r="J11" s="245"/>
      <c r="K11" s="245" t="s">
        <v>339</v>
      </c>
      <c r="M11" s="243" t="s">
        <v>340</v>
      </c>
    </row>
    <row r="12" spans="1:31">
      <c r="A12" s="247" t="s">
        <v>341</v>
      </c>
      <c r="G12" s="248"/>
      <c r="H12" s="248"/>
    </row>
    <row r="13" spans="1:31">
      <c r="A13" s="3" t="s">
        <v>342</v>
      </c>
      <c r="G13" s="248"/>
      <c r="H13" s="248"/>
    </row>
    <row r="14" spans="1:31">
      <c r="G14" s="248"/>
      <c r="H14" s="248"/>
    </row>
    <row r="15" spans="1:31">
      <c r="A15" s="3" t="s">
        <v>343</v>
      </c>
      <c r="G15" s="248"/>
      <c r="H15" s="248"/>
    </row>
    <row r="16" spans="1:31">
      <c r="A16" s="3" t="s">
        <v>344</v>
      </c>
      <c r="C16" s="249">
        <f t="shared" ref="C16:D18" si="0">C33+C50+C67</f>
        <v>30615</v>
      </c>
      <c r="D16" s="249">
        <f t="shared" si="0"/>
        <v>30989</v>
      </c>
      <c r="E16" s="250">
        <v>9.6</v>
      </c>
      <c r="G16" s="2">
        <f t="shared" ref="G16:H18" si="1">G33+G50+G67</f>
        <v>293904</v>
      </c>
      <c r="H16" s="2">
        <f t="shared" si="1"/>
        <v>297494</v>
      </c>
      <c r="I16" s="250">
        <v>9.6</v>
      </c>
      <c r="K16" s="2">
        <f>K33+K50+K67</f>
        <v>297494</v>
      </c>
      <c r="M16" s="84">
        <f>I16*D16</f>
        <v>297494.39999999997</v>
      </c>
      <c r="N16" s="3">
        <v>76</v>
      </c>
      <c r="O16" s="105">
        <f>N16*D16</f>
        <v>2355164</v>
      </c>
      <c r="P16" s="251">
        <f>N16*$O$25</f>
        <v>-2.3212565360957803E-15</v>
      </c>
      <c r="Q16" s="251">
        <f>C16*P16</f>
        <v>-7.1065268852572319E-11</v>
      </c>
      <c r="R16" s="252">
        <f>ROUND(E16+P16,2)</f>
        <v>9.6</v>
      </c>
      <c r="AE16" s="84"/>
    </row>
    <row r="17" spans="1:31">
      <c r="A17" s="3" t="s">
        <v>345</v>
      </c>
      <c r="C17" s="249">
        <f t="shared" si="0"/>
        <v>4904</v>
      </c>
      <c r="D17" s="249">
        <f t="shared" si="0"/>
        <v>5043</v>
      </c>
      <c r="E17" s="250">
        <v>18.28</v>
      </c>
      <c r="G17" s="2">
        <f t="shared" si="1"/>
        <v>89645</v>
      </c>
      <c r="H17" s="2">
        <f t="shared" si="1"/>
        <v>92186</v>
      </c>
      <c r="I17" s="250">
        <v>18.28</v>
      </c>
      <c r="K17" s="2">
        <f>K34+K51+K68</f>
        <v>92186</v>
      </c>
      <c r="M17" s="84">
        <f>I17*D17</f>
        <v>92186.040000000008</v>
      </c>
      <c r="N17" s="3">
        <v>172</v>
      </c>
      <c r="O17" s="105">
        <f>N17*D17</f>
        <v>867396</v>
      </c>
      <c r="P17" s="251">
        <f>N17*$O$25</f>
        <v>-5.2533700553746604E-15</v>
      </c>
      <c r="Q17" s="251">
        <f>C17*P17</f>
        <v>-2.5762526751557335E-11</v>
      </c>
      <c r="R17" s="252">
        <f>ROUND(E17+P17,2)</f>
        <v>18.28</v>
      </c>
      <c r="AE17" s="84"/>
    </row>
    <row r="18" spans="1:31">
      <c r="A18" s="3" t="s">
        <v>346</v>
      </c>
      <c r="C18" s="249">
        <f t="shared" si="0"/>
        <v>657</v>
      </c>
      <c r="D18" s="249">
        <f t="shared" si="0"/>
        <v>677</v>
      </c>
      <c r="E18" s="250">
        <v>37.82</v>
      </c>
      <c r="G18" s="2">
        <f t="shared" si="1"/>
        <v>24848</v>
      </c>
      <c r="H18" s="2">
        <f t="shared" si="1"/>
        <v>25605</v>
      </c>
      <c r="I18" s="250">
        <v>37.82</v>
      </c>
      <c r="K18" s="2">
        <f>K35+K52+K69</f>
        <v>25605</v>
      </c>
      <c r="M18" s="84">
        <f>I18*D18</f>
        <v>25604.14</v>
      </c>
      <c r="N18" s="3">
        <v>412</v>
      </c>
      <c r="O18" s="105">
        <f>N18*D18</f>
        <v>278924</v>
      </c>
      <c r="P18" s="251">
        <f>N18*$O$25</f>
        <v>-1.2583653853571861E-14</v>
      </c>
      <c r="Q18" s="251">
        <f>C18*P18</f>
        <v>-8.2674605817967132E-12</v>
      </c>
      <c r="R18" s="252">
        <f>ROUND(E18+P18,2)</f>
        <v>37.82</v>
      </c>
      <c r="AE18" s="84"/>
    </row>
    <row r="19" spans="1:31">
      <c r="A19" s="3" t="s">
        <v>347</v>
      </c>
      <c r="C19" s="249"/>
      <c r="D19" s="249"/>
      <c r="E19" s="250"/>
      <c r="G19" s="2"/>
      <c r="H19" s="2"/>
      <c r="I19" s="250"/>
      <c r="K19" s="2"/>
      <c r="M19" s="84"/>
      <c r="O19" s="3"/>
      <c r="P19" s="251"/>
      <c r="Q19" s="251"/>
      <c r="R19" s="253"/>
      <c r="AE19" s="84"/>
    </row>
    <row r="20" spans="1:31">
      <c r="A20" s="3" t="s">
        <v>348</v>
      </c>
      <c r="C20" s="249">
        <f t="shared" ref="C20:D25" si="2">C37+C54+C71</f>
        <v>2070</v>
      </c>
      <c r="D20" s="249">
        <f t="shared" si="2"/>
        <v>2097</v>
      </c>
      <c r="E20" s="250">
        <v>10.92</v>
      </c>
      <c r="G20" s="2">
        <f t="shared" ref="G20:H23" si="3">G37+G54+G71</f>
        <v>22604</v>
      </c>
      <c r="H20" s="2">
        <f t="shared" si="3"/>
        <v>22899</v>
      </c>
      <c r="I20" s="250">
        <v>10.92</v>
      </c>
      <c r="K20" s="2">
        <f>K37+K54+K71</f>
        <v>22899</v>
      </c>
      <c r="M20" s="84">
        <f>I20*D20</f>
        <v>22899.24</v>
      </c>
      <c r="N20" s="3">
        <v>31</v>
      </c>
      <c r="O20" s="105">
        <f>N20*D20</f>
        <v>65007</v>
      </c>
      <c r="P20" s="251">
        <f>N20*$O$25</f>
        <v>-9.4682832393380513E-16</v>
      </c>
      <c r="Q20" s="251">
        <f>C20*P20</f>
        <v>-1.9599346305429768E-12</v>
      </c>
      <c r="R20" s="252">
        <f>ROUND(E20+P20,2)</f>
        <v>10.92</v>
      </c>
      <c r="AE20" s="84"/>
    </row>
    <row r="21" spans="1:31">
      <c r="A21" s="3" t="s">
        <v>349</v>
      </c>
      <c r="C21" s="249">
        <f t="shared" si="2"/>
        <v>1813</v>
      </c>
      <c r="D21" s="249">
        <f t="shared" si="2"/>
        <v>1858</v>
      </c>
      <c r="E21" s="250">
        <v>16.04</v>
      </c>
      <c r="G21" s="2">
        <f t="shared" si="3"/>
        <v>29080</v>
      </c>
      <c r="H21" s="2">
        <f t="shared" si="3"/>
        <v>29802</v>
      </c>
      <c r="I21" s="250">
        <v>16.04</v>
      </c>
      <c r="K21" s="2">
        <f>K38+K55+K72</f>
        <v>29802</v>
      </c>
      <c r="M21" s="84">
        <f>I21*D21</f>
        <v>29802.32</v>
      </c>
      <c r="N21" s="3">
        <v>85</v>
      </c>
      <c r="O21" s="105">
        <f>N21*D21</f>
        <v>157930</v>
      </c>
      <c r="P21" s="251">
        <f>N21*$O$25</f>
        <v>-2.5961421785281753E-15</v>
      </c>
      <c r="Q21" s="251">
        <f>C21*P21</f>
        <v>-4.7068057696715822E-12</v>
      </c>
      <c r="R21" s="252">
        <f>ROUND(E21+P21,2)</f>
        <v>16.04</v>
      </c>
      <c r="AE21" s="84"/>
    </row>
    <row r="22" spans="1:31">
      <c r="A22" s="3" t="s">
        <v>350</v>
      </c>
      <c r="C22" s="249">
        <f t="shared" si="2"/>
        <v>481</v>
      </c>
      <c r="D22" s="249">
        <f t="shared" si="2"/>
        <v>495</v>
      </c>
      <c r="E22" s="250">
        <v>25.88</v>
      </c>
      <c r="G22" s="2">
        <f t="shared" si="3"/>
        <v>12449</v>
      </c>
      <c r="H22" s="2">
        <f t="shared" si="3"/>
        <v>12811</v>
      </c>
      <c r="I22" s="250">
        <v>25.88</v>
      </c>
      <c r="K22" s="2">
        <f>K39+K56+K73</f>
        <v>12811</v>
      </c>
      <c r="M22" s="84">
        <f>I22*D22</f>
        <v>12810.6</v>
      </c>
      <c r="N22" s="3">
        <v>176</v>
      </c>
      <c r="O22" s="105">
        <f>N22*D22</f>
        <v>87120</v>
      </c>
      <c r="P22" s="251">
        <f>N22*$O$25</f>
        <v>-5.3755414520112801E-15</v>
      </c>
      <c r="Q22" s="251">
        <f>C22*P22</f>
        <v>-2.5856354384174258E-12</v>
      </c>
      <c r="R22" s="252">
        <f>ROUND(E22+P22,2)</f>
        <v>25.88</v>
      </c>
      <c r="AE22" s="84"/>
    </row>
    <row r="23" spans="1:31">
      <c r="A23" s="3" t="s">
        <v>351</v>
      </c>
      <c r="C23" s="249">
        <f t="shared" si="2"/>
        <v>632</v>
      </c>
      <c r="D23" s="249">
        <f t="shared" si="2"/>
        <v>647</v>
      </c>
      <c r="E23" s="254">
        <v>1</v>
      </c>
      <c r="F23" s="20"/>
      <c r="G23" s="2">
        <f t="shared" si="3"/>
        <v>632</v>
      </c>
      <c r="H23" s="2">
        <f t="shared" si="3"/>
        <v>647</v>
      </c>
      <c r="I23" s="254">
        <v>1</v>
      </c>
      <c r="J23" s="20"/>
      <c r="K23" s="2">
        <f>K40+K57+K74</f>
        <v>647</v>
      </c>
      <c r="M23" s="84">
        <f>I23*D23</f>
        <v>647</v>
      </c>
      <c r="O23" s="105">
        <f>SUM(O16:O22)</f>
        <v>3811541</v>
      </c>
      <c r="P23" s="3"/>
      <c r="Q23" s="251">
        <f>SUM(Q16:Q22)</f>
        <v>-1.1434763202455836E-10</v>
      </c>
      <c r="AE23" s="84"/>
    </row>
    <row r="24" spans="1:31">
      <c r="A24" s="3" t="s">
        <v>352</v>
      </c>
      <c r="C24" s="249">
        <f t="shared" si="2"/>
        <v>2828</v>
      </c>
      <c r="D24" s="249">
        <f t="shared" si="2"/>
        <v>2797.0833333333335</v>
      </c>
      <c r="E24" s="250"/>
      <c r="G24" s="2"/>
      <c r="H24" s="2"/>
      <c r="I24" s="250"/>
      <c r="K24" s="2"/>
      <c r="M24" s="84"/>
      <c r="O24" s="84">
        <v>-1.1641532182693481E-10</v>
      </c>
      <c r="P24" s="3"/>
      <c r="AE24" s="84"/>
    </row>
    <row r="25" spans="1:31">
      <c r="A25" s="3" t="s">
        <v>35</v>
      </c>
      <c r="C25" s="249">
        <f t="shared" si="2"/>
        <v>3727613.5</v>
      </c>
      <c r="D25" s="249">
        <f t="shared" si="2"/>
        <v>3794904.7279999279</v>
      </c>
      <c r="E25" s="254"/>
      <c r="F25" s="20"/>
      <c r="G25" s="2">
        <f>G42+G59+G76</f>
        <v>473162</v>
      </c>
      <c r="H25" s="2">
        <f>H42+H59+H76</f>
        <v>481444</v>
      </c>
      <c r="I25" s="254"/>
      <c r="J25" s="20"/>
      <c r="K25" s="255">
        <f>K42+K59+K76</f>
        <v>481444</v>
      </c>
      <c r="M25" s="84">
        <f>SUM(M16:M24)</f>
        <v>481443.73999999993</v>
      </c>
      <c r="O25" s="256">
        <f>O24/O23</f>
        <v>-3.0542849159155002E-17</v>
      </c>
      <c r="P25" s="3"/>
      <c r="AE25" s="84"/>
    </row>
    <row r="26" spans="1:31">
      <c r="A26" s="3" t="s">
        <v>353</v>
      </c>
      <c r="C26" s="249">
        <f>C43+C60+C77</f>
        <v>7475.3644456641432</v>
      </c>
      <c r="D26" s="249">
        <v>0</v>
      </c>
      <c r="E26" s="254"/>
      <c r="F26" s="20"/>
      <c r="G26" s="257">
        <f>G43+G60+G77</f>
        <v>758.26673033638372</v>
      </c>
      <c r="H26" s="257">
        <v>0</v>
      </c>
      <c r="I26" s="254"/>
      <c r="J26" s="20"/>
      <c r="K26" s="257">
        <f>K43+K60+K77</f>
        <v>0</v>
      </c>
      <c r="AE26" s="84"/>
    </row>
    <row r="27" spans="1:31" ht="16.5" thickBot="1">
      <c r="A27" s="3" t="s">
        <v>9</v>
      </c>
      <c r="C27" s="258">
        <f>C25+C26</f>
        <v>3735088.864445664</v>
      </c>
      <c r="D27" s="258">
        <f>D25+D26</f>
        <v>3794904.7279999279</v>
      </c>
      <c r="E27" s="259"/>
      <c r="F27" s="259"/>
      <c r="G27" s="259">
        <f>G25+G26</f>
        <v>473920.26673033636</v>
      </c>
      <c r="H27" s="259">
        <f>H25+H26</f>
        <v>481444</v>
      </c>
      <c r="I27" s="259"/>
      <c r="J27" s="259"/>
      <c r="K27" s="259">
        <f>K25+K26</f>
        <v>481444</v>
      </c>
      <c r="N27" s="3" t="s">
        <v>354</v>
      </c>
      <c r="O27" s="69" t="e">
        <f>#REF!*1000</f>
        <v>#REF!</v>
      </c>
      <c r="Q27" s="14"/>
      <c r="AE27" s="84"/>
    </row>
    <row r="28" spans="1:31" ht="16.5" thickTop="1">
      <c r="C28" s="260"/>
      <c r="D28" s="260"/>
      <c r="E28" s="260"/>
      <c r="F28" s="260"/>
      <c r="G28" s="248"/>
      <c r="H28" s="248"/>
      <c r="I28" s="1" t="s">
        <v>31</v>
      </c>
      <c r="J28" s="260"/>
      <c r="K28" s="2" t="s">
        <v>31</v>
      </c>
      <c r="N28" s="3" t="s">
        <v>257</v>
      </c>
      <c r="O28" s="69" t="e">
        <f>O27-K27</f>
        <v>#REF!</v>
      </c>
      <c r="P28" s="14" t="e">
        <f>(O27-K27)/K27</f>
        <v>#REF!</v>
      </c>
      <c r="Q28" s="14"/>
      <c r="AE28" s="84"/>
    </row>
    <row r="29" spans="1:31">
      <c r="A29" s="247" t="s">
        <v>341</v>
      </c>
      <c r="G29" s="248"/>
      <c r="H29" s="248"/>
      <c r="O29" s="261" t="e">
        <f>O28/(K16+K17+K18+K20+K21+K22)</f>
        <v>#REF!</v>
      </c>
      <c r="P29" s="3"/>
      <c r="AE29" s="84"/>
    </row>
    <row r="30" spans="1:31">
      <c r="A30" s="3" t="s">
        <v>355</v>
      </c>
      <c r="G30" s="248"/>
      <c r="H30" s="248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AE30" s="84"/>
    </row>
    <row r="31" spans="1:31">
      <c r="E31" s="249"/>
      <c r="G31" s="248"/>
      <c r="H31" s="248"/>
      <c r="M31" s="263"/>
      <c r="N31" s="263"/>
      <c r="O31" s="263"/>
      <c r="P31" s="263"/>
      <c r="Q31" s="263"/>
      <c r="R31" s="263"/>
      <c r="S31" s="263"/>
      <c r="T31" s="263"/>
      <c r="U31" s="263"/>
      <c r="V31" s="263"/>
      <c r="W31" s="263"/>
      <c r="X31" s="262"/>
      <c r="AE31" s="84"/>
    </row>
    <row r="32" spans="1:31">
      <c r="A32" s="3" t="s">
        <v>343</v>
      </c>
      <c r="G32" s="248"/>
      <c r="H32" s="248"/>
      <c r="M32" s="263"/>
      <c r="N32" s="263"/>
      <c r="O32" s="263"/>
      <c r="P32" s="74"/>
      <c r="Q32" s="264"/>
      <c r="R32" s="265"/>
      <c r="S32" s="266"/>
      <c r="T32" s="267"/>
      <c r="U32" s="263"/>
      <c r="V32" s="263"/>
      <c r="W32" s="263"/>
      <c r="X32" s="262"/>
      <c r="AE32" s="84"/>
    </row>
    <row r="33" spans="1:31">
      <c r="A33" s="3" t="s">
        <v>344</v>
      </c>
      <c r="C33" s="249">
        <f>14258+124</f>
        <v>14382</v>
      </c>
      <c r="D33" s="249">
        <f>ROUND(C33*($D$42/$C$42),0)</f>
        <v>14272</v>
      </c>
      <c r="E33" s="250">
        <v>9.6</v>
      </c>
      <c r="G33" s="2">
        <f>ROUND(E33*$C33,0)</f>
        <v>138067</v>
      </c>
      <c r="H33" s="2">
        <f>ROUND(E33*$D33,0)</f>
        <v>137011</v>
      </c>
      <c r="I33" s="250">
        <f>$I$16</f>
        <v>9.6</v>
      </c>
      <c r="K33" s="2">
        <f>ROUND(I33*$D33,0)</f>
        <v>137011</v>
      </c>
      <c r="M33" s="20"/>
      <c r="N33" s="20"/>
      <c r="O33" s="266"/>
      <c r="P33" s="74"/>
      <c r="Q33" s="263"/>
      <c r="R33" s="268"/>
      <c r="S33" s="269"/>
      <c r="T33" s="263"/>
      <c r="U33" s="266"/>
      <c r="V33" s="266"/>
      <c r="W33" s="270"/>
      <c r="X33" s="271"/>
      <c r="AE33" s="84"/>
    </row>
    <row r="34" spans="1:31">
      <c r="A34" s="3" t="s">
        <v>345</v>
      </c>
      <c r="C34" s="249">
        <f>262+12</f>
        <v>274</v>
      </c>
      <c r="D34" s="249">
        <f>ROUND(C34*($D$42/$C$42),0)</f>
        <v>272</v>
      </c>
      <c r="E34" s="250">
        <v>18.28</v>
      </c>
      <c r="G34" s="2">
        <f>ROUND(E34*$C34,0)</f>
        <v>5009</v>
      </c>
      <c r="H34" s="2">
        <f>ROUND(E34*$D34,0)</f>
        <v>4972</v>
      </c>
      <c r="I34" s="250">
        <f>$I$17</f>
        <v>18.28</v>
      </c>
      <c r="K34" s="2">
        <f>ROUND(I34*$D34,0)</f>
        <v>4972</v>
      </c>
      <c r="M34" s="20"/>
      <c r="N34" s="20"/>
      <c r="O34" s="266"/>
      <c r="P34" s="74"/>
      <c r="Q34" s="20"/>
      <c r="R34" s="272"/>
      <c r="S34" s="263"/>
      <c r="T34" s="263"/>
      <c r="U34" s="266"/>
      <c r="V34" s="266"/>
      <c r="W34" s="270"/>
      <c r="X34" s="271"/>
      <c r="AE34" s="84"/>
    </row>
    <row r="35" spans="1:31">
      <c r="A35" s="3" t="s">
        <v>346</v>
      </c>
      <c r="C35" s="249">
        <f>2</f>
        <v>2</v>
      </c>
      <c r="D35" s="249">
        <f>ROUND(C35*($D$42/$C$42),0)</f>
        <v>2</v>
      </c>
      <c r="E35" s="250">
        <v>37.82</v>
      </c>
      <c r="G35" s="2">
        <f>ROUND(E35*$C35,0)</f>
        <v>76</v>
      </c>
      <c r="H35" s="2">
        <f>ROUND(E35*$D35,0)</f>
        <v>76</v>
      </c>
      <c r="I35" s="250">
        <f>$I$18</f>
        <v>37.82</v>
      </c>
      <c r="K35" s="2">
        <f>ROUND(I35*$D35,0)</f>
        <v>76</v>
      </c>
      <c r="M35" s="20"/>
      <c r="N35" s="20"/>
      <c r="O35" s="266"/>
      <c r="P35" s="74"/>
      <c r="Q35" s="20"/>
      <c r="R35" s="272"/>
      <c r="S35" s="263"/>
      <c r="T35" s="263"/>
      <c r="U35" s="266"/>
      <c r="V35" s="266"/>
      <c r="W35" s="270"/>
      <c r="X35" s="271"/>
      <c r="AE35" s="84"/>
    </row>
    <row r="36" spans="1:31">
      <c r="A36" s="3" t="s">
        <v>347</v>
      </c>
      <c r="C36" s="249"/>
      <c r="D36" s="249"/>
      <c r="E36" s="250"/>
      <c r="G36" s="2"/>
      <c r="H36" s="2"/>
      <c r="I36" s="250"/>
      <c r="K36" s="2"/>
      <c r="M36" s="20"/>
      <c r="N36" s="20"/>
      <c r="O36" s="266"/>
      <c r="P36" s="74"/>
      <c r="Q36" s="20"/>
      <c r="R36" s="272"/>
      <c r="S36" s="263"/>
      <c r="T36" s="263"/>
      <c r="U36" s="266"/>
      <c r="V36" s="266"/>
      <c r="W36" s="270"/>
      <c r="X36" s="271"/>
      <c r="AE36" s="84"/>
    </row>
    <row r="37" spans="1:31">
      <c r="A37" s="3" t="s">
        <v>348</v>
      </c>
      <c r="C37" s="249">
        <f>921</f>
        <v>921</v>
      </c>
      <c r="D37" s="249">
        <f>ROUND(C37*($D$42/$C$42),0)</f>
        <v>914</v>
      </c>
      <c r="E37" s="250">
        <v>10.92</v>
      </c>
      <c r="G37" s="2">
        <f>ROUND(E37*$C37,0)</f>
        <v>10057</v>
      </c>
      <c r="H37" s="2">
        <f>ROUND(E37*$D37,0)</f>
        <v>9981</v>
      </c>
      <c r="I37" s="250">
        <f>$I$20</f>
        <v>10.92</v>
      </c>
      <c r="K37" s="2">
        <f>ROUND(I37*$D37,0)</f>
        <v>9981</v>
      </c>
      <c r="M37" s="20"/>
      <c r="N37" s="20"/>
      <c r="O37" s="266"/>
      <c r="P37" s="74"/>
      <c r="Q37" s="20"/>
      <c r="R37" s="272"/>
      <c r="S37" s="263"/>
      <c r="T37" s="263"/>
      <c r="U37" s="266"/>
      <c r="V37" s="266"/>
      <c r="W37" s="270"/>
      <c r="X37" s="271"/>
      <c r="AE37" s="84"/>
    </row>
    <row r="38" spans="1:31">
      <c r="A38" s="3" t="s">
        <v>349</v>
      </c>
      <c r="C38" s="249">
        <f>234</f>
        <v>234</v>
      </c>
      <c r="D38" s="249">
        <f>ROUND(C38*($D$42/$C$42),0)</f>
        <v>232</v>
      </c>
      <c r="E38" s="250">
        <v>16.04</v>
      </c>
      <c r="G38" s="2">
        <f>ROUND(E38*$C38,0)</f>
        <v>3753</v>
      </c>
      <c r="H38" s="2">
        <f>ROUND(E38*$D38,0)</f>
        <v>3721</v>
      </c>
      <c r="I38" s="250">
        <f>$I$21</f>
        <v>16.04</v>
      </c>
      <c r="K38" s="2">
        <f>ROUND(I38*$D38,0)</f>
        <v>3721</v>
      </c>
      <c r="M38" s="20"/>
      <c r="N38" s="20"/>
      <c r="O38" s="266"/>
      <c r="P38" s="74"/>
      <c r="Q38" s="20"/>
      <c r="R38" s="272"/>
      <c r="S38" s="263"/>
      <c r="T38" s="263"/>
      <c r="U38" s="266"/>
      <c r="V38" s="266"/>
      <c r="W38" s="270"/>
      <c r="X38" s="271"/>
      <c r="AE38" s="84"/>
    </row>
    <row r="39" spans="1:31">
      <c r="A39" s="3" t="s">
        <v>350</v>
      </c>
      <c r="C39" s="249">
        <f>12</f>
        <v>12</v>
      </c>
      <c r="D39" s="249">
        <f>ROUND(C39*($D$42/$C$42),0)</f>
        <v>12</v>
      </c>
      <c r="E39" s="250">
        <v>25.88</v>
      </c>
      <c r="G39" s="2">
        <f>ROUND(E39*$C39,0)</f>
        <v>311</v>
      </c>
      <c r="H39" s="2">
        <f>ROUND(E39*$D39,0)</f>
        <v>311</v>
      </c>
      <c r="I39" s="250">
        <f>$I$22</f>
        <v>25.88</v>
      </c>
      <c r="K39" s="2">
        <f>ROUND(I39*$D39,0)</f>
        <v>311</v>
      </c>
      <c r="M39" s="20"/>
      <c r="N39" s="20"/>
      <c r="O39" s="266"/>
      <c r="P39" s="74"/>
      <c r="Q39" s="20"/>
      <c r="R39" s="272"/>
      <c r="S39" s="263"/>
      <c r="T39" s="263"/>
      <c r="U39" s="266"/>
      <c r="V39" s="266"/>
      <c r="W39" s="270"/>
      <c r="X39" s="271"/>
      <c r="AE39" s="84"/>
    </row>
    <row r="40" spans="1:31">
      <c r="A40" s="3" t="s">
        <v>351</v>
      </c>
      <c r="C40" s="249">
        <f>125+12+2</f>
        <v>139</v>
      </c>
      <c r="D40" s="249">
        <f>ROUND(C40*($D$42/$C$42),0)</f>
        <v>138</v>
      </c>
      <c r="E40" s="254">
        <v>1</v>
      </c>
      <c r="F40" s="20"/>
      <c r="G40" s="257">
        <f>ROUND(E40*$C40,0)</f>
        <v>139</v>
      </c>
      <c r="H40" s="257">
        <f>ROUND(E40*$D40,0)</f>
        <v>138</v>
      </c>
      <c r="I40" s="254">
        <f>$I$23</f>
        <v>1</v>
      </c>
      <c r="J40" s="20"/>
      <c r="K40" s="257">
        <f>ROUND(I40*$D40,0)</f>
        <v>138</v>
      </c>
      <c r="M40" s="263"/>
      <c r="N40" s="263"/>
      <c r="O40" s="266"/>
      <c r="P40" s="74"/>
      <c r="Q40" s="20"/>
      <c r="R40" s="263"/>
      <c r="S40" s="263"/>
      <c r="T40" s="263"/>
      <c r="U40" s="266"/>
      <c r="V40" s="266"/>
      <c r="W40" s="266"/>
      <c r="X40" s="271"/>
      <c r="AE40" s="84"/>
    </row>
    <row r="41" spans="1:31">
      <c r="A41" s="3" t="s">
        <v>352</v>
      </c>
      <c r="C41" s="249">
        <v>1293</v>
      </c>
      <c r="D41" s="249">
        <v>1276.1666666666667</v>
      </c>
      <c r="E41" s="250"/>
      <c r="G41" s="2"/>
      <c r="H41" s="2"/>
      <c r="I41" s="250"/>
      <c r="K41" s="2"/>
      <c r="M41" s="263"/>
      <c r="N41" s="263"/>
      <c r="O41" s="263"/>
      <c r="P41" s="263"/>
      <c r="Q41" s="263"/>
      <c r="R41" s="263"/>
      <c r="S41" s="263"/>
      <c r="T41" s="263"/>
      <c r="U41" s="273"/>
      <c r="V41" s="263"/>
      <c r="W41" s="263"/>
      <c r="X41" s="262"/>
      <c r="AE41" s="84"/>
    </row>
    <row r="42" spans="1:31">
      <c r="A42" s="3" t="s">
        <v>35</v>
      </c>
      <c r="C42" s="249">
        <v>1187224</v>
      </c>
      <c r="D42" s="249">
        <v>1178171.795773752</v>
      </c>
      <c r="E42" s="254"/>
      <c r="F42" s="20"/>
      <c r="G42" s="257">
        <f>SUM(G33:G40)</f>
        <v>157412</v>
      </c>
      <c r="H42" s="257">
        <f>SUM(H33:H40)</f>
        <v>156210</v>
      </c>
      <c r="I42" s="254"/>
      <c r="J42" s="20"/>
      <c r="K42" s="257">
        <f>SUM(K33:K40)</f>
        <v>156210</v>
      </c>
      <c r="M42" s="263"/>
      <c r="N42" s="263"/>
      <c r="O42" s="272"/>
      <c r="P42" s="263"/>
      <c r="Q42" s="20"/>
      <c r="R42" s="20"/>
      <c r="S42" s="20"/>
      <c r="T42" s="263"/>
      <c r="U42" s="263"/>
      <c r="V42" s="263"/>
      <c r="W42" s="263"/>
      <c r="X42" s="262"/>
      <c r="AE42" s="84"/>
    </row>
    <row r="43" spans="1:31">
      <c r="A43" s="3" t="s">
        <v>353</v>
      </c>
      <c r="C43" s="249">
        <v>718.56078337023234</v>
      </c>
      <c r="D43" s="249">
        <v>0</v>
      </c>
      <c r="E43" s="254"/>
      <c r="F43" s="20"/>
      <c r="G43" s="257">
        <v>42.574697195479054</v>
      </c>
      <c r="H43" s="257">
        <v>0</v>
      </c>
      <c r="I43" s="254"/>
      <c r="J43" s="20"/>
      <c r="K43" s="257">
        <v>0</v>
      </c>
      <c r="M43" s="274"/>
      <c r="N43" s="274"/>
      <c r="O43" s="275"/>
      <c r="P43" s="262"/>
      <c r="Q43" s="262"/>
      <c r="R43" s="268"/>
      <c r="S43" s="266"/>
      <c r="T43" s="263"/>
      <c r="U43" s="262"/>
      <c r="V43" s="262"/>
      <c r="W43" s="262"/>
      <c r="X43" s="262"/>
      <c r="AE43" s="84"/>
    </row>
    <row r="44" spans="1:31" ht="16.5" thickBot="1">
      <c r="A44" s="3" t="s">
        <v>9</v>
      </c>
      <c r="C44" s="258">
        <f>C42+C43</f>
        <v>1187942.5607833702</v>
      </c>
      <c r="D44" s="258">
        <f>SUM(D42:D43)</f>
        <v>1178171.795773752</v>
      </c>
      <c r="E44" s="259"/>
      <c r="F44" s="259"/>
      <c r="G44" s="259">
        <f>G42+G43</f>
        <v>157454.57469719546</v>
      </c>
      <c r="H44" s="259">
        <f>H42+H43</f>
        <v>156210</v>
      </c>
      <c r="I44" s="259"/>
      <c r="J44" s="259"/>
      <c r="K44" s="259">
        <f>K42+K43</f>
        <v>156210</v>
      </c>
      <c r="M44" s="276"/>
      <c r="N44" s="276"/>
      <c r="O44" s="277"/>
      <c r="P44" s="262"/>
      <c r="Q44" s="262"/>
      <c r="R44" s="263"/>
      <c r="S44" s="263"/>
      <c r="T44" s="263"/>
      <c r="U44" s="262"/>
      <c r="V44" s="262"/>
      <c r="W44" s="262"/>
      <c r="X44" s="262"/>
      <c r="AE44" s="84"/>
    </row>
    <row r="45" spans="1:31" ht="16.5" thickTop="1">
      <c r="C45" s="260"/>
      <c r="D45" s="260"/>
      <c r="E45" s="260"/>
      <c r="F45" s="260"/>
      <c r="G45" s="248"/>
      <c r="H45" s="248"/>
      <c r="I45" s="1" t="s">
        <v>31</v>
      </c>
      <c r="J45" s="260"/>
      <c r="K45" s="2" t="s">
        <v>31</v>
      </c>
      <c r="P45" s="74"/>
      <c r="Q45" s="20"/>
      <c r="R45" s="20"/>
      <c r="S45" s="20"/>
      <c r="T45" s="263"/>
      <c r="U45" s="263"/>
      <c r="V45" s="263"/>
      <c r="W45" s="263"/>
      <c r="X45" s="263"/>
      <c r="Y45" s="20"/>
      <c r="Z45" s="20"/>
      <c r="AE45" s="84"/>
    </row>
    <row r="46" spans="1:31">
      <c r="A46" s="247" t="s">
        <v>341</v>
      </c>
      <c r="G46" s="248"/>
      <c r="H46" s="248"/>
      <c r="P46" s="74"/>
      <c r="Q46" s="20"/>
      <c r="R46" s="20"/>
      <c r="S46" s="20"/>
      <c r="T46" s="263"/>
      <c r="U46" s="263"/>
      <c r="V46" s="263"/>
      <c r="W46" s="263"/>
      <c r="X46" s="263"/>
      <c r="Y46" s="20"/>
      <c r="Z46" s="20"/>
      <c r="AE46" s="84"/>
    </row>
    <row r="47" spans="1:31">
      <c r="A47" s="3" t="s">
        <v>356</v>
      </c>
      <c r="G47" s="248"/>
      <c r="H47" s="248"/>
      <c r="M47" s="262"/>
      <c r="N47" s="262"/>
      <c r="O47" s="262"/>
      <c r="P47" s="263"/>
      <c r="Q47" s="263"/>
      <c r="R47" s="263"/>
      <c r="S47" s="263"/>
      <c r="T47" s="263"/>
      <c r="U47" s="263"/>
      <c r="V47" s="263"/>
      <c r="W47" s="263"/>
      <c r="X47" s="263"/>
      <c r="Y47" s="20"/>
      <c r="Z47" s="20"/>
      <c r="AE47" s="84"/>
    </row>
    <row r="48" spans="1:31">
      <c r="G48" s="248"/>
      <c r="H48" s="248"/>
      <c r="M48" s="262"/>
      <c r="N48" s="262"/>
      <c r="O48" s="262"/>
      <c r="P48" s="263"/>
      <c r="Q48" s="263"/>
      <c r="R48" s="263"/>
      <c r="S48" s="263"/>
      <c r="T48" s="263"/>
      <c r="U48" s="263"/>
      <c r="V48" s="263"/>
      <c r="W48" s="263"/>
      <c r="X48" s="263"/>
      <c r="Y48" s="20"/>
      <c r="Z48" s="20"/>
      <c r="AE48" s="84"/>
    </row>
    <row r="49" spans="1:31">
      <c r="A49" s="3" t="s">
        <v>343</v>
      </c>
      <c r="G49" s="248"/>
      <c r="H49" s="248"/>
      <c r="M49" s="262"/>
      <c r="N49" s="262"/>
      <c r="O49" s="262"/>
      <c r="P49" s="74"/>
      <c r="Q49" s="264"/>
      <c r="R49" s="265"/>
      <c r="S49" s="266"/>
      <c r="T49" s="267"/>
      <c r="U49" s="263"/>
      <c r="V49" s="263"/>
      <c r="W49" s="263"/>
      <c r="X49" s="263"/>
      <c r="Y49" s="20"/>
      <c r="Z49" s="20"/>
      <c r="AE49" s="84"/>
    </row>
    <row r="50" spans="1:31">
      <c r="A50" s="3" t="s">
        <v>344</v>
      </c>
      <c r="C50" s="249">
        <f>8661+12+6864+36</f>
        <v>15573</v>
      </c>
      <c r="D50" s="249">
        <f>ROUND(C50*($D$59/$C$59),0)</f>
        <v>16032</v>
      </c>
      <c r="E50" s="250">
        <v>9.6</v>
      </c>
      <c r="G50" s="2">
        <f>ROUND(E50*$C50,0)</f>
        <v>149501</v>
      </c>
      <c r="H50" s="2">
        <f>ROUND(E50*$D50,0)</f>
        <v>153907</v>
      </c>
      <c r="I50" s="250">
        <f>$I$16</f>
        <v>9.6</v>
      </c>
      <c r="K50" s="2">
        <f>ROUND(I50*$D50,0)</f>
        <v>153907</v>
      </c>
      <c r="O50" s="271"/>
      <c r="P50" s="74"/>
      <c r="Q50" s="263"/>
      <c r="R50" s="268"/>
      <c r="S50" s="269"/>
      <c r="T50" s="263"/>
      <c r="U50" s="266"/>
      <c r="V50" s="266"/>
      <c r="W50" s="270"/>
      <c r="X50" s="266"/>
      <c r="Y50" s="20"/>
      <c r="Z50" s="20"/>
      <c r="AE50" s="84"/>
    </row>
    <row r="51" spans="1:31">
      <c r="A51" s="3" t="s">
        <v>345</v>
      </c>
      <c r="C51" s="249">
        <f>3458+252+477</f>
        <v>4187</v>
      </c>
      <c r="D51" s="249">
        <f>ROUND(C51*($D$59/$C$59),0)</f>
        <v>4311</v>
      </c>
      <c r="E51" s="250">
        <v>18.28</v>
      </c>
      <c r="G51" s="2">
        <f>ROUND(E51*$C51,0)</f>
        <v>76538</v>
      </c>
      <c r="H51" s="2">
        <f>ROUND(E51*$D51,0)</f>
        <v>78805</v>
      </c>
      <c r="I51" s="250">
        <f>$I$17</f>
        <v>18.28</v>
      </c>
      <c r="K51" s="2">
        <f>ROUND(I51*$D51,0)</f>
        <v>78805</v>
      </c>
      <c r="O51" s="271"/>
      <c r="P51" s="74"/>
      <c r="Q51" s="20"/>
      <c r="R51" s="272"/>
      <c r="S51" s="263"/>
      <c r="T51" s="263"/>
      <c r="U51" s="266"/>
      <c r="V51" s="266"/>
      <c r="W51" s="270"/>
      <c r="X51" s="266"/>
      <c r="Y51" s="20"/>
      <c r="Z51" s="20"/>
      <c r="AE51" s="84"/>
    </row>
    <row r="52" spans="1:31">
      <c r="A52" s="3" t="s">
        <v>346</v>
      </c>
      <c r="C52" s="249">
        <f>511+48+36+12</f>
        <v>607</v>
      </c>
      <c r="D52" s="249">
        <f>ROUND(C52*($D$59/$C$59),0)</f>
        <v>625</v>
      </c>
      <c r="E52" s="250">
        <v>37.82</v>
      </c>
      <c r="G52" s="2">
        <f>ROUND(E52*$C52,0)</f>
        <v>22957</v>
      </c>
      <c r="H52" s="2">
        <f>ROUND(E52*$D52,0)</f>
        <v>23638</v>
      </c>
      <c r="I52" s="250">
        <f>$I$18</f>
        <v>37.82</v>
      </c>
      <c r="K52" s="2">
        <f>ROUND(I52*$D52,0)</f>
        <v>23638</v>
      </c>
      <c r="O52" s="271"/>
      <c r="P52" s="74"/>
      <c r="Q52" s="20"/>
      <c r="R52" s="272"/>
      <c r="S52" s="263"/>
      <c r="T52" s="263"/>
      <c r="U52" s="266"/>
      <c r="V52" s="266"/>
      <c r="W52" s="270"/>
      <c r="X52" s="266"/>
      <c r="Y52" s="20"/>
      <c r="Z52" s="20"/>
      <c r="AE52" s="84"/>
    </row>
    <row r="53" spans="1:31">
      <c r="A53" s="3" t="s">
        <v>347</v>
      </c>
      <c r="C53" s="249"/>
      <c r="D53" s="249"/>
      <c r="E53" s="250"/>
      <c r="G53" s="2"/>
      <c r="H53" s="2"/>
      <c r="I53" s="250"/>
      <c r="K53" s="2"/>
      <c r="O53" s="271"/>
      <c r="P53" s="74"/>
      <c r="Q53" s="20"/>
      <c r="R53" s="272"/>
      <c r="S53" s="263"/>
      <c r="T53" s="263"/>
      <c r="U53" s="266"/>
      <c r="V53" s="266"/>
      <c r="W53" s="270"/>
      <c r="X53" s="266"/>
      <c r="Y53" s="20"/>
      <c r="Z53" s="20"/>
      <c r="AE53" s="84"/>
    </row>
    <row r="54" spans="1:31">
      <c r="A54" s="3" t="s">
        <v>348</v>
      </c>
      <c r="C54" s="249">
        <f>634+503</f>
        <v>1137</v>
      </c>
      <c r="D54" s="249">
        <f>ROUND(C54*($D$59/$C$59),0)</f>
        <v>1171</v>
      </c>
      <c r="E54" s="250">
        <v>10.92</v>
      </c>
      <c r="G54" s="2">
        <f>ROUND(E54*$C54,0)</f>
        <v>12416</v>
      </c>
      <c r="H54" s="2">
        <f>ROUND(E54*$D54,0)</f>
        <v>12787</v>
      </c>
      <c r="I54" s="250">
        <f>$I$20</f>
        <v>10.92</v>
      </c>
      <c r="K54" s="2">
        <f>ROUND(I54*$D54,0)</f>
        <v>12787</v>
      </c>
      <c r="O54" s="271"/>
      <c r="P54" s="74"/>
      <c r="Q54" s="20"/>
      <c r="R54" s="272"/>
      <c r="S54" s="263"/>
      <c r="T54" s="263"/>
      <c r="U54" s="266"/>
      <c r="V54" s="266"/>
      <c r="W54" s="270"/>
      <c r="X54" s="266"/>
      <c r="Y54" s="20"/>
      <c r="Z54" s="20"/>
      <c r="AE54" s="84"/>
    </row>
    <row r="55" spans="1:31">
      <c r="A55" s="3" t="s">
        <v>349</v>
      </c>
      <c r="C55" s="249">
        <f>1234+237</f>
        <v>1471</v>
      </c>
      <c r="D55" s="249">
        <f>ROUND(C55*($D$59/$C$59),0)</f>
        <v>1514</v>
      </c>
      <c r="E55" s="250">
        <v>16.04</v>
      </c>
      <c r="G55" s="2">
        <f>ROUND(E55*$C55,0)</f>
        <v>23595</v>
      </c>
      <c r="H55" s="2">
        <f>ROUND(E55*$D55,0)</f>
        <v>24285</v>
      </c>
      <c r="I55" s="250">
        <f>$I$21</f>
        <v>16.04</v>
      </c>
      <c r="K55" s="2">
        <f>ROUND(I55*$D55,0)</f>
        <v>24285</v>
      </c>
      <c r="O55" s="271"/>
      <c r="P55" s="74"/>
      <c r="Q55" s="20"/>
      <c r="R55" s="272"/>
      <c r="S55" s="263"/>
      <c r="T55" s="263"/>
      <c r="U55" s="266"/>
      <c r="V55" s="266"/>
      <c r="W55" s="270"/>
      <c r="X55" s="266"/>
      <c r="Y55" s="20"/>
      <c r="Z55" s="20"/>
      <c r="AE55" s="84"/>
    </row>
    <row r="56" spans="1:31">
      <c r="A56" s="3" t="s">
        <v>350</v>
      </c>
      <c r="C56" s="249">
        <f>385+48</f>
        <v>433</v>
      </c>
      <c r="D56" s="249">
        <f>ROUND(C56*($D$59/$C$59),0)</f>
        <v>446</v>
      </c>
      <c r="E56" s="250">
        <v>25.88</v>
      </c>
      <c r="G56" s="2">
        <f>ROUND(E56*$C56,0)</f>
        <v>11206</v>
      </c>
      <c r="H56" s="2">
        <f>ROUND(E56*$D56,0)</f>
        <v>11542</v>
      </c>
      <c r="I56" s="250">
        <f>$I$22</f>
        <v>25.88</v>
      </c>
      <c r="K56" s="2">
        <f>ROUND(I56*$D56,0)</f>
        <v>11542</v>
      </c>
      <c r="O56" s="271"/>
      <c r="P56" s="74"/>
      <c r="Q56" s="20"/>
      <c r="R56" s="272"/>
      <c r="S56" s="263"/>
      <c r="T56" s="263"/>
      <c r="U56" s="266"/>
      <c r="V56" s="266"/>
      <c r="W56" s="270"/>
      <c r="X56" s="266"/>
      <c r="Y56" s="20"/>
      <c r="Z56" s="20"/>
      <c r="AE56" s="84"/>
    </row>
    <row r="57" spans="1:31">
      <c r="A57" s="3" t="s">
        <v>351</v>
      </c>
      <c r="C57" s="249">
        <f>12+252+48+36+12</f>
        <v>360</v>
      </c>
      <c r="D57" s="249">
        <f>ROUND(C57*($D$59/$C$59),0)</f>
        <v>371</v>
      </c>
      <c r="E57" s="254">
        <v>1</v>
      </c>
      <c r="F57" s="20"/>
      <c r="G57" s="257">
        <f>ROUND(E57*$C57,0)</f>
        <v>360</v>
      </c>
      <c r="H57" s="257">
        <f>ROUND(E57*$D57,0)</f>
        <v>371</v>
      </c>
      <c r="I57" s="254">
        <f>$I$23</f>
        <v>1</v>
      </c>
      <c r="J57" s="20"/>
      <c r="K57" s="257">
        <f>ROUND(I57*$D57,0)</f>
        <v>371</v>
      </c>
      <c r="M57" s="262"/>
      <c r="N57" s="262"/>
      <c r="O57" s="266"/>
      <c r="P57" s="74"/>
      <c r="Q57" s="20"/>
      <c r="R57" s="263"/>
      <c r="S57" s="263"/>
      <c r="T57" s="263"/>
      <c r="U57" s="266"/>
      <c r="V57" s="266"/>
      <c r="W57" s="266"/>
      <c r="X57" s="266"/>
      <c r="Y57" s="20"/>
      <c r="Z57" s="20"/>
      <c r="AE57" s="84"/>
    </row>
    <row r="58" spans="1:31">
      <c r="A58" s="3" t="s">
        <v>352</v>
      </c>
      <c r="C58" s="249">
        <v>1470</v>
      </c>
      <c r="D58" s="249">
        <v>1459</v>
      </c>
      <c r="E58" s="250"/>
      <c r="G58" s="2"/>
      <c r="H58" s="2"/>
      <c r="I58" s="250"/>
      <c r="K58" s="2"/>
      <c r="M58" s="262"/>
      <c r="N58" s="262"/>
      <c r="O58" s="262"/>
      <c r="P58" s="263"/>
      <c r="Q58" s="263"/>
      <c r="R58" s="263"/>
      <c r="S58" s="263"/>
      <c r="T58" s="263"/>
      <c r="U58" s="273"/>
      <c r="V58" s="263"/>
      <c r="W58" s="263"/>
      <c r="X58" s="263"/>
      <c r="Y58" s="20"/>
      <c r="Z58" s="20"/>
      <c r="AE58" s="84"/>
    </row>
    <row r="59" spans="1:31">
      <c r="A59" s="3" t="s">
        <v>35</v>
      </c>
      <c r="C59" s="249">
        <v>2378799.5</v>
      </c>
      <c r="D59" s="249">
        <v>2448984.1343942713</v>
      </c>
      <c r="E59" s="254"/>
      <c r="F59" s="20"/>
      <c r="G59" s="257">
        <f>SUM(G50:G57)</f>
        <v>296573</v>
      </c>
      <c r="H59" s="257">
        <f>SUM(H50:H57)</f>
        <v>305335</v>
      </c>
      <c r="I59" s="254"/>
      <c r="J59" s="20"/>
      <c r="K59" s="257">
        <f>SUM(K50:K57)</f>
        <v>305335</v>
      </c>
      <c r="M59" s="262"/>
      <c r="N59" s="262"/>
      <c r="O59" s="275"/>
      <c r="P59" s="263"/>
      <c r="Q59" s="20"/>
      <c r="R59" s="20"/>
      <c r="S59" s="20"/>
      <c r="T59" s="263"/>
      <c r="U59" s="263"/>
      <c r="V59" s="263"/>
      <c r="W59" s="263"/>
      <c r="X59" s="263"/>
      <c r="Y59" s="20"/>
      <c r="Z59" s="20"/>
      <c r="AE59" s="84"/>
    </row>
    <row r="60" spans="1:31">
      <c r="A60" s="3" t="s">
        <v>353</v>
      </c>
      <c r="C60" s="249">
        <v>10407.99096753577</v>
      </c>
      <c r="D60" s="249">
        <v>0</v>
      </c>
      <c r="E60" s="254"/>
      <c r="F60" s="20"/>
      <c r="G60" s="257">
        <v>1073.2189733021287</v>
      </c>
      <c r="H60" s="257">
        <v>0</v>
      </c>
      <c r="I60" s="254"/>
      <c r="J60" s="20"/>
      <c r="K60" s="257">
        <v>0</v>
      </c>
      <c r="M60" s="274"/>
      <c r="N60" s="274"/>
      <c r="O60" s="275"/>
      <c r="P60" s="263"/>
      <c r="Q60" s="263"/>
      <c r="R60" s="268"/>
      <c r="S60" s="266"/>
      <c r="T60" s="263"/>
      <c r="U60" s="263"/>
      <c r="V60" s="263"/>
      <c r="W60" s="263"/>
      <c r="X60" s="263"/>
      <c r="Y60" s="20"/>
      <c r="Z60" s="20"/>
      <c r="AE60" s="84"/>
    </row>
    <row r="61" spans="1:31" ht="16.5" thickBot="1">
      <c r="A61" s="3" t="s">
        <v>9</v>
      </c>
      <c r="C61" s="258">
        <f>C59+C60</f>
        <v>2389207.4909675359</v>
      </c>
      <c r="D61" s="258">
        <f>SUM(D59:D60)</f>
        <v>2448984.1343942713</v>
      </c>
      <c r="E61" s="259"/>
      <c r="F61" s="259"/>
      <c r="G61" s="259">
        <f>G59+G60</f>
        <v>297646.21897330211</v>
      </c>
      <c r="H61" s="259">
        <f>H59+H60</f>
        <v>305335</v>
      </c>
      <c r="I61" s="259"/>
      <c r="J61" s="259"/>
      <c r="K61" s="259">
        <f>K59+K60</f>
        <v>305335</v>
      </c>
      <c r="M61" s="276"/>
      <c r="N61" s="276"/>
      <c r="O61" s="277"/>
      <c r="P61" s="263"/>
      <c r="Q61" s="263"/>
      <c r="R61" s="263"/>
      <c r="S61" s="263"/>
      <c r="T61" s="263"/>
      <c r="U61" s="263"/>
      <c r="V61" s="263"/>
      <c r="W61" s="263"/>
      <c r="X61" s="263"/>
      <c r="Y61" s="20"/>
      <c r="Z61" s="20"/>
      <c r="AE61" s="84"/>
    </row>
    <row r="62" spans="1:31" ht="16.5" thickTop="1">
      <c r="C62" s="260"/>
      <c r="D62" s="260"/>
      <c r="E62" s="260"/>
      <c r="F62" s="260"/>
      <c r="G62" s="248"/>
      <c r="H62" s="248"/>
      <c r="I62" s="1" t="s">
        <v>31</v>
      </c>
      <c r="J62" s="260"/>
      <c r="K62" s="2" t="s">
        <v>31</v>
      </c>
      <c r="AE62" s="84"/>
    </row>
    <row r="63" spans="1:31">
      <c r="A63" s="247" t="s">
        <v>341</v>
      </c>
      <c r="G63" s="248"/>
      <c r="H63" s="248"/>
      <c r="AE63" s="84"/>
    </row>
    <row r="64" spans="1:31">
      <c r="A64" s="3" t="s">
        <v>357</v>
      </c>
      <c r="G64" s="248"/>
      <c r="H64" s="248"/>
      <c r="M64" s="262"/>
      <c r="N64" s="262"/>
      <c r="O64" s="262"/>
      <c r="P64" s="262"/>
      <c r="Q64" s="262"/>
      <c r="R64" s="262"/>
      <c r="S64" s="262"/>
      <c r="T64" s="262"/>
      <c r="U64" s="262"/>
      <c r="V64" s="262"/>
      <c r="W64" s="262"/>
      <c r="X64" s="262"/>
      <c r="AE64" s="84"/>
    </row>
    <row r="65" spans="1:31">
      <c r="G65" s="248"/>
      <c r="H65" s="248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0"/>
      <c r="AE65" s="84"/>
    </row>
    <row r="66" spans="1:31">
      <c r="A66" s="3" t="s">
        <v>343</v>
      </c>
      <c r="G66" s="248"/>
      <c r="H66" s="248"/>
      <c r="M66" s="263"/>
      <c r="N66" s="263"/>
      <c r="O66" s="263"/>
      <c r="P66" s="74"/>
      <c r="Q66" s="264"/>
      <c r="R66" s="265"/>
      <c r="S66" s="266"/>
      <c r="T66" s="267"/>
      <c r="U66" s="263"/>
      <c r="V66" s="263"/>
      <c r="W66" s="263"/>
      <c r="X66" s="263"/>
      <c r="Y66" s="20"/>
      <c r="AE66" s="84"/>
    </row>
    <row r="67" spans="1:31">
      <c r="A67" s="3" t="s">
        <v>344</v>
      </c>
      <c r="C67" s="249">
        <f>336+192+132</f>
        <v>660</v>
      </c>
      <c r="D67" s="249">
        <f>ROUND(C67*($D$76/$C$76),0)</f>
        <v>685</v>
      </c>
      <c r="E67" s="250">
        <v>9.6</v>
      </c>
      <c r="G67" s="2">
        <f>ROUND(E67*$C67,0)</f>
        <v>6336</v>
      </c>
      <c r="H67" s="2">
        <f>ROUND(E67*$D67,0)</f>
        <v>6576</v>
      </c>
      <c r="I67" s="250">
        <f>$I$16</f>
        <v>9.6</v>
      </c>
      <c r="K67" s="2">
        <f>ROUND(I67*$D67,0)</f>
        <v>6576</v>
      </c>
      <c r="M67" s="20"/>
      <c r="N67" s="20"/>
      <c r="O67" s="266"/>
      <c r="P67" s="74"/>
      <c r="Q67" s="263"/>
      <c r="R67" s="268"/>
      <c r="S67" s="269"/>
      <c r="T67" s="263"/>
      <c r="U67" s="266"/>
      <c r="V67" s="266"/>
      <c r="W67" s="270"/>
      <c r="X67" s="266"/>
      <c r="Y67" s="20"/>
      <c r="AE67" s="84"/>
    </row>
    <row r="68" spans="1:31">
      <c r="A68" s="3" t="s">
        <v>345</v>
      </c>
      <c r="C68" s="249">
        <f>407+36</f>
        <v>443</v>
      </c>
      <c r="D68" s="249">
        <f>ROUND(C68*($D$76/$C$76),0)</f>
        <v>460</v>
      </c>
      <c r="E68" s="250">
        <v>18.28</v>
      </c>
      <c r="G68" s="2">
        <f>ROUND(E68*$C68,0)</f>
        <v>8098</v>
      </c>
      <c r="H68" s="2">
        <f>ROUND(E68*$D68,0)</f>
        <v>8409</v>
      </c>
      <c r="I68" s="250">
        <f>$I$17</f>
        <v>18.28</v>
      </c>
      <c r="K68" s="2">
        <f>ROUND(I68*$D68,0)</f>
        <v>8409</v>
      </c>
      <c r="M68" s="20"/>
      <c r="N68" s="20"/>
      <c r="O68" s="266"/>
      <c r="P68" s="74"/>
      <c r="Q68" s="20"/>
      <c r="R68" s="272"/>
      <c r="S68" s="263"/>
      <c r="T68" s="263"/>
      <c r="U68" s="266"/>
      <c r="V68" s="266"/>
      <c r="W68" s="270"/>
      <c r="X68" s="266"/>
      <c r="Y68" s="20"/>
      <c r="AE68" s="84"/>
    </row>
    <row r="69" spans="1:31">
      <c r="A69" s="3" t="s">
        <v>346</v>
      </c>
      <c r="C69" s="249">
        <f>48</f>
        <v>48</v>
      </c>
      <c r="D69" s="249">
        <f>ROUND(C69*($D$76/$C$76),0)</f>
        <v>50</v>
      </c>
      <c r="E69" s="250">
        <v>37.82</v>
      </c>
      <c r="G69" s="2">
        <f>ROUND(E69*$C69,0)</f>
        <v>1815</v>
      </c>
      <c r="H69" s="2">
        <f>ROUND(E69*$D69,0)</f>
        <v>1891</v>
      </c>
      <c r="I69" s="250">
        <f>$I$18</f>
        <v>37.82</v>
      </c>
      <c r="K69" s="2">
        <f>ROUND(I69*$D69,0)</f>
        <v>1891</v>
      </c>
      <c r="M69" s="20"/>
      <c r="N69" s="20"/>
      <c r="O69" s="266"/>
      <c r="P69" s="74"/>
      <c r="Q69" s="20"/>
      <c r="R69" s="272"/>
      <c r="S69" s="263"/>
      <c r="T69" s="263"/>
      <c r="U69" s="266"/>
      <c r="V69" s="266"/>
      <c r="W69" s="270"/>
      <c r="X69" s="266"/>
      <c r="Y69" s="20"/>
      <c r="AE69" s="84"/>
    </row>
    <row r="70" spans="1:31">
      <c r="A70" s="3" t="s">
        <v>347</v>
      </c>
      <c r="C70" s="249"/>
      <c r="D70" s="249"/>
      <c r="E70" s="250"/>
      <c r="G70" s="2"/>
      <c r="H70" s="2"/>
      <c r="I70" s="250"/>
      <c r="K70" s="2"/>
      <c r="M70" s="20"/>
      <c r="N70" s="20"/>
      <c r="O70" s="266"/>
      <c r="P70" s="74"/>
      <c r="Q70" s="20"/>
      <c r="R70" s="272"/>
      <c r="S70" s="263"/>
      <c r="T70" s="263"/>
      <c r="U70" s="266"/>
      <c r="V70" s="266"/>
      <c r="W70" s="270"/>
      <c r="X70" s="266"/>
      <c r="Y70" s="20"/>
      <c r="AE70" s="84"/>
    </row>
    <row r="71" spans="1:31">
      <c r="A71" s="3" t="s">
        <v>348</v>
      </c>
      <c r="C71" s="249">
        <f>12</f>
        <v>12</v>
      </c>
      <c r="D71" s="249">
        <f>ROUND(C71*($D$76/$C$76),0)</f>
        <v>12</v>
      </c>
      <c r="E71" s="250">
        <v>10.92</v>
      </c>
      <c r="G71" s="2">
        <f>ROUND(E71*$C71,0)</f>
        <v>131</v>
      </c>
      <c r="H71" s="2">
        <f>ROUND(E71*$D71,0)</f>
        <v>131</v>
      </c>
      <c r="I71" s="250">
        <f>$I$20</f>
        <v>10.92</v>
      </c>
      <c r="K71" s="2">
        <f>ROUND(I71*$D71,0)</f>
        <v>131</v>
      </c>
      <c r="M71" s="20"/>
      <c r="N71" s="20"/>
      <c r="O71" s="266"/>
      <c r="P71" s="74"/>
      <c r="Q71" s="20"/>
      <c r="R71" s="272"/>
      <c r="S71" s="263"/>
      <c r="T71" s="263"/>
      <c r="U71" s="266"/>
      <c r="V71" s="266"/>
      <c r="W71" s="270"/>
      <c r="X71" s="266"/>
      <c r="Y71" s="20"/>
      <c r="AE71" s="84"/>
    </row>
    <row r="72" spans="1:31">
      <c r="A72" s="3" t="s">
        <v>349</v>
      </c>
      <c r="C72" s="249">
        <f>96+12</f>
        <v>108</v>
      </c>
      <c r="D72" s="249">
        <f>ROUND(C72*($D$76/$C$76),0)</f>
        <v>112</v>
      </c>
      <c r="E72" s="250">
        <v>16.04</v>
      </c>
      <c r="G72" s="2">
        <f>ROUND(E72*$C72,0)</f>
        <v>1732</v>
      </c>
      <c r="H72" s="2">
        <f>ROUND(E72*$D72,0)</f>
        <v>1796</v>
      </c>
      <c r="I72" s="250">
        <f>$I$21</f>
        <v>16.04</v>
      </c>
      <c r="K72" s="2">
        <f>ROUND(I72*$D72,0)</f>
        <v>1796</v>
      </c>
      <c r="M72" s="20"/>
      <c r="N72" s="20"/>
      <c r="O72" s="266"/>
      <c r="P72" s="74"/>
      <c r="Q72" s="20"/>
      <c r="R72" s="272"/>
      <c r="S72" s="263"/>
      <c r="T72" s="263"/>
      <c r="U72" s="266"/>
      <c r="V72" s="266"/>
      <c r="W72" s="270"/>
      <c r="X72" s="266"/>
      <c r="Y72" s="20"/>
      <c r="AE72" s="84"/>
    </row>
    <row r="73" spans="1:31">
      <c r="A73" s="3" t="s">
        <v>350</v>
      </c>
      <c r="C73" s="249">
        <f>36</f>
        <v>36</v>
      </c>
      <c r="D73" s="249">
        <f>ROUND(C73*($D$76/$C$76),0)</f>
        <v>37</v>
      </c>
      <c r="E73" s="250">
        <v>25.88</v>
      </c>
      <c r="G73" s="2">
        <f>ROUND(E73*$C73,0)</f>
        <v>932</v>
      </c>
      <c r="H73" s="2">
        <f>ROUND(E73*$D73,0)</f>
        <v>958</v>
      </c>
      <c r="I73" s="250">
        <f>$I$22</f>
        <v>25.88</v>
      </c>
      <c r="K73" s="2">
        <f>ROUND(I73*$D73,0)</f>
        <v>958</v>
      </c>
      <c r="M73" s="20"/>
      <c r="N73" s="20"/>
      <c r="O73" s="266"/>
      <c r="P73" s="74"/>
      <c r="Q73" s="20"/>
      <c r="R73" s="272"/>
      <c r="S73" s="263"/>
      <c r="T73" s="263"/>
      <c r="U73" s="266"/>
      <c r="V73" s="266"/>
      <c r="W73" s="270"/>
      <c r="X73" s="266"/>
      <c r="Y73" s="20"/>
      <c r="AE73" s="84"/>
    </row>
    <row r="74" spans="1:31">
      <c r="A74" s="3" t="s">
        <v>351</v>
      </c>
      <c r="C74" s="249">
        <f>133</f>
        <v>133</v>
      </c>
      <c r="D74" s="249">
        <f>ROUND(C74*($D$76/$C$76),0)</f>
        <v>138</v>
      </c>
      <c r="E74" s="254">
        <v>1</v>
      </c>
      <c r="F74" s="20"/>
      <c r="G74" s="257">
        <f>ROUND(E74*$C74,0)</f>
        <v>133</v>
      </c>
      <c r="H74" s="257">
        <f>ROUND(E74*$D74,0)</f>
        <v>138</v>
      </c>
      <c r="I74" s="254">
        <f>$I$23</f>
        <v>1</v>
      </c>
      <c r="J74" s="20"/>
      <c r="K74" s="257">
        <f>ROUND(I74*$D74,0)</f>
        <v>138</v>
      </c>
      <c r="M74" s="263"/>
      <c r="N74" s="263"/>
      <c r="O74" s="266"/>
      <c r="P74" s="74"/>
      <c r="Q74" s="20"/>
      <c r="R74" s="263"/>
      <c r="S74" s="263"/>
      <c r="T74" s="263"/>
      <c r="U74" s="266"/>
      <c r="V74" s="266"/>
      <c r="W74" s="266"/>
      <c r="X74" s="266"/>
      <c r="Y74" s="20"/>
      <c r="AE74" s="84"/>
    </row>
    <row r="75" spans="1:31">
      <c r="A75" s="3" t="s">
        <v>352</v>
      </c>
      <c r="C75" s="249">
        <f>20+45</f>
        <v>65</v>
      </c>
      <c r="D75" s="249">
        <v>61.916666666666664</v>
      </c>
      <c r="E75" s="250"/>
      <c r="G75" s="2"/>
      <c r="H75" s="2"/>
      <c r="I75" s="250"/>
      <c r="K75" s="2"/>
      <c r="M75" s="263"/>
      <c r="N75" s="263"/>
      <c r="O75" s="263"/>
      <c r="P75" s="263"/>
      <c r="Q75" s="263"/>
      <c r="R75" s="263"/>
      <c r="S75" s="263"/>
      <c r="T75" s="263"/>
      <c r="U75" s="273"/>
      <c r="V75" s="263"/>
      <c r="W75" s="263"/>
      <c r="X75" s="263"/>
      <c r="Y75" s="20"/>
      <c r="AE75" s="84"/>
    </row>
    <row r="76" spans="1:31">
      <c r="A76" s="3" t="s">
        <v>35</v>
      </c>
      <c r="C76" s="249">
        <v>161590</v>
      </c>
      <c r="D76" s="249">
        <v>167748.79783190461</v>
      </c>
      <c r="E76" s="254"/>
      <c r="F76" s="20"/>
      <c r="G76" s="257">
        <f>SUM(G67:G74)</f>
        <v>19177</v>
      </c>
      <c r="H76" s="257">
        <f>SUM(H67:H74)</f>
        <v>19899</v>
      </c>
      <c r="I76" s="254"/>
      <c r="J76" s="20"/>
      <c r="K76" s="257">
        <f>SUM(K67:K74)</f>
        <v>19899</v>
      </c>
      <c r="M76" s="263"/>
      <c r="N76" s="263"/>
      <c r="O76" s="272"/>
      <c r="P76" s="263"/>
      <c r="Q76" s="20"/>
      <c r="R76" s="20"/>
      <c r="S76" s="20"/>
      <c r="T76" s="263"/>
      <c r="U76" s="263"/>
      <c r="V76" s="263"/>
      <c r="W76" s="263"/>
      <c r="X76" s="263"/>
      <c r="Y76" s="20"/>
      <c r="AE76" s="84"/>
    </row>
    <row r="77" spans="1:31">
      <c r="A77" s="3" t="s">
        <v>353</v>
      </c>
      <c r="C77" s="249">
        <v>-3651.1873052418596</v>
      </c>
      <c r="D77" s="249">
        <v>0</v>
      </c>
      <c r="E77" s="254"/>
      <c r="F77" s="20"/>
      <c r="G77" s="257">
        <v>-357.5269401612241</v>
      </c>
      <c r="H77" s="257">
        <v>0</v>
      </c>
      <c r="I77" s="254"/>
      <c r="J77" s="20"/>
      <c r="K77" s="257">
        <v>0</v>
      </c>
      <c r="M77" s="274"/>
      <c r="N77" s="274"/>
      <c r="O77" s="275"/>
      <c r="P77" s="263"/>
      <c r="Q77" s="263"/>
      <c r="R77" s="268"/>
      <c r="S77" s="266"/>
      <c r="T77" s="263"/>
      <c r="U77" s="262"/>
      <c r="V77" s="262"/>
      <c r="W77" s="262"/>
      <c r="X77" s="262"/>
      <c r="AE77" s="84"/>
    </row>
    <row r="78" spans="1:31" ht="16.5" thickBot="1">
      <c r="A78" s="3" t="s">
        <v>9</v>
      </c>
      <c r="C78" s="258">
        <f>C76+C77</f>
        <v>157938.81269475815</v>
      </c>
      <c r="D78" s="258">
        <f>SUM(D76:D77)</f>
        <v>167748.79783190461</v>
      </c>
      <c r="E78" s="259"/>
      <c r="F78" s="259"/>
      <c r="G78" s="259">
        <f>G76+G77</f>
        <v>18819.473059838776</v>
      </c>
      <c r="H78" s="259">
        <f>H76+H77</f>
        <v>19899</v>
      </c>
      <c r="I78" s="259"/>
      <c r="J78" s="259"/>
      <c r="K78" s="259">
        <f>K76+K77</f>
        <v>19899</v>
      </c>
      <c r="M78" s="276"/>
      <c r="N78" s="276"/>
      <c r="O78" s="277"/>
      <c r="P78" s="263"/>
      <c r="Q78" s="263"/>
      <c r="R78" s="263"/>
      <c r="S78" s="263"/>
      <c r="T78" s="263"/>
      <c r="U78" s="262"/>
      <c r="V78" s="262"/>
      <c r="W78" s="262"/>
      <c r="X78" s="262"/>
      <c r="AE78" s="84"/>
    </row>
    <row r="79" spans="1:31" ht="16.5" thickTop="1">
      <c r="C79" s="260"/>
      <c r="D79" s="260"/>
      <c r="E79" s="260"/>
      <c r="F79" s="260"/>
      <c r="G79" s="248"/>
      <c r="H79" s="248"/>
      <c r="I79" s="1" t="s">
        <v>31</v>
      </c>
      <c r="J79" s="260"/>
      <c r="K79" s="2" t="s">
        <v>31</v>
      </c>
      <c r="P79" s="74"/>
      <c r="Q79" s="20"/>
      <c r="R79" s="20"/>
      <c r="S79" s="20"/>
      <c r="T79" s="20"/>
      <c r="AE79" s="84"/>
    </row>
    <row r="80" spans="1:31">
      <c r="A80" s="278" t="s">
        <v>358</v>
      </c>
      <c r="B80" s="1"/>
      <c r="C80" s="1"/>
      <c r="D80" s="1"/>
      <c r="E80" s="21"/>
      <c r="F80" s="21"/>
      <c r="G80" s="1"/>
      <c r="H80" s="1"/>
      <c r="I80" s="21"/>
      <c r="J80" s="1"/>
      <c r="K80" s="1"/>
      <c r="M80" s="3">
        <f>K91/(D84+D85)</f>
        <v>7.0647540513858201E-2</v>
      </c>
      <c r="N80" s="279"/>
      <c r="R80" s="3" t="s">
        <v>31</v>
      </c>
      <c r="AE80" s="84"/>
    </row>
    <row r="81" spans="1:31">
      <c r="A81" s="1" t="s">
        <v>359</v>
      </c>
      <c r="B81" s="1"/>
      <c r="C81" s="1"/>
      <c r="D81" s="1"/>
      <c r="E81" s="21"/>
      <c r="F81" s="21"/>
      <c r="G81" s="1"/>
      <c r="H81" s="1"/>
      <c r="I81" s="21"/>
      <c r="J81" s="1"/>
      <c r="K81" s="1"/>
      <c r="M81" s="280"/>
      <c r="N81" s="281">
        <f>SUM(D84:D85)/SUM(D83)</f>
        <v>1285.9851569999828</v>
      </c>
      <c r="AE81" s="84"/>
    </row>
    <row r="82" spans="1:31">
      <c r="A82" s="282"/>
      <c r="B82" s="1"/>
      <c r="C82" s="1"/>
      <c r="D82" s="1"/>
      <c r="E82" s="21"/>
      <c r="F82" s="21"/>
      <c r="G82" s="1"/>
      <c r="H82" s="1"/>
      <c r="I82" s="21"/>
      <c r="J82" s="1"/>
      <c r="K82" s="1"/>
      <c r="O82" s="69" t="s">
        <v>31</v>
      </c>
      <c r="P82" s="69" t="s">
        <v>31</v>
      </c>
      <c r="AE82" s="84"/>
    </row>
    <row r="83" spans="1:31">
      <c r="A83" s="1" t="s">
        <v>360</v>
      </c>
      <c r="B83" s="1"/>
      <c r="C83" s="21">
        <f t="shared" ref="C83:D90" si="4">C96+C109+C122+C135</f>
        <v>1216043</v>
      </c>
      <c r="D83" s="21">
        <f t="shared" si="4"/>
        <v>1229864</v>
      </c>
      <c r="E83" s="283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283">
        <v>6</v>
      </c>
      <c r="J83" s="1"/>
      <c r="K83" s="2">
        <f t="shared" ref="K83:K90" si="6">K96+K109+K122+K135</f>
        <v>7379184</v>
      </c>
      <c r="M83" s="84">
        <f>I83*D83</f>
        <v>7379184</v>
      </c>
      <c r="O83" s="14">
        <f t="shared" ref="O83:O88" si="7">(I83-E83)/E83</f>
        <v>0.14285714285714285</v>
      </c>
      <c r="T83" s="3" t="s">
        <v>361</v>
      </c>
      <c r="U83" s="3" t="s">
        <v>296</v>
      </c>
      <c r="V83" s="3" t="s">
        <v>362</v>
      </c>
      <c r="W83" s="3" t="s">
        <v>305</v>
      </c>
      <c r="AE83" s="84"/>
    </row>
    <row r="84" spans="1:31">
      <c r="A84" s="1" t="s">
        <v>363</v>
      </c>
      <c r="B84" s="1"/>
      <c r="C84" s="21">
        <f t="shared" si="4"/>
        <v>638137013.30924332</v>
      </c>
      <c r="D84" s="21">
        <f t="shared" si="4"/>
        <v>643146746.60466242</v>
      </c>
      <c r="E84" s="284">
        <v>4.569</v>
      </c>
      <c r="F84" s="1" t="s">
        <v>364</v>
      </c>
      <c r="G84" s="2">
        <f t="shared" si="5"/>
        <v>29156479</v>
      </c>
      <c r="H84" s="2">
        <f t="shared" si="5"/>
        <v>29385375</v>
      </c>
      <c r="I84" s="284">
        <v>4.9139999999999997</v>
      </c>
      <c r="J84" s="1" t="s">
        <v>364</v>
      </c>
      <c r="K84" s="2">
        <f t="shared" si="6"/>
        <v>31604232</v>
      </c>
      <c r="M84" s="84">
        <f>(I84/100)*D84</f>
        <v>31604231.128153108</v>
      </c>
      <c r="O84" s="14">
        <f t="shared" si="7"/>
        <v>7.55088640840446E-2</v>
      </c>
      <c r="Q84" s="222">
        <f>(E85-E84)/E84</f>
        <v>0.57758809367476482</v>
      </c>
      <c r="S84" s="3" t="s">
        <v>20</v>
      </c>
      <c r="T84" s="84">
        <f>H83</f>
        <v>6456787</v>
      </c>
      <c r="U84" s="84">
        <f>K83</f>
        <v>7379184</v>
      </c>
      <c r="V84" s="106">
        <v>10560201.731189568</v>
      </c>
      <c r="W84" s="222">
        <f>U84/V84</f>
        <v>0.69877301474322895</v>
      </c>
      <c r="AE84" s="84"/>
    </row>
    <row r="85" spans="1:31">
      <c r="A85" s="1" t="s">
        <v>365</v>
      </c>
      <c r="B85" s="1"/>
      <c r="C85" s="21">
        <f t="shared" si="4"/>
        <v>930810309.69075668</v>
      </c>
      <c r="D85" s="21">
        <f t="shared" si="4"/>
        <v>938440102.52396452</v>
      </c>
      <c r="E85" s="284">
        <v>7.2080000000000002</v>
      </c>
      <c r="F85" s="1" t="s">
        <v>364</v>
      </c>
      <c r="G85" s="2">
        <f t="shared" si="5"/>
        <v>67092808</v>
      </c>
      <c r="H85" s="2">
        <f t="shared" si="5"/>
        <v>67642762</v>
      </c>
      <c r="I85" s="284">
        <v>7.7510000000000003</v>
      </c>
      <c r="J85" s="1" t="s">
        <v>364</v>
      </c>
      <c r="K85" s="2">
        <f t="shared" si="6"/>
        <v>72738492</v>
      </c>
      <c r="M85" s="84">
        <f>(I85/100)*D85</f>
        <v>72738492.346632496</v>
      </c>
      <c r="N85" s="285"/>
      <c r="O85" s="14">
        <f t="shared" si="7"/>
        <v>7.533296337402888E-2</v>
      </c>
      <c r="Q85" s="222">
        <f>(I85-I84)/I84</f>
        <v>0.57733007733007746</v>
      </c>
      <c r="S85" s="3" t="s">
        <v>366</v>
      </c>
      <c r="T85" s="106">
        <f>E84*(D84+D85)/100</f>
        <v>72262703.136686951</v>
      </c>
      <c r="U85" s="106">
        <f>I84*(D84+D85)/100</f>
        <v>77719177.766180709</v>
      </c>
      <c r="V85" s="106">
        <v>74901422.706720337</v>
      </c>
      <c r="W85" s="222">
        <f>U85/V85</f>
        <v>1.0376195131899351</v>
      </c>
      <c r="AE85" s="84"/>
    </row>
    <row r="86" spans="1:31">
      <c r="A86" s="1" t="s">
        <v>367</v>
      </c>
      <c r="B86" s="1"/>
      <c r="C86" s="21">
        <f t="shared" si="4"/>
        <v>6129</v>
      </c>
      <c r="D86" s="21">
        <f t="shared" si="4"/>
        <v>6540.0468369807459</v>
      </c>
      <c r="E86" s="286">
        <v>1.55</v>
      </c>
      <c r="F86" s="1"/>
      <c r="G86" s="2">
        <f t="shared" si="5"/>
        <v>9500</v>
      </c>
      <c r="H86" s="2">
        <f t="shared" si="5"/>
        <v>10137</v>
      </c>
      <c r="I86" s="286">
        <v>1.55</v>
      </c>
      <c r="J86" s="1"/>
      <c r="K86" s="2">
        <f t="shared" si="6"/>
        <v>10137</v>
      </c>
      <c r="M86" s="84">
        <f>I86*D86</f>
        <v>10137.072597320157</v>
      </c>
      <c r="N86" s="287"/>
      <c r="O86" s="14">
        <f t="shared" si="7"/>
        <v>0</v>
      </c>
      <c r="S86" s="3" t="s">
        <v>368</v>
      </c>
      <c r="T86" s="84">
        <f>H84+H85-T85</f>
        <v>24765433.863313049</v>
      </c>
      <c r="U86" s="84">
        <f>K84+K85-U85</f>
        <v>26623546.233819291</v>
      </c>
      <c r="V86" s="106">
        <v>33130328.65840701</v>
      </c>
      <c r="W86" s="222">
        <f>U86/V86</f>
        <v>0.80360042631401463</v>
      </c>
      <c r="AE86" s="84"/>
    </row>
    <row r="87" spans="1:31">
      <c r="A87" s="288" t="s">
        <v>369</v>
      </c>
      <c r="B87" s="288"/>
      <c r="C87" s="21">
        <f t="shared" si="4"/>
        <v>1017</v>
      </c>
      <c r="D87" s="21">
        <f t="shared" si="4"/>
        <v>1085.8002596400945</v>
      </c>
      <c r="E87" s="286">
        <v>3</v>
      </c>
      <c r="F87" s="288"/>
      <c r="G87" s="2">
        <f t="shared" si="5"/>
        <v>3051</v>
      </c>
      <c r="H87" s="2">
        <f t="shared" si="5"/>
        <v>3258</v>
      </c>
      <c r="I87" s="286">
        <v>3</v>
      </c>
      <c r="J87" s="288"/>
      <c r="K87" s="2">
        <f t="shared" si="6"/>
        <v>3258</v>
      </c>
      <c r="M87" s="84">
        <f>I87*D87</f>
        <v>3257.4007789202833</v>
      </c>
      <c r="O87" s="14">
        <f t="shared" si="7"/>
        <v>0</v>
      </c>
      <c r="AE87" s="84"/>
    </row>
    <row r="88" spans="1:31">
      <c r="A88" s="288" t="s">
        <v>370</v>
      </c>
      <c r="B88" s="288"/>
      <c r="C88" s="21">
        <f t="shared" si="4"/>
        <v>50</v>
      </c>
      <c r="D88" s="21">
        <f t="shared" si="4"/>
        <v>53.081237721216993</v>
      </c>
      <c r="E88" s="289">
        <f>-E86</f>
        <v>-1.55</v>
      </c>
      <c r="F88" s="288"/>
      <c r="G88" s="2">
        <f t="shared" si="5"/>
        <v>-77</v>
      </c>
      <c r="H88" s="2">
        <f t="shared" si="5"/>
        <v>-82</v>
      </c>
      <c r="I88" s="289">
        <f>-I86</f>
        <v>-1.55</v>
      </c>
      <c r="J88" s="288"/>
      <c r="K88" s="2">
        <f t="shared" si="6"/>
        <v>-82</v>
      </c>
      <c r="M88" s="84">
        <f>I88*D88</f>
        <v>-82.275918467886342</v>
      </c>
      <c r="O88" s="14">
        <f t="shared" si="7"/>
        <v>0</v>
      </c>
      <c r="AE88" s="84"/>
    </row>
    <row r="89" spans="1:31">
      <c r="A89" s="1" t="s">
        <v>371</v>
      </c>
      <c r="B89" s="290"/>
      <c r="C89" s="21">
        <f t="shared" si="4"/>
        <v>1568947323</v>
      </c>
      <c r="D89" s="21">
        <f t="shared" si="4"/>
        <v>1581586849.1286268</v>
      </c>
      <c r="E89" s="291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84">
        <f>SUM(M83:M88)</f>
        <v>111735219.67224337</v>
      </c>
      <c r="O89" s="14"/>
      <c r="AE89" s="84"/>
    </row>
    <row r="90" spans="1:31">
      <c r="A90" s="1" t="s">
        <v>353</v>
      </c>
      <c r="B90" s="292"/>
      <c r="C90" s="293">
        <f t="shared" si="4"/>
        <v>991281.43921662425</v>
      </c>
      <c r="D90" s="293">
        <f t="shared" si="4"/>
        <v>0</v>
      </c>
      <c r="E90" s="294"/>
      <c r="F90" s="294"/>
      <c r="G90" s="295">
        <f t="shared" si="5"/>
        <v>26957.425302805033</v>
      </c>
      <c r="H90" s="295">
        <f t="shared" si="5"/>
        <v>0</v>
      </c>
      <c r="I90" s="294"/>
      <c r="J90" s="294"/>
      <c r="K90" s="295">
        <f t="shared" si="6"/>
        <v>0</v>
      </c>
      <c r="AE90" s="84"/>
    </row>
    <row r="91" spans="1:31" ht="16.5" thickBot="1">
      <c r="A91" s="1" t="s">
        <v>372</v>
      </c>
      <c r="B91" s="1"/>
      <c r="C91" s="296">
        <f>C89+C90</f>
        <v>1569938604.4392166</v>
      </c>
      <c r="D91" s="296">
        <f>D84+D85+D90</f>
        <v>1581586849.1286268</v>
      </c>
      <c r="E91" s="297"/>
      <c r="F91" s="297"/>
      <c r="G91" s="297">
        <f>G89+G90</f>
        <v>102672944.4253028</v>
      </c>
      <c r="H91" s="297">
        <f>H89+H90</f>
        <v>103498237</v>
      </c>
      <c r="I91" s="297"/>
      <c r="J91" s="297"/>
      <c r="K91" s="297">
        <f>K89+K90</f>
        <v>111735221</v>
      </c>
      <c r="N91" s="3" t="s">
        <v>354</v>
      </c>
      <c r="O91" s="69" t="e">
        <f>#REF!*1000</f>
        <v>#REF!</v>
      </c>
      <c r="AE91" s="84"/>
    </row>
    <row r="92" spans="1:31" ht="16.5" thickTop="1">
      <c r="A92" s="1"/>
      <c r="B92" s="298"/>
      <c r="C92" s="21"/>
      <c r="D92" s="21"/>
      <c r="E92" s="21"/>
      <c r="F92" s="21"/>
      <c r="I92" s="1" t="s">
        <v>31</v>
      </c>
      <c r="J92" s="1"/>
      <c r="K92" s="2" t="s">
        <v>31</v>
      </c>
      <c r="N92" s="3" t="s">
        <v>257</v>
      </c>
      <c r="O92" s="69" t="e">
        <f>O91-K91</f>
        <v>#REF!</v>
      </c>
      <c r="P92" s="299" t="e">
        <f>(O91-K91)/K91</f>
        <v>#REF!</v>
      </c>
      <c r="AE92" s="84"/>
    </row>
    <row r="93" spans="1:31">
      <c r="A93" s="278" t="s">
        <v>373</v>
      </c>
      <c r="B93" s="1"/>
      <c r="C93" s="1" t="s">
        <v>31</v>
      </c>
      <c r="D93" s="1"/>
      <c r="E93" s="21"/>
      <c r="F93" s="21"/>
      <c r="G93" s="1"/>
      <c r="H93" s="1"/>
      <c r="I93" s="21"/>
      <c r="J93" s="1"/>
      <c r="K93" s="1"/>
      <c r="O93" s="300"/>
      <c r="AE93" s="84"/>
    </row>
    <row r="94" spans="1:31">
      <c r="A94" s="1" t="s">
        <v>320</v>
      </c>
      <c r="B94" s="1"/>
      <c r="C94" s="1"/>
      <c r="D94" s="21"/>
      <c r="E94" s="21"/>
      <c r="F94" s="21"/>
      <c r="G94" s="1"/>
      <c r="H94" s="1"/>
      <c r="I94" s="21"/>
      <c r="J94" s="1"/>
      <c r="K94" s="1"/>
      <c r="N94" s="222"/>
      <c r="AE94" s="84"/>
    </row>
    <row r="95" spans="1:31">
      <c r="A95" s="282"/>
      <c r="B95" s="1"/>
      <c r="C95" s="1"/>
      <c r="D95" s="1"/>
      <c r="E95" s="21"/>
      <c r="F95" s="21"/>
      <c r="G95" s="1"/>
      <c r="H95" s="1"/>
      <c r="I95" s="21"/>
      <c r="J95" s="1"/>
      <c r="K95" s="1"/>
      <c r="N95" s="301"/>
      <c r="AE95" s="84"/>
    </row>
    <row r="96" spans="1:31">
      <c r="A96" s="1" t="s">
        <v>360</v>
      </c>
      <c r="B96" s="1"/>
      <c r="C96" s="21">
        <f>1188818+6</f>
        <v>1188824</v>
      </c>
      <c r="D96" s="21">
        <v>1199595</v>
      </c>
      <c r="E96" s="283">
        <v>5.25</v>
      </c>
      <c r="F96" s="1"/>
      <c r="G96" s="2">
        <f>ROUND(E96*$C96,0)</f>
        <v>6241326</v>
      </c>
      <c r="H96" s="2">
        <f>ROUND(E96*$D96,0)</f>
        <v>6297874</v>
      </c>
      <c r="I96" s="283">
        <f>$I$83</f>
        <v>6</v>
      </c>
      <c r="J96" s="1"/>
      <c r="K96" s="2">
        <f>ROUND(I96*$D96,0)</f>
        <v>7197570</v>
      </c>
      <c r="N96" s="279"/>
      <c r="AE96" s="84"/>
    </row>
    <row r="97" spans="1:31">
      <c r="A97" s="1" t="s">
        <v>363</v>
      </c>
      <c r="B97" s="1"/>
      <c r="C97" s="21">
        <v>622442746.97882807</v>
      </c>
      <c r="D97" s="21">
        <v>626418721.88361442</v>
      </c>
      <c r="E97" s="284">
        <v>4.569</v>
      </c>
      <c r="F97" s="1" t="s">
        <v>364</v>
      </c>
      <c r="G97" s="2">
        <f>ROUND(E97*$C97/100,0)</f>
        <v>28439409</v>
      </c>
      <c r="H97" s="2">
        <f>ROUND(E97*$D97/100,0)</f>
        <v>28621071</v>
      </c>
      <c r="I97" s="284">
        <f>$I$84</f>
        <v>4.9139999999999997</v>
      </c>
      <c r="J97" s="1" t="s">
        <v>364</v>
      </c>
      <c r="K97" s="2">
        <f>ROUND(I97*$D97/100,0)</f>
        <v>30782216</v>
      </c>
      <c r="AE97" s="84"/>
    </row>
    <row r="98" spans="1:31">
      <c r="A98" s="1" t="s">
        <v>365</v>
      </c>
      <c r="B98" s="21"/>
      <c r="C98" s="21">
        <v>902512979.02117193</v>
      </c>
      <c r="D98" s="21">
        <v>908277957.36375713</v>
      </c>
      <c r="E98" s="284">
        <v>7.2080000000000002</v>
      </c>
      <c r="F98" s="1" t="s">
        <v>364</v>
      </c>
      <c r="G98" s="2">
        <f>ROUND(E98*$C98/100,0)</f>
        <v>65053136</v>
      </c>
      <c r="H98" s="2">
        <f>ROUND(E98*$D98/100,0)</f>
        <v>65468675</v>
      </c>
      <c r="I98" s="284">
        <f>$I$85</f>
        <v>7.7510000000000003</v>
      </c>
      <c r="J98" s="1" t="s">
        <v>364</v>
      </c>
      <c r="K98" s="2">
        <f>ROUND(I98*$D98/100,0)</f>
        <v>70400624</v>
      </c>
      <c r="AE98" s="84"/>
    </row>
    <row r="99" spans="1:31">
      <c r="A99" s="1" t="s">
        <v>367</v>
      </c>
      <c r="B99" s="1"/>
      <c r="C99" s="21">
        <v>0</v>
      </c>
      <c r="D99" s="21">
        <v>0</v>
      </c>
      <c r="E99" s="286">
        <v>1.55</v>
      </c>
      <c r="F99" s="1"/>
      <c r="G99" s="2">
        <f>ROUND(E99*$C99,0)</f>
        <v>0</v>
      </c>
      <c r="H99" s="2">
        <v>0</v>
      </c>
      <c r="I99" s="286">
        <f>$I$86</f>
        <v>1.55</v>
      </c>
      <c r="J99" s="1"/>
      <c r="K99" s="2">
        <f>ROUND(I99*$D99,0)</f>
        <v>0</v>
      </c>
      <c r="AE99" s="84"/>
    </row>
    <row r="100" spans="1:31">
      <c r="A100" s="288" t="s">
        <v>369</v>
      </c>
      <c r="B100" s="288"/>
      <c r="C100" s="21">
        <v>0</v>
      </c>
      <c r="D100" s="21">
        <v>0</v>
      </c>
      <c r="E100" s="286">
        <v>3</v>
      </c>
      <c r="F100" s="288"/>
      <c r="G100" s="2">
        <f>ROUND(E100*$C100,0)</f>
        <v>0</v>
      </c>
      <c r="H100" s="2">
        <v>0</v>
      </c>
      <c r="I100" s="286">
        <f>$I$87</f>
        <v>3</v>
      </c>
      <c r="J100" s="288"/>
      <c r="K100" s="2">
        <f>ROUND(I100*$D100,0)</f>
        <v>0</v>
      </c>
      <c r="AE100" s="84"/>
    </row>
    <row r="101" spans="1:31">
      <c r="A101" s="288" t="s">
        <v>370</v>
      </c>
      <c r="B101" s="288"/>
      <c r="C101" s="21">
        <v>0</v>
      </c>
      <c r="D101" s="21">
        <v>0</v>
      </c>
      <c r="E101" s="289">
        <f>-E99</f>
        <v>-1.55</v>
      </c>
      <c r="F101" s="288"/>
      <c r="G101" s="2">
        <f>ROUND(E101*$C101,0)</f>
        <v>0</v>
      </c>
      <c r="H101" s="2">
        <v>0</v>
      </c>
      <c r="I101" s="289">
        <f>$I$88</f>
        <v>-1.55</v>
      </c>
      <c r="J101" s="288"/>
      <c r="K101" s="2">
        <f>ROUND(I101*$D101,0)</f>
        <v>0</v>
      </c>
      <c r="AE101" s="84"/>
    </row>
    <row r="102" spans="1:31">
      <c r="A102" s="1" t="s">
        <v>371</v>
      </c>
      <c r="B102" s="290"/>
      <c r="C102" s="21">
        <f>SUM(C97:C98)</f>
        <v>1524955726</v>
      </c>
      <c r="D102" s="21">
        <v>1534696679.2473714</v>
      </c>
      <c r="E102" s="291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84"/>
    </row>
    <row r="103" spans="1:31">
      <c r="A103" s="1" t="s">
        <v>353</v>
      </c>
      <c r="B103" s="292"/>
      <c r="C103" s="302">
        <v>964615.15824767202</v>
      </c>
      <c r="D103" s="293">
        <v>0</v>
      </c>
      <c r="E103" s="294"/>
      <c r="F103" s="294"/>
      <c r="G103" s="295">
        <v>26215.646474169334</v>
      </c>
      <c r="H103" s="293">
        <v>0</v>
      </c>
      <c r="I103" s="294"/>
      <c r="J103" s="294"/>
      <c r="K103" s="295">
        <v>0</v>
      </c>
      <c r="M103" s="274"/>
      <c r="N103" s="274"/>
      <c r="O103" s="275"/>
      <c r="AE103" s="84"/>
    </row>
    <row r="104" spans="1:31" ht="16.5" thickBot="1">
      <c r="A104" s="1" t="s">
        <v>372</v>
      </c>
      <c r="B104" s="1"/>
      <c r="C104" s="296">
        <f>C102+C103</f>
        <v>1525920341.1582477</v>
      </c>
      <c r="D104" s="296">
        <f>SUM(D102:D103)</f>
        <v>1534696679.2473714</v>
      </c>
      <c r="E104" s="297"/>
      <c r="F104" s="297"/>
      <c r="G104" s="297">
        <f>G102+G103</f>
        <v>99760086.646474168</v>
      </c>
      <c r="H104" s="303">
        <f>SUM(H102:H103)</f>
        <v>100387620</v>
      </c>
      <c r="I104" s="297"/>
      <c r="J104" s="297"/>
      <c r="K104" s="297">
        <f>K102+K103</f>
        <v>108380410</v>
      </c>
      <c r="M104" s="276"/>
      <c r="N104" s="276"/>
      <c r="O104" s="277"/>
      <c r="AE104" s="84"/>
    </row>
    <row r="105" spans="1:31" ht="16.5" thickTop="1">
      <c r="A105" s="1"/>
      <c r="B105" s="298"/>
      <c r="C105" s="21"/>
      <c r="D105" s="21"/>
      <c r="E105" s="21"/>
      <c r="F105" s="21"/>
      <c r="I105" s="1" t="s">
        <v>31</v>
      </c>
      <c r="J105" s="1"/>
      <c r="K105" s="2" t="s">
        <v>31</v>
      </c>
      <c r="AE105" s="84"/>
    </row>
    <row r="106" spans="1:31">
      <c r="A106" s="278" t="s">
        <v>374</v>
      </c>
      <c r="B106" s="1"/>
      <c r="C106" s="1"/>
      <c r="D106" s="1"/>
      <c r="E106" s="21"/>
      <c r="F106" s="21"/>
      <c r="G106" s="1"/>
      <c r="H106" s="1"/>
      <c r="I106" s="21"/>
      <c r="J106" s="1"/>
      <c r="K106" s="1"/>
      <c r="AE106" s="84"/>
    </row>
    <row r="107" spans="1:31">
      <c r="A107" s="1" t="s">
        <v>320</v>
      </c>
      <c r="B107" s="1"/>
      <c r="C107" s="1"/>
      <c r="D107" s="1"/>
      <c r="E107" s="21"/>
      <c r="F107" s="21"/>
      <c r="G107" s="1"/>
      <c r="H107" s="1"/>
      <c r="I107" s="21"/>
      <c r="J107" s="1"/>
      <c r="K107" s="1"/>
      <c r="AE107" s="84"/>
    </row>
    <row r="108" spans="1:31">
      <c r="A108" s="282"/>
      <c r="B108" s="1"/>
      <c r="C108" s="1"/>
      <c r="D108" s="1"/>
      <c r="E108" s="21"/>
      <c r="F108" s="21"/>
      <c r="G108" s="1"/>
      <c r="H108" s="1"/>
      <c r="I108" s="21"/>
      <c r="J108" s="1"/>
      <c r="K108" s="1"/>
      <c r="AE108" s="84"/>
    </row>
    <row r="109" spans="1:31">
      <c r="A109" s="1" t="s">
        <v>360</v>
      </c>
      <c r="B109" s="1"/>
      <c r="C109" s="21">
        <v>25712</v>
      </c>
      <c r="D109" s="21">
        <v>28799</v>
      </c>
      <c r="E109" s="283">
        <v>5.25</v>
      </c>
      <c r="F109" s="1"/>
      <c r="G109" s="2">
        <f>ROUND(E109*$C109,0)</f>
        <v>134988</v>
      </c>
      <c r="H109" s="2">
        <f>ROUND(E109*$D109,0)</f>
        <v>151195</v>
      </c>
      <c r="I109" s="283">
        <f>$I$83</f>
        <v>6</v>
      </c>
      <c r="J109" s="1"/>
      <c r="K109" s="2">
        <f>ROUND(I109*$D109,0)</f>
        <v>172794</v>
      </c>
      <c r="AE109" s="84"/>
    </row>
    <row r="110" spans="1:31">
      <c r="A110" s="1" t="s">
        <v>363</v>
      </c>
      <c r="B110" s="1"/>
      <c r="C110" s="21">
        <v>14933585</v>
      </c>
      <c r="D110" s="21">
        <v>15919403.902441863</v>
      </c>
      <c r="E110" s="284">
        <v>4.569</v>
      </c>
      <c r="F110" s="1" t="s">
        <v>364</v>
      </c>
      <c r="G110" s="2">
        <f>ROUND(E110*$C110/100,0)</f>
        <v>682315</v>
      </c>
      <c r="H110" s="2">
        <f>ROUND(E110*$D110/100,0)</f>
        <v>727358</v>
      </c>
      <c r="I110" s="284">
        <f>$I$84</f>
        <v>4.9139999999999997</v>
      </c>
      <c r="J110" s="1" t="s">
        <v>364</v>
      </c>
      <c r="K110" s="2">
        <f>ROUND(I110*$D110/100,0)</f>
        <v>782280</v>
      </c>
      <c r="AE110" s="84"/>
    </row>
    <row r="111" spans="1:31">
      <c r="A111" s="1" t="s">
        <v>365</v>
      </c>
      <c r="B111" s="1"/>
      <c r="C111" s="21">
        <f>40608391-C110</f>
        <v>25674806</v>
      </c>
      <c r="D111" s="21">
        <v>27369690.990531594</v>
      </c>
      <c r="E111" s="284">
        <v>7.2080000000000002</v>
      </c>
      <c r="F111" s="1" t="s">
        <v>364</v>
      </c>
      <c r="G111" s="2">
        <f>ROUND(E111*$C111/100,0)</f>
        <v>1850640</v>
      </c>
      <c r="H111" s="2">
        <f>ROUND(E111*$D111/100,0)</f>
        <v>1972807</v>
      </c>
      <c r="I111" s="284">
        <f>$I$85</f>
        <v>7.7510000000000003</v>
      </c>
      <c r="J111" s="1" t="s">
        <v>364</v>
      </c>
      <c r="K111" s="2">
        <f>ROUND(I111*$D111/100,0)</f>
        <v>2121425</v>
      </c>
      <c r="AE111" s="84"/>
    </row>
    <row r="112" spans="1:31">
      <c r="A112" s="1" t="s">
        <v>367</v>
      </c>
      <c r="B112" s="1"/>
      <c r="C112" s="21">
        <v>0</v>
      </c>
      <c r="D112" s="21">
        <v>0</v>
      </c>
      <c r="E112" s="286">
        <v>1.55</v>
      </c>
      <c r="F112" s="1"/>
      <c r="G112" s="2">
        <f>ROUND(E112*$C112,0)</f>
        <v>0</v>
      </c>
      <c r="H112" s="2">
        <v>0</v>
      </c>
      <c r="I112" s="286">
        <f>$I$86</f>
        <v>1.55</v>
      </c>
      <c r="J112" s="1"/>
      <c r="K112" s="2">
        <f>ROUND(I112*$D112,0)</f>
        <v>0</v>
      </c>
      <c r="AE112" s="84"/>
    </row>
    <row r="113" spans="1:31">
      <c r="A113" s="288" t="s">
        <v>369</v>
      </c>
      <c r="B113" s="288"/>
      <c r="C113" s="21">
        <v>0</v>
      </c>
      <c r="D113" s="21">
        <v>0</v>
      </c>
      <c r="E113" s="286">
        <v>3</v>
      </c>
      <c r="F113" s="288"/>
      <c r="G113" s="2">
        <f>ROUND(E113*$C113,0)</f>
        <v>0</v>
      </c>
      <c r="H113" s="2">
        <v>0</v>
      </c>
      <c r="I113" s="286">
        <f>$I$87</f>
        <v>3</v>
      </c>
      <c r="J113" s="288"/>
      <c r="K113" s="2">
        <f>ROUND(I113*$D113,0)</f>
        <v>0</v>
      </c>
      <c r="AE113" s="84"/>
    </row>
    <row r="114" spans="1:31">
      <c r="A114" s="288" t="s">
        <v>370</v>
      </c>
      <c r="B114" s="288"/>
      <c r="C114" s="21">
        <v>0</v>
      </c>
      <c r="D114" s="21">
        <v>0</v>
      </c>
      <c r="E114" s="289">
        <f>-E112</f>
        <v>-1.55</v>
      </c>
      <c r="F114" s="288"/>
      <c r="G114" s="2">
        <f>ROUND(E114*$C114,0)</f>
        <v>0</v>
      </c>
      <c r="H114" s="2">
        <v>0</v>
      </c>
      <c r="I114" s="289">
        <f>$I$88</f>
        <v>-1.55</v>
      </c>
      <c r="J114" s="288"/>
      <c r="K114" s="2">
        <f>ROUND(I114*$D114,0)</f>
        <v>0</v>
      </c>
      <c r="AE114" s="84"/>
    </row>
    <row r="115" spans="1:31">
      <c r="A115" s="1" t="s">
        <v>371</v>
      </c>
      <c r="B115" s="1"/>
      <c r="C115" s="21">
        <f>SUM(C110:C111)</f>
        <v>40608391</v>
      </c>
      <c r="D115" s="21">
        <v>43289094.892973453</v>
      </c>
      <c r="E115" s="291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84"/>
    </row>
    <row r="116" spans="1:31">
      <c r="A116" s="1" t="s">
        <v>353</v>
      </c>
      <c r="B116" s="1"/>
      <c r="C116" s="302">
        <v>24510.980258357216</v>
      </c>
      <c r="D116" s="293">
        <v>0</v>
      </c>
      <c r="E116" s="294"/>
      <c r="F116" s="294"/>
      <c r="G116" s="295">
        <v>676.32035447932685</v>
      </c>
      <c r="H116" s="293">
        <v>0</v>
      </c>
      <c r="I116" s="294"/>
      <c r="J116" s="294"/>
      <c r="K116" s="295">
        <v>0</v>
      </c>
      <c r="M116" s="274"/>
      <c r="N116" s="274"/>
      <c r="O116" s="275"/>
      <c r="AE116" s="84"/>
    </row>
    <row r="117" spans="1:31" ht="16.5" thickBot="1">
      <c r="A117" s="1" t="s">
        <v>372</v>
      </c>
      <c r="B117" s="1"/>
      <c r="C117" s="296">
        <f>C115+C116</f>
        <v>40632901.980258361</v>
      </c>
      <c r="D117" s="296">
        <f>SUM(D115:D116)</f>
        <v>43289094.892973453</v>
      </c>
      <c r="E117" s="297"/>
      <c r="F117" s="297"/>
      <c r="G117" s="297">
        <f>G115+G116</f>
        <v>2668619.3203544794</v>
      </c>
      <c r="H117" s="303">
        <f>SUM(H115:H116)</f>
        <v>2851360</v>
      </c>
      <c r="I117" s="297"/>
      <c r="J117" s="297"/>
      <c r="K117" s="297">
        <f>K115+K116</f>
        <v>3076499</v>
      </c>
      <c r="M117" s="276"/>
      <c r="N117" s="276"/>
      <c r="O117" s="277"/>
      <c r="AE117" s="84"/>
    </row>
    <row r="118" spans="1:31" ht="16.5" thickTop="1">
      <c r="A118" s="1"/>
      <c r="B118" s="298"/>
      <c r="C118" s="21"/>
      <c r="D118" s="21"/>
      <c r="E118" s="21"/>
      <c r="F118" s="21"/>
      <c r="I118" s="1" t="s">
        <v>31</v>
      </c>
      <c r="J118" s="1"/>
      <c r="K118" s="2" t="s">
        <v>31</v>
      </c>
      <c r="AE118" s="84"/>
    </row>
    <row r="119" spans="1:31">
      <c r="A119" s="278" t="s">
        <v>375</v>
      </c>
      <c r="B119" s="1"/>
      <c r="C119" s="1"/>
      <c r="D119" s="1"/>
      <c r="E119" s="21"/>
      <c r="F119" s="21"/>
      <c r="G119" s="1"/>
      <c r="H119" s="1"/>
      <c r="I119" s="21"/>
      <c r="J119" s="1"/>
      <c r="K119" s="1"/>
      <c r="AE119" s="84"/>
    </row>
    <row r="120" spans="1:31">
      <c r="A120" s="1" t="s">
        <v>320</v>
      </c>
      <c r="B120" s="1"/>
      <c r="C120" s="1"/>
      <c r="D120" s="1"/>
      <c r="E120" s="21"/>
      <c r="F120" s="21"/>
      <c r="G120" s="1"/>
      <c r="H120" s="1"/>
      <c r="I120" s="21"/>
      <c r="J120" s="1"/>
      <c r="K120" s="1"/>
      <c r="AE120" s="84"/>
    </row>
    <row r="121" spans="1:31">
      <c r="A121" s="282"/>
      <c r="B121" s="1"/>
      <c r="C121" s="1"/>
      <c r="D121" s="1"/>
      <c r="E121" s="21"/>
      <c r="F121" s="21"/>
      <c r="G121" s="1"/>
      <c r="H121" s="1"/>
      <c r="I121" s="21"/>
      <c r="J121" s="1"/>
      <c r="K121" s="1"/>
      <c r="AE121" s="84"/>
    </row>
    <row r="122" spans="1:31">
      <c r="A122" s="1" t="s">
        <v>360</v>
      </c>
      <c r="B122" s="1"/>
      <c r="C122" s="21">
        <v>1191</v>
      </c>
      <c r="D122" s="21">
        <v>1155</v>
      </c>
      <c r="E122" s="283">
        <v>5.25</v>
      </c>
      <c r="F122" s="1"/>
      <c r="G122" s="2">
        <f>ROUND(E122*$C122,0)</f>
        <v>6253</v>
      </c>
      <c r="H122" s="2">
        <f>ROUND(E122*$D122,0)</f>
        <v>6064</v>
      </c>
      <c r="I122" s="283">
        <f>$I$83</f>
        <v>6</v>
      </c>
      <c r="J122" s="1"/>
      <c r="K122" s="2">
        <f>ROUND(I122*$D122,0)</f>
        <v>6930</v>
      </c>
      <c r="AE122" s="84"/>
    </row>
    <row r="123" spans="1:31">
      <c r="A123" s="1" t="s">
        <v>363</v>
      </c>
      <c r="B123" s="1"/>
      <c r="C123" s="21">
        <v>577197.33041522116</v>
      </c>
      <c r="D123" s="21">
        <v>623924.69816689566</v>
      </c>
      <c r="E123" s="284">
        <v>4.569</v>
      </c>
      <c r="F123" s="1" t="s">
        <v>364</v>
      </c>
      <c r="G123" s="2">
        <f>ROUND(E123*$C123/100,0)</f>
        <v>26372</v>
      </c>
      <c r="H123" s="2">
        <f>ROUND(E123*$D123/100,0)</f>
        <v>28507</v>
      </c>
      <c r="I123" s="284">
        <f>$I$84</f>
        <v>4.9139999999999997</v>
      </c>
      <c r="J123" s="1" t="s">
        <v>364</v>
      </c>
      <c r="K123" s="2">
        <f>ROUND(I123*$D123/100,0)</f>
        <v>30660</v>
      </c>
      <c r="AE123" s="84"/>
    </row>
    <row r="124" spans="1:31">
      <c r="A124" s="1" t="s">
        <v>365</v>
      </c>
      <c r="B124" s="1"/>
      <c r="C124" s="21">
        <v>2052532.6695847788</v>
      </c>
      <c r="D124" s="21">
        <v>2218696.7244410608</v>
      </c>
      <c r="E124" s="284">
        <v>7.2080000000000002</v>
      </c>
      <c r="F124" s="1" t="s">
        <v>364</v>
      </c>
      <c r="G124" s="2">
        <f>ROUND(E124*$C124/100,0)</f>
        <v>147947</v>
      </c>
      <c r="H124" s="2">
        <f>ROUND(E124*$D124/100,0)</f>
        <v>159924</v>
      </c>
      <c r="I124" s="284">
        <f>$I$85</f>
        <v>7.7510000000000003</v>
      </c>
      <c r="J124" s="1" t="s">
        <v>364</v>
      </c>
      <c r="K124" s="2">
        <f>ROUND(I124*$D124/100,0)</f>
        <v>171971</v>
      </c>
      <c r="AE124" s="84"/>
    </row>
    <row r="125" spans="1:31">
      <c r="A125" s="1" t="s">
        <v>367</v>
      </c>
      <c r="B125" s="1"/>
      <c r="C125" s="21">
        <v>4984</v>
      </c>
      <c r="D125" s="21">
        <v>5387.4828101280564</v>
      </c>
      <c r="E125" s="286">
        <v>1.55</v>
      </c>
      <c r="F125" s="1"/>
      <c r="G125" s="2">
        <f>ROUND(E125*$C125,0)</f>
        <v>7725</v>
      </c>
      <c r="H125" s="2">
        <f>ROUND(E125*$D125,0)</f>
        <v>8351</v>
      </c>
      <c r="I125" s="286">
        <f>$I$86</f>
        <v>1.55</v>
      </c>
      <c r="J125" s="1"/>
      <c r="K125" s="2">
        <f>ROUND(I125*$D125,0)</f>
        <v>8351</v>
      </c>
      <c r="AE125" s="84"/>
    </row>
    <row r="126" spans="1:31">
      <c r="A126" s="288" t="s">
        <v>369</v>
      </c>
      <c r="B126" s="288"/>
      <c r="C126" s="21">
        <v>835</v>
      </c>
      <c r="D126" s="21">
        <v>902.59794270805128</v>
      </c>
      <c r="E126" s="286">
        <v>3</v>
      </c>
      <c r="F126" s="288"/>
      <c r="G126" s="2">
        <f>ROUND(E126*$C126,0)</f>
        <v>2505</v>
      </c>
      <c r="H126" s="2">
        <f>ROUND(E126*$D126,0)</f>
        <v>2708</v>
      </c>
      <c r="I126" s="286">
        <f>$I$87</f>
        <v>3</v>
      </c>
      <c r="J126" s="288"/>
      <c r="K126" s="2">
        <f>ROUND(I126*$D126,0)</f>
        <v>2708</v>
      </c>
      <c r="AE126" s="84"/>
    </row>
    <row r="127" spans="1:31">
      <c r="A127" s="288" t="s">
        <v>370</v>
      </c>
      <c r="B127" s="288"/>
      <c r="C127" s="21">
        <v>37</v>
      </c>
      <c r="D127" s="21">
        <v>39.995357940356762</v>
      </c>
      <c r="E127" s="289">
        <f>-E125</f>
        <v>-1.55</v>
      </c>
      <c r="F127" s="288"/>
      <c r="G127" s="2">
        <f>ROUND(E127*$C127,0)</f>
        <v>-57</v>
      </c>
      <c r="H127" s="2">
        <f>ROUND(E127*$D127,0)</f>
        <v>-62</v>
      </c>
      <c r="I127" s="289">
        <f>$I$88</f>
        <v>-1.55</v>
      </c>
      <c r="J127" s="288"/>
      <c r="K127" s="2">
        <f>ROUND(I127*$D127,0)</f>
        <v>-62</v>
      </c>
      <c r="AE127" s="84"/>
    </row>
    <row r="128" spans="1:31">
      <c r="A128" s="1" t="s">
        <v>371</v>
      </c>
      <c r="B128" s="290"/>
      <c r="C128" s="21">
        <f>SUM(C123:C124)</f>
        <v>2629730</v>
      </c>
      <c r="D128" s="21">
        <v>2842621.4226079565</v>
      </c>
      <c r="E128" s="291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84"/>
    </row>
    <row r="129" spans="1:31">
      <c r="A129" s="1" t="s">
        <v>353</v>
      </c>
      <c r="B129" s="25"/>
      <c r="C129" s="302">
        <v>1700.3066984208108</v>
      </c>
      <c r="D129" s="293">
        <v>0</v>
      </c>
      <c r="E129" s="294"/>
      <c r="F129" s="294"/>
      <c r="G129" s="295">
        <v>51.812730126847555</v>
      </c>
      <c r="H129" s="295">
        <v>0</v>
      </c>
      <c r="I129" s="294"/>
      <c r="J129" s="294"/>
      <c r="K129" s="295">
        <v>0</v>
      </c>
      <c r="M129" s="274"/>
      <c r="N129" s="274"/>
      <c r="O129" s="275"/>
      <c r="AE129" s="84"/>
    </row>
    <row r="130" spans="1:31" ht="16.5" thickBot="1">
      <c r="A130" s="1" t="s">
        <v>372</v>
      </c>
      <c r="B130" s="1"/>
      <c r="C130" s="296">
        <f>C128+C129</f>
        <v>2631430.306698421</v>
      </c>
      <c r="D130" s="296">
        <f>SUM(D128:D129)</f>
        <v>2842621.4226079565</v>
      </c>
      <c r="E130" s="297"/>
      <c r="F130" s="297"/>
      <c r="G130" s="297">
        <f>G128+G129</f>
        <v>190796.81273012684</v>
      </c>
      <c r="H130" s="297">
        <f>H128+H129</f>
        <v>205492</v>
      </c>
      <c r="I130" s="297"/>
      <c r="J130" s="297"/>
      <c r="K130" s="297">
        <f>K128+K129</f>
        <v>220558</v>
      </c>
      <c r="M130" s="276"/>
      <c r="N130" s="276"/>
      <c r="O130" s="277"/>
      <c r="AE130" s="84"/>
    </row>
    <row r="131" spans="1:31" ht="16.5" thickTop="1">
      <c r="A131" s="1"/>
      <c r="B131" s="298"/>
      <c r="C131" s="21"/>
      <c r="D131" s="21"/>
      <c r="E131" s="21"/>
      <c r="F131" s="21"/>
      <c r="I131" s="1" t="s">
        <v>31</v>
      </c>
      <c r="J131" s="1"/>
      <c r="K131" s="2" t="s">
        <v>31</v>
      </c>
      <c r="AE131" s="84"/>
    </row>
    <row r="132" spans="1:31">
      <c r="A132" s="278" t="s">
        <v>376</v>
      </c>
      <c r="B132" s="1"/>
      <c r="C132" s="1"/>
      <c r="D132" s="1"/>
      <c r="E132" s="21"/>
      <c r="F132" s="21"/>
      <c r="G132" s="1"/>
      <c r="H132" s="1"/>
      <c r="I132" s="21"/>
      <c r="J132" s="1"/>
      <c r="K132" s="1"/>
      <c r="AE132" s="84"/>
    </row>
    <row r="133" spans="1:31">
      <c r="A133" s="1" t="s">
        <v>320</v>
      </c>
      <c r="B133" s="1"/>
      <c r="C133" s="1"/>
      <c r="D133" s="21"/>
      <c r="E133" s="21"/>
      <c r="F133" s="21"/>
      <c r="G133" s="1"/>
      <c r="H133" s="1"/>
      <c r="I133" s="21"/>
      <c r="J133" s="1"/>
      <c r="K133" s="1"/>
      <c r="AE133" s="84"/>
    </row>
    <row r="134" spans="1:31">
      <c r="A134" s="282"/>
      <c r="B134" s="1"/>
      <c r="C134" s="1"/>
      <c r="D134" s="1"/>
      <c r="E134" s="21"/>
      <c r="F134" s="21"/>
      <c r="G134" s="1"/>
      <c r="H134" s="1"/>
      <c r="I134" s="21"/>
      <c r="J134" s="1"/>
      <c r="K134" s="1"/>
      <c r="AE134" s="84"/>
    </row>
    <row r="135" spans="1:31">
      <c r="A135" s="1" t="s">
        <v>360</v>
      </c>
      <c r="B135" s="1"/>
      <c r="C135" s="21">
        <v>316</v>
      </c>
      <c r="D135" s="21">
        <v>315</v>
      </c>
      <c r="E135" s="283">
        <v>5.25</v>
      </c>
      <c r="F135" s="1"/>
      <c r="G135" s="2">
        <f>ROUND(E135*$C135,0)</f>
        <v>1659</v>
      </c>
      <c r="H135" s="2">
        <f>ROUND(E135*$D135,0)</f>
        <v>1654</v>
      </c>
      <c r="I135" s="283">
        <f>$I$83</f>
        <v>6</v>
      </c>
      <c r="J135" s="1"/>
      <c r="K135" s="2">
        <f>ROUND(I135*$D135,0)</f>
        <v>1890</v>
      </c>
      <c r="AE135" s="84"/>
    </row>
    <row r="136" spans="1:31">
      <c r="A136" s="1" t="s">
        <v>363</v>
      </c>
      <c r="B136" s="1"/>
      <c r="C136" s="21">
        <v>183484</v>
      </c>
      <c r="D136" s="21">
        <v>184696.12043933535</v>
      </c>
      <c r="E136" s="284">
        <v>4.569</v>
      </c>
      <c r="F136" s="1" t="s">
        <v>364</v>
      </c>
      <c r="G136" s="2">
        <f>ROUND(E136*$C136/100,0)</f>
        <v>8383</v>
      </c>
      <c r="H136" s="2">
        <f>ROUND(E136*$D136/100,0)</f>
        <v>8439</v>
      </c>
      <c r="I136" s="284">
        <f>$I$84</f>
        <v>4.9139999999999997</v>
      </c>
      <c r="J136" s="1" t="s">
        <v>364</v>
      </c>
      <c r="K136" s="2">
        <f>ROUND(I136*$D136/100,0)</f>
        <v>9076</v>
      </c>
      <c r="AE136" s="84"/>
    </row>
    <row r="137" spans="1:31">
      <c r="A137" s="1" t="s">
        <v>365</v>
      </c>
      <c r="B137" s="1"/>
      <c r="C137" s="21">
        <f>753476-C136</f>
        <v>569992</v>
      </c>
      <c r="D137" s="21">
        <v>573757.44523477601</v>
      </c>
      <c r="E137" s="284">
        <v>7.2080000000000002</v>
      </c>
      <c r="F137" s="1" t="s">
        <v>364</v>
      </c>
      <c r="G137" s="2">
        <f>ROUND(E137*$C137/100,0)</f>
        <v>41085</v>
      </c>
      <c r="H137" s="2">
        <f>ROUND(E137*$D137/100,0)</f>
        <v>41356</v>
      </c>
      <c r="I137" s="284">
        <f>$I$85</f>
        <v>7.7510000000000003</v>
      </c>
      <c r="J137" s="1" t="s">
        <v>364</v>
      </c>
      <c r="K137" s="2">
        <f>ROUND(I137*$D137/100,0)</f>
        <v>44472</v>
      </c>
      <c r="AE137" s="84"/>
    </row>
    <row r="138" spans="1:31">
      <c r="A138" s="1" t="s">
        <v>367</v>
      </c>
      <c r="B138" s="1"/>
      <c r="C138" s="21">
        <v>1145</v>
      </c>
      <c r="D138" s="21">
        <v>1152.5640268526899</v>
      </c>
      <c r="E138" s="286">
        <v>1.55</v>
      </c>
      <c r="F138" s="1"/>
      <c r="G138" s="2">
        <f>ROUND(E138*$C138,0)</f>
        <v>1775</v>
      </c>
      <c r="H138" s="2">
        <f>ROUND(E138*$D138,0)</f>
        <v>1786</v>
      </c>
      <c r="I138" s="286">
        <f>$I$86</f>
        <v>1.55</v>
      </c>
      <c r="J138" s="1"/>
      <c r="K138" s="2">
        <f>ROUND(I138*$D138,0)</f>
        <v>1786</v>
      </c>
      <c r="AE138" s="84"/>
    </row>
    <row r="139" spans="1:31">
      <c r="A139" s="288" t="s">
        <v>369</v>
      </c>
      <c r="B139" s="288"/>
      <c r="C139" s="21">
        <v>182</v>
      </c>
      <c r="D139" s="21">
        <v>183.20231693204332</v>
      </c>
      <c r="E139" s="286">
        <v>3</v>
      </c>
      <c r="F139" s="288"/>
      <c r="G139" s="2">
        <f>ROUND(E139*$C139,0)</f>
        <v>546</v>
      </c>
      <c r="H139" s="2">
        <f>ROUND(E139*$D139,0)</f>
        <v>550</v>
      </c>
      <c r="I139" s="286">
        <f>$I$87</f>
        <v>3</v>
      </c>
      <c r="J139" s="288"/>
      <c r="K139" s="2">
        <f>ROUND(I139*$D139,0)</f>
        <v>550</v>
      </c>
      <c r="AE139" s="84"/>
    </row>
    <row r="140" spans="1:31">
      <c r="A140" s="288" t="s">
        <v>370</v>
      </c>
      <c r="B140" s="288"/>
      <c r="C140" s="21">
        <v>13</v>
      </c>
      <c r="D140" s="21">
        <v>13.085879780860235</v>
      </c>
      <c r="E140" s="289">
        <f>-E138</f>
        <v>-1.55</v>
      </c>
      <c r="F140" s="288"/>
      <c r="G140" s="2">
        <f>ROUND(E140*$C140,0)</f>
        <v>-20</v>
      </c>
      <c r="H140" s="2">
        <f>ROUND(E140*$D140,0)</f>
        <v>-20</v>
      </c>
      <c r="I140" s="289">
        <f>$I$88</f>
        <v>-1.55</v>
      </c>
      <c r="J140" s="288"/>
      <c r="K140" s="2">
        <f>ROUND(I140*$D140,0)</f>
        <v>-20</v>
      </c>
      <c r="AE140" s="84"/>
    </row>
    <row r="141" spans="1:31">
      <c r="A141" s="1" t="s">
        <v>371</v>
      </c>
      <c r="B141" s="1"/>
      <c r="C141" s="21">
        <f>SUM(C136:C137)</f>
        <v>753476</v>
      </c>
      <c r="D141" s="21">
        <v>758453.56567411136</v>
      </c>
      <c r="E141" s="291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84"/>
    </row>
    <row r="142" spans="1:31">
      <c r="A142" s="1" t="s">
        <v>353</v>
      </c>
      <c r="B142" s="1"/>
      <c r="C142" s="302">
        <v>454.99401217422201</v>
      </c>
      <c r="D142" s="293">
        <v>0</v>
      </c>
      <c r="E142" s="294"/>
      <c r="F142" s="294"/>
      <c r="G142" s="295">
        <v>13.645744029524508</v>
      </c>
      <c r="H142" s="295">
        <v>0</v>
      </c>
      <c r="I142" s="294"/>
      <c r="J142" s="294"/>
      <c r="K142" s="295">
        <v>0</v>
      </c>
      <c r="M142" s="274"/>
      <c r="N142" s="274"/>
      <c r="O142" s="275"/>
      <c r="AE142" s="84"/>
    </row>
    <row r="143" spans="1:31" ht="16.5" thickBot="1">
      <c r="A143" s="1" t="s">
        <v>372</v>
      </c>
      <c r="B143" s="1"/>
      <c r="C143" s="296">
        <f>C141+C142</f>
        <v>753930.9940121742</v>
      </c>
      <c r="D143" s="296">
        <f>SUM(D141:D142)</f>
        <v>758453.56567411136</v>
      </c>
      <c r="E143" s="297"/>
      <c r="F143" s="297"/>
      <c r="G143" s="297">
        <f>G141+G142</f>
        <v>53441.645744029527</v>
      </c>
      <c r="H143" s="297">
        <f>H141+H142</f>
        <v>53765</v>
      </c>
      <c r="I143" s="297"/>
      <c r="J143" s="297"/>
      <c r="K143" s="297">
        <f>K141+K142</f>
        <v>57754</v>
      </c>
      <c r="M143" s="276"/>
      <c r="N143" s="276"/>
      <c r="O143" s="277"/>
      <c r="AE143" s="84"/>
    </row>
    <row r="144" spans="1:31" ht="16.5" thickTop="1">
      <c r="A144" s="1"/>
      <c r="B144" s="298"/>
      <c r="C144" s="21"/>
      <c r="D144" s="21"/>
      <c r="E144" s="21"/>
      <c r="F144" s="21"/>
      <c r="I144" s="1" t="s">
        <v>31</v>
      </c>
      <c r="J144" s="1"/>
      <c r="K144" s="2" t="s">
        <v>31</v>
      </c>
      <c r="AE144" s="84"/>
    </row>
    <row r="145" spans="1:31">
      <c r="A145" s="278" t="s">
        <v>377</v>
      </c>
      <c r="B145" s="1"/>
      <c r="C145" s="1"/>
      <c r="D145" s="1"/>
      <c r="E145" s="2"/>
      <c r="F145" s="2"/>
      <c r="G145" s="1" t="s">
        <v>31</v>
      </c>
      <c r="H145" s="1"/>
      <c r="I145" s="2"/>
      <c r="J145" s="1"/>
      <c r="K145" s="1"/>
      <c r="AE145" s="84"/>
    </row>
    <row r="146" spans="1:31">
      <c r="A146" s="1" t="s">
        <v>378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84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84"/>
    </row>
    <row r="148" spans="1:31">
      <c r="A148" s="1" t="s">
        <v>379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84"/>
    </row>
    <row r="149" spans="1:31">
      <c r="A149" s="1" t="s">
        <v>380</v>
      </c>
      <c r="B149" s="1"/>
      <c r="C149" s="21">
        <f>C384</f>
        <v>1</v>
      </c>
      <c r="D149" s="21">
        <f>D384</f>
        <v>1</v>
      </c>
      <c r="E149" s="283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283">
        <f>I153*12</f>
        <v>90.36</v>
      </c>
      <c r="J149" s="1"/>
      <c r="K149" s="2">
        <f>K355</f>
        <v>90</v>
      </c>
      <c r="M149" s="84">
        <f>I149*D149</f>
        <v>90.36</v>
      </c>
      <c r="O149" s="14">
        <f>(I149-E149)/E149</f>
        <v>7.5714285714285706E-2</v>
      </c>
      <c r="P149" s="14"/>
      <c r="AE149" s="84"/>
    </row>
    <row r="150" spans="1:31">
      <c r="A150" s="1" t="s">
        <v>381</v>
      </c>
      <c r="B150" s="1"/>
      <c r="C150" s="21">
        <f>C356</f>
        <v>112</v>
      </c>
      <c r="D150" s="21">
        <f>D356</f>
        <v>109</v>
      </c>
      <c r="E150" s="283">
        <v>124.8</v>
      </c>
      <c r="F150" s="2"/>
      <c r="G150" s="2">
        <f t="shared" si="8"/>
        <v>13978</v>
      </c>
      <c r="H150" s="2">
        <f t="shared" si="8"/>
        <v>13603</v>
      </c>
      <c r="I150" s="283">
        <f>I154*12</f>
        <v>134.16</v>
      </c>
      <c r="J150" s="1"/>
      <c r="K150" s="2">
        <f>K356</f>
        <v>14623</v>
      </c>
      <c r="M150" s="84">
        <f>I150*D150</f>
        <v>14623.44</v>
      </c>
      <c r="N150" s="84"/>
      <c r="O150" s="14">
        <f>(I150-E150)/E150</f>
        <v>7.4999999999999997E-2</v>
      </c>
      <c r="P150" s="14"/>
      <c r="AE150" s="84"/>
    </row>
    <row r="151" spans="1:31">
      <c r="A151" s="1" t="s">
        <v>382</v>
      </c>
      <c r="B151" s="1"/>
      <c r="C151" s="21">
        <f>C357</f>
        <v>4566</v>
      </c>
      <c r="D151" s="21">
        <f>D357</f>
        <v>3312</v>
      </c>
      <c r="E151" s="283">
        <v>8.2799999999999994</v>
      </c>
      <c r="F151" s="2"/>
      <c r="G151" s="2">
        <f t="shared" si="8"/>
        <v>37806</v>
      </c>
      <c r="H151" s="2">
        <f t="shared" si="8"/>
        <v>27423</v>
      </c>
      <c r="I151" s="283">
        <v>9.36</v>
      </c>
      <c r="J151" s="1"/>
      <c r="K151" s="2">
        <f>K357</f>
        <v>31000</v>
      </c>
      <c r="M151" s="84">
        <f>I151*D151</f>
        <v>31000.32</v>
      </c>
      <c r="O151" s="14">
        <f>(I151-E151)/E151</f>
        <v>0.13043478260869568</v>
      </c>
      <c r="P151" s="14"/>
      <c r="R151" s="3" t="s">
        <v>31</v>
      </c>
      <c r="AE151" s="84"/>
    </row>
    <row r="152" spans="1:31">
      <c r="A152" s="1" t="s">
        <v>383</v>
      </c>
      <c r="B152" s="1"/>
      <c r="C152" s="304"/>
      <c r="D152" s="304"/>
      <c r="E152" s="2"/>
      <c r="F152" s="2"/>
      <c r="G152" s="1"/>
      <c r="H152" s="1"/>
      <c r="I152" s="2"/>
      <c r="J152" s="1"/>
      <c r="K152" s="1"/>
      <c r="O152" s="305"/>
      <c r="AE152" s="84"/>
    </row>
    <row r="153" spans="1:31">
      <c r="A153" s="1" t="s">
        <v>380</v>
      </c>
      <c r="B153" s="1"/>
      <c r="C153" s="304">
        <f t="shared" ref="C153:D155" si="9">C183+C267</f>
        <v>150723</v>
      </c>
      <c r="D153" s="304">
        <f t="shared" si="9"/>
        <v>152395</v>
      </c>
      <c r="E153" s="283">
        <v>7</v>
      </c>
      <c r="F153" s="306"/>
      <c r="G153" s="307">
        <f t="shared" ref="G153:H155" si="10">G183+G267</f>
        <v>1055061</v>
      </c>
      <c r="H153" s="307">
        <f t="shared" si="10"/>
        <v>1066765</v>
      </c>
      <c r="I153" s="283">
        <v>7.53</v>
      </c>
      <c r="J153" s="308"/>
      <c r="K153" s="307">
        <f>K183+K267</f>
        <v>1147534</v>
      </c>
      <c r="M153" s="84">
        <f>I153*D153</f>
        <v>1147534.3500000001</v>
      </c>
      <c r="O153" s="14">
        <f>(I153-E153)/E153</f>
        <v>7.5714285714285748E-2</v>
      </c>
      <c r="P153" s="14">
        <v>7.2866321118088731E-2</v>
      </c>
      <c r="AE153" s="84"/>
    </row>
    <row r="154" spans="1:31">
      <c r="A154" s="1" t="s">
        <v>381</v>
      </c>
      <c r="B154" s="1"/>
      <c r="C154" s="304">
        <f t="shared" si="9"/>
        <v>58994</v>
      </c>
      <c r="D154" s="304">
        <f t="shared" si="9"/>
        <v>59583</v>
      </c>
      <c r="E154" s="283">
        <v>10.4</v>
      </c>
      <c r="F154" s="309"/>
      <c r="G154" s="307">
        <f t="shared" si="10"/>
        <v>613538</v>
      </c>
      <c r="H154" s="307">
        <f t="shared" si="10"/>
        <v>619663</v>
      </c>
      <c r="I154" s="283">
        <v>11.18</v>
      </c>
      <c r="J154" s="310"/>
      <c r="K154" s="307">
        <f>K184+K268</f>
        <v>666138</v>
      </c>
      <c r="M154" s="84">
        <f>I154*D154</f>
        <v>666137.93999999994</v>
      </c>
      <c r="O154" s="14">
        <f>(I154-E154)/E154</f>
        <v>7.4999999999999942E-2</v>
      </c>
      <c r="P154" s="14">
        <v>7.1815364563500975E-2</v>
      </c>
      <c r="Q154" s="84"/>
      <c r="AE154" s="84"/>
    </row>
    <row r="155" spans="1:31">
      <c r="A155" s="1" t="s">
        <v>382</v>
      </c>
      <c r="B155" s="1"/>
      <c r="C155" s="304">
        <f t="shared" si="9"/>
        <v>1172685</v>
      </c>
      <c r="D155" s="304">
        <f t="shared" si="9"/>
        <v>1215298</v>
      </c>
      <c r="E155" s="283">
        <v>0.69</v>
      </c>
      <c r="F155" s="309"/>
      <c r="G155" s="307">
        <f t="shared" si="10"/>
        <v>809153</v>
      </c>
      <c r="H155" s="307">
        <f t="shared" si="10"/>
        <v>838556</v>
      </c>
      <c r="I155" s="283">
        <v>0.78</v>
      </c>
      <c r="J155" s="310"/>
      <c r="K155" s="307">
        <f>K185+K269</f>
        <v>947933</v>
      </c>
      <c r="M155" s="84">
        <f>I155*D155</f>
        <v>947932.44000000006</v>
      </c>
      <c r="O155" s="14">
        <f>(I155-E155)/E155</f>
        <v>0.13043478260869579</v>
      </c>
      <c r="P155" s="14">
        <v>0.132004204924074</v>
      </c>
      <c r="R155" s="15"/>
      <c r="S155" s="15"/>
      <c r="AE155" s="84"/>
    </row>
    <row r="156" spans="1:31">
      <c r="A156" s="1" t="s">
        <v>384</v>
      </c>
      <c r="B156" s="1"/>
      <c r="C156" s="304">
        <f>SUM(C153:C154)</f>
        <v>209717</v>
      </c>
      <c r="D156" s="304">
        <f>SUM(D153:D154)</f>
        <v>211978</v>
      </c>
      <c r="E156" s="283"/>
      <c r="F156" s="306"/>
      <c r="G156" s="307"/>
      <c r="H156" s="307"/>
      <c r="I156" s="283"/>
      <c r="J156" s="308"/>
      <c r="K156" s="307"/>
      <c r="O156" s="305"/>
      <c r="AE156" s="84"/>
    </row>
    <row r="157" spans="1:31">
      <c r="A157" s="1" t="s">
        <v>352</v>
      </c>
      <c r="B157" s="1"/>
      <c r="C157" s="304">
        <f>C186+C271+C358</f>
        <v>206434</v>
      </c>
      <c r="D157" s="304">
        <f>D186+D271+D358</f>
        <v>208713.75</v>
      </c>
      <c r="E157" s="283"/>
      <c r="F157" s="306"/>
      <c r="G157" s="307"/>
      <c r="H157" s="307"/>
      <c r="I157" s="283"/>
      <c r="J157" s="308"/>
      <c r="K157" s="307"/>
      <c r="O157" s="305"/>
      <c r="AE157" s="84"/>
    </row>
    <row r="158" spans="1:31">
      <c r="A158" s="1" t="s">
        <v>385</v>
      </c>
      <c r="B158" s="1"/>
      <c r="C158" s="304">
        <f t="shared" ref="C158:D162" si="11">C187+C272+C360</f>
        <v>773776</v>
      </c>
      <c r="D158" s="304">
        <f t="shared" si="11"/>
        <v>798223</v>
      </c>
      <c r="E158" s="311">
        <v>2.81</v>
      </c>
      <c r="F158" s="308"/>
      <c r="G158" s="307">
        <f t="shared" ref="G158:H162" si="12">G187+G272+G360</f>
        <v>2174311</v>
      </c>
      <c r="H158" s="307">
        <f t="shared" si="12"/>
        <v>2243006</v>
      </c>
      <c r="I158" s="283">
        <v>2.88</v>
      </c>
      <c r="J158" s="308"/>
      <c r="K158" s="307">
        <f>K187+K272+K360</f>
        <v>2298883</v>
      </c>
      <c r="M158" s="84">
        <f>I158*D158</f>
        <v>2298882.2399999998</v>
      </c>
      <c r="O158" s="14">
        <f>(I158-E158)/E158</f>
        <v>2.4911032028469695E-2</v>
      </c>
      <c r="P158" s="14">
        <v>2.5931075130992472E-2</v>
      </c>
      <c r="Q158" s="3" t="s">
        <v>386</v>
      </c>
      <c r="AE158" s="84"/>
    </row>
    <row r="159" spans="1:31">
      <c r="A159" s="1" t="s">
        <v>387</v>
      </c>
      <c r="B159" s="1"/>
      <c r="C159" s="304">
        <f t="shared" si="11"/>
        <v>122073149.22139926</v>
      </c>
      <c r="D159" s="304">
        <f t="shared" si="11"/>
        <v>126408223</v>
      </c>
      <c r="E159" s="284">
        <v>7.5869999999999997</v>
      </c>
      <c r="F159" s="308" t="s">
        <v>364</v>
      </c>
      <c r="G159" s="307">
        <f t="shared" si="12"/>
        <v>9261689</v>
      </c>
      <c r="H159" s="307">
        <f t="shared" si="12"/>
        <v>9590592</v>
      </c>
      <c r="I159" s="312">
        <v>8.0890000000000004</v>
      </c>
      <c r="J159" s="308" t="s">
        <v>364</v>
      </c>
      <c r="K159" s="307">
        <f>K188+K273+K361</f>
        <v>10225160</v>
      </c>
      <c r="M159" s="84">
        <f>(I159/100)*D159</f>
        <v>10225161.158470001</v>
      </c>
      <c r="O159" s="14">
        <f>(I159-E159)/E159</f>
        <v>6.6165809938052017E-2</v>
      </c>
      <c r="P159" s="14">
        <v>6.6628456933799998E-2</v>
      </c>
      <c r="Q159" s="221">
        <f>H159+H160-(D159+D160)*E161/100</f>
        <v>5928502.7547500022</v>
      </c>
      <c r="R159" s="221">
        <f>K159+K160-(D159+D160)*I161/100</f>
        <v>6328709.5074999966</v>
      </c>
      <c r="AE159" s="84"/>
    </row>
    <row r="160" spans="1:31">
      <c r="A160" s="1" t="s">
        <v>388</v>
      </c>
      <c r="B160" s="1"/>
      <c r="C160" s="304">
        <f t="shared" si="11"/>
        <v>272356025.57318687</v>
      </c>
      <c r="D160" s="304">
        <f t="shared" si="11"/>
        <v>282142702</v>
      </c>
      <c r="E160" s="284">
        <v>5.2370000000000001</v>
      </c>
      <c r="F160" s="308" t="s">
        <v>364</v>
      </c>
      <c r="G160" s="307">
        <f t="shared" si="12"/>
        <v>14263286</v>
      </c>
      <c r="H160" s="307">
        <f t="shared" si="12"/>
        <v>14775814</v>
      </c>
      <c r="I160" s="313">
        <f>ROUND((E160/E159)*I159,3)</f>
        <v>5.5839999999999996</v>
      </c>
      <c r="J160" s="308" t="s">
        <v>364</v>
      </c>
      <c r="K160" s="307">
        <f>K189+K274+K362</f>
        <v>15754849</v>
      </c>
      <c r="M160" s="84">
        <f>(I160/100)*D160</f>
        <v>15754848.479679998</v>
      </c>
      <c r="N160" s="314"/>
      <c r="O160" s="14">
        <f>(I160-E160)/E160</f>
        <v>6.6259308764559766E-2</v>
      </c>
      <c r="P160" s="14">
        <v>6.6612089431516142E-2</v>
      </c>
      <c r="AE160" s="84"/>
    </row>
    <row r="161" spans="1:31">
      <c r="A161" s="1" t="s">
        <v>389</v>
      </c>
      <c r="B161" s="1"/>
      <c r="C161" s="304">
        <f t="shared" si="11"/>
        <v>116874017.20541383</v>
      </c>
      <c r="D161" s="304">
        <f t="shared" si="11"/>
        <v>121112284</v>
      </c>
      <c r="E161" s="284">
        <v>4.5129999999999999</v>
      </c>
      <c r="F161" s="308" t="s">
        <v>364</v>
      </c>
      <c r="G161" s="307">
        <f t="shared" si="12"/>
        <v>5274524</v>
      </c>
      <c r="H161" s="307">
        <f t="shared" si="12"/>
        <v>5465798</v>
      </c>
      <c r="I161" s="284">
        <f>ROUND((E161/E160)*I160,3)-0.002</f>
        <v>4.8100000000000005</v>
      </c>
      <c r="J161" s="308" t="s">
        <v>364</v>
      </c>
      <c r="K161" s="307">
        <f>K190+K275+K363</f>
        <v>5825501</v>
      </c>
      <c r="M161" s="84">
        <f>(I161/100)*D161</f>
        <v>5825500.8604000006</v>
      </c>
      <c r="N161" s="285"/>
      <c r="O161" s="14">
        <f>(I161-E161)/E161</f>
        <v>6.5809882561489161E-2</v>
      </c>
      <c r="P161" s="14">
        <v>6.6601722714849612E-2</v>
      </c>
      <c r="Q161" s="84">
        <f>K159+K160+K161-R159</f>
        <v>25476800.492500003</v>
      </c>
      <c r="AE161" s="84"/>
    </row>
    <row r="162" spans="1:31">
      <c r="A162" s="1" t="s">
        <v>390</v>
      </c>
      <c r="B162" s="1"/>
      <c r="C162" s="304">
        <f t="shared" si="11"/>
        <v>89833</v>
      </c>
      <c r="D162" s="304">
        <f t="shared" si="11"/>
        <v>92605</v>
      </c>
      <c r="E162" s="315">
        <v>45</v>
      </c>
      <c r="F162" s="306" t="s">
        <v>364</v>
      </c>
      <c r="G162" s="307">
        <f t="shared" si="12"/>
        <v>40425</v>
      </c>
      <c r="H162" s="307">
        <f t="shared" si="12"/>
        <v>41673</v>
      </c>
      <c r="I162" s="315">
        <v>45</v>
      </c>
      <c r="J162" s="308" t="s">
        <v>364</v>
      </c>
      <c r="K162" s="307">
        <f>K191+K276+K364</f>
        <v>41673</v>
      </c>
      <c r="M162" s="84">
        <f>(I162/100)*D162</f>
        <v>41672.25</v>
      </c>
      <c r="O162" s="14">
        <f>(I162-E162)/E162</f>
        <v>0</v>
      </c>
      <c r="P162" s="14"/>
      <c r="AE162" s="84"/>
    </row>
    <row r="163" spans="1:31">
      <c r="A163" s="316" t="s">
        <v>391</v>
      </c>
      <c r="B163" s="1"/>
      <c r="C163" s="304"/>
      <c r="D163" s="304"/>
      <c r="E163" s="317">
        <v>-0.01</v>
      </c>
      <c r="F163" s="306"/>
      <c r="G163" s="307"/>
      <c r="H163" s="307"/>
      <c r="I163" s="317">
        <v>-0.01</v>
      </c>
      <c r="J163" s="308"/>
      <c r="K163" s="307"/>
      <c r="O163" s="318"/>
      <c r="AE163" s="84"/>
    </row>
    <row r="164" spans="1:31">
      <c r="A164" s="1" t="s">
        <v>380</v>
      </c>
      <c r="B164" s="1"/>
      <c r="C164" s="304">
        <f t="shared" ref="C164:D175" si="13">C193+C278+C366</f>
        <v>48</v>
      </c>
      <c r="D164" s="304">
        <f t="shared" si="13"/>
        <v>49</v>
      </c>
      <c r="E164" s="319">
        <f>E153</f>
        <v>7</v>
      </c>
      <c r="F164" s="306"/>
      <c r="G164" s="307">
        <f t="shared" ref="G164:H175" si="14">G193+G278+G366</f>
        <v>-3</v>
      </c>
      <c r="H164" s="307">
        <f t="shared" si="14"/>
        <v>-3</v>
      </c>
      <c r="I164" s="319">
        <f>I153</f>
        <v>7.53</v>
      </c>
      <c r="J164" s="306"/>
      <c r="K164" s="307">
        <f t="shared" ref="K164:K175" si="15">K193+K278+K366</f>
        <v>-4</v>
      </c>
      <c r="M164" s="84">
        <f>-(I164/100)*D164</f>
        <v>-3.6897000000000002</v>
      </c>
      <c r="AE164" s="84"/>
    </row>
    <row r="165" spans="1:31">
      <c r="A165" s="1" t="s">
        <v>381</v>
      </c>
      <c r="B165" s="1"/>
      <c r="C165" s="304">
        <f t="shared" si="13"/>
        <v>88</v>
      </c>
      <c r="D165" s="304">
        <f t="shared" si="13"/>
        <v>89</v>
      </c>
      <c r="E165" s="319">
        <f>E154</f>
        <v>10.4</v>
      </c>
      <c r="F165" s="306"/>
      <c r="G165" s="307">
        <f t="shared" si="14"/>
        <v>-9</v>
      </c>
      <c r="H165" s="307">
        <f t="shared" si="14"/>
        <v>-9</v>
      </c>
      <c r="I165" s="319">
        <f>I154</f>
        <v>11.18</v>
      </c>
      <c r="J165" s="306"/>
      <c r="K165" s="307">
        <f t="shared" si="15"/>
        <v>-10</v>
      </c>
      <c r="M165" s="84">
        <f>-(I165/100)*D165</f>
        <v>-9.9501999999999988</v>
      </c>
      <c r="R165" s="3" t="s">
        <v>361</v>
      </c>
      <c r="S165" s="3" t="s">
        <v>296</v>
      </c>
      <c r="T165" s="3" t="s">
        <v>362</v>
      </c>
      <c r="U165" s="3" t="s">
        <v>305</v>
      </c>
      <c r="AE165" s="84"/>
    </row>
    <row r="166" spans="1:31">
      <c r="A166" s="1" t="s">
        <v>392</v>
      </c>
      <c r="B166" s="1"/>
      <c r="C166" s="304">
        <f t="shared" si="13"/>
        <v>1730</v>
      </c>
      <c r="D166" s="304">
        <f t="shared" si="13"/>
        <v>1792</v>
      </c>
      <c r="E166" s="319">
        <f>E155</f>
        <v>0.69</v>
      </c>
      <c r="F166" s="306"/>
      <c r="G166" s="307">
        <f t="shared" si="14"/>
        <v>-12</v>
      </c>
      <c r="H166" s="307">
        <f t="shared" si="14"/>
        <v>-12</v>
      </c>
      <c r="I166" s="319">
        <f>I155</f>
        <v>0.78</v>
      </c>
      <c r="J166" s="306"/>
      <c r="K166" s="307">
        <f t="shared" si="15"/>
        <v>-14</v>
      </c>
      <c r="M166" s="84">
        <f>-(I166/100)*D166</f>
        <v>-13.977600000000001</v>
      </c>
      <c r="Q166" s="3" t="s">
        <v>20</v>
      </c>
      <c r="R166" s="84">
        <f>H149+H150+H153+H154</f>
        <v>1700115</v>
      </c>
      <c r="S166" s="84">
        <f>K149+K150+K153+K154</f>
        <v>1828385</v>
      </c>
      <c r="T166" s="106">
        <v>1916638.7857408486</v>
      </c>
      <c r="U166" s="222">
        <f>S166/T166</f>
        <v>0.9539538767568374</v>
      </c>
      <c r="AE166" s="84"/>
    </row>
    <row r="167" spans="1:31">
      <c r="A167" s="1" t="s">
        <v>393</v>
      </c>
      <c r="B167" s="1"/>
      <c r="C167" s="304">
        <f t="shared" si="13"/>
        <v>696</v>
      </c>
      <c r="D167" s="304">
        <f t="shared" si="13"/>
        <v>721</v>
      </c>
      <c r="E167" s="319">
        <f>E158</f>
        <v>2.81</v>
      </c>
      <c r="F167" s="308"/>
      <c r="G167" s="307">
        <f t="shared" si="14"/>
        <v>-20</v>
      </c>
      <c r="H167" s="307">
        <f t="shared" si="14"/>
        <v>-20</v>
      </c>
      <c r="I167" s="319">
        <f>I158</f>
        <v>2.88</v>
      </c>
      <c r="J167" s="308"/>
      <c r="K167" s="307">
        <f t="shared" si="15"/>
        <v>-21</v>
      </c>
      <c r="M167" s="84">
        <f>-(I167/100)*D167</f>
        <v>-20.764800000000001</v>
      </c>
      <c r="Q167" s="3" t="s">
        <v>394</v>
      </c>
      <c r="R167" s="84">
        <f>H155</f>
        <v>838556</v>
      </c>
      <c r="S167" s="84">
        <f>K155</f>
        <v>947933</v>
      </c>
      <c r="T167" s="106">
        <v>5367292.197431691</v>
      </c>
      <c r="U167" s="222">
        <f>S167/T167</f>
        <v>0.17661289252215417</v>
      </c>
      <c r="AE167" s="84"/>
    </row>
    <row r="168" spans="1:31">
      <c r="A168" s="1" t="s">
        <v>395</v>
      </c>
      <c r="B168" s="1"/>
      <c r="C168" s="304">
        <f t="shared" si="13"/>
        <v>80560</v>
      </c>
      <c r="D168" s="304">
        <f t="shared" si="13"/>
        <v>83451</v>
      </c>
      <c r="E168" s="320">
        <f>E159</f>
        <v>7.5869999999999997</v>
      </c>
      <c r="F168" s="308" t="s">
        <v>364</v>
      </c>
      <c r="G168" s="307">
        <f t="shared" si="14"/>
        <v>-61</v>
      </c>
      <c r="H168" s="307">
        <f t="shared" si="14"/>
        <v>-63</v>
      </c>
      <c r="I168" s="320">
        <f>I159</f>
        <v>8.0890000000000004</v>
      </c>
      <c r="J168" s="308" t="s">
        <v>364</v>
      </c>
      <c r="K168" s="307">
        <f t="shared" si="15"/>
        <v>-68</v>
      </c>
      <c r="M168" s="84">
        <f>-((I168/100)*D168)/100</f>
        <v>-67.503513900000002</v>
      </c>
      <c r="Q168" s="3" t="s">
        <v>366</v>
      </c>
      <c r="R168" s="84">
        <f>SUM(H159:H161)-Q159</f>
        <v>23903701.245249998</v>
      </c>
      <c r="S168" s="84">
        <f>SUM(K159:K161)-R159</f>
        <v>25476800.492500003</v>
      </c>
      <c r="T168" s="106">
        <v>26743743.576655678</v>
      </c>
      <c r="U168" s="222">
        <f>S168/T168</f>
        <v>0.95262656177792637</v>
      </c>
      <c r="AE168" s="84"/>
    </row>
    <row r="169" spans="1:31">
      <c r="A169" s="1" t="s">
        <v>388</v>
      </c>
      <c r="B169" s="1"/>
      <c r="C169" s="304">
        <f t="shared" si="13"/>
        <v>247430</v>
      </c>
      <c r="D169" s="304">
        <f t="shared" si="13"/>
        <v>256310</v>
      </c>
      <c r="E169" s="320">
        <f>E160</f>
        <v>5.2370000000000001</v>
      </c>
      <c r="F169" s="308" t="s">
        <v>364</v>
      </c>
      <c r="G169" s="307">
        <f t="shared" si="14"/>
        <v>-130</v>
      </c>
      <c r="H169" s="307">
        <f t="shared" si="14"/>
        <v>-134</v>
      </c>
      <c r="I169" s="320">
        <f>I160</f>
        <v>5.5839999999999996</v>
      </c>
      <c r="J169" s="308" t="s">
        <v>364</v>
      </c>
      <c r="K169" s="307">
        <f t="shared" si="15"/>
        <v>-143</v>
      </c>
      <c r="M169" s="84">
        <f>-((I169/100)*D169)/100</f>
        <v>-143.12350399999997</v>
      </c>
      <c r="Q169" s="3" t="s">
        <v>396</v>
      </c>
      <c r="R169" s="84">
        <f>H158+Q159</f>
        <v>8171508.7547500022</v>
      </c>
      <c r="S169" s="84">
        <f>K158+R159</f>
        <v>8627592.5074999966</v>
      </c>
      <c r="T169" s="106">
        <v>4454867.4522770187</v>
      </c>
      <c r="U169" s="222">
        <f>S169/T169</f>
        <v>1.9366664889412526</v>
      </c>
      <c r="AE169" s="84"/>
    </row>
    <row r="170" spans="1:31">
      <c r="A170" s="1" t="s">
        <v>389</v>
      </c>
      <c r="B170" s="1"/>
      <c r="C170" s="304">
        <f t="shared" si="13"/>
        <v>46700</v>
      </c>
      <c r="D170" s="304">
        <f t="shared" si="13"/>
        <v>48376</v>
      </c>
      <c r="E170" s="320">
        <f>E161</f>
        <v>4.5129999999999999</v>
      </c>
      <c r="F170" s="308" t="s">
        <v>364</v>
      </c>
      <c r="G170" s="307">
        <f t="shared" si="14"/>
        <v>-21</v>
      </c>
      <c r="H170" s="307">
        <f t="shared" si="14"/>
        <v>-22</v>
      </c>
      <c r="I170" s="320">
        <f>I161</f>
        <v>4.8100000000000005</v>
      </c>
      <c r="J170" s="308" t="s">
        <v>364</v>
      </c>
      <c r="K170" s="307">
        <f t="shared" si="15"/>
        <v>-23</v>
      </c>
      <c r="M170" s="84">
        <f>-((I170/100)*D170)/100</f>
        <v>-23.268856</v>
      </c>
      <c r="AE170" s="84"/>
    </row>
    <row r="171" spans="1:31">
      <c r="A171" s="1" t="s">
        <v>390</v>
      </c>
      <c r="B171" s="1"/>
      <c r="C171" s="304">
        <f t="shared" si="13"/>
        <v>2329</v>
      </c>
      <c r="D171" s="304">
        <f t="shared" si="13"/>
        <v>2413</v>
      </c>
      <c r="E171" s="321">
        <f>E162</f>
        <v>45</v>
      </c>
      <c r="F171" s="308" t="s">
        <v>364</v>
      </c>
      <c r="G171" s="307">
        <f t="shared" si="14"/>
        <v>-10</v>
      </c>
      <c r="H171" s="307">
        <f t="shared" si="14"/>
        <v>-11</v>
      </c>
      <c r="I171" s="321">
        <f>I162</f>
        <v>45</v>
      </c>
      <c r="J171" s="308" t="s">
        <v>364</v>
      </c>
      <c r="K171" s="307">
        <f t="shared" si="15"/>
        <v>-11</v>
      </c>
      <c r="M171" s="84">
        <f>-((I171/100)*D171)/100</f>
        <v>-10.858500000000001</v>
      </c>
      <c r="AE171" s="84"/>
    </row>
    <row r="172" spans="1:31">
      <c r="A172" s="1" t="s">
        <v>397</v>
      </c>
      <c r="B172" s="1"/>
      <c r="C172" s="304">
        <f t="shared" si="13"/>
        <v>103</v>
      </c>
      <c r="D172" s="304">
        <f t="shared" si="13"/>
        <v>107</v>
      </c>
      <c r="E172" s="322">
        <v>60</v>
      </c>
      <c r="F172" s="306"/>
      <c r="G172" s="307">
        <f t="shared" si="14"/>
        <v>6180</v>
      </c>
      <c r="H172" s="307">
        <f t="shared" si="14"/>
        <v>6420</v>
      </c>
      <c r="I172" s="322">
        <v>60</v>
      </c>
      <c r="J172" s="308"/>
      <c r="K172" s="307">
        <f t="shared" si="15"/>
        <v>6420</v>
      </c>
      <c r="M172" s="84">
        <f>I172*D172</f>
        <v>6420</v>
      </c>
      <c r="O172" s="323"/>
      <c r="AE172" s="84"/>
    </row>
    <row r="173" spans="1:31">
      <c r="A173" s="1" t="s">
        <v>398</v>
      </c>
      <c r="B173" s="1"/>
      <c r="C173" s="304">
        <f t="shared" si="13"/>
        <v>2204</v>
      </c>
      <c r="D173" s="304">
        <f t="shared" si="13"/>
        <v>2283</v>
      </c>
      <c r="E173" s="324">
        <v>-30</v>
      </c>
      <c r="F173" s="306" t="s">
        <v>364</v>
      </c>
      <c r="G173" s="307">
        <f t="shared" si="14"/>
        <v>-661</v>
      </c>
      <c r="H173" s="307">
        <f t="shared" si="14"/>
        <v>-685</v>
      </c>
      <c r="I173" s="324">
        <v>-30</v>
      </c>
      <c r="J173" s="308" t="s">
        <v>364</v>
      </c>
      <c r="K173" s="307">
        <f t="shared" si="15"/>
        <v>-685</v>
      </c>
      <c r="M173" s="84">
        <f>(I173/100)*D173</f>
        <v>-684.9</v>
      </c>
      <c r="O173" s="279"/>
      <c r="Q173" s="279"/>
      <c r="AE173" s="84"/>
    </row>
    <row r="174" spans="1:31">
      <c r="A174" s="1" t="s">
        <v>371</v>
      </c>
      <c r="B174" s="249"/>
      <c r="C174" s="304">
        <f t="shared" si="13"/>
        <v>511303192</v>
      </c>
      <c r="D174" s="304">
        <f t="shared" si="13"/>
        <v>529663208.81107259</v>
      </c>
      <c r="E174" s="315"/>
      <c r="F174" s="2"/>
      <c r="G174" s="307">
        <f t="shared" si="14"/>
        <v>33549108</v>
      </c>
      <c r="H174" s="307">
        <f t="shared" si="14"/>
        <v>34688438</v>
      </c>
      <c r="I174" s="315"/>
      <c r="J174" s="308"/>
      <c r="K174" s="307">
        <f t="shared" si="15"/>
        <v>36958825</v>
      </c>
      <c r="M174" s="84">
        <f>SUM(M149:M173)</f>
        <v>36958825.801876113</v>
      </c>
      <c r="O174" s="279"/>
      <c r="AE174" s="84"/>
    </row>
    <row r="175" spans="1:31">
      <c r="A175" s="1" t="s">
        <v>353</v>
      </c>
      <c r="B175" s="25"/>
      <c r="C175" s="325">
        <f t="shared" si="13"/>
        <v>1738550.1352391352</v>
      </c>
      <c r="D175" s="325">
        <f t="shared" si="13"/>
        <v>0</v>
      </c>
      <c r="E175" s="294"/>
      <c r="F175" s="294"/>
      <c r="G175" s="326">
        <f t="shared" si="14"/>
        <v>98538.251191607749</v>
      </c>
      <c r="H175" s="326">
        <f t="shared" si="14"/>
        <v>0</v>
      </c>
      <c r="I175" s="294"/>
      <c r="J175" s="294"/>
      <c r="K175" s="326">
        <f t="shared" si="15"/>
        <v>0</v>
      </c>
      <c r="M175" s="274"/>
      <c r="AE175" s="84"/>
    </row>
    <row r="176" spans="1:31" ht="16.5" thickBot="1">
      <c r="A176" s="1" t="s">
        <v>372</v>
      </c>
      <c r="B176" s="1"/>
      <c r="C176" s="296">
        <f>SUM(C174:C175)</f>
        <v>513041742.13523912</v>
      </c>
      <c r="D176" s="296">
        <f>SUM(D174:D175)</f>
        <v>529663208.81107259</v>
      </c>
      <c r="E176" s="327"/>
      <c r="F176" s="328"/>
      <c r="G176" s="329">
        <f>G174+G175</f>
        <v>33647646.251191609</v>
      </c>
      <c r="H176" s="329">
        <f>H174+H175</f>
        <v>34688438</v>
      </c>
      <c r="I176" s="327"/>
      <c r="J176" s="330"/>
      <c r="K176" s="329">
        <f>K174+K175</f>
        <v>36958825</v>
      </c>
      <c r="M176" s="276"/>
      <c r="N176" s="3" t="s">
        <v>399</v>
      </c>
      <c r="O176" s="84" t="e">
        <f>#REF!*1000</f>
        <v>#REF!</v>
      </c>
      <c r="P176" s="14"/>
      <c r="AE176" s="84"/>
    </row>
    <row r="177" spans="1:31" ht="16.5" thickTop="1">
      <c r="A177" s="1"/>
      <c r="B177" s="1"/>
      <c r="C177" s="21"/>
      <c r="D177" s="21"/>
      <c r="E177" s="322"/>
      <c r="F177" s="2"/>
      <c r="G177" s="2"/>
      <c r="H177" s="2"/>
      <c r="I177" s="322"/>
      <c r="J177" s="1"/>
      <c r="K177" s="2" t="s">
        <v>31</v>
      </c>
      <c r="N177" s="3" t="s">
        <v>257</v>
      </c>
      <c r="O177" s="84" t="e">
        <f>O176-K176</f>
        <v>#REF!</v>
      </c>
      <c r="P177" s="261" t="e">
        <f>(O176-K176)/K176</f>
        <v>#REF!</v>
      </c>
      <c r="AE177" s="84"/>
    </row>
    <row r="178" spans="1:31">
      <c r="A178" s="1"/>
      <c r="B178" s="1"/>
      <c r="C178" s="21"/>
      <c r="D178" s="21"/>
      <c r="E178" s="322"/>
      <c r="F178" s="2"/>
      <c r="G178" s="2"/>
      <c r="H178" s="2"/>
      <c r="I178" s="322"/>
      <c r="J178" s="1"/>
      <c r="AE178" s="84"/>
    </row>
    <row r="179" spans="1:31">
      <c r="A179" s="278" t="s">
        <v>377</v>
      </c>
      <c r="B179" s="1"/>
      <c r="C179" s="1"/>
      <c r="D179" s="1"/>
      <c r="E179" s="2"/>
      <c r="F179" s="2"/>
      <c r="G179" s="1" t="s">
        <v>31</v>
      </c>
      <c r="H179" s="1"/>
      <c r="I179" s="2"/>
      <c r="J179" s="1"/>
      <c r="K179" s="1"/>
      <c r="M179" s="84">
        <f>K176-H176</f>
        <v>2270387</v>
      </c>
      <c r="O179" s="331"/>
      <c r="P179" s="14"/>
      <c r="AE179" s="84"/>
    </row>
    <row r="180" spans="1:31">
      <c r="A180" s="1" t="s">
        <v>400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84"/>
      <c r="N180" s="222">
        <v>0.91082901397610971</v>
      </c>
      <c r="AE180" s="84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84"/>
      <c r="N181" s="84"/>
      <c r="AE181" s="84"/>
    </row>
    <row r="182" spans="1:31">
      <c r="A182" s="1" t="s">
        <v>383</v>
      </c>
      <c r="B182" s="1"/>
      <c r="C182" s="304"/>
      <c r="D182" s="304"/>
      <c r="E182" s="2"/>
      <c r="F182" s="2"/>
      <c r="G182" s="1"/>
      <c r="H182" s="1"/>
      <c r="I182" s="2"/>
      <c r="J182" s="1"/>
      <c r="K182" s="1"/>
      <c r="AE182" s="84"/>
    </row>
    <row r="183" spans="1:31">
      <c r="A183" s="1" t="s">
        <v>380</v>
      </c>
      <c r="B183" s="1"/>
      <c r="C183" s="304">
        <f t="shared" ref="C183:D185" si="16">C211+C239</f>
        <v>145698</v>
      </c>
      <c r="D183" s="304">
        <f t="shared" si="16"/>
        <v>147404</v>
      </c>
      <c r="E183" s="283">
        <v>7</v>
      </c>
      <c r="F183" s="306"/>
      <c r="G183" s="2">
        <f t="shared" ref="G183:H185" si="17">G211+G239</f>
        <v>1019886</v>
      </c>
      <c r="H183" s="2">
        <f t="shared" si="17"/>
        <v>1031828</v>
      </c>
      <c r="I183" s="283">
        <f>$I$153</f>
        <v>7.53</v>
      </c>
      <c r="J183" s="308"/>
      <c r="K183" s="2">
        <f>K211+K239</f>
        <v>1109952</v>
      </c>
      <c r="AE183" s="84"/>
    </row>
    <row r="184" spans="1:31">
      <c r="A184" s="1" t="s">
        <v>381</v>
      </c>
      <c r="B184" s="1"/>
      <c r="C184" s="304">
        <f t="shared" si="16"/>
        <v>58994</v>
      </c>
      <c r="D184" s="304">
        <f t="shared" si="16"/>
        <v>59583</v>
      </c>
      <c r="E184" s="283">
        <v>10.4</v>
      </c>
      <c r="F184" s="309"/>
      <c r="G184" s="2">
        <f t="shared" si="17"/>
        <v>613538</v>
      </c>
      <c r="H184" s="2">
        <f t="shared" si="17"/>
        <v>619663</v>
      </c>
      <c r="I184" s="283">
        <f>$I$154</f>
        <v>11.18</v>
      </c>
      <c r="J184" s="310"/>
      <c r="K184" s="2">
        <f>K212+K240</f>
        <v>666138</v>
      </c>
      <c r="AE184" s="84"/>
    </row>
    <row r="185" spans="1:31">
      <c r="A185" s="1" t="s">
        <v>382</v>
      </c>
      <c r="B185" s="1"/>
      <c r="C185" s="304">
        <f t="shared" si="16"/>
        <v>1172685</v>
      </c>
      <c r="D185" s="304">
        <f t="shared" si="16"/>
        <v>1215298</v>
      </c>
      <c r="E185" s="283">
        <v>0.69</v>
      </c>
      <c r="F185" s="309"/>
      <c r="G185" s="2">
        <f t="shared" si="17"/>
        <v>809153</v>
      </c>
      <c r="H185" s="2">
        <f t="shared" si="17"/>
        <v>838556</v>
      </c>
      <c r="I185" s="283">
        <f>$I$155</f>
        <v>0.78</v>
      </c>
      <c r="J185" s="310"/>
      <c r="K185" s="2">
        <f>K213+K241</f>
        <v>947933</v>
      </c>
      <c r="AE185" s="84"/>
    </row>
    <row r="186" spans="1:31">
      <c r="A186" s="1" t="s">
        <v>384</v>
      </c>
      <c r="B186" s="1"/>
      <c r="C186" s="304">
        <f>SUM(C183:C184)</f>
        <v>204692</v>
      </c>
      <c r="D186" s="304">
        <f>SUM(D183:D184)</f>
        <v>206987</v>
      </c>
      <c r="E186" s="283"/>
      <c r="F186" s="306"/>
      <c r="G186" s="2"/>
      <c r="H186" s="2"/>
      <c r="I186" s="283"/>
      <c r="J186" s="308"/>
      <c r="K186" s="2"/>
      <c r="AE186" s="84"/>
    </row>
    <row r="187" spans="1:31">
      <c r="A187" s="1" t="s">
        <v>385</v>
      </c>
      <c r="B187" s="1"/>
      <c r="C187" s="304">
        <f t="shared" ref="C187:D191" si="18">C215+C243</f>
        <v>760902</v>
      </c>
      <c r="D187" s="304">
        <f t="shared" si="18"/>
        <v>788525</v>
      </c>
      <c r="E187" s="311">
        <v>2.81</v>
      </c>
      <c r="F187" s="308"/>
      <c r="G187" s="2">
        <f t="shared" ref="G187:H191" si="19">G215+G243</f>
        <v>2138135</v>
      </c>
      <c r="H187" s="2">
        <f t="shared" si="19"/>
        <v>2215755</v>
      </c>
      <c r="I187" s="311">
        <f>$I$158</f>
        <v>2.88</v>
      </c>
      <c r="J187" s="308"/>
      <c r="K187" s="2">
        <f>K215+K243</f>
        <v>2270952</v>
      </c>
      <c r="AE187" s="84"/>
    </row>
    <row r="188" spans="1:31">
      <c r="A188" s="1" t="s">
        <v>387</v>
      </c>
      <c r="B188" s="1"/>
      <c r="C188" s="304">
        <f t="shared" si="18"/>
        <v>120473825.22139926</v>
      </c>
      <c r="D188" s="304">
        <f t="shared" si="18"/>
        <v>124824731</v>
      </c>
      <c r="E188" s="284">
        <v>7.5869999999999997</v>
      </c>
      <c r="F188" s="308" t="s">
        <v>364</v>
      </c>
      <c r="G188" s="2">
        <f t="shared" si="19"/>
        <v>9140349</v>
      </c>
      <c r="H188" s="2">
        <f t="shared" si="19"/>
        <v>9470452</v>
      </c>
      <c r="I188" s="284">
        <f>$I$159</f>
        <v>8.0890000000000004</v>
      </c>
      <c r="J188" s="308" t="s">
        <v>364</v>
      </c>
      <c r="K188" s="2">
        <f>K216+K244</f>
        <v>10097072</v>
      </c>
      <c r="AE188" s="84"/>
    </row>
    <row r="189" spans="1:31">
      <c r="A189" s="1" t="s">
        <v>388</v>
      </c>
      <c r="B189" s="1"/>
      <c r="C189" s="304">
        <f t="shared" si="18"/>
        <v>272066960.57318687</v>
      </c>
      <c r="D189" s="304">
        <f t="shared" si="18"/>
        <v>281913580</v>
      </c>
      <c r="E189" s="284">
        <v>5.2370000000000001</v>
      </c>
      <c r="F189" s="308" t="s">
        <v>364</v>
      </c>
      <c r="G189" s="2">
        <f t="shared" si="19"/>
        <v>14248147</v>
      </c>
      <c r="H189" s="2">
        <f t="shared" si="19"/>
        <v>14763814</v>
      </c>
      <c r="I189" s="284">
        <f>$I$160</f>
        <v>5.5839999999999996</v>
      </c>
      <c r="J189" s="308" t="s">
        <v>364</v>
      </c>
      <c r="K189" s="2">
        <f>K217+K245</f>
        <v>15742054</v>
      </c>
      <c r="AE189" s="84"/>
    </row>
    <row r="190" spans="1:31">
      <c r="A190" s="1" t="s">
        <v>389</v>
      </c>
      <c r="B190" s="1"/>
      <c r="C190" s="304">
        <f t="shared" si="18"/>
        <v>116874017.20541383</v>
      </c>
      <c r="D190" s="304">
        <f t="shared" si="18"/>
        <v>121112284</v>
      </c>
      <c r="E190" s="284">
        <v>4.5129999999999999</v>
      </c>
      <c r="F190" s="308" t="s">
        <v>364</v>
      </c>
      <c r="G190" s="2">
        <f t="shared" si="19"/>
        <v>5274524</v>
      </c>
      <c r="H190" s="2">
        <f t="shared" si="19"/>
        <v>5465798</v>
      </c>
      <c r="I190" s="284">
        <f>$I$161</f>
        <v>4.8100000000000005</v>
      </c>
      <c r="J190" s="308" t="s">
        <v>364</v>
      </c>
      <c r="K190" s="2">
        <f>K218+K246</f>
        <v>5825501</v>
      </c>
      <c r="AE190" s="84"/>
    </row>
    <row r="191" spans="1:31">
      <c r="A191" s="1" t="s">
        <v>390</v>
      </c>
      <c r="B191" s="1"/>
      <c r="C191" s="304">
        <f t="shared" si="18"/>
        <v>88035</v>
      </c>
      <c r="D191" s="304">
        <f t="shared" si="18"/>
        <v>91301</v>
      </c>
      <c r="E191" s="315">
        <v>45</v>
      </c>
      <c r="F191" s="306" t="s">
        <v>364</v>
      </c>
      <c r="G191" s="2">
        <f t="shared" si="19"/>
        <v>39616</v>
      </c>
      <c r="H191" s="2">
        <f t="shared" si="19"/>
        <v>41086</v>
      </c>
      <c r="I191" s="315">
        <f>$I$162</f>
        <v>45</v>
      </c>
      <c r="J191" s="308" t="s">
        <v>364</v>
      </c>
      <c r="K191" s="2">
        <f>K219+K247</f>
        <v>41086</v>
      </c>
      <c r="AE191" s="84"/>
    </row>
    <row r="192" spans="1:31">
      <c r="A192" s="316" t="s">
        <v>391</v>
      </c>
      <c r="B192" s="1"/>
      <c r="C192" s="304"/>
      <c r="D192" s="304"/>
      <c r="E192" s="317">
        <v>-0.01</v>
      </c>
      <c r="F192" s="306"/>
      <c r="G192" s="2"/>
      <c r="H192" s="2"/>
      <c r="I192" s="317">
        <f>$I$163</f>
        <v>-0.01</v>
      </c>
      <c r="J192" s="308"/>
      <c r="K192" s="2"/>
      <c r="AE192" s="84"/>
    </row>
    <row r="193" spans="1:31">
      <c r="A193" s="1" t="s">
        <v>380</v>
      </c>
      <c r="B193" s="1"/>
      <c r="C193" s="304">
        <f t="shared" ref="C193:D204" si="20">C221+C249</f>
        <v>48</v>
      </c>
      <c r="D193" s="304">
        <f t="shared" si="20"/>
        <v>49</v>
      </c>
      <c r="E193" s="319">
        <f>E183</f>
        <v>7</v>
      </c>
      <c r="F193" s="306"/>
      <c r="G193" s="2">
        <f t="shared" ref="G193:H204" si="21">G221+G249</f>
        <v>-3</v>
      </c>
      <c r="H193" s="2">
        <f t="shared" si="21"/>
        <v>-3</v>
      </c>
      <c r="I193" s="319">
        <f>I183</f>
        <v>7.53</v>
      </c>
      <c r="J193" s="306"/>
      <c r="K193" s="2">
        <f t="shared" ref="K193:K204" si="22">K221+K249</f>
        <v>-4</v>
      </c>
      <c r="AE193" s="84"/>
    </row>
    <row r="194" spans="1:31">
      <c r="A194" s="1" t="s">
        <v>381</v>
      </c>
      <c r="B194" s="1"/>
      <c r="C194" s="304">
        <f t="shared" si="20"/>
        <v>88</v>
      </c>
      <c r="D194" s="304">
        <f t="shared" si="20"/>
        <v>89</v>
      </c>
      <c r="E194" s="319">
        <f>E184</f>
        <v>10.4</v>
      </c>
      <c r="F194" s="306"/>
      <c r="G194" s="2">
        <f t="shared" si="21"/>
        <v>-9</v>
      </c>
      <c r="H194" s="2">
        <f t="shared" si="21"/>
        <v>-9</v>
      </c>
      <c r="I194" s="319">
        <f>I184</f>
        <v>11.18</v>
      </c>
      <c r="J194" s="306"/>
      <c r="K194" s="2">
        <f t="shared" si="22"/>
        <v>-10</v>
      </c>
      <c r="AE194" s="84"/>
    </row>
    <row r="195" spans="1:31">
      <c r="A195" s="1" t="s">
        <v>392</v>
      </c>
      <c r="B195" s="1"/>
      <c r="C195" s="304">
        <f t="shared" si="20"/>
        <v>1730</v>
      </c>
      <c r="D195" s="304">
        <f t="shared" si="20"/>
        <v>1792</v>
      </c>
      <c r="E195" s="319">
        <f>E185</f>
        <v>0.69</v>
      </c>
      <c r="F195" s="306"/>
      <c r="G195" s="2">
        <f t="shared" si="21"/>
        <v>-12</v>
      </c>
      <c r="H195" s="2">
        <f t="shared" si="21"/>
        <v>-12</v>
      </c>
      <c r="I195" s="319">
        <f>I185</f>
        <v>0.78</v>
      </c>
      <c r="J195" s="306"/>
      <c r="K195" s="2">
        <f t="shared" si="22"/>
        <v>-14</v>
      </c>
      <c r="AE195" s="84"/>
    </row>
    <row r="196" spans="1:31">
      <c r="A196" s="1" t="s">
        <v>393</v>
      </c>
      <c r="B196" s="1"/>
      <c r="C196" s="304">
        <f t="shared" si="20"/>
        <v>696</v>
      </c>
      <c r="D196" s="304">
        <f t="shared" si="20"/>
        <v>721</v>
      </c>
      <c r="E196" s="319">
        <f>E187</f>
        <v>2.81</v>
      </c>
      <c r="F196" s="308"/>
      <c r="G196" s="2">
        <f t="shared" si="21"/>
        <v>-20</v>
      </c>
      <c r="H196" s="2">
        <f t="shared" si="21"/>
        <v>-20</v>
      </c>
      <c r="I196" s="319">
        <f>I187</f>
        <v>2.88</v>
      </c>
      <c r="J196" s="308"/>
      <c r="K196" s="2">
        <f t="shared" si="22"/>
        <v>-21</v>
      </c>
      <c r="AE196" s="84"/>
    </row>
    <row r="197" spans="1:31">
      <c r="A197" s="1" t="s">
        <v>395</v>
      </c>
      <c r="B197" s="1"/>
      <c r="C197" s="304">
        <f t="shared" si="20"/>
        <v>80560</v>
      </c>
      <c r="D197" s="304">
        <f t="shared" si="20"/>
        <v>83451</v>
      </c>
      <c r="E197" s="320">
        <f>E188</f>
        <v>7.5869999999999997</v>
      </c>
      <c r="F197" s="308" t="s">
        <v>364</v>
      </c>
      <c r="G197" s="2">
        <f t="shared" si="21"/>
        <v>-61</v>
      </c>
      <c r="H197" s="2">
        <f t="shared" si="21"/>
        <v>-63</v>
      </c>
      <c r="I197" s="320">
        <f>I188</f>
        <v>8.0890000000000004</v>
      </c>
      <c r="J197" s="308" t="s">
        <v>364</v>
      </c>
      <c r="K197" s="2">
        <f t="shared" si="22"/>
        <v>-68</v>
      </c>
      <c r="AE197" s="84"/>
    </row>
    <row r="198" spans="1:31">
      <c r="A198" s="1" t="s">
        <v>388</v>
      </c>
      <c r="B198" s="1"/>
      <c r="C198" s="304">
        <f t="shared" si="20"/>
        <v>247430</v>
      </c>
      <c r="D198" s="304">
        <f t="shared" si="20"/>
        <v>256310</v>
      </c>
      <c r="E198" s="320">
        <f>E189</f>
        <v>5.2370000000000001</v>
      </c>
      <c r="F198" s="308" t="s">
        <v>364</v>
      </c>
      <c r="G198" s="2">
        <f t="shared" si="21"/>
        <v>-130</v>
      </c>
      <c r="H198" s="2">
        <f t="shared" si="21"/>
        <v>-134</v>
      </c>
      <c r="I198" s="320">
        <f>I189</f>
        <v>5.5839999999999996</v>
      </c>
      <c r="J198" s="308" t="s">
        <v>364</v>
      </c>
      <c r="K198" s="2">
        <f t="shared" si="22"/>
        <v>-143</v>
      </c>
      <c r="AE198" s="84"/>
    </row>
    <row r="199" spans="1:31">
      <c r="A199" s="1" t="s">
        <v>389</v>
      </c>
      <c r="B199" s="1"/>
      <c r="C199" s="304">
        <f t="shared" si="20"/>
        <v>46700</v>
      </c>
      <c r="D199" s="304">
        <f t="shared" si="20"/>
        <v>48376</v>
      </c>
      <c r="E199" s="320">
        <f>E190</f>
        <v>4.5129999999999999</v>
      </c>
      <c r="F199" s="308" t="s">
        <v>364</v>
      </c>
      <c r="G199" s="2">
        <f t="shared" si="21"/>
        <v>-21</v>
      </c>
      <c r="H199" s="2">
        <f t="shared" si="21"/>
        <v>-22</v>
      </c>
      <c r="I199" s="320">
        <f>I190</f>
        <v>4.8100000000000005</v>
      </c>
      <c r="J199" s="308" t="s">
        <v>364</v>
      </c>
      <c r="K199" s="2">
        <f t="shared" si="22"/>
        <v>-23</v>
      </c>
      <c r="AE199" s="84"/>
    </row>
    <row r="200" spans="1:31">
      <c r="A200" s="1" t="s">
        <v>390</v>
      </c>
      <c r="B200" s="1"/>
      <c r="C200" s="304">
        <f t="shared" si="20"/>
        <v>2329</v>
      </c>
      <c r="D200" s="304">
        <f t="shared" si="20"/>
        <v>2413</v>
      </c>
      <c r="E200" s="321">
        <f>E191</f>
        <v>45</v>
      </c>
      <c r="F200" s="308" t="s">
        <v>364</v>
      </c>
      <c r="G200" s="2">
        <f t="shared" si="21"/>
        <v>-10</v>
      </c>
      <c r="H200" s="2">
        <f t="shared" si="21"/>
        <v>-11</v>
      </c>
      <c r="I200" s="321">
        <f>I191</f>
        <v>45</v>
      </c>
      <c r="J200" s="308" t="s">
        <v>364</v>
      </c>
      <c r="K200" s="2">
        <f t="shared" si="22"/>
        <v>-11</v>
      </c>
      <c r="AE200" s="84"/>
    </row>
    <row r="201" spans="1:31">
      <c r="A201" s="1" t="s">
        <v>397</v>
      </c>
      <c r="B201" s="1"/>
      <c r="C201" s="304">
        <f t="shared" si="20"/>
        <v>103</v>
      </c>
      <c r="D201" s="304">
        <f t="shared" si="20"/>
        <v>107</v>
      </c>
      <c r="E201" s="322">
        <v>60</v>
      </c>
      <c r="F201" s="306"/>
      <c r="G201" s="2">
        <f t="shared" si="21"/>
        <v>6180</v>
      </c>
      <c r="H201" s="2">
        <f t="shared" si="21"/>
        <v>6420</v>
      </c>
      <c r="I201" s="322">
        <f>$I$172</f>
        <v>60</v>
      </c>
      <c r="J201" s="308"/>
      <c r="K201" s="2">
        <f t="shared" si="22"/>
        <v>6420</v>
      </c>
      <c r="AE201" s="84"/>
    </row>
    <row r="202" spans="1:31">
      <c r="A202" s="1" t="s">
        <v>398</v>
      </c>
      <c r="B202" s="1"/>
      <c r="C202" s="304">
        <f t="shared" si="20"/>
        <v>2204</v>
      </c>
      <c r="D202" s="304">
        <f t="shared" si="20"/>
        <v>2283</v>
      </c>
      <c r="E202" s="324">
        <v>-30</v>
      </c>
      <c r="F202" s="306" t="s">
        <v>364</v>
      </c>
      <c r="G202" s="2">
        <f t="shared" si="21"/>
        <v>-661</v>
      </c>
      <c r="H202" s="2">
        <f t="shared" si="21"/>
        <v>-685</v>
      </c>
      <c r="I202" s="324">
        <f>$I$173</f>
        <v>-30</v>
      </c>
      <c r="J202" s="308" t="s">
        <v>364</v>
      </c>
      <c r="K202" s="2">
        <f t="shared" si="22"/>
        <v>-685</v>
      </c>
      <c r="AE202" s="84"/>
    </row>
    <row r="203" spans="1:31">
      <c r="A203" s="1" t="s">
        <v>371</v>
      </c>
      <c r="B203" s="249"/>
      <c r="C203" s="304">
        <f t="shared" si="20"/>
        <v>509414803</v>
      </c>
      <c r="D203" s="304">
        <f t="shared" si="20"/>
        <v>527850595.24192303</v>
      </c>
      <c r="E203" s="315"/>
      <c r="F203" s="2"/>
      <c r="G203" s="2">
        <f t="shared" si="21"/>
        <v>33288601</v>
      </c>
      <c r="H203" s="2">
        <f t="shared" si="21"/>
        <v>34452413</v>
      </c>
      <c r="I203" s="315"/>
      <c r="J203" s="308"/>
      <c r="K203" s="2">
        <f t="shared" si="22"/>
        <v>36706129</v>
      </c>
      <c r="AE203" s="84"/>
    </row>
    <row r="204" spans="1:31">
      <c r="A204" s="1" t="s">
        <v>353</v>
      </c>
      <c r="B204" s="332"/>
      <c r="C204" s="325">
        <f t="shared" si="20"/>
        <v>1731204.4322117302</v>
      </c>
      <c r="D204" s="325">
        <f t="shared" si="20"/>
        <v>0</v>
      </c>
      <c r="E204" s="294"/>
      <c r="F204" s="294"/>
      <c r="G204" s="326">
        <f t="shared" si="21"/>
        <v>97782.266337401146</v>
      </c>
      <c r="H204" s="326">
        <f t="shared" si="21"/>
        <v>0</v>
      </c>
      <c r="I204" s="294"/>
      <c r="J204" s="294"/>
      <c r="K204" s="326">
        <f t="shared" si="22"/>
        <v>0</v>
      </c>
      <c r="M204" s="274"/>
      <c r="N204" s="274"/>
      <c r="O204" s="275"/>
      <c r="AE204" s="84"/>
    </row>
    <row r="205" spans="1:31" ht="16.5" thickBot="1">
      <c r="A205" s="1" t="s">
        <v>372</v>
      </c>
      <c r="B205" s="1"/>
      <c r="C205" s="296">
        <f>SUM(C203:C204)</f>
        <v>511146007.43221176</v>
      </c>
      <c r="D205" s="296">
        <f>SUM(D203:D204)</f>
        <v>527850595.24192303</v>
      </c>
      <c r="E205" s="327"/>
      <c r="F205" s="328"/>
      <c r="G205" s="329">
        <f>G203+G204</f>
        <v>33386383.266337402</v>
      </c>
      <c r="H205" s="329">
        <f>H203+H204</f>
        <v>34452413</v>
      </c>
      <c r="I205" s="327"/>
      <c r="J205" s="330"/>
      <c r="K205" s="329">
        <f>K203+K204</f>
        <v>36706129</v>
      </c>
      <c r="M205" s="276"/>
      <c r="N205" s="276"/>
      <c r="O205" s="277"/>
      <c r="AE205" s="84"/>
    </row>
    <row r="206" spans="1:31" ht="16.5" thickTop="1">
      <c r="A206" s="1"/>
      <c r="B206" s="1"/>
      <c r="C206" s="21"/>
      <c r="D206" s="21"/>
      <c r="E206" s="322"/>
      <c r="F206" s="2"/>
      <c r="G206" s="2"/>
      <c r="H206" s="2"/>
      <c r="I206" s="322"/>
      <c r="J206" s="1"/>
      <c r="K206" s="2" t="s">
        <v>31</v>
      </c>
      <c r="AE206" s="84"/>
    </row>
    <row r="207" spans="1:31">
      <c r="A207" s="278" t="s">
        <v>377</v>
      </c>
      <c r="B207" s="1"/>
      <c r="C207" s="1"/>
      <c r="D207" s="1"/>
      <c r="E207" s="2"/>
      <c r="F207" s="2"/>
      <c r="G207" s="1" t="s">
        <v>31</v>
      </c>
      <c r="H207" s="1"/>
      <c r="I207" s="2"/>
      <c r="J207" s="1"/>
      <c r="K207" s="1"/>
      <c r="AE207" s="84"/>
    </row>
    <row r="208" spans="1:31">
      <c r="A208" s="1" t="s">
        <v>401</v>
      </c>
      <c r="B208" s="1"/>
      <c r="C208" s="1"/>
      <c r="D208" s="21"/>
      <c r="E208" s="2"/>
      <c r="F208" s="2"/>
      <c r="G208" s="1"/>
      <c r="H208" s="1"/>
      <c r="I208" s="2"/>
      <c r="J208" s="1"/>
      <c r="K208" s="1"/>
      <c r="AE208" s="84"/>
    </row>
    <row r="209" spans="1:31">
      <c r="A209" s="333" t="s">
        <v>402</v>
      </c>
      <c r="B209" s="1"/>
      <c r="C209" s="21"/>
      <c r="D209" s="21"/>
      <c r="E209" s="2"/>
      <c r="F209" s="2"/>
      <c r="G209" s="1"/>
      <c r="H209" s="1"/>
      <c r="I209" s="2"/>
      <c r="J209" s="1"/>
      <c r="K209" s="1"/>
      <c r="AE209" s="84"/>
    </row>
    <row r="210" spans="1:31">
      <c r="A210" s="1" t="s">
        <v>383</v>
      </c>
      <c r="B210" s="1"/>
      <c r="C210" s="304"/>
      <c r="D210" s="304"/>
      <c r="E210" s="2"/>
      <c r="F210" s="2"/>
      <c r="G210" s="1"/>
      <c r="H210" s="1"/>
      <c r="I210" s="2"/>
      <c r="J210" s="1"/>
      <c r="K210" s="1"/>
      <c r="AE210" s="84"/>
    </row>
    <row r="211" spans="1:31">
      <c r="A211" s="1" t="s">
        <v>380</v>
      </c>
      <c r="B211" s="1"/>
      <c r="C211" s="304">
        <f>31554+48+111709+1+8+12</f>
        <v>143332</v>
      </c>
      <c r="D211" s="304">
        <v>145099</v>
      </c>
      <c r="E211" s="283">
        <v>7</v>
      </c>
      <c r="F211" s="306"/>
      <c r="G211" s="2">
        <f>ROUND(E211*$C211,0)</f>
        <v>1003324</v>
      </c>
      <c r="H211" s="2">
        <f>ROUND(E211*$D211,0)</f>
        <v>1015693</v>
      </c>
      <c r="I211" s="283">
        <f>$I$153</f>
        <v>7.53</v>
      </c>
      <c r="J211" s="308"/>
      <c r="K211" s="2">
        <f>ROUND(I211*$D211,0)</f>
        <v>1092595</v>
      </c>
      <c r="AE211" s="84"/>
    </row>
    <row r="212" spans="1:31">
      <c r="A212" s="1" t="s">
        <v>381</v>
      </c>
      <c r="B212" s="1"/>
      <c r="C212" s="304">
        <f>12+7315+28+33+55+48042</f>
        <v>55485</v>
      </c>
      <c r="D212" s="304">
        <v>56165</v>
      </c>
      <c r="E212" s="283">
        <v>10.4</v>
      </c>
      <c r="F212" s="309"/>
      <c r="G212" s="2">
        <f>ROUND(E212*$C212,0)</f>
        <v>577044</v>
      </c>
      <c r="H212" s="2">
        <f>ROUND(E212*$D212,0)</f>
        <v>584116</v>
      </c>
      <c r="I212" s="283">
        <f>$I$154</f>
        <v>11.18</v>
      </c>
      <c r="J212" s="310"/>
      <c r="K212" s="2">
        <f>ROUND(I212*$D212,0)</f>
        <v>627925</v>
      </c>
      <c r="AE212" s="84"/>
    </row>
    <row r="213" spans="1:31">
      <c r="A213" s="1" t="s">
        <v>382</v>
      </c>
      <c r="B213" s="1"/>
      <c r="C213" s="304">
        <f>19153+70113+126+247835+559+301+676+759372</f>
        <v>1098135</v>
      </c>
      <c r="D213" s="304">
        <f>ROUND(($D$231/'Blocking - detail'!$C$231)*C213,0)</f>
        <v>1137546</v>
      </c>
      <c r="E213" s="283">
        <v>0.69</v>
      </c>
      <c r="F213" s="309"/>
      <c r="G213" s="2">
        <f>ROUND(E213*$C213,0)</f>
        <v>757713</v>
      </c>
      <c r="H213" s="2">
        <f>ROUND(E213*$D213,0)</f>
        <v>784907</v>
      </c>
      <c r="I213" s="283">
        <f>$I$155</f>
        <v>0.78</v>
      </c>
      <c r="J213" s="310"/>
      <c r="K213" s="2">
        <f>ROUND(I213*$D213,0)</f>
        <v>887286</v>
      </c>
      <c r="AE213" s="84"/>
    </row>
    <row r="214" spans="1:31">
      <c r="A214" s="1" t="s">
        <v>384</v>
      </c>
      <c r="B214" s="1"/>
      <c r="C214" s="304">
        <f>SUM(C211:C212)</f>
        <v>198817</v>
      </c>
      <c r="D214" s="304">
        <f>SUM(D211:D212)</f>
        <v>201264</v>
      </c>
      <c r="E214" s="283"/>
      <c r="F214" s="306"/>
      <c r="G214" s="2"/>
      <c r="H214" s="2"/>
      <c r="I214" s="283"/>
      <c r="J214" s="308"/>
      <c r="K214" s="2"/>
      <c r="AE214" s="84"/>
    </row>
    <row r="215" spans="1:31">
      <c r="A215" s="1" t="s">
        <v>385</v>
      </c>
      <c r="B215" s="1"/>
      <c r="C215" s="304">
        <f>11734+41601+80+143199+253+241+375+518943</f>
        <v>716426</v>
      </c>
      <c r="D215" s="304">
        <f>ROUND(($D$231/'Blocking - detail'!$C$231)*C215,0)</f>
        <v>742138</v>
      </c>
      <c r="E215" s="311">
        <v>2.81</v>
      </c>
      <c r="F215" s="308"/>
      <c r="G215" s="2">
        <f>ROUND(E215*$C215,0)</f>
        <v>2013157</v>
      </c>
      <c r="H215" s="2">
        <f>ROUND(E215*$D215,0)</f>
        <v>2085408</v>
      </c>
      <c r="I215" s="311">
        <f>$I$158</f>
        <v>2.88</v>
      </c>
      <c r="J215" s="308"/>
      <c r="K215" s="2">
        <f>ROUND(I215*$D215,0)</f>
        <v>2137357</v>
      </c>
      <c r="AE215" s="84"/>
    </row>
    <row r="216" spans="1:31">
      <c r="A216" s="1" t="s">
        <v>387</v>
      </c>
      <c r="B216" s="304"/>
      <c r="C216" s="304">
        <v>116624011.22139926</v>
      </c>
      <c r="D216" s="304">
        <f>ROUND(($D$231/$C$231)*C216,0)</f>
        <v>120809544</v>
      </c>
      <c r="E216" s="284">
        <v>7.5869999999999997</v>
      </c>
      <c r="F216" s="308" t="s">
        <v>364</v>
      </c>
      <c r="G216" s="2">
        <f>ROUND(E216*$C216/100,0)</f>
        <v>8848264</v>
      </c>
      <c r="H216" s="2">
        <f>ROUND(E216*$D216/100,0)</f>
        <v>9165820</v>
      </c>
      <c r="I216" s="284">
        <f>$I$159</f>
        <v>8.0890000000000004</v>
      </c>
      <c r="J216" s="308" t="s">
        <v>364</v>
      </c>
      <c r="K216" s="2">
        <f>ROUND(I216*$D216/100,0)</f>
        <v>9772284</v>
      </c>
      <c r="M216" s="105"/>
      <c r="N216" s="105"/>
      <c r="AE216" s="84"/>
    </row>
    <row r="217" spans="1:31">
      <c r="A217" s="1" t="s">
        <v>388</v>
      </c>
      <c r="B217" s="304"/>
      <c r="C217" s="304">
        <v>260410667.5731869</v>
      </c>
      <c r="D217" s="304">
        <f>ROUND(($D$231/'Blocking - detail'!$C$231)*C217,0)</f>
        <v>269756577</v>
      </c>
      <c r="E217" s="284">
        <v>5.2370000000000001</v>
      </c>
      <c r="F217" s="308" t="s">
        <v>364</v>
      </c>
      <c r="G217" s="2">
        <f>ROUND(E217*$C217/100,0)</f>
        <v>13637707</v>
      </c>
      <c r="H217" s="2">
        <f>ROUND(E217*$D217/100,0)</f>
        <v>14127152</v>
      </c>
      <c r="I217" s="284">
        <f>$I$160</f>
        <v>5.5839999999999996</v>
      </c>
      <c r="J217" s="308" t="s">
        <v>364</v>
      </c>
      <c r="K217" s="2">
        <f>ROUND(I217*$D217/100,0)</f>
        <v>15063207</v>
      </c>
      <c r="M217" s="105"/>
      <c r="N217" s="105"/>
      <c r="AE217" s="84"/>
    </row>
    <row r="218" spans="1:31">
      <c r="A218" s="1" t="s">
        <v>389</v>
      </c>
      <c r="B218" s="304"/>
      <c r="C218" s="304">
        <v>110681660.20541383</v>
      </c>
      <c r="D218" s="304">
        <f>ROUND(($D$231/'Blocking - detail'!$C$231)*C218,0)</f>
        <v>114653927</v>
      </c>
      <c r="E218" s="284">
        <v>4.5129999999999999</v>
      </c>
      <c r="F218" s="308" t="s">
        <v>364</v>
      </c>
      <c r="G218" s="2">
        <f>ROUND(E218*$C218/100,0)</f>
        <v>4995063</v>
      </c>
      <c r="H218" s="2">
        <f>ROUND(E218*$D218/100,0)</f>
        <v>5174332</v>
      </c>
      <c r="I218" s="284">
        <f>$I$161</f>
        <v>4.8100000000000005</v>
      </c>
      <c r="J218" s="308" t="s">
        <v>364</v>
      </c>
      <c r="K218" s="2">
        <f>ROUND(I218*$D218/100,0)</f>
        <v>5514854</v>
      </c>
      <c r="M218" s="105"/>
      <c r="N218" s="105"/>
      <c r="AE218" s="84"/>
    </row>
    <row r="219" spans="1:31">
      <c r="A219" s="1" t="s">
        <v>390</v>
      </c>
      <c r="B219" s="21"/>
      <c r="C219" s="304">
        <f>1+8573+480+2+1+2328+61584</f>
        <v>72969</v>
      </c>
      <c r="D219" s="304">
        <f>ROUND(($D$231/'Blocking - detail'!$C$231)*C219,0)</f>
        <v>75588</v>
      </c>
      <c r="E219" s="315">
        <v>45</v>
      </c>
      <c r="F219" s="306" t="s">
        <v>364</v>
      </c>
      <c r="G219" s="2">
        <f>ROUND(E219*$C219/100,0)</f>
        <v>32836</v>
      </c>
      <c r="H219" s="2">
        <f>ROUND(E219*$D219/100,0)</f>
        <v>34015</v>
      </c>
      <c r="I219" s="315">
        <f>$I$162</f>
        <v>45</v>
      </c>
      <c r="J219" s="308" t="s">
        <v>364</v>
      </c>
      <c r="K219" s="2">
        <f>ROUND(I219*$D219/100,0)</f>
        <v>34015</v>
      </c>
      <c r="AE219" s="84"/>
    </row>
    <row r="220" spans="1:31">
      <c r="A220" s="316" t="s">
        <v>391</v>
      </c>
      <c r="B220" s="21"/>
      <c r="C220" s="304"/>
      <c r="D220" s="304"/>
      <c r="E220" s="317">
        <v>-0.01</v>
      </c>
      <c r="F220" s="306"/>
      <c r="G220" s="2"/>
      <c r="H220" s="2"/>
      <c r="I220" s="317">
        <f>$I$163</f>
        <v>-0.01</v>
      </c>
      <c r="J220" s="308"/>
      <c r="K220" s="2"/>
      <c r="AE220" s="84"/>
    </row>
    <row r="221" spans="1:31">
      <c r="A221" s="1" t="s">
        <v>380</v>
      </c>
      <c r="B221" s="1"/>
      <c r="C221" s="304">
        <f>48</f>
        <v>48</v>
      </c>
      <c r="D221" s="304">
        <v>49</v>
      </c>
      <c r="E221" s="319">
        <f>E211</f>
        <v>7</v>
      </c>
      <c r="F221" s="306"/>
      <c r="G221" s="2">
        <f>-ROUND(E221*$C221/100,0)</f>
        <v>-3</v>
      </c>
      <c r="H221" s="2">
        <f>-ROUND(E221*$D221/100,0)</f>
        <v>-3</v>
      </c>
      <c r="I221" s="319">
        <f>I211</f>
        <v>7.53</v>
      </c>
      <c r="J221" s="306"/>
      <c r="K221" s="2">
        <f>-ROUND(I221*$D221/100,0)</f>
        <v>-4</v>
      </c>
      <c r="AE221" s="84"/>
    </row>
    <row r="222" spans="1:31">
      <c r="A222" s="1" t="s">
        <v>381</v>
      </c>
      <c r="B222" s="1"/>
      <c r="C222" s="304">
        <f>33+55</f>
        <v>88</v>
      </c>
      <c r="D222" s="304">
        <v>89</v>
      </c>
      <c r="E222" s="319">
        <f>E212</f>
        <v>10.4</v>
      </c>
      <c r="F222" s="306"/>
      <c r="G222" s="2">
        <f>-ROUND(E222*$C222/100,0)</f>
        <v>-9</v>
      </c>
      <c r="H222" s="2">
        <f>-ROUND(E222*$D222/100,0)</f>
        <v>-9</v>
      </c>
      <c r="I222" s="319">
        <f>I212</f>
        <v>11.18</v>
      </c>
      <c r="J222" s="306"/>
      <c r="K222" s="2">
        <f>-ROUND(I222*$D222/100,0)</f>
        <v>-10</v>
      </c>
      <c r="AE222" s="84"/>
    </row>
    <row r="223" spans="1:31">
      <c r="A223" s="1" t="s">
        <v>392</v>
      </c>
      <c r="B223" s="1"/>
      <c r="C223" s="304">
        <f>465+347+918</f>
        <v>1730</v>
      </c>
      <c r="D223" s="304">
        <f>ROUND(($D$231/'Blocking - detail'!$C$231)*C223,0)</f>
        <v>1792</v>
      </c>
      <c r="E223" s="319">
        <f>E213</f>
        <v>0.69</v>
      </c>
      <c r="F223" s="306"/>
      <c r="G223" s="2">
        <f>-ROUND(E223*$C223/100,0)</f>
        <v>-12</v>
      </c>
      <c r="H223" s="2">
        <f>-ROUND(E223*$D223/100,0)</f>
        <v>-12</v>
      </c>
      <c r="I223" s="319">
        <f>I213</f>
        <v>0.78</v>
      </c>
      <c r="J223" s="306"/>
      <c r="K223" s="2">
        <f>-ROUND(I223*$D223/100,0)</f>
        <v>-14</v>
      </c>
      <c r="AE223" s="84"/>
    </row>
    <row r="224" spans="1:31">
      <c r="A224" s="1" t="s">
        <v>403</v>
      </c>
      <c r="B224" s="1"/>
      <c r="C224" s="304">
        <f>80+241+375</f>
        <v>696</v>
      </c>
      <c r="D224" s="304">
        <f>ROUND(($D$231/'Blocking - detail'!$C$231)*C224,0)</f>
        <v>721</v>
      </c>
      <c r="E224" s="319">
        <f>E215</f>
        <v>2.81</v>
      </c>
      <c r="F224" s="308"/>
      <c r="G224" s="2">
        <f>-ROUND(E224*$C224/100,0)</f>
        <v>-20</v>
      </c>
      <c r="H224" s="2">
        <f>-ROUND(E224*$D224/100,0)</f>
        <v>-20</v>
      </c>
      <c r="I224" s="319">
        <f>I215</f>
        <v>2.88</v>
      </c>
      <c r="J224" s="308"/>
      <c r="K224" s="2">
        <f>-ROUND(I224*$D224/100,0)</f>
        <v>-21</v>
      </c>
      <c r="AE224" s="84"/>
    </row>
    <row r="225" spans="1:31">
      <c r="A225" s="1" t="s">
        <v>395</v>
      </c>
      <c r="B225" s="1"/>
      <c r="C225" s="304">
        <f>48100+13460+19000</f>
        <v>80560</v>
      </c>
      <c r="D225" s="304">
        <f>ROUND(($D$231/'Blocking - detail'!$C$231)*C225,0)</f>
        <v>83451</v>
      </c>
      <c r="E225" s="320">
        <f>E216</f>
        <v>7.5869999999999997</v>
      </c>
      <c r="F225" s="308" t="s">
        <v>364</v>
      </c>
      <c r="G225" s="2">
        <f>ROUND(E225*$C225/100*E220,0)</f>
        <v>-61</v>
      </c>
      <c r="H225" s="2">
        <f>ROUND(E225*$D225/100*E220,0)</f>
        <v>-63</v>
      </c>
      <c r="I225" s="320">
        <f>I216</f>
        <v>8.0890000000000004</v>
      </c>
      <c r="J225" s="308" t="s">
        <v>364</v>
      </c>
      <c r="K225" s="2">
        <f>ROUND(I225*$D225/100*I220,0)</f>
        <v>-68</v>
      </c>
      <c r="AE225" s="84"/>
    </row>
    <row r="226" spans="1:31">
      <c r="A226" s="1" t="s">
        <v>388</v>
      </c>
      <c r="B226" s="1"/>
      <c r="C226" s="304">
        <f>90010+71720+85700</f>
        <v>247430</v>
      </c>
      <c r="D226" s="304">
        <f>ROUND(($D$231/'Blocking - detail'!$C$231)*C226,0)</f>
        <v>256310</v>
      </c>
      <c r="E226" s="320">
        <f>E217</f>
        <v>5.2370000000000001</v>
      </c>
      <c r="F226" s="308" t="s">
        <v>364</v>
      </c>
      <c r="G226" s="2">
        <f>ROUND(E226*$C226/100*E220,0)</f>
        <v>-130</v>
      </c>
      <c r="H226" s="2">
        <f>ROUND(E226*$D226/100*E220,0)</f>
        <v>-134</v>
      </c>
      <c r="I226" s="320">
        <f>I217</f>
        <v>5.5839999999999996</v>
      </c>
      <c r="J226" s="308" t="s">
        <v>364</v>
      </c>
      <c r="K226" s="2">
        <f>ROUND(I226*$D226/100*I220,0)</f>
        <v>-143</v>
      </c>
      <c r="N226" s="3" t="s">
        <v>31</v>
      </c>
      <c r="AE226" s="84"/>
    </row>
    <row r="227" spans="1:31">
      <c r="A227" s="1" t="s">
        <v>389</v>
      </c>
      <c r="B227" s="1"/>
      <c r="C227" s="304">
        <f>138110+124140+112440-C225-C226</f>
        <v>46700</v>
      </c>
      <c r="D227" s="304">
        <f>ROUND(($D$231/'Blocking - detail'!$C$231)*C227,0)</f>
        <v>48376</v>
      </c>
      <c r="E227" s="320">
        <f>E218</f>
        <v>4.5129999999999999</v>
      </c>
      <c r="F227" s="308" t="s">
        <v>364</v>
      </c>
      <c r="G227" s="2">
        <f>ROUND(E227*$C227/100*E220,0)</f>
        <v>-21</v>
      </c>
      <c r="H227" s="2">
        <f>ROUND(E227*$D227/100*E220,0)</f>
        <v>-22</v>
      </c>
      <c r="I227" s="320">
        <f>I218</f>
        <v>4.8100000000000005</v>
      </c>
      <c r="J227" s="308" t="s">
        <v>364</v>
      </c>
      <c r="K227" s="2">
        <f>ROUND(I227*$D227/100*I220,0)</f>
        <v>-23</v>
      </c>
      <c r="AE227" s="84"/>
    </row>
    <row r="228" spans="1:31">
      <c r="A228" s="1" t="s">
        <v>390</v>
      </c>
      <c r="B228" s="1"/>
      <c r="C228" s="304">
        <f>1+2328</f>
        <v>2329</v>
      </c>
      <c r="D228" s="304">
        <f>ROUND(($D$231/'Blocking - detail'!$C$231)*C228,0)</f>
        <v>2413</v>
      </c>
      <c r="E228" s="321">
        <f>E219</f>
        <v>45</v>
      </c>
      <c r="F228" s="308" t="s">
        <v>364</v>
      </c>
      <c r="G228" s="2">
        <f>ROUND(E228*$C228/100*E220,0)</f>
        <v>-10</v>
      </c>
      <c r="H228" s="2">
        <f>ROUND(E228*$D228/100*E220,0)</f>
        <v>-11</v>
      </c>
      <c r="I228" s="321">
        <f>I219</f>
        <v>45</v>
      </c>
      <c r="J228" s="308" t="s">
        <v>364</v>
      </c>
      <c r="K228" s="2">
        <f>ROUND(I228*$D228/100*I220,0)</f>
        <v>-11</v>
      </c>
      <c r="AE228" s="84"/>
    </row>
    <row r="229" spans="1:31">
      <c r="A229" s="1" t="s">
        <v>397</v>
      </c>
      <c r="B229" s="1"/>
      <c r="C229" s="304">
        <f>48+55</f>
        <v>103</v>
      </c>
      <c r="D229" s="304">
        <f>ROUND(($D$231/'Blocking - detail'!$C$231)*C229,0)</f>
        <v>107</v>
      </c>
      <c r="E229" s="322">
        <v>60</v>
      </c>
      <c r="F229" s="306"/>
      <c r="G229" s="2">
        <f>ROUND(E229*$C229,0)</f>
        <v>6180</v>
      </c>
      <c r="H229" s="2">
        <f>ROUND(E229*$D229,0)</f>
        <v>6420</v>
      </c>
      <c r="I229" s="322">
        <f>$I$172</f>
        <v>60</v>
      </c>
      <c r="J229" s="308"/>
      <c r="K229" s="2">
        <f>ROUND(I229*$D229,0)</f>
        <v>6420</v>
      </c>
      <c r="AE229" s="84"/>
    </row>
    <row r="230" spans="1:31">
      <c r="A230" s="1" t="s">
        <v>398</v>
      </c>
      <c r="B230" s="1"/>
      <c r="C230" s="304">
        <f>84+465+737+918</f>
        <v>2204</v>
      </c>
      <c r="D230" s="304">
        <f>ROUND(($D$231/'Blocking - detail'!$C$231)*C230,0)</f>
        <v>2283</v>
      </c>
      <c r="E230" s="324">
        <v>-30</v>
      </c>
      <c r="F230" s="306" t="s">
        <v>364</v>
      </c>
      <c r="G230" s="2">
        <f>ROUND(E230*$C230/100,0)</f>
        <v>-661</v>
      </c>
      <c r="H230" s="2">
        <f>ROUND(E230*$D230/100,0)</f>
        <v>-685</v>
      </c>
      <c r="I230" s="324">
        <f>$I$173</f>
        <v>-30</v>
      </c>
      <c r="J230" s="308" t="s">
        <v>364</v>
      </c>
      <c r="K230" s="2">
        <f>ROUND(I230*$D230/100,0)</f>
        <v>-685</v>
      </c>
      <c r="AE230" s="84"/>
    </row>
    <row r="231" spans="1:31">
      <c r="A231" s="1" t="s">
        <v>371</v>
      </c>
      <c r="B231" s="292"/>
      <c r="C231" s="304">
        <f>SUM(C216:C218)</f>
        <v>487716339</v>
      </c>
      <c r="D231" s="304">
        <v>505220047.82638693</v>
      </c>
      <c r="E231" s="315"/>
      <c r="F231" s="2"/>
      <c r="G231" s="2">
        <f>SUM(G211:G230)</f>
        <v>31870361</v>
      </c>
      <c r="H231" s="2">
        <f>SUM(H211:H230)</f>
        <v>32976904</v>
      </c>
      <c r="I231" s="315"/>
      <c r="J231" s="308"/>
      <c r="K231" s="2">
        <f>SUM(K211:K230)</f>
        <v>35134964</v>
      </c>
      <c r="M231" s="84"/>
      <c r="N231" s="84"/>
      <c r="AE231" s="84"/>
    </row>
    <row r="232" spans="1:31">
      <c r="A232" s="1" t="s">
        <v>353</v>
      </c>
      <c r="B232" s="1"/>
      <c r="C232" s="334">
        <v>2221504.1418108731</v>
      </c>
      <c r="D232" s="325">
        <v>0</v>
      </c>
      <c r="E232" s="294"/>
      <c r="F232" s="294"/>
      <c r="G232" s="326">
        <v>124957.07854881753</v>
      </c>
      <c r="H232" s="326">
        <v>0</v>
      </c>
      <c r="I232" s="294"/>
      <c r="J232" s="294"/>
      <c r="K232" s="326">
        <v>0</v>
      </c>
      <c r="M232" s="274"/>
      <c r="N232" s="274"/>
      <c r="O232" s="275"/>
      <c r="AE232" s="84"/>
    </row>
    <row r="233" spans="1:31" ht="16.5" thickBot="1">
      <c r="A233" s="1" t="s">
        <v>372</v>
      </c>
      <c r="B233" s="1"/>
      <c r="C233" s="296">
        <f>SUM(C231:C232)</f>
        <v>489937843.14181089</v>
      </c>
      <c r="D233" s="296">
        <f>SUM(D231:D232)</f>
        <v>505220047.82638693</v>
      </c>
      <c r="E233" s="327"/>
      <c r="F233" s="328"/>
      <c r="G233" s="329">
        <f>G231+G232</f>
        <v>31995318.078548819</v>
      </c>
      <c r="H233" s="329">
        <f>H231+H232</f>
        <v>32976904</v>
      </c>
      <c r="I233" s="327"/>
      <c r="J233" s="330"/>
      <c r="K233" s="329">
        <f>K231+K232</f>
        <v>35134964</v>
      </c>
      <c r="M233" s="276"/>
      <c r="N233" s="276"/>
      <c r="O233" s="277"/>
      <c r="AE233" s="84"/>
    </row>
    <row r="234" spans="1:31" ht="16.5" thickTop="1">
      <c r="A234" s="1"/>
      <c r="B234" s="1"/>
      <c r="C234" s="21"/>
      <c r="D234" s="21"/>
      <c r="E234" s="322"/>
      <c r="F234" s="2"/>
      <c r="G234" s="2"/>
      <c r="H234" s="2"/>
      <c r="I234" s="322"/>
      <c r="J234" s="1"/>
      <c r="K234" s="2" t="s">
        <v>31</v>
      </c>
      <c r="AE234" s="84"/>
    </row>
    <row r="235" spans="1:31">
      <c r="A235" s="278" t="s">
        <v>377</v>
      </c>
      <c r="B235" s="1"/>
      <c r="C235" s="1"/>
      <c r="D235" s="1"/>
      <c r="E235" s="2"/>
      <c r="F235" s="2"/>
      <c r="G235" s="1" t="s">
        <v>31</v>
      </c>
      <c r="H235" s="1"/>
      <c r="I235" s="2"/>
      <c r="J235" s="1"/>
      <c r="K235" s="1"/>
      <c r="AE235" s="84"/>
    </row>
    <row r="236" spans="1:31">
      <c r="A236" s="1" t="s">
        <v>404</v>
      </c>
      <c r="B236" s="1"/>
      <c r="C236" s="21"/>
      <c r="D236" s="1"/>
      <c r="E236" s="2"/>
      <c r="F236" s="2"/>
      <c r="G236" s="1"/>
      <c r="H236" s="1"/>
      <c r="I236" s="2"/>
      <c r="J236" s="1"/>
      <c r="K236" s="1"/>
      <c r="AE236" s="84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84"/>
    </row>
    <row r="238" spans="1:31">
      <c r="A238" s="1" t="s">
        <v>383</v>
      </c>
      <c r="B238" s="1"/>
      <c r="C238" s="304"/>
      <c r="D238" s="304"/>
      <c r="E238" s="2"/>
      <c r="F238" s="2"/>
      <c r="G238" s="1"/>
      <c r="H238" s="1"/>
      <c r="I238" s="2"/>
      <c r="J238" s="1"/>
      <c r="K238" s="1"/>
      <c r="AE238" s="84"/>
    </row>
    <row r="239" spans="1:31">
      <c r="A239" s="1" t="s">
        <v>380</v>
      </c>
      <c r="B239" s="1"/>
      <c r="C239" s="304">
        <f>596+1770</f>
        <v>2366</v>
      </c>
      <c r="D239" s="304">
        <f>ROUND(($D$242/'Blocking - detail'!$C$242)*C239,0)</f>
        <v>2305</v>
      </c>
      <c r="E239" s="283">
        <v>7</v>
      </c>
      <c r="F239" s="306"/>
      <c r="G239" s="2">
        <f>ROUND(E239*$C239,0)</f>
        <v>16562</v>
      </c>
      <c r="H239" s="2">
        <f>ROUND(E239*$D239,0)</f>
        <v>16135</v>
      </c>
      <c r="I239" s="283">
        <f>$I$153</f>
        <v>7.53</v>
      </c>
      <c r="J239" s="308"/>
      <c r="K239" s="2">
        <f>ROUND(I239*$D239,0)</f>
        <v>17357</v>
      </c>
      <c r="AE239" s="84"/>
    </row>
    <row r="240" spans="1:31">
      <c r="A240" s="1" t="s">
        <v>381</v>
      </c>
      <c r="B240" s="1"/>
      <c r="C240" s="304">
        <f>740+2769</f>
        <v>3509</v>
      </c>
      <c r="D240" s="304">
        <f>ROUND(($D$242/'Blocking - detail'!$C$242)*C240,0)</f>
        <v>3418</v>
      </c>
      <c r="E240" s="283">
        <v>10.4</v>
      </c>
      <c r="F240" s="309"/>
      <c r="G240" s="2">
        <f>ROUND(E240*$C240,0)</f>
        <v>36494</v>
      </c>
      <c r="H240" s="2">
        <f>ROUND(E240*$D240,0)</f>
        <v>35547</v>
      </c>
      <c r="I240" s="283">
        <f>$I$154</f>
        <v>11.18</v>
      </c>
      <c r="J240" s="310"/>
      <c r="K240" s="2">
        <f>ROUND(I240*$D240,0)</f>
        <v>38213</v>
      </c>
      <c r="AE240" s="84"/>
    </row>
    <row r="241" spans="1:31">
      <c r="A241" s="1" t="s">
        <v>382</v>
      </c>
      <c r="B241" s="1"/>
      <c r="C241" s="304">
        <f>920+13828+3166+56636</f>
        <v>74550</v>
      </c>
      <c r="D241" s="304">
        <f>ROUND(($D$259/$C$259)*C241,0)</f>
        <v>77752</v>
      </c>
      <c r="E241" s="283">
        <v>0.69</v>
      </c>
      <c r="F241" s="309"/>
      <c r="G241" s="2">
        <f>ROUND(E241*$C241,0)</f>
        <v>51440</v>
      </c>
      <c r="H241" s="2">
        <f>ROUND(E241*$D241,0)</f>
        <v>53649</v>
      </c>
      <c r="I241" s="283">
        <f>$I$155</f>
        <v>0.78</v>
      </c>
      <c r="J241" s="310"/>
      <c r="K241" s="2">
        <f>ROUND(I241*$D241,0)</f>
        <v>60647</v>
      </c>
      <c r="AE241" s="84"/>
    </row>
    <row r="242" spans="1:31">
      <c r="A242" s="1" t="s">
        <v>384</v>
      </c>
      <c r="B242" s="1"/>
      <c r="C242" s="304">
        <f>SUM(C239:C240)</f>
        <v>5875</v>
      </c>
      <c r="D242" s="304">
        <v>5723</v>
      </c>
      <c r="E242" s="283"/>
      <c r="F242" s="306"/>
      <c r="G242" s="2"/>
      <c r="H242" s="2"/>
      <c r="I242" s="283"/>
      <c r="J242" s="308"/>
      <c r="K242" s="2"/>
      <c r="AE242" s="84"/>
    </row>
    <row r="243" spans="1:31">
      <c r="A243" s="1" t="s">
        <v>385</v>
      </c>
      <c r="B243" s="1"/>
      <c r="C243" s="304">
        <f>556+5026+1612+37282</f>
        <v>44476</v>
      </c>
      <c r="D243" s="304">
        <f>ROUND(($D$259/$C$259)*C243,0)</f>
        <v>46387</v>
      </c>
      <c r="E243" s="311">
        <v>2.81</v>
      </c>
      <c r="F243" s="308"/>
      <c r="G243" s="2">
        <f>ROUND(E243*$C243,0)</f>
        <v>124978</v>
      </c>
      <c r="H243" s="2">
        <f>ROUND(E243*$D243,0)</f>
        <v>130347</v>
      </c>
      <c r="I243" s="311">
        <f>$I$158</f>
        <v>2.88</v>
      </c>
      <c r="J243" s="308"/>
      <c r="K243" s="2">
        <f>ROUND(I243*$D243,0)</f>
        <v>133595</v>
      </c>
      <c r="AE243" s="84"/>
    </row>
    <row r="244" spans="1:31">
      <c r="A244" s="1" t="s">
        <v>387</v>
      </c>
      <c r="B244" s="1"/>
      <c r="C244" s="304">
        <f>224214+423982+989891+2211727</f>
        <v>3849814</v>
      </c>
      <c r="D244" s="304">
        <f>ROUND(($D$259/$C$259)*C244,0)</f>
        <v>4015187</v>
      </c>
      <c r="E244" s="284">
        <v>7.5869999999999997</v>
      </c>
      <c r="F244" s="308" t="s">
        <v>364</v>
      </c>
      <c r="G244" s="2">
        <f>ROUND(E244*$C244/100,0)</f>
        <v>292085</v>
      </c>
      <c r="H244" s="2">
        <f>ROUND(E244*$D244/100,0)</f>
        <v>304632</v>
      </c>
      <c r="I244" s="284">
        <f>$I$159</f>
        <v>8.0890000000000004</v>
      </c>
      <c r="J244" s="308" t="s">
        <v>364</v>
      </c>
      <c r="K244" s="2">
        <f>ROUND(I244*$D244/100,0)</f>
        <v>324788</v>
      </c>
      <c r="AE244" s="84"/>
    </row>
    <row r="245" spans="1:31">
      <c r="A245" s="1" t="s">
        <v>388</v>
      </c>
      <c r="B245" s="1"/>
      <c r="C245" s="304">
        <f>333291+1119888+1597472+8605642</f>
        <v>11656293</v>
      </c>
      <c r="D245" s="304">
        <f>ROUND(($D$259/$C$259)*C245,0)</f>
        <v>12157003</v>
      </c>
      <c r="E245" s="284">
        <v>5.2370000000000001</v>
      </c>
      <c r="F245" s="308" t="s">
        <v>364</v>
      </c>
      <c r="G245" s="2">
        <f>ROUND(E245*$C245/100,0)</f>
        <v>610440</v>
      </c>
      <c r="H245" s="2">
        <f>ROUND(E245*$D245/100,0)</f>
        <v>636662</v>
      </c>
      <c r="I245" s="284">
        <f>$I$160</f>
        <v>5.5839999999999996</v>
      </c>
      <c r="J245" s="308" t="s">
        <v>364</v>
      </c>
      <c r="K245" s="2">
        <f>ROUND(I245*$D245/100,0)</f>
        <v>678847</v>
      </c>
      <c r="AE245" s="84"/>
    </row>
    <row r="246" spans="1:31">
      <c r="A246" s="1" t="s">
        <v>389</v>
      </c>
      <c r="B246" s="1"/>
      <c r="C246" s="304">
        <f>622235+2212640+2732130+16131459-C244-C245</f>
        <v>6192357</v>
      </c>
      <c r="D246" s="304">
        <f>ROUND(($D$259/$C$259)*C246,0)</f>
        <v>6458357</v>
      </c>
      <c r="E246" s="284">
        <v>4.5129999999999999</v>
      </c>
      <c r="F246" s="308" t="s">
        <v>364</v>
      </c>
      <c r="G246" s="2">
        <f>ROUND(E246*$C246/100,0)</f>
        <v>279461</v>
      </c>
      <c r="H246" s="2">
        <f>ROUND(E246*$D246/100,0)</f>
        <v>291466</v>
      </c>
      <c r="I246" s="284">
        <f>$I$161</f>
        <v>4.8100000000000005</v>
      </c>
      <c r="J246" s="308" t="s">
        <v>364</v>
      </c>
      <c r="K246" s="2">
        <f>ROUND(I246*$D246/100,0)</f>
        <v>310647</v>
      </c>
      <c r="AE246" s="84"/>
    </row>
    <row r="247" spans="1:31">
      <c r="A247" s="1" t="s">
        <v>390</v>
      </c>
      <c r="B247" s="1"/>
      <c r="C247" s="304">
        <f>2718+12348</f>
        <v>15066</v>
      </c>
      <c r="D247" s="304">
        <f>ROUND(($D$259/$C$259)*C247,0)</f>
        <v>15713</v>
      </c>
      <c r="E247" s="315">
        <v>45</v>
      </c>
      <c r="F247" s="306" t="s">
        <v>364</v>
      </c>
      <c r="G247" s="2">
        <f>ROUND(E247*$C247/100,0)</f>
        <v>6780</v>
      </c>
      <c r="H247" s="2">
        <f>ROUND(E247*$D247/100,0)</f>
        <v>7071</v>
      </c>
      <c r="I247" s="315">
        <f>$I$162</f>
        <v>45</v>
      </c>
      <c r="J247" s="308" t="s">
        <v>364</v>
      </c>
      <c r="K247" s="2">
        <f>ROUND(I247*$D247/100,0)</f>
        <v>7071</v>
      </c>
      <c r="AE247" s="84"/>
    </row>
    <row r="248" spans="1:31">
      <c r="A248" s="316" t="s">
        <v>391</v>
      </c>
      <c r="B248" s="1"/>
      <c r="C248" s="304"/>
      <c r="D248" s="304"/>
      <c r="E248" s="317">
        <v>-0.01</v>
      </c>
      <c r="F248" s="306"/>
      <c r="G248" s="2"/>
      <c r="H248" s="2"/>
      <c r="I248" s="317">
        <f>$I$163</f>
        <v>-0.01</v>
      </c>
      <c r="J248" s="308"/>
      <c r="K248" s="2"/>
      <c r="AE248" s="84"/>
    </row>
    <row r="249" spans="1:31">
      <c r="A249" s="1" t="s">
        <v>380</v>
      </c>
      <c r="B249" s="1"/>
      <c r="C249" s="304">
        <v>0</v>
      </c>
      <c r="D249" s="304">
        <f t="shared" ref="D249:D258" si="23">ROUND(($D$259/$C$259)*C249,0)</f>
        <v>0</v>
      </c>
      <c r="E249" s="319">
        <f>E239</f>
        <v>7</v>
      </c>
      <c r="F249" s="306"/>
      <c r="G249" s="2">
        <f>-ROUND(E249*$C249/100,0)</f>
        <v>0</v>
      </c>
      <c r="H249" s="2">
        <f>-ROUND(E249*$D249/100,0)</f>
        <v>0</v>
      </c>
      <c r="I249" s="319">
        <f>I239</f>
        <v>7.53</v>
      </c>
      <c r="J249" s="306"/>
      <c r="K249" s="2">
        <f>-ROUND(I249*$D249/100,0)</f>
        <v>0</v>
      </c>
      <c r="AE249" s="84"/>
    </row>
    <row r="250" spans="1:31">
      <c r="A250" s="1" t="s">
        <v>381</v>
      </c>
      <c r="B250" s="1"/>
      <c r="C250" s="304">
        <v>0</v>
      </c>
      <c r="D250" s="304">
        <f t="shared" si="23"/>
        <v>0</v>
      </c>
      <c r="E250" s="319">
        <f>E240</f>
        <v>10.4</v>
      </c>
      <c r="F250" s="306"/>
      <c r="G250" s="2">
        <f>-ROUND(E250*$C250/100,0)</f>
        <v>0</v>
      </c>
      <c r="H250" s="2">
        <f>-ROUND(E250*$D250/100,0)</f>
        <v>0</v>
      </c>
      <c r="I250" s="319">
        <f>I240</f>
        <v>11.18</v>
      </c>
      <c r="J250" s="306"/>
      <c r="K250" s="2">
        <f>-ROUND(I250*$D250/100,0)</f>
        <v>0</v>
      </c>
      <c r="AE250" s="84"/>
    </row>
    <row r="251" spans="1:31">
      <c r="A251" s="1" t="s">
        <v>392</v>
      </c>
      <c r="B251" s="1"/>
      <c r="C251" s="304">
        <v>0</v>
      </c>
      <c r="D251" s="304">
        <f t="shared" si="23"/>
        <v>0</v>
      </c>
      <c r="E251" s="319">
        <f>E241</f>
        <v>0.69</v>
      </c>
      <c r="F251" s="306"/>
      <c r="G251" s="2">
        <f>-ROUND(E251*$C251/100,0)</f>
        <v>0</v>
      </c>
      <c r="H251" s="2">
        <f>-ROUND(E251*$D251/100,0)</f>
        <v>0</v>
      </c>
      <c r="I251" s="319">
        <f>I241</f>
        <v>0.78</v>
      </c>
      <c r="J251" s="306"/>
      <c r="K251" s="2">
        <f>-ROUND(I251*$D251/100,0)</f>
        <v>0</v>
      </c>
      <c r="AE251" s="84"/>
    </row>
    <row r="252" spans="1:31">
      <c r="A252" s="1" t="s">
        <v>393</v>
      </c>
      <c r="B252" s="1"/>
      <c r="C252" s="304">
        <v>0</v>
      </c>
      <c r="D252" s="304">
        <f t="shared" si="23"/>
        <v>0</v>
      </c>
      <c r="E252" s="319">
        <f>E243</f>
        <v>2.81</v>
      </c>
      <c r="F252" s="308"/>
      <c r="G252" s="2">
        <f>-ROUND(E252*$C252/100,0)</f>
        <v>0</v>
      </c>
      <c r="H252" s="2">
        <f>-ROUND(E252*$D252/100,0)</f>
        <v>0</v>
      </c>
      <c r="I252" s="319">
        <f>I243</f>
        <v>2.88</v>
      </c>
      <c r="J252" s="308"/>
      <c r="K252" s="2">
        <f>-ROUND(I252*$D252/100,0)</f>
        <v>0</v>
      </c>
      <c r="AE252" s="84"/>
    </row>
    <row r="253" spans="1:31">
      <c r="A253" s="1" t="s">
        <v>395</v>
      </c>
      <c r="B253" s="1"/>
      <c r="C253" s="304">
        <v>0</v>
      </c>
      <c r="D253" s="304">
        <f t="shared" si="23"/>
        <v>0</v>
      </c>
      <c r="E253" s="320">
        <f>E244</f>
        <v>7.5869999999999997</v>
      </c>
      <c r="F253" s="308" t="s">
        <v>364</v>
      </c>
      <c r="G253" s="2">
        <f>ROUND(E253*$C253/100*E248,0)</f>
        <v>0</v>
      </c>
      <c r="H253" s="2">
        <f>ROUND(E253*$D253/100*E248,0)</f>
        <v>0</v>
      </c>
      <c r="I253" s="320">
        <f>I244</f>
        <v>8.0890000000000004</v>
      </c>
      <c r="J253" s="308" t="s">
        <v>364</v>
      </c>
      <c r="K253" s="2">
        <f>ROUND(I253*$D253/100*I248,0)</f>
        <v>0</v>
      </c>
      <c r="AE253" s="84"/>
    </row>
    <row r="254" spans="1:31">
      <c r="A254" s="1" t="s">
        <v>388</v>
      </c>
      <c r="B254" s="1"/>
      <c r="C254" s="304">
        <v>0</v>
      </c>
      <c r="D254" s="304">
        <f t="shared" si="23"/>
        <v>0</v>
      </c>
      <c r="E254" s="320">
        <f>E245</f>
        <v>5.2370000000000001</v>
      </c>
      <c r="F254" s="308" t="s">
        <v>364</v>
      </c>
      <c r="G254" s="2">
        <f>ROUND(E254*$C254/100*E248,0)</f>
        <v>0</v>
      </c>
      <c r="H254" s="2">
        <f>ROUND(E254*$D254/100*E248,0)</f>
        <v>0</v>
      </c>
      <c r="I254" s="320">
        <f>I245</f>
        <v>5.5839999999999996</v>
      </c>
      <c r="J254" s="308" t="s">
        <v>364</v>
      </c>
      <c r="K254" s="2">
        <f>ROUND(I254*$D254/100*I248,0)</f>
        <v>0</v>
      </c>
      <c r="AE254" s="84"/>
    </row>
    <row r="255" spans="1:31">
      <c r="A255" s="1" t="s">
        <v>389</v>
      </c>
      <c r="B255" s="1"/>
      <c r="C255" s="304">
        <v>0</v>
      </c>
      <c r="D255" s="304">
        <f t="shared" si="23"/>
        <v>0</v>
      </c>
      <c r="E255" s="320">
        <f>E246</f>
        <v>4.5129999999999999</v>
      </c>
      <c r="F255" s="308" t="s">
        <v>364</v>
      </c>
      <c r="G255" s="2">
        <f>ROUND(E255*$C255/100*E248,0)</f>
        <v>0</v>
      </c>
      <c r="H255" s="2">
        <f>ROUND(E255*$D255/100*E248,0)</f>
        <v>0</v>
      </c>
      <c r="I255" s="320">
        <f>I246</f>
        <v>4.8100000000000005</v>
      </c>
      <c r="J255" s="308" t="s">
        <v>364</v>
      </c>
      <c r="K255" s="2">
        <f>ROUND(I255*$D255/100*I248,0)</f>
        <v>0</v>
      </c>
      <c r="AE255" s="84"/>
    </row>
    <row r="256" spans="1:31">
      <c r="A256" s="1" t="s">
        <v>390</v>
      </c>
      <c r="B256" s="1"/>
      <c r="C256" s="304">
        <v>0</v>
      </c>
      <c r="D256" s="304">
        <f t="shared" si="23"/>
        <v>0</v>
      </c>
      <c r="E256" s="321">
        <f>E247</f>
        <v>45</v>
      </c>
      <c r="F256" s="308" t="s">
        <v>364</v>
      </c>
      <c r="G256" s="2">
        <f>ROUND(E256*$C256/100*E248,0)</f>
        <v>0</v>
      </c>
      <c r="H256" s="2">
        <f>ROUND(E256*$D256/100*E248,0)</f>
        <v>0</v>
      </c>
      <c r="I256" s="321">
        <f>I247</f>
        <v>45</v>
      </c>
      <c r="J256" s="308" t="s">
        <v>364</v>
      </c>
      <c r="K256" s="2">
        <f>ROUND(I256*$D256/100*I248,0)</f>
        <v>0</v>
      </c>
      <c r="AE256" s="84"/>
    </row>
    <row r="257" spans="1:31">
      <c r="A257" s="1" t="s">
        <v>397</v>
      </c>
      <c r="B257" s="1"/>
      <c r="C257" s="304">
        <v>0</v>
      </c>
      <c r="D257" s="304">
        <f t="shared" si="23"/>
        <v>0</v>
      </c>
      <c r="E257" s="322">
        <v>60</v>
      </c>
      <c r="F257" s="306"/>
      <c r="G257" s="2">
        <f>ROUND(E257*$C257,0)</f>
        <v>0</v>
      </c>
      <c r="H257" s="2">
        <f>ROUND(E257*$D257,0)</f>
        <v>0</v>
      </c>
      <c r="I257" s="322">
        <f>$I$172</f>
        <v>60</v>
      </c>
      <c r="J257" s="308"/>
      <c r="K257" s="2">
        <f>ROUND(I257*$D257,0)</f>
        <v>0</v>
      </c>
      <c r="AE257" s="84"/>
    </row>
    <row r="258" spans="1:31">
      <c r="A258" s="1" t="s">
        <v>398</v>
      </c>
      <c r="B258" s="1"/>
      <c r="C258" s="304">
        <v>0</v>
      </c>
      <c r="D258" s="304">
        <f t="shared" si="23"/>
        <v>0</v>
      </c>
      <c r="E258" s="324">
        <v>-30</v>
      </c>
      <c r="F258" s="306" t="s">
        <v>364</v>
      </c>
      <c r="G258" s="2">
        <f>ROUND(E258*$C258/100,0)</f>
        <v>0</v>
      </c>
      <c r="H258" s="2">
        <f>ROUND(E258*$D258/100,0)</f>
        <v>0</v>
      </c>
      <c r="I258" s="324">
        <f>$I$173</f>
        <v>-30</v>
      </c>
      <c r="J258" s="308" t="s">
        <v>364</v>
      </c>
      <c r="K258" s="2">
        <f>ROUND(I258*$D258/100,0)</f>
        <v>0</v>
      </c>
      <c r="AE258" s="84"/>
    </row>
    <row r="259" spans="1:31">
      <c r="A259" s="1" t="s">
        <v>371</v>
      </c>
      <c r="B259" s="1"/>
      <c r="C259" s="304">
        <f>SUM(C244:C246)</f>
        <v>21698464</v>
      </c>
      <c r="D259" s="304">
        <v>22630547.415536091</v>
      </c>
      <c r="E259" s="315"/>
      <c r="F259" s="2"/>
      <c r="G259" s="2">
        <f>SUM(G239:G258)</f>
        <v>1418240</v>
      </c>
      <c r="H259" s="2">
        <f>SUM(H239:H258)</f>
        <v>1475509</v>
      </c>
      <c r="I259" s="315"/>
      <c r="J259" s="308"/>
      <c r="K259" s="2">
        <f>SUM(K239:K258)</f>
        <v>1571165</v>
      </c>
      <c r="AE259" s="84"/>
    </row>
    <row r="260" spans="1:31">
      <c r="A260" s="1" t="s">
        <v>353</v>
      </c>
      <c r="B260" s="1"/>
      <c r="C260" s="334">
        <v>-490299.70959914278</v>
      </c>
      <c r="D260" s="325">
        <v>0</v>
      </c>
      <c r="E260" s="294"/>
      <c r="F260" s="294"/>
      <c r="G260" s="326">
        <v>-27174.812211416385</v>
      </c>
      <c r="H260" s="326">
        <v>0</v>
      </c>
      <c r="I260" s="294"/>
      <c r="J260" s="294"/>
      <c r="K260" s="326">
        <v>0</v>
      </c>
      <c r="M260" s="274"/>
      <c r="N260" s="274"/>
      <c r="O260" s="275"/>
      <c r="AE260" s="84"/>
    </row>
    <row r="261" spans="1:31" ht="16.5" thickBot="1">
      <c r="A261" s="1" t="s">
        <v>372</v>
      </c>
      <c r="B261" s="1"/>
      <c r="C261" s="296">
        <f>SUM(C259:C260)</f>
        <v>21208164.290400859</v>
      </c>
      <c r="D261" s="296">
        <f>SUM(D259:D260)</f>
        <v>22630547.415536091</v>
      </c>
      <c r="E261" s="327"/>
      <c r="F261" s="328"/>
      <c r="G261" s="329">
        <f>G259+G260</f>
        <v>1391065.1877885836</v>
      </c>
      <c r="H261" s="329">
        <f>H259+H260</f>
        <v>1475509</v>
      </c>
      <c r="I261" s="327"/>
      <c r="J261" s="330"/>
      <c r="K261" s="329">
        <f>K259+K260</f>
        <v>1571165</v>
      </c>
      <c r="M261" s="276"/>
      <c r="N261" s="276"/>
      <c r="O261" s="277"/>
      <c r="AE261" s="84"/>
    </row>
    <row r="262" spans="1:31" ht="16.5" thickTop="1">
      <c r="A262" s="1"/>
      <c r="B262" s="1"/>
      <c r="C262" s="335"/>
      <c r="D262" s="335"/>
      <c r="E262" s="336"/>
      <c r="F262" s="337"/>
      <c r="G262" s="307"/>
      <c r="H262" s="307"/>
      <c r="I262" s="336"/>
      <c r="J262" s="23"/>
      <c r="K262" s="307"/>
      <c r="AE262" s="84"/>
    </row>
    <row r="263" spans="1:31">
      <c r="A263" s="278" t="s">
        <v>405</v>
      </c>
      <c r="B263" s="1"/>
      <c r="C263" s="1"/>
      <c r="D263" s="1"/>
      <c r="E263" s="2"/>
      <c r="F263" s="2"/>
      <c r="G263" s="1" t="s">
        <v>31</v>
      </c>
      <c r="H263" s="1"/>
      <c r="I263" s="2"/>
      <c r="J263" s="1"/>
      <c r="K263" s="1"/>
      <c r="AE263" s="84"/>
    </row>
    <row r="264" spans="1:31">
      <c r="A264" s="1" t="s">
        <v>400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84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84"/>
    </row>
    <row r="266" spans="1:31">
      <c r="A266" s="1" t="s">
        <v>383</v>
      </c>
      <c r="B266" s="1"/>
      <c r="C266" s="304"/>
      <c r="D266" s="304"/>
      <c r="E266" s="2"/>
      <c r="F266" s="2"/>
      <c r="G266" s="1"/>
      <c r="H266" s="1"/>
      <c r="I266" s="2"/>
      <c r="J266" s="1"/>
      <c r="K266" s="1"/>
      <c r="AE266" s="84"/>
    </row>
    <row r="267" spans="1:31">
      <c r="A267" s="1" t="s">
        <v>406</v>
      </c>
      <c r="B267" s="1"/>
      <c r="C267" s="304">
        <f t="shared" ref="C267:D269" si="24">C296+C325</f>
        <v>5025</v>
      </c>
      <c r="D267" s="304">
        <f t="shared" si="24"/>
        <v>4991</v>
      </c>
      <c r="E267" s="283">
        <v>7</v>
      </c>
      <c r="F267" s="306"/>
      <c r="G267" s="2">
        <f t="shared" ref="G267:H269" si="25">G296+G325</f>
        <v>35175</v>
      </c>
      <c r="H267" s="2">
        <f t="shared" si="25"/>
        <v>34937</v>
      </c>
      <c r="I267" s="283">
        <f>$I$153</f>
        <v>7.53</v>
      </c>
      <c r="J267" s="308"/>
      <c r="K267" s="2">
        <f>K296+K325</f>
        <v>37582</v>
      </c>
      <c r="AE267" s="84"/>
    </row>
    <row r="268" spans="1:31">
      <c r="A268" s="1" t="s">
        <v>381</v>
      </c>
      <c r="B268" s="1"/>
      <c r="C268" s="304">
        <f t="shared" si="24"/>
        <v>0</v>
      </c>
      <c r="D268" s="304">
        <f t="shared" si="24"/>
        <v>0</v>
      </c>
      <c r="E268" s="283">
        <v>10.4</v>
      </c>
      <c r="F268" s="309"/>
      <c r="G268" s="2">
        <f t="shared" si="25"/>
        <v>0</v>
      </c>
      <c r="H268" s="2">
        <f t="shared" si="25"/>
        <v>0</v>
      </c>
      <c r="I268" s="283">
        <f>$I$154</f>
        <v>11.18</v>
      </c>
      <c r="J268" s="310"/>
      <c r="K268" s="2">
        <f>K297+K326</f>
        <v>0</v>
      </c>
      <c r="AE268" s="84"/>
    </row>
    <row r="269" spans="1:31">
      <c r="A269" s="1" t="s">
        <v>382</v>
      </c>
      <c r="B269" s="1"/>
      <c r="C269" s="304">
        <f t="shared" si="24"/>
        <v>0</v>
      </c>
      <c r="D269" s="304">
        <f t="shared" si="24"/>
        <v>0</v>
      </c>
      <c r="E269" s="283">
        <v>0.69</v>
      </c>
      <c r="F269" s="309"/>
      <c r="G269" s="2">
        <f t="shared" si="25"/>
        <v>0</v>
      </c>
      <c r="H269" s="2">
        <f t="shared" si="25"/>
        <v>0</v>
      </c>
      <c r="I269" s="283">
        <f>$I$155</f>
        <v>0.78</v>
      </c>
      <c r="J269" s="310"/>
      <c r="K269" s="2">
        <f>K298+K327</f>
        <v>0</v>
      </c>
      <c r="AE269" s="84"/>
    </row>
    <row r="270" spans="1:31">
      <c r="A270" s="1" t="s">
        <v>384</v>
      </c>
      <c r="B270" s="1"/>
      <c r="C270" s="304">
        <f>SUM(C267:C268)</f>
        <v>5025</v>
      </c>
      <c r="D270" s="304">
        <f>SUM(D267:D268)</f>
        <v>4991</v>
      </c>
      <c r="E270" s="283"/>
      <c r="F270" s="306"/>
      <c r="G270" s="2"/>
      <c r="H270" s="2"/>
      <c r="I270" s="283"/>
      <c r="J270" s="308"/>
      <c r="K270" s="2"/>
      <c r="AE270" s="84"/>
    </row>
    <row r="271" spans="1:31">
      <c r="A271" s="1" t="s">
        <v>352</v>
      </c>
      <c r="B271" s="1"/>
      <c r="C271" s="304">
        <f t="shared" ref="C271:D276" si="26">C300+C329</f>
        <v>1629</v>
      </c>
      <c r="D271" s="304">
        <f t="shared" si="26"/>
        <v>1617</v>
      </c>
      <c r="E271" s="283"/>
      <c r="F271" s="306"/>
      <c r="G271" s="2"/>
      <c r="H271" s="2"/>
      <c r="I271" s="283"/>
      <c r="J271" s="308"/>
      <c r="K271" s="2"/>
      <c r="AE271" s="84"/>
    </row>
    <row r="272" spans="1:31">
      <c r="A272" s="1" t="s">
        <v>385</v>
      </c>
      <c r="B272" s="1"/>
      <c r="C272" s="304">
        <f t="shared" si="26"/>
        <v>0</v>
      </c>
      <c r="D272" s="304">
        <f t="shared" si="26"/>
        <v>0</v>
      </c>
      <c r="E272" s="311">
        <v>2.81</v>
      </c>
      <c r="F272" s="308"/>
      <c r="G272" s="2">
        <f t="shared" ref="G272:H276" si="27">G301+G330</f>
        <v>0</v>
      </c>
      <c r="H272" s="2">
        <f t="shared" si="27"/>
        <v>0</v>
      </c>
      <c r="I272" s="311">
        <f>$I$158</f>
        <v>2.88</v>
      </c>
      <c r="J272" s="308"/>
      <c r="K272" s="2">
        <f>K301+K330</f>
        <v>0</v>
      </c>
      <c r="AE272" s="84"/>
    </row>
    <row r="273" spans="1:31">
      <c r="A273" s="1" t="s">
        <v>387</v>
      </c>
      <c r="B273" s="1"/>
      <c r="C273" s="304">
        <f t="shared" si="26"/>
        <v>1414918</v>
      </c>
      <c r="D273" s="304">
        <f t="shared" si="26"/>
        <v>1446455</v>
      </c>
      <c r="E273" s="284">
        <v>7.5869999999999997</v>
      </c>
      <c r="F273" s="308" t="s">
        <v>364</v>
      </c>
      <c r="G273" s="2">
        <f t="shared" si="27"/>
        <v>107349</v>
      </c>
      <c r="H273" s="2">
        <f t="shared" si="27"/>
        <v>109743</v>
      </c>
      <c r="I273" s="284">
        <f>$I$159</f>
        <v>8.0890000000000004</v>
      </c>
      <c r="J273" s="308" t="s">
        <v>364</v>
      </c>
      <c r="K273" s="2">
        <f>K302+K331</f>
        <v>117003</v>
      </c>
      <c r="AE273" s="84"/>
    </row>
    <row r="274" spans="1:31">
      <c r="A274" s="1" t="s">
        <v>388</v>
      </c>
      <c r="B274" s="1"/>
      <c r="C274" s="304">
        <f t="shared" si="26"/>
        <v>64806</v>
      </c>
      <c r="D274" s="304">
        <f t="shared" si="26"/>
        <v>66040</v>
      </c>
      <c r="E274" s="284">
        <v>5.2370000000000001</v>
      </c>
      <c r="F274" s="308" t="s">
        <v>364</v>
      </c>
      <c r="G274" s="2">
        <f t="shared" si="27"/>
        <v>3394</v>
      </c>
      <c r="H274" s="2">
        <f t="shared" si="27"/>
        <v>3459</v>
      </c>
      <c r="I274" s="284">
        <f>$I$160</f>
        <v>5.5839999999999996</v>
      </c>
      <c r="J274" s="308" t="s">
        <v>364</v>
      </c>
      <c r="K274" s="2">
        <f>K303+K332</f>
        <v>3688</v>
      </c>
      <c r="AE274" s="84"/>
    </row>
    <row r="275" spans="1:31">
      <c r="A275" s="1" t="s">
        <v>389</v>
      </c>
      <c r="B275" s="1"/>
      <c r="C275" s="304">
        <f t="shared" si="26"/>
        <v>0</v>
      </c>
      <c r="D275" s="304">
        <f t="shared" si="26"/>
        <v>0</v>
      </c>
      <c r="E275" s="284">
        <v>4.5129999999999999</v>
      </c>
      <c r="F275" s="308" t="s">
        <v>364</v>
      </c>
      <c r="G275" s="2">
        <f t="shared" si="27"/>
        <v>0</v>
      </c>
      <c r="H275" s="2">
        <f t="shared" si="27"/>
        <v>0</v>
      </c>
      <c r="I275" s="284">
        <f>$I$161</f>
        <v>4.8100000000000005</v>
      </c>
      <c r="J275" s="308" t="s">
        <v>364</v>
      </c>
      <c r="K275" s="2">
        <f>K304+K333</f>
        <v>0</v>
      </c>
      <c r="AE275" s="84"/>
    </row>
    <row r="276" spans="1:31">
      <c r="A276" s="1" t="s">
        <v>390</v>
      </c>
      <c r="B276" s="1"/>
      <c r="C276" s="304">
        <f t="shared" si="26"/>
        <v>0</v>
      </c>
      <c r="D276" s="304">
        <f t="shared" si="26"/>
        <v>0</v>
      </c>
      <c r="E276" s="315">
        <v>45</v>
      </c>
      <c r="F276" s="306" t="s">
        <v>364</v>
      </c>
      <c r="G276" s="2">
        <f t="shared" si="27"/>
        <v>0</v>
      </c>
      <c r="H276" s="2">
        <f t="shared" si="27"/>
        <v>0</v>
      </c>
      <c r="I276" s="315">
        <f>$I$162</f>
        <v>45</v>
      </c>
      <c r="J276" s="308" t="s">
        <v>364</v>
      </c>
      <c r="K276" s="2">
        <f>K305+K334</f>
        <v>0</v>
      </c>
      <c r="AE276" s="84"/>
    </row>
    <row r="277" spans="1:31">
      <c r="A277" s="316" t="s">
        <v>391</v>
      </c>
      <c r="B277" s="1"/>
      <c r="C277" s="304"/>
      <c r="D277" s="304"/>
      <c r="E277" s="317">
        <v>-0.01</v>
      </c>
      <c r="F277" s="306"/>
      <c r="G277" s="2"/>
      <c r="H277" s="2"/>
      <c r="I277" s="317">
        <f>$I$163</f>
        <v>-0.01</v>
      </c>
      <c r="J277" s="308"/>
      <c r="K277" s="2"/>
      <c r="AE277" s="84"/>
    </row>
    <row r="278" spans="1:31">
      <c r="A278" s="1" t="s">
        <v>380</v>
      </c>
      <c r="B278" s="1"/>
      <c r="C278" s="304">
        <v>0</v>
      </c>
      <c r="D278" s="304">
        <v>0</v>
      </c>
      <c r="E278" s="319">
        <f>E267</f>
        <v>7</v>
      </c>
      <c r="F278" s="306"/>
      <c r="G278" s="2">
        <f t="shared" ref="G278:H289" si="28">G307+G336</f>
        <v>0</v>
      </c>
      <c r="H278" s="2">
        <f t="shared" si="28"/>
        <v>0</v>
      </c>
      <c r="I278" s="319">
        <f>I268</f>
        <v>11.18</v>
      </c>
      <c r="J278" s="306"/>
      <c r="K278" s="2">
        <f t="shared" ref="K278:K289" si="29">K307+K336</f>
        <v>0</v>
      </c>
      <c r="AE278" s="84"/>
    </row>
    <row r="279" spans="1:31">
      <c r="A279" s="1" t="s">
        <v>381</v>
      </c>
      <c r="B279" s="1"/>
      <c r="C279" s="304">
        <v>0</v>
      </c>
      <c r="D279" s="304">
        <v>0</v>
      </c>
      <c r="E279" s="319">
        <f>E268</f>
        <v>10.4</v>
      </c>
      <c r="F279" s="306"/>
      <c r="G279" s="2">
        <f t="shared" si="28"/>
        <v>0</v>
      </c>
      <c r="H279" s="2">
        <f t="shared" si="28"/>
        <v>0</v>
      </c>
      <c r="I279" s="319">
        <f>I269</f>
        <v>0.78</v>
      </c>
      <c r="J279" s="306"/>
      <c r="K279" s="2">
        <f t="shared" si="29"/>
        <v>0</v>
      </c>
      <c r="AE279" s="84"/>
    </row>
    <row r="280" spans="1:31">
      <c r="A280" s="1" t="s">
        <v>392</v>
      </c>
      <c r="B280" s="1"/>
      <c r="C280" s="304">
        <v>0</v>
      </c>
      <c r="D280" s="304">
        <v>0</v>
      </c>
      <c r="E280" s="319">
        <f>E269</f>
        <v>0.69</v>
      </c>
      <c r="F280" s="306"/>
      <c r="G280" s="2">
        <f t="shared" si="28"/>
        <v>0</v>
      </c>
      <c r="H280" s="2">
        <f t="shared" si="28"/>
        <v>0</v>
      </c>
      <c r="I280" s="319">
        <f>I270</f>
        <v>0</v>
      </c>
      <c r="J280" s="306"/>
      <c r="K280" s="2">
        <f t="shared" si="29"/>
        <v>0</v>
      </c>
      <c r="AE280" s="84"/>
    </row>
    <row r="281" spans="1:31">
      <c r="A281" s="1" t="s">
        <v>393</v>
      </c>
      <c r="B281" s="1"/>
      <c r="C281" s="304">
        <v>0</v>
      </c>
      <c r="D281" s="304">
        <v>0</v>
      </c>
      <c r="E281" s="319">
        <f>E272</f>
        <v>2.81</v>
      </c>
      <c r="F281" s="308"/>
      <c r="G281" s="2">
        <f t="shared" si="28"/>
        <v>0</v>
      </c>
      <c r="H281" s="2">
        <f t="shared" si="28"/>
        <v>0</v>
      </c>
      <c r="I281" s="319">
        <f>I272</f>
        <v>2.88</v>
      </c>
      <c r="J281" s="308"/>
      <c r="K281" s="2">
        <f t="shared" si="29"/>
        <v>0</v>
      </c>
      <c r="AE281" s="84"/>
    </row>
    <row r="282" spans="1:31">
      <c r="A282" s="1" t="s">
        <v>395</v>
      </c>
      <c r="B282" s="1"/>
      <c r="C282" s="304">
        <v>0</v>
      </c>
      <c r="D282" s="304">
        <v>0</v>
      </c>
      <c r="E282" s="320">
        <f>E273</f>
        <v>7.5869999999999997</v>
      </c>
      <c r="F282" s="308" t="s">
        <v>364</v>
      </c>
      <c r="G282" s="2">
        <f t="shared" si="28"/>
        <v>0</v>
      </c>
      <c r="H282" s="2">
        <f t="shared" si="28"/>
        <v>0</v>
      </c>
      <c r="I282" s="320">
        <f>I273</f>
        <v>8.0890000000000004</v>
      </c>
      <c r="J282" s="308" t="s">
        <v>364</v>
      </c>
      <c r="K282" s="2">
        <f t="shared" si="29"/>
        <v>0</v>
      </c>
      <c r="AE282" s="84"/>
    </row>
    <row r="283" spans="1:31">
      <c r="A283" s="1" t="s">
        <v>388</v>
      </c>
      <c r="B283" s="1"/>
      <c r="C283" s="304">
        <v>0</v>
      </c>
      <c r="D283" s="304">
        <v>0</v>
      </c>
      <c r="E283" s="320">
        <f>E274</f>
        <v>5.2370000000000001</v>
      </c>
      <c r="F283" s="308" t="s">
        <v>364</v>
      </c>
      <c r="G283" s="2">
        <f t="shared" si="28"/>
        <v>0</v>
      </c>
      <c r="H283" s="2">
        <f t="shared" si="28"/>
        <v>0</v>
      </c>
      <c r="I283" s="320">
        <f>I274</f>
        <v>5.5839999999999996</v>
      </c>
      <c r="J283" s="308" t="s">
        <v>364</v>
      </c>
      <c r="K283" s="2">
        <f t="shared" si="29"/>
        <v>0</v>
      </c>
      <c r="AE283" s="84"/>
    </row>
    <row r="284" spans="1:31">
      <c r="A284" s="1" t="s">
        <v>389</v>
      </c>
      <c r="B284" s="1"/>
      <c r="C284" s="304">
        <v>0</v>
      </c>
      <c r="D284" s="304">
        <v>0</v>
      </c>
      <c r="E284" s="320">
        <f>E275</f>
        <v>4.5129999999999999</v>
      </c>
      <c r="F284" s="308" t="s">
        <v>364</v>
      </c>
      <c r="G284" s="2">
        <f t="shared" si="28"/>
        <v>0</v>
      </c>
      <c r="H284" s="2">
        <f t="shared" si="28"/>
        <v>0</v>
      </c>
      <c r="I284" s="320">
        <f>I275</f>
        <v>4.8100000000000005</v>
      </c>
      <c r="J284" s="308" t="s">
        <v>364</v>
      </c>
      <c r="K284" s="2">
        <f t="shared" si="29"/>
        <v>0</v>
      </c>
      <c r="AE284" s="84"/>
    </row>
    <row r="285" spans="1:31">
      <c r="A285" s="1" t="s">
        <v>390</v>
      </c>
      <c r="B285" s="1"/>
      <c r="C285" s="304">
        <v>0</v>
      </c>
      <c r="D285" s="304">
        <v>0</v>
      </c>
      <c r="E285" s="321">
        <f>E276</f>
        <v>45</v>
      </c>
      <c r="F285" s="308" t="s">
        <v>364</v>
      </c>
      <c r="G285" s="2">
        <f t="shared" si="28"/>
        <v>0</v>
      </c>
      <c r="H285" s="2">
        <f t="shared" si="28"/>
        <v>0</v>
      </c>
      <c r="I285" s="321">
        <f>I276</f>
        <v>45</v>
      </c>
      <c r="J285" s="308" t="s">
        <v>364</v>
      </c>
      <c r="K285" s="2">
        <f t="shared" si="29"/>
        <v>0</v>
      </c>
      <c r="AE285" s="84"/>
    </row>
    <row r="286" spans="1:31">
      <c r="A286" s="1" t="s">
        <v>397</v>
      </c>
      <c r="B286" s="1"/>
      <c r="C286" s="304">
        <v>0</v>
      </c>
      <c r="D286" s="304">
        <v>0</v>
      </c>
      <c r="E286" s="322">
        <v>60</v>
      </c>
      <c r="F286" s="306"/>
      <c r="G286" s="2">
        <f t="shared" si="28"/>
        <v>0</v>
      </c>
      <c r="H286" s="2">
        <f t="shared" si="28"/>
        <v>0</v>
      </c>
      <c r="I286" s="322">
        <f>$I$172</f>
        <v>60</v>
      </c>
      <c r="J286" s="308"/>
      <c r="K286" s="2">
        <f t="shared" si="29"/>
        <v>0</v>
      </c>
      <c r="AE286" s="84"/>
    </row>
    <row r="287" spans="1:31">
      <c r="A287" s="1" t="s">
        <v>398</v>
      </c>
      <c r="B287" s="1"/>
      <c r="C287" s="304">
        <v>0</v>
      </c>
      <c r="D287" s="304">
        <v>0</v>
      </c>
      <c r="E287" s="324">
        <v>-30</v>
      </c>
      <c r="F287" s="306" t="s">
        <v>364</v>
      </c>
      <c r="G287" s="2">
        <f t="shared" si="28"/>
        <v>0</v>
      </c>
      <c r="H287" s="2">
        <f t="shared" si="28"/>
        <v>0</v>
      </c>
      <c r="I287" s="324">
        <f>$I$173</f>
        <v>-30</v>
      </c>
      <c r="J287" s="308" t="s">
        <v>364</v>
      </c>
      <c r="K287" s="2">
        <f t="shared" si="29"/>
        <v>0</v>
      </c>
      <c r="AE287" s="84"/>
    </row>
    <row r="288" spans="1:31">
      <c r="A288" s="1" t="s">
        <v>371</v>
      </c>
      <c r="B288" s="1"/>
      <c r="C288" s="304">
        <f>C317+C346</f>
        <v>1479724</v>
      </c>
      <c r="D288" s="304">
        <f>D317+D346</f>
        <v>1512494.9193898283</v>
      </c>
      <c r="E288" s="315"/>
      <c r="F288" s="2"/>
      <c r="G288" s="2">
        <f t="shared" si="28"/>
        <v>145918</v>
      </c>
      <c r="H288" s="2">
        <f t="shared" si="28"/>
        <v>148139</v>
      </c>
      <c r="I288" s="315"/>
      <c r="J288" s="308"/>
      <c r="K288" s="2">
        <f t="shared" si="29"/>
        <v>158273</v>
      </c>
      <c r="AE288" s="84"/>
    </row>
    <row r="289" spans="1:31">
      <c r="A289" s="1" t="s">
        <v>353</v>
      </c>
      <c r="B289" s="1"/>
      <c r="C289" s="325">
        <f>C318+C347</f>
        <v>5637.1439953097415</v>
      </c>
      <c r="D289" s="325">
        <f>D318+D347</f>
        <v>0</v>
      </c>
      <c r="E289" s="294"/>
      <c r="F289" s="294"/>
      <c r="G289" s="326">
        <f t="shared" si="28"/>
        <v>415.97676418055232</v>
      </c>
      <c r="H289" s="326">
        <f t="shared" si="28"/>
        <v>0</v>
      </c>
      <c r="I289" s="294"/>
      <c r="J289" s="294"/>
      <c r="K289" s="326">
        <f t="shared" si="29"/>
        <v>0</v>
      </c>
      <c r="M289" s="274"/>
      <c r="N289" s="274"/>
      <c r="O289" s="275"/>
      <c r="AE289" s="84"/>
    </row>
    <row r="290" spans="1:31" ht="16.5" thickBot="1">
      <c r="A290" s="1" t="s">
        <v>372</v>
      </c>
      <c r="B290" s="1"/>
      <c r="C290" s="296">
        <f>SUM(C288:C289)</f>
        <v>1485361.1439953097</v>
      </c>
      <c r="D290" s="296">
        <f>SUM(D288:D289)</f>
        <v>1512494.9193898283</v>
      </c>
      <c r="E290" s="327"/>
      <c r="F290" s="328"/>
      <c r="G290" s="329">
        <f>G288+G289</f>
        <v>146333.97676418055</v>
      </c>
      <c r="H290" s="329">
        <f>H288+H289</f>
        <v>148139</v>
      </c>
      <c r="I290" s="327"/>
      <c r="J290" s="330"/>
      <c r="K290" s="329">
        <f>K288+K289</f>
        <v>158273</v>
      </c>
      <c r="M290" s="276"/>
      <c r="N290" s="276"/>
      <c r="O290" s="277"/>
      <c r="AE290" s="84"/>
    </row>
    <row r="291" spans="1:31" ht="16.5" thickTop="1">
      <c r="A291" s="1"/>
      <c r="B291" s="1"/>
      <c r="C291" s="21"/>
      <c r="D291" s="21"/>
      <c r="E291" s="322"/>
      <c r="F291" s="2"/>
      <c r="G291" s="2"/>
      <c r="H291" s="2"/>
      <c r="I291" s="322"/>
      <c r="J291" s="1"/>
      <c r="K291" s="2" t="s">
        <v>31</v>
      </c>
      <c r="AE291" s="84"/>
    </row>
    <row r="292" spans="1:31">
      <c r="A292" s="278" t="s">
        <v>405</v>
      </c>
      <c r="B292" s="1"/>
      <c r="C292" s="1"/>
      <c r="D292" s="1"/>
      <c r="E292" s="2"/>
      <c r="F292" s="2"/>
      <c r="G292" s="1" t="s">
        <v>31</v>
      </c>
      <c r="H292" s="1"/>
      <c r="I292" s="2"/>
      <c r="J292" s="1"/>
      <c r="K292" s="1"/>
      <c r="AE292" s="84"/>
    </row>
    <row r="293" spans="1:31">
      <c r="A293" s="1" t="s">
        <v>401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84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84"/>
    </row>
    <row r="295" spans="1:31">
      <c r="A295" s="1" t="s">
        <v>383</v>
      </c>
      <c r="B295" s="1"/>
      <c r="C295" s="304"/>
      <c r="D295" s="304"/>
      <c r="E295" s="2"/>
      <c r="F295" s="2"/>
      <c r="G295" s="1"/>
      <c r="H295" s="1"/>
      <c r="I295" s="2"/>
      <c r="J295" s="1"/>
      <c r="K295" s="1"/>
      <c r="AE295" s="84"/>
    </row>
    <row r="296" spans="1:31">
      <c r="A296" s="1" t="s">
        <v>406</v>
      </c>
      <c r="B296" s="1"/>
      <c r="C296" s="304">
        <f>3955+554</f>
        <v>4509</v>
      </c>
      <c r="D296" s="304">
        <f>ROUND((D300/C300)*C296,0)</f>
        <v>4475</v>
      </c>
      <c r="E296" s="283">
        <v>7</v>
      </c>
      <c r="F296" s="306"/>
      <c r="G296" s="2">
        <f>ROUND(E296*$C296,0)</f>
        <v>31563</v>
      </c>
      <c r="H296" s="2">
        <f>ROUND(E296*$D296,0)</f>
        <v>31325</v>
      </c>
      <c r="I296" s="283">
        <f>$I$153</f>
        <v>7.53</v>
      </c>
      <c r="J296" s="308"/>
      <c r="K296" s="2">
        <f>ROUND(I296*$D296,0)</f>
        <v>33697</v>
      </c>
      <c r="AE296" s="84"/>
    </row>
    <row r="297" spans="1:31">
      <c r="A297" s="1" t="s">
        <v>381</v>
      </c>
      <c r="B297" s="1"/>
      <c r="C297" s="304">
        <v>0</v>
      </c>
      <c r="D297" s="304">
        <v>0</v>
      </c>
      <c r="E297" s="283">
        <v>10.4</v>
      </c>
      <c r="F297" s="309"/>
      <c r="G297" s="2">
        <f>ROUND(E297*$C297,0)</f>
        <v>0</v>
      </c>
      <c r="H297" s="2">
        <f>ROUND(E297*$D297,0)</f>
        <v>0</v>
      </c>
      <c r="I297" s="283">
        <f>$I$154</f>
        <v>11.18</v>
      </c>
      <c r="J297" s="310"/>
      <c r="K297" s="2">
        <f>ROUND(I297*$D297,0)</f>
        <v>0</v>
      </c>
      <c r="AE297" s="84"/>
    </row>
    <row r="298" spans="1:31">
      <c r="A298" s="1" t="s">
        <v>382</v>
      </c>
      <c r="B298" s="1"/>
      <c r="C298" s="304">
        <v>0</v>
      </c>
      <c r="D298" s="304">
        <v>0</v>
      </c>
      <c r="E298" s="283">
        <v>0.69</v>
      </c>
      <c r="F298" s="309"/>
      <c r="G298" s="2">
        <f>ROUND(E298*$C298,0)</f>
        <v>0</v>
      </c>
      <c r="H298" s="2">
        <f>ROUND(E298*$D298,0)</f>
        <v>0</v>
      </c>
      <c r="I298" s="283">
        <f>$I$155</f>
        <v>0.78</v>
      </c>
      <c r="J298" s="310"/>
      <c r="K298" s="2">
        <f>ROUND(I298*$D298,0)</f>
        <v>0</v>
      </c>
      <c r="AE298" s="84"/>
    </row>
    <row r="299" spans="1:31">
      <c r="A299" s="1" t="s">
        <v>384</v>
      </c>
      <c r="B299" s="1"/>
      <c r="C299" s="304">
        <f>SUM(C296:C297)</f>
        <v>4509</v>
      </c>
      <c r="D299" s="304">
        <f>ROUND((D300/C300)*C299,0)</f>
        <v>4475</v>
      </c>
      <c r="E299" s="283"/>
      <c r="F299" s="306"/>
      <c r="G299" s="2"/>
      <c r="H299" s="2"/>
      <c r="I299" s="283"/>
      <c r="J299" s="308"/>
      <c r="K299" s="2"/>
      <c r="AE299" s="84"/>
    </row>
    <row r="300" spans="1:31">
      <c r="A300" s="1" t="s">
        <v>352</v>
      </c>
      <c r="B300" s="1"/>
      <c r="C300" s="304">
        <f>118+1463</f>
        <v>1581</v>
      </c>
      <c r="D300" s="304">
        <v>1569</v>
      </c>
      <c r="E300" s="283"/>
      <c r="F300" s="306"/>
      <c r="G300" s="2"/>
      <c r="H300" s="2"/>
      <c r="I300" s="283"/>
      <c r="J300" s="308"/>
      <c r="K300" s="2"/>
      <c r="AE300" s="84"/>
    </row>
    <row r="301" spans="1:31">
      <c r="A301" s="1" t="s">
        <v>385</v>
      </c>
      <c r="B301" s="1"/>
      <c r="C301" s="304">
        <v>0</v>
      </c>
      <c r="D301" s="304">
        <v>0</v>
      </c>
      <c r="E301" s="311">
        <v>2.81</v>
      </c>
      <c r="F301" s="308"/>
      <c r="G301" s="2">
        <f>ROUND(E301*$C301,0)</f>
        <v>0</v>
      </c>
      <c r="H301" s="2">
        <f>ROUND(E301*$D301,0)</f>
        <v>0</v>
      </c>
      <c r="I301" s="311">
        <f>$I$158</f>
        <v>2.88</v>
      </c>
      <c r="J301" s="308"/>
      <c r="K301" s="2">
        <f>ROUND(I301*$D301,0)</f>
        <v>0</v>
      </c>
      <c r="AE301" s="84"/>
    </row>
    <row r="302" spans="1:31">
      <c r="A302" s="1" t="s">
        <v>387</v>
      </c>
      <c r="B302" s="1"/>
      <c r="C302" s="304">
        <f>36756+1134799+210050</f>
        <v>1381605</v>
      </c>
      <c r="D302" s="304">
        <f>ROUND(($D$317/'Blocking - detail'!$C$317)*C302,0)</f>
        <v>1407918</v>
      </c>
      <c r="E302" s="284">
        <v>7.5869999999999997</v>
      </c>
      <c r="F302" s="308" t="s">
        <v>364</v>
      </c>
      <c r="G302" s="2">
        <f>ROUND(E302*$C302/100,0)</f>
        <v>104822</v>
      </c>
      <c r="H302" s="2">
        <f>ROUND(E302*$D302/100,0)</f>
        <v>106819</v>
      </c>
      <c r="I302" s="284">
        <f>$I$159</f>
        <v>8.0890000000000004</v>
      </c>
      <c r="J302" s="308" t="s">
        <v>364</v>
      </c>
      <c r="K302" s="2">
        <f>ROUND(I302*$D302/100,0)</f>
        <v>113886</v>
      </c>
      <c r="AE302" s="84"/>
    </row>
    <row r="303" spans="1:31">
      <c r="A303" s="1" t="s">
        <v>388</v>
      </c>
      <c r="B303" s="21"/>
      <c r="C303" s="304">
        <f>64806</f>
        <v>64806</v>
      </c>
      <c r="D303" s="304">
        <f>ROUND(($D$317/'Blocking - detail'!$C$317)*C303,0)</f>
        <v>66040</v>
      </c>
      <c r="E303" s="284">
        <v>5.2370000000000001</v>
      </c>
      <c r="F303" s="308" t="s">
        <v>364</v>
      </c>
      <c r="G303" s="2">
        <f>ROUND(E303*$C303/100,0)</f>
        <v>3394</v>
      </c>
      <c r="H303" s="2">
        <f>ROUND(E303*$D303/100,0)</f>
        <v>3459</v>
      </c>
      <c r="I303" s="284">
        <f>$I$160</f>
        <v>5.5839999999999996</v>
      </c>
      <c r="J303" s="308" t="s">
        <v>364</v>
      </c>
      <c r="K303" s="2">
        <f>ROUND(I303*$D303/100,0)</f>
        <v>3688</v>
      </c>
      <c r="AE303" s="84"/>
    </row>
    <row r="304" spans="1:31">
      <c r="A304" s="1" t="s">
        <v>389</v>
      </c>
      <c r="B304" s="1"/>
      <c r="C304" s="304">
        <f>36756+1199605+210050-C302-C303</f>
        <v>0</v>
      </c>
      <c r="D304" s="304">
        <f>ROUND(($D$317/'Blocking - detail'!$C$317)*C304,0)</f>
        <v>0</v>
      </c>
      <c r="E304" s="284">
        <v>4.5129999999999999</v>
      </c>
      <c r="F304" s="308" t="s">
        <v>364</v>
      </c>
      <c r="G304" s="2">
        <f>ROUND(E304*$C304/100,0)</f>
        <v>0</v>
      </c>
      <c r="H304" s="2">
        <f>ROUND(E304*$D304/100,0)</f>
        <v>0</v>
      </c>
      <c r="I304" s="284">
        <f>$I$161</f>
        <v>4.8100000000000005</v>
      </c>
      <c r="J304" s="308" t="s">
        <v>364</v>
      </c>
      <c r="K304" s="2">
        <f>ROUND(I304*$D304/100,0)</f>
        <v>0</v>
      </c>
      <c r="AE304" s="84"/>
    </row>
    <row r="305" spans="1:31">
      <c r="A305" s="1" t="s">
        <v>390</v>
      </c>
      <c r="B305" s="1"/>
      <c r="C305" s="304">
        <v>0</v>
      </c>
      <c r="D305" s="304">
        <f>ROUND(($D$317/'Blocking - detail'!$C$317)*C305,0)</f>
        <v>0</v>
      </c>
      <c r="E305" s="315">
        <v>45</v>
      </c>
      <c r="F305" s="306" t="s">
        <v>364</v>
      </c>
      <c r="G305" s="2">
        <f>ROUND(E305*$C305/100,0)</f>
        <v>0</v>
      </c>
      <c r="H305" s="2">
        <f>ROUND(E305*$D305/100,0)</f>
        <v>0</v>
      </c>
      <c r="I305" s="315">
        <f>$I$162</f>
        <v>45</v>
      </c>
      <c r="J305" s="308" t="s">
        <v>364</v>
      </c>
      <c r="K305" s="2">
        <f>ROUND(I305*$D305/100,0)</f>
        <v>0</v>
      </c>
      <c r="AE305" s="84"/>
    </row>
    <row r="306" spans="1:31">
      <c r="A306" s="316" t="s">
        <v>391</v>
      </c>
      <c r="B306" s="1"/>
      <c r="C306" s="304"/>
      <c r="D306" s="304"/>
      <c r="E306" s="317">
        <v>-0.01</v>
      </c>
      <c r="F306" s="306"/>
      <c r="G306" s="2"/>
      <c r="H306" s="2"/>
      <c r="I306" s="317">
        <f>$I$163</f>
        <v>-0.01</v>
      </c>
      <c r="J306" s="308"/>
      <c r="K306" s="2"/>
      <c r="AE306" s="84"/>
    </row>
    <row r="307" spans="1:31">
      <c r="A307" s="1" t="s">
        <v>380</v>
      </c>
      <c r="B307" s="1"/>
      <c r="C307" s="304">
        <v>0</v>
      </c>
      <c r="D307" s="304">
        <v>0</v>
      </c>
      <c r="E307" s="319">
        <f>E296</f>
        <v>7</v>
      </c>
      <c r="F307" s="306"/>
      <c r="G307" s="2">
        <f>-ROUND(E307*$C307/100,0)</f>
        <v>0</v>
      </c>
      <c r="H307" s="2">
        <f t="shared" ref="H307:H316" si="30">-ROUND(E307*$D307/100,0)</f>
        <v>0</v>
      </c>
      <c r="I307" s="319">
        <f>I297</f>
        <v>11.18</v>
      </c>
      <c r="J307" s="306"/>
      <c r="K307" s="2">
        <f>-ROUND(I307*$D307/100,0)</f>
        <v>0</v>
      </c>
      <c r="AE307" s="84"/>
    </row>
    <row r="308" spans="1:31">
      <c r="A308" s="1" t="s">
        <v>381</v>
      </c>
      <c r="B308" s="1"/>
      <c r="C308" s="304">
        <v>0</v>
      </c>
      <c r="D308" s="304">
        <v>0</v>
      </c>
      <c r="E308" s="319">
        <f>E297</f>
        <v>10.4</v>
      </c>
      <c r="F308" s="306"/>
      <c r="G308" s="2">
        <f>-ROUND(E308*$C308/100,0)</f>
        <v>0</v>
      </c>
      <c r="H308" s="2">
        <f t="shared" si="30"/>
        <v>0</v>
      </c>
      <c r="I308" s="319">
        <f>I298</f>
        <v>0.78</v>
      </c>
      <c r="J308" s="306"/>
      <c r="K308" s="2">
        <f>-ROUND(I308*$D308/100,0)</f>
        <v>0</v>
      </c>
      <c r="AE308" s="84"/>
    </row>
    <row r="309" spans="1:31">
      <c r="A309" s="1" t="s">
        <v>392</v>
      </c>
      <c r="B309" s="1"/>
      <c r="C309" s="304">
        <v>0</v>
      </c>
      <c r="D309" s="304">
        <f>ROUND(($D$317/'Blocking - detail'!$C$317)*C309,0)</f>
        <v>0</v>
      </c>
      <c r="E309" s="319">
        <f>E298</f>
        <v>0.69</v>
      </c>
      <c r="F309" s="306"/>
      <c r="G309" s="2">
        <f>-ROUND(E309*$C309/100,0)</f>
        <v>0</v>
      </c>
      <c r="H309" s="2">
        <f t="shared" si="30"/>
        <v>0</v>
      </c>
      <c r="I309" s="319">
        <f>I299</f>
        <v>0</v>
      </c>
      <c r="J309" s="306"/>
      <c r="K309" s="2">
        <f>-ROUND(I309*$D309/100,0)</f>
        <v>0</v>
      </c>
      <c r="AE309" s="84"/>
    </row>
    <row r="310" spans="1:31">
      <c r="A310" s="1" t="s">
        <v>393</v>
      </c>
      <c r="B310" s="1"/>
      <c r="C310" s="304">
        <v>0</v>
      </c>
      <c r="D310" s="304">
        <f>ROUND(($D$317/'Blocking - detail'!$C$317)*C310,0)</f>
        <v>0</v>
      </c>
      <c r="E310" s="319">
        <f>E301</f>
        <v>2.81</v>
      </c>
      <c r="F310" s="308"/>
      <c r="G310" s="2">
        <f>-ROUND(E310*$C310/100,0)</f>
        <v>0</v>
      </c>
      <c r="H310" s="2">
        <f t="shared" si="30"/>
        <v>0</v>
      </c>
      <c r="I310" s="319">
        <f>I301</f>
        <v>2.88</v>
      </c>
      <c r="J310" s="308"/>
      <c r="K310" s="2">
        <f>-ROUND(I310*$D310/100,0)</f>
        <v>0</v>
      </c>
      <c r="AE310" s="84"/>
    </row>
    <row r="311" spans="1:31">
      <c r="A311" s="1" t="s">
        <v>395</v>
      </c>
      <c r="B311" s="1"/>
      <c r="C311" s="304">
        <v>0</v>
      </c>
      <c r="D311" s="304">
        <f>ROUND(($D$317/'Blocking - detail'!$C$317)*C311,0)</f>
        <v>0</v>
      </c>
      <c r="E311" s="320">
        <f>E302</f>
        <v>7.5869999999999997</v>
      </c>
      <c r="F311" s="308" t="s">
        <v>364</v>
      </c>
      <c r="G311" s="2">
        <f>ROUND(E311*$C311/100*E306,0)</f>
        <v>0</v>
      </c>
      <c r="H311" s="2">
        <f t="shared" si="30"/>
        <v>0</v>
      </c>
      <c r="I311" s="320">
        <f>I302</f>
        <v>8.0890000000000004</v>
      </c>
      <c r="J311" s="308" t="s">
        <v>364</v>
      </c>
      <c r="K311" s="2">
        <f>ROUND(I311*$D311/100*I306,0)</f>
        <v>0</v>
      </c>
      <c r="AE311" s="84"/>
    </row>
    <row r="312" spans="1:31">
      <c r="A312" s="1" t="s">
        <v>388</v>
      </c>
      <c r="B312" s="1"/>
      <c r="C312" s="304">
        <v>0</v>
      </c>
      <c r="D312" s="304">
        <f>ROUND(($D$317/'Blocking - detail'!$C$317)*C312,0)</f>
        <v>0</v>
      </c>
      <c r="E312" s="320">
        <f>E303</f>
        <v>5.2370000000000001</v>
      </c>
      <c r="F312" s="308" t="s">
        <v>364</v>
      </c>
      <c r="G312" s="2">
        <f>ROUND(E312*$C312/100*E306,0)</f>
        <v>0</v>
      </c>
      <c r="H312" s="2">
        <f t="shared" si="30"/>
        <v>0</v>
      </c>
      <c r="I312" s="320">
        <f>I303</f>
        <v>5.5839999999999996</v>
      </c>
      <c r="J312" s="308" t="s">
        <v>364</v>
      </c>
      <c r="K312" s="2">
        <f>ROUND(I312*$D312/100*I306,0)</f>
        <v>0</v>
      </c>
      <c r="AE312" s="84"/>
    </row>
    <row r="313" spans="1:31">
      <c r="A313" s="1" t="s">
        <v>389</v>
      </c>
      <c r="B313" s="1"/>
      <c r="C313" s="304">
        <v>0</v>
      </c>
      <c r="D313" s="304">
        <f>ROUND(($D$317/'Blocking - detail'!$C$317)*C313,0)</f>
        <v>0</v>
      </c>
      <c r="E313" s="320">
        <f>E304</f>
        <v>4.5129999999999999</v>
      </c>
      <c r="F313" s="308" t="s">
        <v>364</v>
      </c>
      <c r="G313" s="2">
        <f>ROUND(E313*$C313/100*E306,0)</f>
        <v>0</v>
      </c>
      <c r="H313" s="2">
        <f t="shared" si="30"/>
        <v>0</v>
      </c>
      <c r="I313" s="320">
        <f>I304</f>
        <v>4.8100000000000005</v>
      </c>
      <c r="J313" s="308" t="s">
        <v>364</v>
      </c>
      <c r="K313" s="2">
        <f>ROUND(I313*$D313/100*I306,0)</f>
        <v>0</v>
      </c>
      <c r="AE313" s="84"/>
    </row>
    <row r="314" spans="1:31">
      <c r="A314" s="1" t="s">
        <v>390</v>
      </c>
      <c r="B314" s="1"/>
      <c r="C314" s="304">
        <v>0</v>
      </c>
      <c r="D314" s="304">
        <f>ROUND(($D$317/'Blocking - detail'!$C$317)*C314,0)</f>
        <v>0</v>
      </c>
      <c r="E314" s="321">
        <f>E305</f>
        <v>45</v>
      </c>
      <c r="F314" s="308" t="s">
        <v>364</v>
      </c>
      <c r="G314" s="2">
        <f>ROUND(E314*$C314/100*E306,0)</f>
        <v>0</v>
      </c>
      <c r="H314" s="2">
        <f t="shared" si="30"/>
        <v>0</v>
      </c>
      <c r="I314" s="321">
        <f>I305</f>
        <v>45</v>
      </c>
      <c r="J314" s="308" t="s">
        <v>364</v>
      </c>
      <c r="K314" s="2">
        <f>ROUND(I314*$D314/100*I306,0)</f>
        <v>0</v>
      </c>
      <c r="AE314" s="84"/>
    </row>
    <row r="315" spans="1:31">
      <c r="A315" s="1" t="s">
        <v>397</v>
      </c>
      <c r="B315" s="1"/>
      <c r="C315" s="304">
        <v>0</v>
      </c>
      <c r="D315" s="304">
        <f>ROUND(($D$317/'Blocking - detail'!$C$317)*C315,0)</f>
        <v>0</v>
      </c>
      <c r="E315" s="322">
        <v>60</v>
      </c>
      <c r="F315" s="306"/>
      <c r="G315" s="2">
        <f>ROUND(E315*$C315,0)</f>
        <v>0</v>
      </c>
      <c r="H315" s="2">
        <f t="shared" si="30"/>
        <v>0</v>
      </c>
      <c r="I315" s="322">
        <f>$I$172</f>
        <v>60</v>
      </c>
      <c r="J315" s="308"/>
      <c r="K315" s="2">
        <f>ROUND(I315*$D315,0)</f>
        <v>0</v>
      </c>
      <c r="AE315" s="84"/>
    </row>
    <row r="316" spans="1:31">
      <c r="A316" s="1" t="s">
        <v>398</v>
      </c>
      <c r="B316" s="1"/>
      <c r="C316" s="304">
        <v>0</v>
      </c>
      <c r="D316" s="304">
        <f>ROUND(($D$317/'Blocking - detail'!$C$317)*C316,0)</f>
        <v>0</v>
      </c>
      <c r="E316" s="324">
        <v>-30</v>
      </c>
      <c r="F316" s="306" t="s">
        <v>364</v>
      </c>
      <c r="G316" s="2">
        <f>ROUND(E316*$C316/100,0)</f>
        <v>0</v>
      </c>
      <c r="H316" s="2">
        <f t="shared" si="30"/>
        <v>0</v>
      </c>
      <c r="I316" s="324">
        <f>$I$173</f>
        <v>-30</v>
      </c>
      <c r="J316" s="308" t="s">
        <v>364</v>
      </c>
      <c r="K316" s="2">
        <f>ROUND(I316*$D316/100,0)</f>
        <v>0</v>
      </c>
      <c r="AE316" s="84"/>
    </row>
    <row r="317" spans="1:31">
      <c r="A317" s="1" t="s">
        <v>371</v>
      </c>
      <c r="B317" s="1"/>
      <c r="C317" s="304">
        <f>SUM(C302:C304)</f>
        <v>1446411</v>
      </c>
      <c r="D317" s="304">
        <v>1473957.9193898283</v>
      </c>
      <c r="E317" s="315"/>
      <c r="F317" s="2"/>
      <c r="G317" s="2">
        <f>SUM(G296:G316)</f>
        <v>139779</v>
      </c>
      <c r="H317" s="2">
        <f>SUM(H296:H316)</f>
        <v>141603</v>
      </c>
      <c r="I317" s="315"/>
      <c r="J317" s="308"/>
      <c r="K317" s="2">
        <f>SUM(K296:K316)</f>
        <v>151271</v>
      </c>
      <c r="AE317" s="84"/>
    </row>
    <row r="318" spans="1:31">
      <c r="A318" s="1" t="s">
        <v>353</v>
      </c>
      <c r="B318" s="1"/>
      <c r="C318" s="334">
        <v>6388.0237176284736</v>
      </c>
      <c r="D318" s="325">
        <v>0</v>
      </c>
      <c r="E318" s="294"/>
      <c r="F318" s="294"/>
      <c r="G318" s="326">
        <v>524.67537963993209</v>
      </c>
      <c r="H318" s="326">
        <v>0</v>
      </c>
      <c r="I318" s="294"/>
      <c r="J318" s="294"/>
      <c r="K318" s="326">
        <v>0</v>
      </c>
      <c r="M318" s="274"/>
      <c r="N318" s="274"/>
      <c r="O318" s="275"/>
      <c r="AE318" s="84"/>
    </row>
    <row r="319" spans="1:31" ht="16.5" thickBot="1">
      <c r="A319" s="1" t="s">
        <v>372</v>
      </c>
      <c r="B319" s="1"/>
      <c r="C319" s="296">
        <f>SUM(C317:C318)</f>
        <v>1452799.0237176286</v>
      </c>
      <c r="D319" s="296">
        <f>SUM(D317:D318)</f>
        <v>1473957.9193898283</v>
      </c>
      <c r="E319" s="327"/>
      <c r="F319" s="328"/>
      <c r="G319" s="329">
        <f>G317+G318</f>
        <v>140303.67537963993</v>
      </c>
      <c r="H319" s="329">
        <f>H317+H318</f>
        <v>141603</v>
      </c>
      <c r="I319" s="327"/>
      <c r="J319" s="330"/>
      <c r="K319" s="329">
        <f>K317+K318</f>
        <v>151271</v>
      </c>
      <c r="M319" s="276"/>
      <c r="N319" s="276"/>
      <c r="O319" s="277"/>
      <c r="AE319" s="84"/>
    </row>
    <row r="320" spans="1:31" ht="16.5" thickTop="1">
      <c r="A320" s="1"/>
      <c r="B320" s="1"/>
      <c r="C320" s="21"/>
      <c r="D320" s="21"/>
      <c r="E320" s="322"/>
      <c r="F320" s="2"/>
      <c r="G320" s="2"/>
      <c r="H320" s="2"/>
      <c r="I320" s="322"/>
      <c r="J320" s="1"/>
      <c r="K320" s="2" t="s">
        <v>31</v>
      </c>
      <c r="AE320" s="84"/>
    </row>
    <row r="321" spans="1:31">
      <c r="A321" s="278" t="s">
        <v>405</v>
      </c>
      <c r="B321" s="1"/>
      <c r="C321" s="1"/>
      <c r="D321" s="1"/>
      <c r="E321" s="2"/>
      <c r="F321" s="2"/>
      <c r="G321" s="1" t="s">
        <v>31</v>
      </c>
      <c r="H321" s="1"/>
      <c r="I321" s="2"/>
      <c r="J321" s="1"/>
      <c r="K321" s="1"/>
      <c r="AE321" s="84"/>
    </row>
    <row r="322" spans="1:31">
      <c r="A322" s="1" t="s">
        <v>404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84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84"/>
    </row>
    <row r="324" spans="1:31">
      <c r="A324" s="1" t="s">
        <v>383</v>
      </c>
      <c r="B324" s="1"/>
      <c r="C324" s="304"/>
      <c r="D324" s="304"/>
      <c r="E324" s="2"/>
      <c r="F324" s="2"/>
      <c r="G324" s="1"/>
      <c r="H324" s="1"/>
      <c r="I324" s="2"/>
      <c r="J324" s="1"/>
      <c r="K324" s="1"/>
      <c r="AE324" s="84"/>
    </row>
    <row r="325" spans="1:31">
      <c r="A325" s="1" t="s">
        <v>406</v>
      </c>
      <c r="B325" s="1"/>
      <c r="C325" s="304">
        <v>516</v>
      </c>
      <c r="D325" s="304">
        <f>ROUND((D329/C329)*C325,0)</f>
        <v>516</v>
      </c>
      <c r="E325" s="283">
        <v>7</v>
      </c>
      <c r="F325" s="306"/>
      <c r="G325" s="2">
        <f>ROUND(E325*$C325,0)</f>
        <v>3612</v>
      </c>
      <c r="H325" s="2">
        <f>ROUND(E325*$D325,0)</f>
        <v>3612</v>
      </c>
      <c r="I325" s="283">
        <f>$I$153</f>
        <v>7.53</v>
      </c>
      <c r="J325" s="308"/>
      <c r="K325" s="2">
        <f>ROUND(I325*$D325,0)</f>
        <v>3885</v>
      </c>
      <c r="AE325" s="84"/>
    </row>
    <row r="326" spans="1:31">
      <c r="A326" s="1" t="s">
        <v>381</v>
      </c>
      <c r="B326" s="1"/>
      <c r="C326" s="304">
        <v>0</v>
      </c>
      <c r="D326" s="304">
        <v>0</v>
      </c>
      <c r="E326" s="283">
        <v>10.4</v>
      </c>
      <c r="F326" s="309"/>
      <c r="G326" s="2">
        <f>ROUND(E326*$C326,0)</f>
        <v>0</v>
      </c>
      <c r="H326" s="2">
        <f>ROUND(E326*$D326,0)</f>
        <v>0</v>
      </c>
      <c r="I326" s="283">
        <f>$I$154</f>
        <v>11.18</v>
      </c>
      <c r="J326" s="310"/>
      <c r="K326" s="2">
        <f>ROUND(I326*$D326,0)</f>
        <v>0</v>
      </c>
      <c r="AE326" s="84"/>
    </row>
    <row r="327" spans="1:31">
      <c r="A327" s="1" t="s">
        <v>382</v>
      </c>
      <c r="B327" s="1"/>
      <c r="C327" s="304">
        <v>0</v>
      </c>
      <c r="D327" s="304">
        <v>0</v>
      </c>
      <c r="E327" s="283">
        <v>0.69</v>
      </c>
      <c r="F327" s="309"/>
      <c r="G327" s="2">
        <f>ROUND(E327*$C327,0)</f>
        <v>0</v>
      </c>
      <c r="H327" s="2">
        <f>ROUND(E327*$D327,0)</f>
        <v>0</v>
      </c>
      <c r="I327" s="283">
        <f>$I$155</f>
        <v>0.78</v>
      </c>
      <c r="J327" s="310"/>
      <c r="K327" s="2">
        <f>ROUND(I327*$D327,0)</f>
        <v>0</v>
      </c>
      <c r="AE327" s="84"/>
    </row>
    <row r="328" spans="1:31">
      <c r="A328" s="1" t="s">
        <v>384</v>
      </c>
      <c r="B328" s="1"/>
      <c r="C328" s="304">
        <f>SUM(C325:C326)</f>
        <v>516</v>
      </c>
      <c r="D328" s="304">
        <f>ROUND((D329/C329)*C328,0)</f>
        <v>516</v>
      </c>
      <c r="E328" s="283"/>
      <c r="F328" s="306"/>
      <c r="G328" s="2"/>
      <c r="H328" s="2"/>
      <c r="I328" s="283"/>
      <c r="J328" s="308"/>
      <c r="K328" s="2"/>
      <c r="AE328" s="84"/>
    </row>
    <row r="329" spans="1:31">
      <c r="A329" s="1" t="s">
        <v>352</v>
      </c>
      <c r="B329" s="1"/>
      <c r="C329" s="304">
        <v>48</v>
      </c>
      <c r="D329" s="304">
        <v>48</v>
      </c>
      <c r="E329" s="283"/>
      <c r="F329" s="306"/>
      <c r="G329" s="2"/>
      <c r="H329" s="2"/>
      <c r="I329" s="283"/>
      <c r="J329" s="308"/>
      <c r="K329" s="2"/>
      <c r="AE329" s="84"/>
    </row>
    <row r="330" spans="1:31">
      <c r="A330" s="1" t="s">
        <v>385</v>
      </c>
      <c r="B330" s="1"/>
      <c r="C330" s="304">
        <v>0</v>
      </c>
      <c r="D330" s="304">
        <v>0</v>
      </c>
      <c r="E330" s="311">
        <v>2.81</v>
      </c>
      <c r="F330" s="308"/>
      <c r="G330" s="2">
        <f>ROUND(E330*$C330,0)</f>
        <v>0</v>
      </c>
      <c r="H330" s="2">
        <f>ROUND(E330*$D330,0)</f>
        <v>0</v>
      </c>
      <c r="I330" s="311">
        <f>$I$158</f>
        <v>2.88</v>
      </c>
      <c r="J330" s="308"/>
      <c r="K330" s="2">
        <f>ROUND(I330*$D330,0)</f>
        <v>0</v>
      </c>
      <c r="AE330" s="84"/>
    </row>
    <row r="331" spans="1:31">
      <c r="A331" s="1" t="s">
        <v>387</v>
      </c>
      <c r="B331" s="1"/>
      <c r="C331" s="304">
        <f>33313</f>
        <v>33313</v>
      </c>
      <c r="D331" s="304">
        <f>ROUND(($D$346/'Blocking - detail'!$C$346)*C331,0)</f>
        <v>38537</v>
      </c>
      <c r="E331" s="284">
        <v>7.5869999999999997</v>
      </c>
      <c r="F331" s="308" t="s">
        <v>364</v>
      </c>
      <c r="G331" s="2">
        <f>ROUND(E331*$C331/100,0)</f>
        <v>2527</v>
      </c>
      <c r="H331" s="2">
        <f>ROUND(E331*$D331/100,0)</f>
        <v>2924</v>
      </c>
      <c r="I331" s="284">
        <f>$I$159</f>
        <v>8.0890000000000004</v>
      </c>
      <c r="J331" s="308" t="s">
        <v>364</v>
      </c>
      <c r="K331" s="2">
        <f>ROUND(I331*$D331/100,0)</f>
        <v>3117</v>
      </c>
      <c r="AE331" s="84"/>
    </row>
    <row r="332" spans="1:31">
      <c r="A332" s="1" t="s">
        <v>388</v>
      </c>
      <c r="B332" s="1"/>
      <c r="C332" s="304">
        <v>0</v>
      </c>
      <c r="D332" s="304">
        <v>0</v>
      </c>
      <c r="E332" s="284">
        <v>5.2370000000000001</v>
      </c>
      <c r="F332" s="308" t="s">
        <v>364</v>
      </c>
      <c r="G332" s="2">
        <f>ROUND(E332*$C332/100,0)</f>
        <v>0</v>
      </c>
      <c r="H332" s="2">
        <f>ROUND(E332*$D332/100,0)</f>
        <v>0</v>
      </c>
      <c r="I332" s="284">
        <f>$I$160</f>
        <v>5.5839999999999996</v>
      </c>
      <c r="J332" s="308" t="s">
        <v>364</v>
      </c>
      <c r="K332" s="2">
        <f>ROUND(I332*$D332/100,0)</f>
        <v>0</v>
      </c>
      <c r="AE332" s="84"/>
    </row>
    <row r="333" spans="1:31">
      <c r="A333" s="1" t="s">
        <v>389</v>
      </c>
      <c r="B333" s="1"/>
      <c r="C333" s="304">
        <f>33313-C331</f>
        <v>0</v>
      </c>
      <c r="D333" s="304">
        <v>0</v>
      </c>
      <c r="E333" s="284">
        <v>4.5129999999999999</v>
      </c>
      <c r="F333" s="308" t="s">
        <v>364</v>
      </c>
      <c r="G333" s="2">
        <f>ROUND(E333*$C333/100,0)</f>
        <v>0</v>
      </c>
      <c r="H333" s="2">
        <f>ROUND(E333*$D333/100,0)</f>
        <v>0</v>
      </c>
      <c r="I333" s="284">
        <f>$I$161</f>
        <v>4.8100000000000005</v>
      </c>
      <c r="J333" s="308" t="s">
        <v>364</v>
      </c>
      <c r="K333" s="2">
        <f>ROUND(I333*$D333/100,0)</f>
        <v>0</v>
      </c>
      <c r="AE333" s="84"/>
    </row>
    <row r="334" spans="1:31">
      <c r="A334" s="1" t="s">
        <v>390</v>
      </c>
      <c r="B334" s="1"/>
      <c r="C334" s="304">
        <v>0</v>
      </c>
      <c r="D334" s="304">
        <v>0</v>
      </c>
      <c r="E334" s="315">
        <v>45</v>
      </c>
      <c r="F334" s="306" t="s">
        <v>364</v>
      </c>
      <c r="G334" s="2">
        <f>ROUND(E334*$C334/100,0)</f>
        <v>0</v>
      </c>
      <c r="H334" s="2">
        <f>ROUND(E334*$D334/100,0)</f>
        <v>0</v>
      </c>
      <c r="I334" s="315">
        <f>$I$162</f>
        <v>45</v>
      </c>
      <c r="J334" s="308" t="s">
        <v>364</v>
      </c>
      <c r="K334" s="2">
        <f>ROUND(I334*$D334/100,0)</f>
        <v>0</v>
      </c>
      <c r="AE334" s="84"/>
    </row>
    <row r="335" spans="1:31">
      <c r="A335" s="316" t="s">
        <v>391</v>
      </c>
      <c r="B335" s="1"/>
      <c r="C335" s="304"/>
      <c r="D335" s="304"/>
      <c r="E335" s="317">
        <v>-0.01</v>
      </c>
      <c r="F335" s="306"/>
      <c r="G335" s="2"/>
      <c r="H335" s="2"/>
      <c r="I335" s="317">
        <f>$I$163</f>
        <v>-0.01</v>
      </c>
      <c r="J335" s="308"/>
      <c r="K335" s="2"/>
      <c r="AE335" s="84"/>
    </row>
    <row r="336" spans="1:31">
      <c r="A336" s="1" t="s">
        <v>380</v>
      </c>
      <c r="B336" s="1"/>
      <c r="C336" s="304">
        <v>0</v>
      </c>
      <c r="D336" s="304">
        <v>0</v>
      </c>
      <c r="E336" s="319">
        <f>E325</f>
        <v>7</v>
      </c>
      <c r="F336" s="306"/>
      <c r="G336" s="2">
        <f>-ROUND(E336*$C336/100,0)</f>
        <v>0</v>
      </c>
      <c r="H336" s="2">
        <f t="shared" ref="H336:H345" si="31">-ROUND(E336*$D336/100,0)</f>
        <v>0</v>
      </c>
      <c r="I336" s="319">
        <f>I326</f>
        <v>11.18</v>
      </c>
      <c r="J336" s="306"/>
      <c r="K336" s="2">
        <f>-ROUND(I336*$D336/100,0)</f>
        <v>0</v>
      </c>
      <c r="AE336" s="84"/>
    </row>
    <row r="337" spans="1:31">
      <c r="A337" s="1" t="s">
        <v>381</v>
      </c>
      <c r="B337" s="1"/>
      <c r="C337" s="304">
        <v>0</v>
      </c>
      <c r="D337" s="304">
        <v>0</v>
      </c>
      <c r="E337" s="319">
        <f>E326</f>
        <v>10.4</v>
      </c>
      <c r="F337" s="306"/>
      <c r="G337" s="2">
        <f>-ROUND(E337*$C337/100,0)</f>
        <v>0</v>
      </c>
      <c r="H337" s="2">
        <f t="shared" si="31"/>
        <v>0</v>
      </c>
      <c r="I337" s="319">
        <f>I327</f>
        <v>0.78</v>
      </c>
      <c r="J337" s="306"/>
      <c r="K337" s="2">
        <f>-ROUND(I337*$D337/100,0)</f>
        <v>0</v>
      </c>
      <c r="AE337" s="84"/>
    </row>
    <row r="338" spans="1:31">
      <c r="A338" s="1" t="s">
        <v>392</v>
      </c>
      <c r="B338" s="1"/>
      <c r="C338" s="304">
        <v>0</v>
      </c>
      <c r="D338" s="304">
        <v>0</v>
      </c>
      <c r="E338" s="319">
        <f>E327</f>
        <v>0.69</v>
      </c>
      <c r="F338" s="306"/>
      <c r="G338" s="2">
        <f>-ROUND(E338*$C338/100,0)</f>
        <v>0</v>
      </c>
      <c r="H338" s="2">
        <f t="shared" si="31"/>
        <v>0</v>
      </c>
      <c r="I338" s="319">
        <f>I328</f>
        <v>0</v>
      </c>
      <c r="J338" s="306"/>
      <c r="K338" s="2">
        <f>-ROUND(I338*$D338/100,0)</f>
        <v>0</v>
      </c>
      <c r="AE338" s="84"/>
    </row>
    <row r="339" spans="1:31">
      <c r="A339" s="1" t="s">
        <v>393</v>
      </c>
      <c r="B339" s="1"/>
      <c r="C339" s="304">
        <v>0</v>
      </c>
      <c r="D339" s="304">
        <v>0</v>
      </c>
      <c r="E339" s="319">
        <f>E330</f>
        <v>2.81</v>
      </c>
      <c r="F339" s="308"/>
      <c r="G339" s="2">
        <f>-ROUND(E339*$C339/100,0)</f>
        <v>0</v>
      </c>
      <c r="H339" s="2">
        <f t="shared" si="31"/>
        <v>0</v>
      </c>
      <c r="I339" s="319">
        <f>I330</f>
        <v>2.88</v>
      </c>
      <c r="J339" s="308"/>
      <c r="K339" s="2">
        <f>-ROUND(I339*$D339/100,0)</f>
        <v>0</v>
      </c>
      <c r="AE339" s="84"/>
    </row>
    <row r="340" spans="1:31">
      <c r="A340" s="1" t="s">
        <v>395</v>
      </c>
      <c r="B340" s="1"/>
      <c r="C340" s="304">
        <v>0</v>
      </c>
      <c r="D340" s="304">
        <v>0</v>
      </c>
      <c r="E340" s="320">
        <f>E331</f>
        <v>7.5869999999999997</v>
      </c>
      <c r="F340" s="308" t="s">
        <v>364</v>
      </c>
      <c r="G340" s="2">
        <f>ROUND(E340*$C340/100*E335,0)</f>
        <v>0</v>
      </c>
      <c r="H340" s="2">
        <f t="shared" si="31"/>
        <v>0</v>
      </c>
      <c r="I340" s="320">
        <f>I331</f>
        <v>8.0890000000000004</v>
      </c>
      <c r="J340" s="308" t="s">
        <v>364</v>
      </c>
      <c r="K340" s="2">
        <f>ROUND(I340*$D340/100*I335,0)</f>
        <v>0</v>
      </c>
      <c r="AE340" s="84"/>
    </row>
    <row r="341" spans="1:31">
      <c r="A341" s="1" t="s">
        <v>388</v>
      </c>
      <c r="B341" s="1"/>
      <c r="C341" s="304">
        <v>0</v>
      </c>
      <c r="D341" s="304">
        <v>0</v>
      </c>
      <c r="E341" s="320">
        <f>E332</f>
        <v>5.2370000000000001</v>
      </c>
      <c r="F341" s="308" t="s">
        <v>364</v>
      </c>
      <c r="G341" s="2">
        <f>ROUND(E341*$C341/100*E335,0)</f>
        <v>0</v>
      </c>
      <c r="H341" s="2">
        <f t="shared" si="31"/>
        <v>0</v>
      </c>
      <c r="I341" s="320">
        <f>I332</f>
        <v>5.5839999999999996</v>
      </c>
      <c r="J341" s="308" t="s">
        <v>364</v>
      </c>
      <c r="K341" s="2">
        <f>ROUND(I341*$D341/100*I335,0)</f>
        <v>0</v>
      </c>
      <c r="AE341" s="84"/>
    </row>
    <row r="342" spans="1:31">
      <c r="A342" s="1" t="s">
        <v>389</v>
      </c>
      <c r="B342" s="1"/>
      <c r="C342" s="304">
        <v>0</v>
      </c>
      <c r="D342" s="304">
        <v>0</v>
      </c>
      <c r="E342" s="320">
        <f>E333</f>
        <v>4.5129999999999999</v>
      </c>
      <c r="F342" s="308" t="s">
        <v>364</v>
      </c>
      <c r="G342" s="2">
        <f>ROUND(E342*$C342/100*E335,0)</f>
        <v>0</v>
      </c>
      <c r="H342" s="2">
        <f t="shared" si="31"/>
        <v>0</v>
      </c>
      <c r="I342" s="320">
        <f>I333</f>
        <v>4.8100000000000005</v>
      </c>
      <c r="J342" s="308" t="s">
        <v>364</v>
      </c>
      <c r="K342" s="2">
        <f>ROUND(I342*$D342/100*I335,0)</f>
        <v>0</v>
      </c>
      <c r="AE342" s="84"/>
    </row>
    <row r="343" spans="1:31">
      <c r="A343" s="1" t="s">
        <v>390</v>
      </c>
      <c r="B343" s="1"/>
      <c r="C343" s="304">
        <v>0</v>
      </c>
      <c r="D343" s="304">
        <v>0</v>
      </c>
      <c r="E343" s="321">
        <f>E334</f>
        <v>45</v>
      </c>
      <c r="F343" s="308" t="s">
        <v>364</v>
      </c>
      <c r="G343" s="2">
        <f>ROUND(E343*$C343/100*E335,0)</f>
        <v>0</v>
      </c>
      <c r="H343" s="2">
        <f t="shared" si="31"/>
        <v>0</v>
      </c>
      <c r="I343" s="321">
        <f>I334</f>
        <v>45</v>
      </c>
      <c r="J343" s="308" t="s">
        <v>364</v>
      </c>
      <c r="K343" s="2">
        <f>ROUND(I343*$D343/100*I335,0)</f>
        <v>0</v>
      </c>
      <c r="AE343" s="84"/>
    </row>
    <row r="344" spans="1:31">
      <c r="A344" s="1" t="s">
        <v>397</v>
      </c>
      <c r="B344" s="1"/>
      <c r="C344" s="304">
        <v>0</v>
      </c>
      <c r="D344" s="304">
        <v>0</v>
      </c>
      <c r="E344" s="322">
        <v>60</v>
      </c>
      <c r="F344" s="306"/>
      <c r="G344" s="2">
        <f>ROUND(E344*$C344,0)</f>
        <v>0</v>
      </c>
      <c r="H344" s="2">
        <f t="shared" si="31"/>
        <v>0</v>
      </c>
      <c r="I344" s="322">
        <f>$I$172</f>
        <v>60</v>
      </c>
      <c r="J344" s="308"/>
      <c r="K344" s="2">
        <f>ROUND(I344*$D344,0)</f>
        <v>0</v>
      </c>
      <c r="AE344" s="84"/>
    </row>
    <row r="345" spans="1:31">
      <c r="A345" s="1" t="s">
        <v>398</v>
      </c>
      <c r="B345" s="1"/>
      <c r="C345" s="304">
        <v>0</v>
      </c>
      <c r="D345" s="304">
        <v>0</v>
      </c>
      <c r="E345" s="324">
        <v>-30</v>
      </c>
      <c r="F345" s="306" t="s">
        <v>364</v>
      </c>
      <c r="G345" s="2">
        <f>ROUND(E345*$C345/100,0)</f>
        <v>0</v>
      </c>
      <c r="H345" s="2">
        <f t="shared" si="31"/>
        <v>0</v>
      </c>
      <c r="I345" s="324">
        <f>$I$173</f>
        <v>-30</v>
      </c>
      <c r="J345" s="308" t="s">
        <v>364</v>
      </c>
      <c r="K345" s="2">
        <f>ROUND(I345*$D345/100,0)</f>
        <v>0</v>
      </c>
      <c r="AE345" s="84"/>
    </row>
    <row r="346" spans="1:31">
      <c r="A346" s="1" t="s">
        <v>371</v>
      </c>
      <c r="B346" s="1"/>
      <c r="C346" s="304">
        <f>SUM(C331:C333)</f>
        <v>33313</v>
      </c>
      <c r="D346" s="304">
        <v>38537</v>
      </c>
      <c r="E346" s="315"/>
      <c r="F346" s="2"/>
      <c r="G346" s="2">
        <f>SUM(G325:G345)</f>
        <v>6139</v>
      </c>
      <c r="H346" s="2">
        <f>SUM(H325:H345)</f>
        <v>6536</v>
      </c>
      <c r="I346" s="315"/>
      <c r="J346" s="308"/>
      <c r="K346" s="2">
        <f>SUM(K325:K345)</f>
        <v>7002</v>
      </c>
      <c r="AE346" s="84"/>
    </row>
    <row r="347" spans="1:31">
      <c r="A347" s="1" t="s">
        <v>353</v>
      </c>
      <c r="B347" s="1"/>
      <c r="C347" s="334">
        <v>-750.87972231873164</v>
      </c>
      <c r="D347" s="325">
        <v>0</v>
      </c>
      <c r="E347" s="294"/>
      <c r="F347" s="294"/>
      <c r="G347" s="326">
        <v>-108.69861545937974</v>
      </c>
      <c r="H347" s="326">
        <v>0</v>
      </c>
      <c r="I347" s="294"/>
      <c r="J347" s="294"/>
      <c r="K347" s="326">
        <v>0</v>
      </c>
      <c r="M347" s="274"/>
      <c r="N347" s="274"/>
      <c r="O347" s="275"/>
      <c r="AE347" s="84"/>
    </row>
    <row r="348" spans="1:31" ht="16.5" thickBot="1">
      <c r="A348" s="1" t="s">
        <v>372</v>
      </c>
      <c r="B348" s="1"/>
      <c r="C348" s="296">
        <f>SUM(C346:C347)</f>
        <v>32562.120277681268</v>
      </c>
      <c r="D348" s="296">
        <f>SUM(D346:D347)</f>
        <v>38537</v>
      </c>
      <c r="E348" s="327"/>
      <c r="F348" s="328"/>
      <c r="G348" s="329">
        <f>G346+G347</f>
        <v>6030.3013845406203</v>
      </c>
      <c r="H348" s="329">
        <f>H346+H347</f>
        <v>6536</v>
      </c>
      <c r="I348" s="327"/>
      <c r="J348" s="330"/>
      <c r="K348" s="329">
        <f>K346+K347</f>
        <v>7002</v>
      </c>
      <c r="M348" s="276"/>
      <c r="N348" s="276"/>
      <c r="O348" s="277"/>
      <c r="AE348" s="84"/>
    </row>
    <row r="349" spans="1:31" ht="16.5" thickTop="1">
      <c r="A349" s="1"/>
      <c r="B349" s="1"/>
      <c r="C349" s="21"/>
      <c r="D349" s="21"/>
      <c r="E349" s="322"/>
      <c r="F349" s="2"/>
      <c r="G349" s="2"/>
      <c r="H349" s="2"/>
      <c r="I349" s="338" t="s">
        <v>31</v>
      </c>
      <c r="J349" s="1"/>
      <c r="K349" s="2" t="s">
        <v>31</v>
      </c>
      <c r="AE349" s="84"/>
    </row>
    <row r="350" spans="1:31">
      <c r="A350" s="1"/>
      <c r="B350" s="1"/>
      <c r="C350" s="21"/>
      <c r="D350" s="21"/>
      <c r="E350" s="322"/>
      <c r="F350" s="2"/>
      <c r="G350" s="2"/>
      <c r="H350" s="2"/>
      <c r="I350" s="338" t="s">
        <v>31</v>
      </c>
      <c r="J350" s="1"/>
      <c r="K350" s="2" t="s">
        <v>31</v>
      </c>
      <c r="AE350" s="84"/>
    </row>
    <row r="351" spans="1:31">
      <c r="A351" s="278" t="s">
        <v>407</v>
      </c>
      <c r="B351" s="1"/>
      <c r="C351" s="1"/>
      <c r="D351" s="1"/>
      <c r="E351" s="2"/>
      <c r="F351" s="2"/>
      <c r="G351" s="1" t="s">
        <v>31</v>
      </c>
      <c r="H351" s="1"/>
      <c r="I351" s="2"/>
      <c r="J351" s="1"/>
      <c r="K351" s="1"/>
      <c r="AE351" s="84"/>
    </row>
    <row r="352" spans="1:31">
      <c r="A352" s="1" t="s">
        <v>400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408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383</v>
      </c>
      <c r="B354" s="1"/>
      <c r="C354" s="304"/>
      <c r="D354" s="304"/>
      <c r="E354" s="2"/>
      <c r="F354" s="2"/>
      <c r="G354" s="1"/>
      <c r="H354" s="1"/>
      <c r="I354" s="2"/>
      <c r="J354" s="1"/>
      <c r="K354" s="1"/>
    </row>
    <row r="355" spans="1:11">
      <c r="A355" s="1" t="s">
        <v>380</v>
      </c>
      <c r="B355" s="1"/>
      <c r="C355" s="304">
        <f t="shared" ref="C355:D364" si="32">C384+C413</f>
        <v>1</v>
      </c>
      <c r="D355" s="304">
        <f t="shared" si="32"/>
        <v>1</v>
      </c>
      <c r="E355" s="283">
        <v>84</v>
      </c>
      <c r="F355" s="306"/>
      <c r="G355" s="2">
        <f t="shared" ref="G355:H357" si="33">G384+G413</f>
        <v>84</v>
      </c>
      <c r="H355" s="2">
        <f t="shared" si="33"/>
        <v>84</v>
      </c>
      <c r="I355" s="283">
        <f>$I$149</f>
        <v>90.36</v>
      </c>
      <c r="J355" s="308"/>
      <c r="K355" s="2">
        <f>K384+K413</f>
        <v>90</v>
      </c>
    </row>
    <row r="356" spans="1:11">
      <c r="A356" s="1" t="s">
        <v>381</v>
      </c>
      <c r="B356" s="1"/>
      <c r="C356" s="304">
        <f t="shared" si="32"/>
        <v>112</v>
      </c>
      <c r="D356" s="304">
        <f t="shared" si="32"/>
        <v>109</v>
      </c>
      <c r="E356" s="283">
        <v>124.8</v>
      </c>
      <c r="F356" s="309"/>
      <c r="G356" s="2">
        <f t="shared" si="33"/>
        <v>13978</v>
      </c>
      <c r="H356" s="2">
        <f t="shared" si="33"/>
        <v>13603</v>
      </c>
      <c r="I356" s="283">
        <f>$I$150</f>
        <v>134.16</v>
      </c>
      <c r="J356" s="310"/>
      <c r="K356" s="2">
        <f>K385+K414</f>
        <v>14623</v>
      </c>
    </row>
    <row r="357" spans="1:11">
      <c r="A357" s="1" t="s">
        <v>382</v>
      </c>
      <c r="B357" s="1"/>
      <c r="C357" s="304">
        <f t="shared" si="32"/>
        <v>4566</v>
      </c>
      <c r="D357" s="304">
        <f t="shared" si="32"/>
        <v>3312</v>
      </c>
      <c r="E357" s="283">
        <v>8.2799999999999994</v>
      </c>
      <c r="F357" s="309"/>
      <c r="G357" s="2">
        <f t="shared" si="33"/>
        <v>37806</v>
      </c>
      <c r="H357" s="2">
        <f t="shared" si="33"/>
        <v>27423</v>
      </c>
      <c r="I357" s="283">
        <f>$I$151</f>
        <v>9.36</v>
      </c>
      <c r="J357" s="310"/>
      <c r="K357" s="2">
        <f>K386+K415</f>
        <v>31000</v>
      </c>
    </row>
    <row r="358" spans="1:11">
      <c r="A358" s="1" t="s">
        <v>384</v>
      </c>
      <c r="B358" s="1"/>
      <c r="C358" s="304">
        <f t="shared" si="32"/>
        <v>113</v>
      </c>
      <c r="D358" s="304">
        <f t="shared" si="32"/>
        <v>109.75</v>
      </c>
      <c r="E358" s="283"/>
      <c r="F358" s="306"/>
      <c r="G358" s="2"/>
      <c r="H358" s="2"/>
      <c r="I358" s="283"/>
      <c r="J358" s="308"/>
      <c r="K358" s="2"/>
    </row>
    <row r="359" spans="1:11">
      <c r="A359" s="1" t="s">
        <v>409</v>
      </c>
      <c r="B359" s="1"/>
      <c r="C359" s="304">
        <f t="shared" si="32"/>
        <v>511</v>
      </c>
      <c r="D359" s="304">
        <f t="shared" si="32"/>
        <v>497</v>
      </c>
      <c r="E359" s="283"/>
      <c r="F359" s="306"/>
      <c r="G359" s="2"/>
      <c r="H359" s="2"/>
      <c r="I359" s="283"/>
      <c r="J359" s="308"/>
      <c r="K359" s="2"/>
    </row>
    <row r="360" spans="1:11">
      <c r="A360" s="1" t="s">
        <v>385</v>
      </c>
      <c r="B360" s="1"/>
      <c r="C360" s="304">
        <f t="shared" si="32"/>
        <v>12874</v>
      </c>
      <c r="D360" s="304">
        <f t="shared" si="32"/>
        <v>9698</v>
      </c>
      <c r="E360" s="311">
        <v>2.81</v>
      </c>
      <c r="F360" s="308"/>
      <c r="G360" s="2">
        <f t="shared" ref="G360:H364" si="34">G389+G418</f>
        <v>36176</v>
      </c>
      <c r="H360" s="2">
        <f t="shared" si="34"/>
        <v>27251</v>
      </c>
      <c r="I360" s="311">
        <f>$I$158</f>
        <v>2.88</v>
      </c>
      <c r="J360" s="308"/>
      <c r="K360" s="2">
        <f>K389+K418</f>
        <v>27931</v>
      </c>
    </row>
    <row r="361" spans="1:11">
      <c r="A361" s="1" t="s">
        <v>387</v>
      </c>
      <c r="B361" s="1"/>
      <c r="C361" s="304">
        <f t="shared" si="32"/>
        <v>184406</v>
      </c>
      <c r="D361" s="304">
        <f t="shared" si="32"/>
        <v>137037</v>
      </c>
      <c r="E361" s="284">
        <v>7.5869999999999997</v>
      </c>
      <c r="F361" s="308" t="s">
        <v>364</v>
      </c>
      <c r="G361" s="2">
        <f t="shared" si="34"/>
        <v>13991</v>
      </c>
      <c r="H361" s="2">
        <f t="shared" si="34"/>
        <v>10397</v>
      </c>
      <c r="I361" s="284">
        <f>$I$159</f>
        <v>8.0890000000000004</v>
      </c>
      <c r="J361" s="308" t="s">
        <v>364</v>
      </c>
      <c r="K361" s="2">
        <f>K390+K419</f>
        <v>11085</v>
      </c>
    </row>
    <row r="362" spans="1:11">
      <c r="A362" s="1" t="s">
        <v>388</v>
      </c>
      <c r="B362" s="1"/>
      <c r="C362" s="304">
        <f t="shared" si="32"/>
        <v>224259</v>
      </c>
      <c r="D362" s="304">
        <f t="shared" si="32"/>
        <v>163082</v>
      </c>
      <c r="E362" s="284">
        <v>5.2370000000000001</v>
      </c>
      <c r="F362" s="308" t="s">
        <v>364</v>
      </c>
      <c r="G362" s="2">
        <f t="shared" si="34"/>
        <v>11745</v>
      </c>
      <c r="H362" s="2">
        <f t="shared" si="34"/>
        <v>8541</v>
      </c>
      <c r="I362" s="284">
        <f>$I$160</f>
        <v>5.5839999999999996</v>
      </c>
      <c r="J362" s="308" t="s">
        <v>364</v>
      </c>
      <c r="K362" s="2">
        <f>K391+K420</f>
        <v>9107</v>
      </c>
    </row>
    <row r="363" spans="1:11">
      <c r="A363" s="1" t="s">
        <v>389</v>
      </c>
      <c r="B363" s="1"/>
      <c r="C363" s="304">
        <f t="shared" si="32"/>
        <v>0</v>
      </c>
      <c r="D363" s="304">
        <f t="shared" si="32"/>
        <v>0</v>
      </c>
      <c r="E363" s="284">
        <v>4.5129999999999999</v>
      </c>
      <c r="F363" s="308" t="s">
        <v>364</v>
      </c>
      <c r="G363" s="2">
        <f t="shared" si="34"/>
        <v>0</v>
      </c>
      <c r="H363" s="2">
        <f t="shared" si="34"/>
        <v>0</v>
      </c>
      <c r="I363" s="284">
        <f>$I$161</f>
        <v>4.8100000000000005</v>
      </c>
      <c r="J363" s="308" t="s">
        <v>364</v>
      </c>
      <c r="K363" s="2">
        <f>K392+K421</f>
        <v>0</v>
      </c>
    </row>
    <row r="364" spans="1:11">
      <c r="A364" s="1" t="s">
        <v>390</v>
      </c>
      <c r="B364" s="1"/>
      <c r="C364" s="304">
        <f t="shared" si="32"/>
        <v>1798</v>
      </c>
      <c r="D364" s="304">
        <f t="shared" si="32"/>
        <v>1304</v>
      </c>
      <c r="E364" s="315">
        <v>45</v>
      </c>
      <c r="F364" s="306" t="s">
        <v>364</v>
      </c>
      <c r="G364" s="2">
        <f t="shared" si="34"/>
        <v>809</v>
      </c>
      <c r="H364" s="2">
        <f t="shared" si="34"/>
        <v>587</v>
      </c>
      <c r="I364" s="315">
        <f>$I$162</f>
        <v>45</v>
      </c>
      <c r="J364" s="308" t="s">
        <v>364</v>
      </c>
      <c r="K364" s="2">
        <f>K393+K422</f>
        <v>587</v>
      </c>
    </row>
    <row r="365" spans="1:11">
      <c r="A365" s="316" t="s">
        <v>391</v>
      </c>
      <c r="B365" s="1"/>
      <c r="C365" s="304"/>
      <c r="D365" s="304"/>
      <c r="E365" s="317">
        <v>-0.01</v>
      </c>
      <c r="F365" s="306"/>
      <c r="G365" s="2"/>
      <c r="H365" s="2"/>
      <c r="I365" s="317">
        <f>$I$163</f>
        <v>-0.01</v>
      </c>
      <c r="J365" s="308"/>
      <c r="K365" s="2"/>
    </row>
    <row r="366" spans="1:11">
      <c r="A366" s="1" t="s">
        <v>380</v>
      </c>
      <c r="B366" s="1"/>
      <c r="C366" s="304">
        <v>0</v>
      </c>
      <c r="D366" s="304">
        <v>0</v>
      </c>
      <c r="E366" s="319">
        <f>E355</f>
        <v>84</v>
      </c>
      <c r="F366" s="306"/>
      <c r="G366" s="2">
        <f t="shared" ref="G366:H377" si="35">G395+G424</f>
        <v>0</v>
      </c>
      <c r="H366" s="2">
        <f t="shared" si="35"/>
        <v>0</v>
      </c>
      <c r="I366" s="319">
        <f>I355</f>
        <v>90.36</v>
      </c>
      <c r="J366" s="306"/>
      <c r="K366" s="2">
        <f t="shared" ref="K366:K377" si="36">K395+K424</f>
        <v>0</v>
      </c>
    </row>
    <row r="367" spans="1:11">
      <c r="A367" s="1" t="s">
        <v>381</v>
      </c>
      <c r="B367" s="1"/>
      <c r="C367" s="304">
        <v>0</v>
      </c>
      <c r="D367" s="304">
        <v>0</v>
      </c>
      <c r="E367" s="319">
        <f>E356</f>
        <v>124.8</v>
      </c>
      <c r="F367" s="306"/>
      <c r="G367" s="2">
        <f t="shared" si="35"/>
        <v>0</v>
      </c>
      <c r="H367" s="2">
        <f t="shared" si="35"/>
        <v>0</v>
      </c>
      <c r="I367" s="319">
        <f>I356</f>
        <v>134.16</v>
      </c>
      <c r="J367" s="306"/>
      <c r="K367" s="2">
        <f t="shared" si="36"/>
        <v>0</v>
      </c>
    </row>
    <row r="368" spans="1:11">
      <c r="A368" s="1" t="s">
        <v>392</v>
      </c>
      <c r="B368" s="1"/>
      <c r="C368" s="304">
        <v>0</v>
      </c>
      <c r="D368" s="304">
        <v>0</v>
      </c>
      <c r="E368" s="319">
        <f>E357</f>
        <v>8.2799999999999994</v>
      </c>
      <c r="F368" s="306"/>
      <c r="G368" s="2">
        <f t="shared" si="35"/>
        <v>0</v>
      </c>
      <c r="H368" s="2">
        <f t="shared" si="35"/>
        <v>0</v>
      </c>
      <c r="I368" s="319">
        <f>I357</f>
        <v>9.36</v>
      </c>
      <c r="J368" s="306"/>
      <c r="K368" s="2">
        <f t="shared" si="36"/>
        <v>0</v>
      </c>
    </row>
    <row r="369" spans="1:15">
      <c r="A369" s="1" t="s">
        <v>393</v>
      </c>
      <c r="B369" s="1"/>
      <c r="C369" s="304">
        <v>0</v>
      </c>
      <c r="D369" s="304">
        <v>0</v>
      </c>
      <c r="E369" s="319">
        <f>E360</f>
        <v>2.81</v>
      </c>
      <c r="F369" s="308"/>
      <c r="G369" s="2">
        <f t="shared" si="35"/>
        <v>0</v>
      </c>
      <c r="H369" s="2">
        <f t="shared" si="35"/>
        <v>0</v>
      </c>
      <c r="I369" s="319">
        <f>I360</f>
        <v>2.88</v>
      </c>
      <c r="J369" s="308"/>
      <c r="K369" s="2">
        <f t="shared" si="36"/>
        <v>0</v>
      </c>
    </row>
    <row r="370" spans="1:15">
      <c r="A370" s="1" t="s">
        <v>395</v>
      </c>
      <c r="B370" s="1"/>
      <c r="C370" s="304">
        <v>0</v>
      </c>
      <c r="D370" s="304">
        <v>0</v>
      </c>
      <c r="E370" s="320">
        <f>E361</f>
        <v>7.5869999999999997</v>
      </c>
      <c r="F370" s="308" t="s">
        <v>364</v>
      </c>
      <c r="G370" s="2">
        <f t="shared" si="35"/>
        <v>0</v>
      </c>
      <c r="H370" s="2">
        <f t="shared" si="35"/>
        <v>0</v>
      </c>
      <c r="I370" s="320">
        <f>I361</f>
        <v>8.0890000000000004</v>
      </c>
      <c r="J370" s="308" t="s">
        <v>364</v>
      </c>
      <c r="K370" s="2">
        <f t="shared" si="36"/>
        <v>0</v>
      </c>
    </row>
    <row r="371" spans="1:15">
      <c r="A371" s="1" t="s">
        <v>388</v>
      </c>
      <c r="B371" s="1"/>
      <c r="C371" s="304">
        <v>0</v>
      </c>
      <c r="D371" s="304">
        <v>0</v>
      </c>
      <c r="E371" s="320">
        <f>E362</f>
        <v>5.2370000000000001</v>
      </c>
      <c r="F371" s="308" t="s">
        <v>364</v>
      </c>
      <c r="G371" s="2">
        <f t="shared" si="35"/>
        <v>0</v>
      </c>
      <c r="H371" s="2">
        <f t="shared" si="35"/>
        <v>0</v>
      </c>
      <c r="I371" s="320">
        <f>I362</f>
        <v>5.5839999999999996</v>
      </c>
      <c r="J371" s="308" t="s">
        <v>364</v>
      </c>
      <c r="K371" s="2">
        <f t="shared" si="36"/>
        <v>0</v>
      </c>
    </row>
    <row r="372" spans="1:15">
      <c r="A372" s="1" t="s">
        <v>389</v>
      </c>
      <c r="B372" s="1"/>
      <c r="C372" s="304">
        <v>0</v>
      </c>
      <c r="D372" s="304">
        <v>0</v>
      </c>
      <c r="E372" s="320">
        <f>E363</f>
        <v>4.5129999999999999</v>
      </c>
      <c r="F372" s="308" t="s">
        <v>364</v>
      </c>
      <c r="G372" s="2">
        <f t="shared" si="35"/>
        <v>0</v>
      </c>
      <c r="H372" s="2">
        <f t="shared" si="35"/>
        <v>0</v>
      </c>
      <c r="I372" s="320">
        <f>I363</f>
        <v>4.8100000000000005</v>
      </c>
      <c r="J372" s="308" t="s">
        <v>364</v>
      </c>
      <c r="K372" s="2">
        <f t="shared" si="36"/>
        <v>0</v>
      </c>
    </row>
    <row r="373" spans="1:15">
      <c r="A373" s="1" t="s">
        <v>390</v>
      </c>
      <c r="B373" s="1"/>
      <c r="C373" s="304">
        <v>0</v>
      </c>
      <c r="D373" s="304">
        <v>0</v>
      </c>
      <c r="E373" s="321">
        <f>E364</f>
        <v>45</v>
      </c>
      <c r="F373" s="308" t="s">
        <v>364</v>
      </c>
      <c r="G373" s="2">
        <f t="shared" si="35"/>
        <v>0</v>
      </c>
      <c r="H373" s="2">
        <f t="shared" si="35"/>
        <v>0</v>
      </c>
      <c r="I373" s="321">
        <f>I364</f>
        <v>45</v>
      </c>
      <c r="J373" s="308" t="s">
        <v>364</v>
      </c>
      <c r="K373" s="2">
        <f t="shared" si="36"/>
        <v>0</v>
      </c>
    </row>
    <row r="374" spans="1:15">
      <c r="A374" s="1" t="s">
        <v>397</v>
      </c>
      <c r="B374" s="1"/>
      <c r="C374" s="304">
        <v>0</v>
      </c>
      <c r="D374" s="304">
        <v>0</v>
      </c>
      <c r="E374" s="322">
        <v>60</v>
      </c>
      <c r="F374" s="306"/>
      <c r="G374" s="2">
        <f t="shared" si="35"/>
        <v>0</v>
      </c>
      <c r="H374" s="2">
        <f t="shared" si="35"/>
        <v>0</v>
      </c>
      <c r="I374" s="322">
        <f>$I$172</f>
        <v>60</v>
      </c>
      <c r="J374" s="308"/>
      <c r="K374" s="2">
        <f t="shared" si="36"/>
        <v>0</v>
      </c>
    </row>
    <row r="375" spans="1:15">
      <c r="A375" s="1" t="s">
        <v>398</v>
      </c>
      <c r="B375" s="1"/>
      <c r="C375" s="304">
        <v>0</v>
      </c>
      <c r="D375" s="304">
        <v>0</v>
      </c>
      <c r="E375" s="324">
        <v>-30</v>
      </c>
      <c r="F375" s="306" t="s">
        <v>364</v>
      </c>
      <c r="G375" s="2">
        <f t="shared" si="35"/>
        <v>0</v>
      </c>
      <c r="H375" s="2">
        <f t="shared" si="35"/>
        <v>0</v>
      </c>
      <c r="I375" s="324">
        <f>$I$173</f>
        <v>-30</v>
      </c>
      <c r="J375" s="308" t="s">
        <v>364</v>
      </c>
      <c r="K375" s="2">
        <f t="shared" si="36"/>
        <v>0</v>
      </c>
    </row>
    <row r="376" spans="1:15">
      <c r="A376" s="1" t="s">
        <v>371</v>
      </c>
      <c r="B376" s="1"/>
      <c r="C376" s="304">
        <f>C405+C434</f>
        <v>408665</v>
      </c>
      <c r="D376" s="304">
        <f>D405+D434</f>
        <v>300118.64975971833</v>
      </c>
      <c r="E376" s="315"/>
      <c r="F376" s="2"/>
      <c r="G376" s="2">
        <f t="shared" si="35"/>
        <v>114589</v>
      </c>
      <c r="H376" s="2">
        <f t="shared" si="35"/>
        <v>87886</v>
      </c>
      <c r="I376" s="2"/>
      <c r="J376" s="308"/>
      <c r="K376" s="2">
        <f t="shared" si="36"/>
        <v>94423</v>
      </c>
    </row>
    <row r="377" spans="1:15">
      <c r="A377" s="1" t="s">
        <v>353</v>
      </c>
      <c r="B377" s="1"/>
      <c r="C377" s="325">
        <f>C406+C435</f>
        <v>1708.559032095249</v>
      </c>
      <c r="D377" s="325">
        <f>D406+D435</f>
        <v>0</v>
      </c>
      <c r="E377" s="294"/>
      <c r="F377" s="294"/>
      <c r="G377" s="326">
        <f t="shared" si="35"/>
        <v>340.00809002605808</v>
      </c>
      <c r="H377" s="326">
        <f t="shared" si="35"/>
        <v>0</v>
      </c>
      <c r="I377" s="294"/>
      <c r="J377" s="294"/>
      <c r="K377" s="326">
        <f t="shared" si="36"/>
        <v>0</v>
      </c>
      <c r="M377" s="274"/>
      <c r="N377" s="274"/>
      <c r="O377" s="275"/>
    </row>
    <row r="378" spans="1:15" ht="16.5" thickBot="1">
      <c r="A378" s="1" t="s">
        <v>372</v>
      </c>
      <c r="B378" s="1"/>
      <c r="C378" s="296">
        <f>SUM(C376:C377)</f>
        <v>410373.55903209525</v>
      </c>
      <c r="D378" s="296">
        <f>SUM(D376:D377)</f>
        <v>300118.64975971833</v>
      </c>
      <c r="E378" s="327"/>
      <c r="F378" s="328"/>
      <c r="G378" s="329">
        <f>G376+G377</f>
        <v>114929.00809002605</v>
      </c>
      <c r="H378" s="329">
        <f>H376+H377</f>
        <v>87886</v>
      </c>
      <c r="I378" s="327"/>
      <c r="J378" s="330"/>
      <c r="K378" s="329">
        <f>K376+K377</f>
        <v>94423</v>
      </c>
      <c r="M378" s="276"/>
      <c r="N378" s="276"/>
      <c r="O378" s="277"/>
    </row>
    <row r="379" spans="1:15" ht="16.5" thickTop="1">
      <c r="A379" s="1"/>
      <c r="B379" s="1"/>
      <c r="C379" s="21"/>
      <c r="D379" s="21"/>
      <c r="E379" s="322"/>
      <c r="F379" s="2"/>
      <c r="G379" s="2"/>
      <c r="H379" s="2"/>
      <c r="I379" s="338" t="s">
        <v>31</v>
      </c>
      <c r="J379" s="1"/>
      <c r="K379" s="2" t="s">
        <v>31</v>
      </c>
    </row>
    <row r="380" spans="1:15">
      <c r="A380" s="278" t="s">
        <v>407</v>
      </c>
      <c r="B380" s="1"/>
      <c r="C380" s="1"/>
      <c r="D380" s="1"/>
      <c r="E380" s="2"/>
      <c r="F380" s="2"/>
      <c r="G380" s="1" t="s">
        <v>31</v>
      </c>
      <c r="H380" s="1"/>
      <c r="I380" s="2"/>
      <c r="J380" s="1"/>
      <c r="K380" s="1"/>
    </row>
    <row r="381" spans="1:15">
      <c r="A381" s="1" t="s">
        <v>401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408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383</v>
      </c>
      <c r="B383" s="1"/>
      <c r="C383" s="304"/>
      <c r="D383" s="304"/>
      <c r="E383" s="2"/>
      <c r="F383" s="2"/>
      <c r="G383" s="1"/>
      <c r="H383" s="1"/>
      <c r="I383" s="2"/>
      <c r="J383" s="1"/>
      <c r="K383" s="1"/>
    </row>
    <row r="384" spans="1:15">
      <c r="A384" s="1" t="s">
        <v>380</v>
      </c>
      <c r="B384" s="1"/>
      <c r="C384" s="304">
        <v>1</v>
      </c>
      <c r="D384" s="304">
        <f>ROUND(($D$387/$C$387)*C384,0)</f>
        <v>1</v>
      </c>
      <c r="E384" s="283">
        <v>84</v>
      </c>
      <c r="F384" s="306"/>
      <c r="G384" s="2">
        <f>ROUND(E384*$C384,0)</f>
        <v>84</v>
      </c>
      <c r="H384" s="2">
        <f>ROUND(E384*$D384,0)</f>
        <v>84</v>
      </c>
      <c r="I384" s="283">
        <f>$I$149</f>
        <v>90.36</v>
      </c>
      <c r="J384" s="308"/>
      <c r="K384" s="2">
        <f>ROUND(I384*$D384,0)</f>
        <v>90</v>
      </c>
    </row>
    <row r="385" spans="1:11">
      <c r="A385" s="1" t="s">
        <v>381</v>
      </c>
      <c r="B385" s="1"/>
      <c r="C385" s="304">
        <v>111</v>
      </c>
      <c r="D385" s="304">
        <f>ROUND(($D$387/$C$387)*C385,0)</f>
        <v>108</v>
      </c>
      <c r="E385" s="283">
        <v>124.8</v>
      </c>
      <c r="F385" s="309"/>
      <c r="G385" s="2">
        <f>ROUND(E385*$C385,0)</f>
        <v>13853</v>
      </c>
      <c r="H385" s="2">
        <f>ROUND(E385*$D385,0)</f>
        <v>13478</v>
      </c>
      <c r="I385" s="283">
        <f>$I$150</f>
        <v>134.16</v>
      </c>
      <c r="J385" s="310"/>
      <c r="K385" s="2">
        <f>ROUND(I385*$D385,0)</f>
        <v>14489</v>
      </c>
    </row>
    <row r="386" spans="1:11">
      <c r="A386" s="1" t="s">
        <v>382</v>
      </c>
      <c r="B386" s="1"/>
      <c r="C386" s="304">
        <f>4491</f>
        <v>4491</v>
      </c>
      <c r="D386" s="304">
        <f>ROUND(($D$405/$C$405)*C386,0)</f>
        <v>3258</v>
      </c>
      <c r="E386" s="283">
        <v>8.2799999999999994</v>
      </c>
      <c r="F386" s="309"/>
      <c r="G386" s="2">
        <f>ROUND(E386*$C386,0)</f>
        <v>37185</v>
      </c>
      <c r="H386" s="2">
        <f>ROUND(E386*$D386,0)</f>
        <v>26976</v>
      </c>
      <c r="I386" s="283">
        <f>$I$151</f>
        <v>9.36</v>
      </c>
      <c r="J386" s="310"/>
      <c r="K386" s="2">
        <f>ROUND(I386*$D386,0)</f>
        <v>30495</v>
      </c>
    </row>
    <row r="387" spans="1:11">
      <c r="A387" s="1" t="s">
        <v>384</v>
      </c>
      <c r="B387" s="1"/>
      <c r="C387" s="304">
        <f>SUM(C384:C385)</f>
        <v>112</v>
      </c>
      <c r="D387" s="304">
        <v>108.75</v>
      </c>
      <c r="E387" s="283"/>
      <c r="F387" s="306"/>
      <c r="G387" s="2"/>
      <c r="H387" s="2"/>
      <c r="I387" s="283"/>
      <c r="J387" s="308"/>
      <c r="K387" s="2"/>
    </row>
    <row r="388" spans="1:11">
      <c r="A388" s="1" t="s">
        <v>409</v>
      </c>
      <c r="B388" s="1"/>
      <c r="C388" s="304">
        <f>8+491</f>
        <v>499</v>
      </c>
      <c r="D388" s="304">
        <f>ROUND(($D$387/$C$387)*C388,0)</f>
        <v>485</v>
      </c>
      <c r="E388" s="283"/>
      <c r="F388" s="306"/>
      <c r="G388" s="2"/>
      <c r="H388" s="2"/>
      <c r="I388" s="283"/>
      <c r="J388" s="308"/>
      <c r="K388" s="2"/>
    </row>
    <row r="389" spans="1:11">
      <c r="A389" s="1" t="s">
        <v>385</v>
      </c>
      <c r="B389" s="1"/>
      <c r="C389" s="304">
        <f>12607</f>
        <v>12607</v>
      </c>
      <c r="D389" s="304">
        <f>ROUND(($D$405/$C$405)*C389,0)</f>
        <v>9145</v>
      </c>
      <c r="E389" s="311">
        <v>2.81</v>
      </c>
      <c r="F389" s="308"/>
      <c r="G389" s="2">
        <f>ROUND(E389*$C389,0)</f>
        <v>35426</v>
      </c>
      <c r="H389" s="2">
        <f>ROUND(E389*$D389,0)</f>
        <v>25697</v>
      </c>
      <c r="I389" s="311">
        <f>$I$158</f>
        <v>2.88</v>
      </c>
      <c r="J389" s="308"/>
      <c r="K389" s="2">
        <f>ROUND(I389*$D389,0)</f>
        <v>26338</v>
      </c>
    </row>
    <row r="390" spans="1:11">
      <c r="A390" s="1" t="s">
        <v>387</v>
      </c>
      <c r="B390" s="1"/>
      <c r="C390" s="304">
        <f>4567+177412</f>
        <v>181979</v>
      </c>
      <c r="D390" s="304">
        <f>ROUND(($D$405/$C$405)*C390,0)</f>
        <v>132006</v>
      </c>
      <c r="E390" s="284">
        <v>7.5869999999999997</v>
      </c>
      <c r="F390" s="308" t="s">
        <v>364</v>
      </c>
      <c r="G390" s="2">
        <f>ROUND(E390*$C390/100,0)</f>
        <v>13807</v>
      </c>
      <c r="H390" s="2">
        <f>ROUND(E390*$D390/100,0)</f>
        <v>10015</v>
      </c>
      <c r="I390" s="284">
        <f>$I$159</f>
        <v>8.0890000000000004</v>
      </c>
      <c r="J390" s="308" t="s">
        <v>364</v>
      </c>
      <c r="K390" s="2">
        <f>ROUND(I390*$D390/100,0)</f>
        <v>10678</v>
      </c>
    </row>
    <row r="391" spans="1:11">
      <c r="A391" s="1" t="s">
        <v>388</v>
      </c>
      <c r="B391" s="1"/>
      <c r="C391" s="304">
        <f>223170+787</f>
        <v>223957</v>
      </c>
      <c r="D391" s="304">
        <f>ROUND(($D$405/$C$405)*C391,0)</f>
        <v>162456</v>
      </c>
      <c r="E391" s="284">
        <v>5.2370000000000001</v>
      </c>
      <c r="F391" s="308" t="s">
        <v>364</v>
      </c>
      <c r="G391" s="2">
        <f>ROUND(E391*$C391/100,0)</f>
        <v>11729</v>
      </c>
      <c r="H391" s="2">
        <f>ROUND(E391*$D391/100,0)</f>
        <v>8508</v>
      </c>
      <c r="I391" s="284">
        <f>$I$160</f>
        <v>5.5839999999999996</v>
      </c>
      <c r="J391" s="308" t="s">
        <v>364</v>
      </c>
      <c r="K391" s="2">
        <f>ROUND(I391*$D391/100,0)</f>
        <v>9072</v>
      </c>
    </row>
    <row r="392" spans="1:11">
      <c r="A392" s="1" t="s">
        <v>389</v>
      </c>
      <c r="B392" s="1"/>
      <c r="C392" s="304">
        <f>0</f>
        <v>0</v>
      </c>
      <c r="D392" s="304">
        <f>ROUND(($D$405/$C$405)*C392,0)</f>
        <v>0</v>
      </c>
      <c r="E392" s="284">
        <v>4.5129999999999999</v>
      </c>
      <c r="F392" s="308" t="s">
        <v>364</v>
      </c>
      <c r="G392" s="2">
        <f>ROUND(E392*$C392/100,0)</f>
        <v>0</v>
      </c>
      <c r="H392" s="2">
        <f>ROUND(E392*$D392/100,0)</f>
        <v>0</v>
      </c>
      <c r="I392" s="284">
        <f>$I$161</f>
        <v>4.8100000000000005</v>
      </c>
      <c r="J392" s="308" t="s">
        <v>364</v>
      </c>
      <c r="K392" s="2">
        <f>ROUND(I392*$D392/100,0)</f>
        <v>0</v>
      </c>
    </row>
    <row r="393" spans="1:11">
      <c r="A393" s="1" t="s">
        <v>390</v>
      </c>
      <c r="B393" s="1"/>
      <c r="C393" s="304">
        <f>1798</f>
        <v>1798</v>
      </c>
      <c r="D393" s="304">
        <f>ROUND(($D$405/$C$405)*C393,0)</f>
        <v>1304</v>
      </c>
      <c r="E393" s="315">
        <v>45</v>
      </c>
      <c r="F393" s="306" t="s">
        <v>364</v>
      </c>
      <c r="G393" s="2">
        <f>ROUND(E393*$C393/100,0)</f>
        <v>809</v>
      </c>
      <c r="H393" s="2">
        <f>ROUND(E393*$D393/100,0)</f>
        <v>587</v>
      </c>
      <c r="I393" s="315">
        <f>$I$162</f>
        <v>45</v>
      </c>
      <c r="J393" s="308" t="s">
        <v>364</v>
      </c>
      <c r="K393" s="2">
        <f>ROUND(I393*$D393/100,0)</f>
        <v>587</v>
      </c>
    </row>
    <row r="394" spans="1:11">
      <c r="A394" s="316" t="s">
        <v>391</v>
      </c>
      <c r="B394" s="1"/>
      <c r="C394" s="304"/>
      <c r="D394" s="304"/>
      <c r="E394" s="317">
        <v>-0.01</v>
      </c>
      <c r="F394" s="306"/>
      <c r="G394" s="2"/>
      <c r="H394" s="2"/>
      <c r="I394" s="317">
        <f>$I$163</f>
        <v>-0.01</v>
      </c>
      <c r="J394" s="308"/>
      <c r="K394" s="2"/>
    </row>
    <row r="395" spans="1:11">
      <c r="A395" s="1" t="s">
        <v>380</v>
      </c>
      <c r="B395" s="1"/>
      <c r="C395" s="304">
        <v>0</v>
      </c>
      <c r="D395" s="304">
        <f>ROUND(($D$387/$C$387)*C395,0)</f>
        <v>0</v>
      </c>
      <c r="E395" s="319">
        <f>E384</f>
        <v>84</v>
      </c>
      <c r="F395" s="306"/>
      <c r="G395" s="2">
        <f>-ROUND(E395*$C395/100,0)</f>
        <v>0</v>
      </c>
      <c r="H395" s="2">
        <f>-ROUND(E395*$D395/100,0)</f>
        <v>0</v>
      </c>
      <c r="I395" s="319">
        <f>I384</f>
        <v>90.36</v>
      </c>
      <c r="J395" s="306"/>
      <c r="K395" s="2">
        <f>-ROUND(I395*$D395/100,0)</f>
        <v>0</v>
      </c>
    </row>
    <row r="396" spans="1:11">
      <c r="A396" s="1" t="s">
        <v>381</v>
      </c>
      <c r="B396" s="1"/>
      <c r="C396" s="304">
        <v>0</v>
      </c>
      <c r="D396" s="304">
        <f>ROUND(($D$387/$C$387)*C396,0)</f>
        <v>0</v>
      </c>
      <c r="E396" s="319">
        <f>E385</f>
        <v>124.8</v>
      </c>
      <c r="F396" s="306"/>
      <c r="G396" s="2">
        <f>-ROUND(E396*$C396/100,0)</f>
        <v>0</v>
      </c>
      <c r="H396" s="2">
        <f>-ROUND(E396*$D396/100,0)</f>
        <v>0</v>
      </c>
      <c r="I396" s="319">
        <f>I385</f>
        <v>134.16</v>
      </c>
      <c r="J396" s="306"/>
      <c r="K396" s="2">
        <f>-ROUND(I396*$D396/100,0)</f>
        <v>0</v>
      </c>
    </row>
    <row r="397" spans="1:11">
      <c r="A397" s="1" t="s">
        <v>392</v>
      </c>
      <c r="B397" s="1"/>
      <c r="C397" s="304">
        <v>0</v>
      </c>
      <c r="D397" s="304">
        <f t="shared" ref="D397:D402" si="37">ROUND(($D$405/$C$405)*C397,0)</f>
        <v>0</v>
      </c>
      <c r="E397" s="319">
        <f>E386</f>
        <v>8.2799999999999994</v>
      </c>
      <c r="F397" s="306"/>
      <c r="G397" s="2">
        <f>-ROUND(E397*$C397/100,0)</f>
        <v>0</v>
      </c>
      <c r="H397" s="2">
        <f>-ROUND(E397*$D397/100,0)</f>
        <v>0</v>
      </c>
      <c r="I397" s="319">
        <f>I386</f>
        <v>9.36</v>
      </c>
      <c r="J397" s="306"/>
      <c r="K397" s="2">
        <f>-ROUND(I397*$D397/100,0)</f>
        <v>0</v>
      </c>
    </row>
    <row r="398" spans="1:11">
      <c r="A398" s="1" t="s">
        <v>393</v>
      </c>
      <c r="B398" s="1"/>
      <c r="C398" s="304">
        <v>0</v>
      </c>
      <c r="D398" s="304">
        <f t="shared" si="37"/>
        <v>0</v>
      </c>
      <c r="E398" s="319">
        <f>E389</f>
        <v>2.81</v>
      </c>
      <c r="F398" s="308"/>
      <c r="G398" s="2">
        <f>-ROUND(E398*$C398/100,0)</f>
        <v>0</v>
      </c>
      <c r="H398" s="2">
        <f>-ROUND(E398*$D398/100,0)</f>
        <v>0</v>
      </c>
      <c r="I398" s="319">
        <f>I389</f>
        <v>2.88</v>
      </c>
      <c r="J398" s="308"/>
      <c r="K398" s="2">
        <f>-ROUND(I398*$D398/100,0)</f>
        <v>0</v>
      </c>
    </row>
    <row r="399" spans="1:11">
      <c r="A399" s="1" t="s">
        <v>395</v>
      </c>
      <c r="B399" s="1"/>
      <c r="C399" s="304">
        <v>0</v>
      </c>
      <c r="D399" s="304">
        <f t="shared" si="37"/>
        <v>0</v>
      </c>
      <c r="E399" s="320">
        <f>E390</f>
        <v>7.5869999999999997</v>
      </c>
      <c r="F399" s="308" t="s">
        <v>364</v>
      </c>
      <c r="G399" s="2">
        <f>ROUND(E399*$C399/100*E394,0)</f>
        <v>0</v>
      </c>
      <c r="H399" s="2">
        <f>ROUND(E399*$D399/100*E394,0)</f>
        <v>0</v>
      </c>
      <c r="I399" s="320">
        <f>I390</f>
        <v>8.0890000000000004</v>
      </c>
      <c r="J399" s="308" t="s">
        <v>364</v>
      </c>
      <c r="K399" s="2">
        <f>ROUND(I399*$D399/100*I394,0)</f>
        <v>0</v>
      </c>
    </row>
    <row r="400" spans="1:11">
      <c r="A400" s="1" t="s">
        <v>388</v>
      </c>
      <c r="B400" s="1"/>
      <c r="C400" s="304">
        <v>0</v>
      </c>
      <c r="D400" s="304">
        <f t="shared" si="37"/>
        <v>0</v>
      </c>
      <c r="E400" s="320">
        <f>E391</f>
        <v>5.2370000000000001</v>
      </c>
      <c r="F400" s="308" t="s">
        <v>364</v>
      </c>
      <c r="G400" s="2">
        <f>ROUND(E400*$C400/100*E394,0)</f>
        <v>0</v>
      </c>
      <c r="H400" s="2">
        <f>ROUND(E400*$D400/100*E394,0)</f>
        <v>0</v>
      </c>
      <c r="I400" s="320">
        <f>I391</f>
        <v>5.5839999999999996</v>
      </c>
      <c r="J400" s="308" t="s">
        <v>364</v>
      </c>
      <c r="K400" s="2">
        <f>ROUND(I400*$D400/100*I394,0)</f>
        <v>0</v>
      </c>
    </row>
    <row r="401" spans="1:15">
      <c r="A401" s="1" t="s">
        <v>389</v>
      </c>
      <c r="B401" s="1"/>
      <c r="C401" s="304">
        <v>0</v>
      </c>
      <c r="D401" s="304">
        <f t="shared" si="37"/>
        <v>0</v>
      </c>
      <c r="E401" s="320">
        <f>E392</f>
        <v>4.5129999999999999</v>
      </c>
      <c r="F401" s="308" t="s">
        <v>364</v>
      </c>
      <c r="G401" s="2">
        <f>ROUND(E401*$C401/100*E394,0)</f>
        <v>0</v>
      </c>
      <c r="H401" s="2">
        <f>ROUND(E401*$D401/100*E394,0)</f>
        <v>0</v>
      </c>
      <c r="I401" s="320">
        <f>I392</f>
        <v>4.8100000000000005</v>
      </c>
      <c r="J401" s="308" t="s">
        <v>364</v>
      </c>
      <c r="K401" s="2">
        <f>ROUND(I401*$D401/100*I394,0)</f>
        <v>0</v>
      </c>
    </row>
    <row r="402" spans="1:15">
      <c r="A402" s="1" t="s">
        <v>390</v>
      </c>
      <c r="B402" s="1"/>
      <c r="C402" s="304">
        <v>0</v>
      </c>
      <c r="D402" s="304">
        <f t="shared" si="37"/>
        <v>0</v>
      </c>
      <c r="E402" s="321">
        <f>E393</f>
        <v>45</v>
      </c>
      <c r="F402" s="308" t="s">
        <v>364</v>
      </c>
      <c r="G402" s="2">
        <f>ROUND(E402*$C402/100*E394,0)</f>
        <v>0</v>
      </c>
      <c r="H402" s="2">
        <f>ROUND(E402*$D402/100*E394,0)</f>
        <v>0</v>
      </c>
      <c r="I402" s="321">
        <f>I393</f>
        <v>45</v>
      </c>
      <c r="J402" s="308" t="s">
        <v>364</v>
      </c>
      <c r="K402" s="2">
        <f>ROUND(I402*$D402/100*I394,0)</f>
        <v>0</v>
      </c>
    </row>
    <row r="403" spans="1:15">
      <c r="A403" s="1" t="s">
        <v>397</v>
      </c>
      <c r="B403" s="1"/>
      <c r="C403" s="304">
        <v>0</v>
      </c>
      <c r="D403" s="304">
        <f>ROUND(($D$387/$C$387)*C403,0)</f>
        <v>0</v>
      </c>
      <c r="E403" s="322">
        <v>60</v>
      </c>
      <c r="F403" s="306"/>
      <c r="G403" s="2">
        <f>ROUND(E403*$C403,0)</f>
        <v>0</v>
      </c>
      <c r="H403" s="2">
        <f>ROUND(E403*$D403,0)</f>
        <v>0</v>
      </c>
      <c r="I403" s="322">
        <f>$I$172</f>
        <v>60</v>
      </c>
      <c r="J403" s="308"/>
      <c r="K403" s="2">
        <f>ROUND(I403*$D403,0)</f>
        <v>0</v>
      </c>
    </row>
    <row r="404" spans="1:15">
      <c r="A404" s="1" t="s">
        <v>398</v>
      </c>
      <c r="B404" s="1"/>
      <c r="C404" s="304">
        <v>0</v>
      </c>
      <c r="D404" s="304">
        <f>ROUND(($D$405/$C$405)*C404,0)</f>
        <v>0</v>
      </c>
      <c r="E404" s="324">
        <v>-30</v>
      </c>
      <c r="F404" s="306" t="s">
        <v>364</v>
      </c>
      <c r="G404" s="2">
        <f>ROUND(E404*$C404/100,0)</f>
        <v>0</v>
      </c>
      <c r="H404" s="2">
        <f>ROUND(E404*$D404/100,0)</f>
        <v>0</v>
      </c>
      <c r="I404" s="324">
        <f>$I$173</f>
        <v>-30</v>
      </c>
      <c r="J404" s="308" t="s">
        <v>364</v>
      </c>
      <c r="K404" s="2">
        <f>ROUND(I404*$D404/100,0)</f>
        <v>0</v>
      </c>
    </row>
    <row r="405" spans="1:15">
      <c r="A405" s="1" t="s">
        <v>371</v>
      </c>
      <c r="B405" s="1"/>
      <c r="C405" s="304">
        <f>SUM(C390:C392)</f>
        <v>405936</v>
      </c>
      <c r="D405" s="304">
        <v>294461.5</v>
      </c>
      <c r="E405" s="315"/>
      <c r="F405" s="2"/>
      <c r="G405" s="2">
        <f>SUM(G384:G404)</f>
        <v>112893</v>
      </c>
      <c r="H405" s="2">
        <f>SUM(H384:H404)</f>
        <v>85345</v>
      </c>
      <c r="I405" s="315"/>
      <c r="J405" s="308"/>
      <c r="K405" s="2">
        <f>SUM(K384:K404)</f>
        <v>91749</v>
      </c>
    </row>
    <row r="406" spans="1:15">
      <c r="A406" s="1" t="s">
        <v>353</v>
      </c>
      <c r="B406" s="1"/>
      <c r="C406" s="334">
        <v>1770.0710773090641</v>
      </c>
      <c r="D406" s="334">
        <v>0</v>
      </c>
      <c r="E406" s="294"/>
      <c r="F406" s="294"/>
      <c r="G406" s="326">
        <v>368.47443953217015</v>
      </c>
      <c r="H406" s="326">
        <v>0</v>
      </c>
      <c r="I406" s="294"/>
      <c r="J406" s="294"/>
      <c r="K406" s="326">
        <v>0</v>
      </c>
      <c r="M406" s="274"/>
      <c r="N406" s="274"/>
      <c r="O406" s="275"/>
    </row>
    <row r="407" spans="1:15" ht="16.5" thickBot="1">
      <c r="A407" s="1" t="s">
        <v>372</v>
      </c>
      <c r="B407" s="1"/>
      <c r="C407" s="296">
        <f>SUM(C405:C406)</f>
        <v>407706.07107730908</v>
      </c>
      <c r="D407" s="296">
        <f>SUM(D405:D406)</f>
        <v>294461.5</v>
      </c>
      <c r="E407" s="327"/>
      <c r="F407" s="328"/>
      <c r="G407" s="329">
        <f>G405+G406</f>
        <v>113261.47443953218</v>
      </c>
      <c r="H407" s="329">
        <f>H405+H406</f>
        <v>85345</v>
      </c>
      <c r="I407" s="327"/>
      <c r="J407" s="330"/>
      <c r="K407" s="329">
        <f>K405+K406</f>
        <v>91749</v>
      </c>
      <c r="M407" s="276"/>
      <c r="N407" s="276"/>
      <c r="O407" s="277"/>
    </row>
    <row r="408" spans="1:15" ht="16.5" thickTop="1">
      <c r="A408" s="1"/>
      <c r="B408" s="1"/>
      <c r="C408" s="21"/>
      <c r="D408" s="21"/>
      <c r="E408" s="322"/>
      <c r="F408" s="2"/>
      <c r="G408" s="2"/>
      <c r="H408" s="2"/>
      <c r="I408" s="338" t="s">
        <v>31</v>
      </c>
      <c r="J408" s="1"/>
      <c r="K408" s="2" t="s">
        <v>31</v>
      </c>
    </row>
    <row r="409" spans="1:15">
      <c r="A409" s="278" t="s">
        <v>407</v>
      </c>
      <c r="B409" s="1"/>
      <c r="C409" s="1"/>
      <c r="D409" s="1"/>
      <c r="E409" s="2"/>
      <c r="F409" s="2"/>
      <c r="G409" s="1" t="s">
        <v>31</v>
      </c>
      <c r="H409" s="1"/>
      <c r="I409" s="2"/>
      <c r="J409" s="1"/>
      <c r="K409" s="1"/>
    </row>
    <row r="410" spans="1:15">
      <c r="A410" s="1" t="s">
        <v>404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408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383</v>
      </c>
      <c r="B412" s="1"/>
      <c r="C412" s="304"/>
      <c r="D412" s="304"/>
      <c r="E412" s="2"/>
      <c r="F412" s="2"/>
      <c r="G412" s="1"/>
      <c r="H412" s="1"/>
      <c r="I412" s="2"/>
      <c r="J412" s="1"/>
      <c r="K412" s="1"/>
    </row>
    <row r="413" spans="1:15">
      <c r="A413" s="1" t="s">
        <v>380</v>
      </c>
      <c r="B413" s="1"/>
      <c r="C413" s="304">
        <v>0</v>
      </c>
      <c r="D413" s="304">
        <f>$D$417/$C$417*C413</f>
        <v>0</v>
      </c>
      <c r="E413" s="283">
        <v>84</v>
      </c>
      <c r="F413" s="306"/>
      <c r="G413" s="2">
        <f>ROUND(E413*$C413,0)</f>
        <v>0</v>
      </c>
      <c r="H413" s="2">
        <f>ROUND(E413*$D413,0)</f>
        <v>0</v>
      </c>
      <c r="I413" s="283">
        <f>$I$149</f>
        <v>90.36</v>
      </c>
      <c r="J413" s="308"/>
      <c r="K413" s="2">
        <f>ROUND(I413*$D413,0)</f>
        <v>0</v>
      </c>
    </row>
    <row r="414" spans="1:15">
      <c r="A414" s="1" t="s">
        <v>381</v>
      </c>
      <c r="B414" s="1"/>
      <c r="C414" s="304">
        <v>1</v>
      </c>
      <c r="D414" s="304">
        <f>$D$417/$C$417*C414</f>
        <v>1</v>
      </c>
      <c r="E414" s="283">
        <v>124.8</v>
      </c>
      <c r="F414" s="309"/>
      <c r="G414" s="2">
        <f>ROUND(E414*$C414,0)</f>
        <v>125</v>
      </c>
      <c r="H414" s="2">
        <f>ROUND(E414*$D414,0)</f>
        <v>125</v>
      </c>
      <c r="I414" s="283">
        <f>$I$150</f>
        <v>134.16</v>
      </c>
      <c r="J414" s="310"/>
      <c r="K414" s="2">
        <f>ROUND(I414*$D414,0)</f>
        <v>134</v>
      </c>
    </row>
    <row r="415" spans="1:15">
      <c r="A415" s="1" t="s">
        <v>382</v>
      </c>
      <c r="B415" s="1"/>
      <c r="C415" s="304">
        <v>75</v>
      </c>
      <c r="D415" s="304">
        <v>54</v>
      </c>
      <c r="E415" s="283">
        <v>8.2799999999999994</v>
      </c>
      <c r="F415" s="309"/>
      <c r="G415" s="2">
        <f>ROUND(E415*$C415,0)</f>
        <v>621</v>
      </c>
      <c r="H415" s="2">
        <f>ROUND(E415*$D415,0)</f>
        <v>447</v>
      </c>
      <c r="I415" s="283">
        <f>$I$151</f>
        <v>9.36</v>
      </c>
      <c r="J415" s="310"/>
      <c r="K415" s="2">
        <f>ROUND(I415*$D415,0)</f>
        <v>505</v>
      </c>
    </row>
    <row r="416" spans="1:15">
      <c r="A416" s="1" t="s">
        <v>384</v>
      </c>
      <c r="B416" s="1"/>
      <c r="C416" s="304">
        <f>SUM(C413:C414)</f>
        <v>1</v>
      </c>
      <c r="D416" s="304">
        <f>SUM(D413:D414)</f>
        <v>1</v>
      </c>
      <c r="E416" s="283"/>
      <c r="F416" s="306"/>
      <c r="G416" s="2"/>
      <c r="H416" s="2"/>
      <c r="I416" s="283"/>
      <c r="J416" s="308"/>
      <c r="K416" s="2"/>
    </row>
    <row r="417" spans="1:11">
      <c r="A417" s="1" t="s">
        <v>409</v>
      </c>
      <c r="B417" s="1"/>
      <c r="C417" s="304">
        <f>12</f>
        <v>12</v>
      </c>
      <c r="D417" s="304">
        <v>12</v>
      </c>
      <c r="E417" s="283"/>
      <c r="F417" s="306"/>
      <c r="G417" s="2"/>
      <c r="H417" s="2"/>
      <c r="I417" s="283"/>
      <c r="J417" s="308"/>
      <c r="K417" s="2"/>
    </row>
    <row r="418" spans="1:11">
      <c r="A418" s="1" t="s">
        <v>385</v>
      </c>
      <c r="B418" s="1"/>
      <c r="C418" s="304">
        <f>267</f>
        <v>267</v>
      </c>
      <c r="D418" s="304">
        <f>ROUND(($D$434/$C$434)*C418,0)</f>
        <v>553</v>
      </c>
      <c r="E418" s="311">
        <v>2.81</v>
      </c>
      <c r="F418" s="308"/>
      <c r="G418" s="2">
        <f>ROUND(E418*$C418,0)</f>
        <v>750</v>
      </c>
      <c r="H418" s="2">
        <f>ROUND(E418*$D418,0)</f>
        <v>1554</v>
      </c>
      <c r="I418" s="311">
        <f>$I$158</f>
        <v>2.88</v>
      </c>
      <c r="J418" s="308"/>
      <c r="K418" s="2">
        <f>ROUND(I418*$D418,0)</f>
        <v>1593</v>
      </c>
    </row>
    <row r="419" spans="1:11">
      <c r="A419" s="1" t="s">
        <v>387</v>
      </c>
      <c r="B419" s="1"/>
      <c r="C419" s="304">
        <f>2427</f>
        <v>2427</v>
      </c>
      <c r="D419" s="304">
        <f>ROUND(($D$434/$C$434)*C419,0)</f>
        <v>5031</v>
      </c>
      <c r="E419" s="284">
        <v>7.5869999999999997</v>
      </c>
      <c r="F419" s="308" t="s">
        <v>364</v>
      </c>
      <c r="G419" s="2">
        <f>ROUND(E419*$C419/100,0)</f>
        <v>184</v>
      </c>
      <c r="H419" s="2">
        <f>ROUND(E419*$D419/100,0)</f>
        <v>382</v>
      </c>
      <c r="I419" s="284">
        <f>$I$159</f>
        <v>8.0890000000000004</v>
      </c>
      <c r="J419" s="308" t="s">
        <v>364</v>
      </c>
      <c r="K419" s="2">
        <f>ROUND(I419*$D419/100,0)</f>
        <v>407</v>
      </c>
    </row>
    <row r="420" spans="1:11">
      <c r="A420" s="1" t="s">
        <v>388</v>
      </c>
      <c r="B420" s="1"/>
      <c r="C420" s="304">
        <f>302</f>
        <v>302</v>
      </c>
      <c r="D420" s="304">
        <f>ROUND(($D$434/$C$434)*C420,0)</f>
        <v>626</v>
      </c>
      <c r="E420" s="284">
        <v>5.2370000000000001</v>
      </c>
      <c r="F420" s="308" t="s">
        <v>364</v>
      </c>
      <c r="G420" s="2">
        <f>ROUND(E420*$C420/100,0)</f>
        <v>16</v>
      </c>
      <c r="H420" s="2">
        <f>ROUND(E420*$D420/100,0)</f>
        <v>33</v>
      </c>
      <c r="I420" s="284">
        <f>$I$160</f>
        <v>5.5839999999999996</v>
      </c>
      <c r="J420" s="308" t="s">
        <v>364</v>
      </c>
      <c r="K420" s="2">
        <f>ROUND(I420*$D420/100,0)</f>
        <v>35</v>
      </c>
    </row>
    <row r="421" spans="1:11">
      <c r="A421" s="1" t="s">
        <v>389</v>
      </c>
      <c r="B421" s="1"/>
      <c r="C421" s="304">
        <v>0</v>
      </c>
      <c r="D421" s="304">
        <f>ROUND(($D$434/$C$434)*C421,0)</f>
        <v>0</v>
      </c>
      <c r="E421" s="284">
        <v>4.5129999999999999</v>
      </c>
      <c r="F421" s="308" t="s">
        <v>364</v>
      </c>
      <c r="G421" s="2">
        <f>ROUND(E421*$C421/100,0)</f>
        <v>0</v>
      </c>
      <c r="H421" s="2">
        <f>ROUND(E421*$D421/100,0)</f>
        <v>0</v>
      </c>
      <c r="I421" s="284">
        <f>$I$161</f>
        <v>4.8100000000000005</v>
      </c>
      <c r="J421" s="308" t="s">
        <v>364</v>
      </c>
      <c r="K421" s="2">
        <f>ROUND(I421*$D421/100,0)</f>
        <v>0</v>
      </c>
    </row>
    <row r="422" spans="1:11">
      <c r="A422" s="1" t="s">
        <v>390</v>
      </c>
      <c r="B422" s="1"/>
      <c r="C422" s="304">
        <v>0</v>
      </c>
      <c r="D422" s="304">
        <f>ROUND(($D$434/$C$434)*C422,0)</f>
        <v>0</v>
      </c>
      <c r="E422" s="315">
        <v>45</v>
      </c>
      <c r="F422" s="306" t="s">
        <v>364</v>
      </c>
      <c r="G422" s="2">
        <f>ROUND(E422*$C422/100,0)</f>
        <v>0</v>
      </c>
      <c r="H422" s="2">
        <f>ROUND(E422*$D422/100,0)</f>
        <v>0</v>
      </c>
      <c r="I422" s="315">
        <f>$I$162</f>
        <v>45</v>
      </c>
      <c r="J422" s="308" t="s">
        <v>364</v>
      </c>
      <c r="K422" s="2">
        <f>ROUND(I422*$D422/100,0)</f>
        <v>0</v>
      </c>
    </row>
    <row r="423" spans="1:11">
      <c r="A423" s="316" t="s">
        <v>391</v>
      </c>
      <c r="B423" s="1"/>
      <c r="C423" s="304"/>
      <c r="D423" s="304"/>
      <c r="E423" s="317">
        <v>-0.01</v>
      </c>
      <c r="F423" s="306"/>
      <c r="G423" s="2"/>
      <c r="H423" s="2"/>
      <c r="I423" s="317">
        <f>$I$163</f>
        <v>-0.01</v>
      </c>
      <c r="J423" s="308"/>
      <c r="K423" s="2"/>
    </row>
    <row r="424" spans="1:11">
      <c r="A424" s="1" t="s">
        <v>380</v>
      </c>
      <c r="B424" s="1"/>
      <c r="C424" s="304">
        <v>0</v>
      </c>
      <c r="D424" s="304">
        <f>$D$417/$C$417*C424</f>
        <v>0</v>
      </c>
      <c r="E424" s="319">
        <f>E413</f>
        <v>84</v>
      </c>
      <c r="F424" s="306"/>
      <c r="G424" s="2">
        <f>-ROUND(E424*$C424/100,0)</f>
        <v>0</v>
      </c>
      <c r="H424" s="2">
        <f>-ROUND(E424*$D424/100,0)</f>
        <v>0</v>
      </c>
      <c r="I424" s="319">
        <f>I413</f>
        <v>90.36</v>
      </c>
      <c r="J424" s="306"/>
      <c r="K424" s="2">
        <f>-ROUND(I424*$D424/100,0)</f>
        <v>0</v>
      </c>
    </row>
    <row r="425" spans="1:11">
      <c r="A425" s="1" t="s">
        <v>381</v>
      </c>
      <c r="B425" s="1"/>
      <c r="C425" s="304">
        <v>0</v>
      </c>
      <c r="D425" s="304">
        <f>$D$417/$C$417*C425</f>
        <v>0</v>
      </c>
      <c r="E425" s="319">
        <f>E414</f>
        <v>124.8</v>
      </c>
      <c r="F425" s="306"/>
      <c r="G425" s="2">
        <f>-ROUND(E425*$C425/100,0)</f>
        <v>0</v>
      </c>
      <c r="H425" s="2">
        <f>-ROUND(E425*$D425/100,0)</f>
        <v>0</v>
      </c>
      <c r="I425" s="319">
        <f>I414</f>
        <v>134.16</v>
      </c>
      <c r="J425" s="306"/>
      <c r="K425" s="2">
        <f>-ROUND(I425*$D425/100,0)</f>
        <v>0</v>
      </c>
    </row>
    <row r="426" spans="1:11">
      <c r="A426" s="1" t="s">
        <v>392</v>
      </c>
      <c r="B426" s="1"/>
      <c r="C426" s="304">
        <v>0</v>
      </c>
      <c r="D426" s="304">
        <f t="shared" ref="D426:D431" si="38">ROUND(($D$434/$C$434)*C426,0)</f>
        <v>0</v>
      </c>
      <c r="E426" s="319">
        <f>E415</f>
        <v>8.2799999999999994</v>
      </c>
      <c r="F426" s="306"/>
      <c r="G426" s="2">
        <f>-ROUND(E426*$C426/100,0)</f>
        <v>0</v>
      </c>
      <c r="H426" s="2">
        <f>-ROUND(E426*$D426/100,0)</f>
        <v>0</v>
      </c>
      <c r="I426" s="319">
        <f>I415</f>
        <v>9.36</v>
      </c>
      <c r="J426" s="306"/>
      <c r="K426" s="2">
        <f>-ROUND(I426*$D426/100,0)</f>
        <v>0</v>
      </c>
    </row>
    <row r="427" spans="1:11">
      <c r="A427" s="1" t="s">
        <v>393</v>
      </c>
      <c r="B427" s="1"/>
      <c r="C427" s="304">
        <v>0</v>
      </c>
      <c r="D427" s="304">
        <f t="shared" si="38"/>
        <v>0</v>
      </c>
      <c r="E427" s="319">
        <f>E418</f>
        <v>2.81</v>
      </c>
      <c r="F427" s="308"/>
      <c r="G427" s="2">
        <f>-ROUND(E427*$C427/100,0)</f>
        <v>0</v>
      </c>
      <c r="H427" s="2">
        <f>-ROUND(E427*$D427/100,0)</f>
        <v>0</v>
      </c>
      <c r="I427" s="319">
        <f>I418</f>
        <v>2.88</v>
      </c>
      <c r="J427" s="308"/>
      <c r="K427" s="2">
        <f>-ROUND(I427*$D427/100,0)</f>
        <v>0</v>
      </c>
    </row>
    <row r="428" spans="1:11">
      <c r="A428" s="1" t="s">
        <v>395</v>
      </c>
      <c r="B428" s="1"/>
      <c r="C428" s="304">
        <v>0</v>
      </c>
      <c r="D428" s="304">
        <f t="shared" si="38"/>
        <v>0</v>
      </c>
      <c r="E428" s="320">
        <f>E419</f>
        <v>7.5869999999999997</v>
      </c>
      <c r="F428" s="308" t="s">
        <v>364</v>
      </c>
      <c r="G428" s="2">
        <f>ROUND(E428*$C428/100*E423,0)</f>
        <v>0</v>
      </c>
      <c r="H428" s="2">
        <f>ROUND(E428*$D428/100*E423,0)</f>
        <v>0</v>
      </c>
      <c r="I428" s="320">
        <f>I419</f>
        <v>8.0890000000000004</v>
      </c>
      <c r="J428" s="308" t="s">
        <v>364</v>
      </c>
      <c r="K428" s="2">
        <f>ROUND(I428*$D428/100*I423,0)</f>
        <v>0</v>
      </c>
    </row>
    <row r="429" spans="1:11">
      <c r="A429" s="1" t="s">
        <v>388</v>
      </c>
      <c r="B429" s="1"/>
      <c r="C429" s="304">
        <v>0</v>
      </c>
      <c r="D429" s="304">
        <f t="shared" si="38"/>
        <v>0</v>
      </c>
      <c r="E429" s="320">
        <f>E420</f>
        <v>5.2370000000000001</v>
      </c>
      <c r="F429" s="308" t="s">
        <v>364</v>
      </c>
      <c r="G429" s="2">
        <f>ROUND(E429*$C429/100*E423,0)</f>
        <v>0</v>
      </c>
      <c r="H429" s="2">
        <f>ROUND(E429*$D429/100*E423,0)</f>
        <v>0</v>
      </c>
      <c r="I429" s="320">
        <f>I420</f>
        <v>5.5839999999999996</v>
      </c>
      <c r="J429" s="308" t="s">
        <v>364</v>
      </c>
      <c r="K429" s="2">
        <f>ROUND(I429*$D429/100*I423,0)</f>
        <v>0</v>
      </c>
    </row>
    <row r="430" spans="1:11">
      <c r="A430" s="1" t="s">
        <v>389</v>
      </c>
      <c r="B430" s="1"/>
      <c r="C430" s="304">
        <v>0</v>
      </c>
      <c r="D430" s="304">
        <f t="shared" si="38"/>
        <v>0</v>
      </c>
      <c r="E430" s="320">
        <f>E421</f>
        <v>4.5129999999999999</v>
      </c>
      <c r="F430" s="308" t="s">
        <v>364</v>
      </c>
      <c r="G430" s="2">
        <f>ROUND(E430*$C430/100*E423,0)</f>
        <v>0</v>
      </c>
      <c r="H430" s="2">
        <f>ROUND(E430*$D430/100*E423,0)</f>
        <v>0</v>
      </c>
      <c r="I430" s="320">
        <f>I421</f>
        <v>4.8100000000000005</v>
      </c>
      <c r="J430" s="308" t="s">
        <v>364</v>
      </c>
      <c r="K430" s="2">
        <f>ROUND(I430*$D430/100*I423,0)</f>
        <v>0</v>
      </c>
    </row>
    <row r="431" spans="1:11">
      <c r="A431" s="1" t="s">
        <v>390</v>
      </c>
      <c r="B431" s="1"/>
      <c r="C431" s="304">
        <v>0</v>
      </c>
      <c r="D431" s="304">
        <f t="shared" si="38"/>
        <v>0</v>
      </c>
      <c r="E431" s="321">
        <f>E422</f>
        <v>45</v>
      </c>
      <c r="F431" s="308" t="s">
        <v>364</v>
      </c>
      <c r="G431" s="2">
        <f>ROUND(E431*$C431/100*E423,0)</f>
        <v>0</v>
      </c>
      <c r="H431" s="2">
        <f>ROUND(E431*$D431/100*E423,0)</f>
        <v>0</v>
      </c>
      <c r="I431" s="321">
        <f>I422</f>
        <v>45</v>
      </c>
      <c r="J431" s="308" t="s">
        <v>364</v>
      </c>
      <c r="K431" s="2">
        <f>ROUND(I431*$D431/100*I423,0)</f>
        <v>0</v>
      </c>
    </row>
    <row r="432" spans="1:11">
      <c r="A432" s="1" t="s">
        <v>397</v>
      </c>
      <c r="B432" s="1"/>
      <c r="C432" s="304">
        <v>0</v>
      </c>
      <c r="D432" s="304">
        <f>$D$417/$C$417*C432</f>
        <v>0</v>
      </c>
      <c r="E432" s="322">
        <v>60</v>
      </c>
      <c r="F432" s="306"/>
      <c r="G432" s="2">
        <f>ROUND(E432*$C432,0)</f>
        <v>0</v>
      </c>
      <c r="H432" s="2">
        <f>ROUND(E432*$D432,0)</f>
        <v>0</v>
      </c>
      <c r="I432" s="322">
        <f>$I$172</f>
        <v>60</v>
      </c>
      <c r="J432" s="308"/>
      <c r="K432" s="2">
        <f>ROUND(I432*$D432,0)</f>
        <v>0</v>
      </c>
    </row>
    <row r="433" spans="1:15">
      <c r="A433" s="1" t="s">
        <v>398</v>
      </c>
      <c r="B433" s="1"/>
      <c r="C433" s="304">
        <v>0</v>
      </c>
      <c r="D433" s="304">
        <f>ROUND(($D$434/$C$434)*C433,0)</f>
        <v>0</v>
      </c>
      <c r="E433" s="324">
        <v>-30</v>
      </c>
      <c r="F433" s="306" t="s">
        <v>364</v>
      </c>
      <c r="G433" s="2">
        <f>ROUND(E433*$C433/100,0)</f>
        <v>0</v>
      </c>
      <c r="H433" s="2">
        <f>ROUND(E433*$D433/100,0)</f>
        <v>0</v>
      </c>
      <c r="I433" s="324">
        <f>$I$173</f>
        <v>-30</v>
      </c>
      <c r="J433" s="308" t="s">
        <v>364</v>
      </c>
      <c r="K433" s="2">
        <f>ROUND(I433*$D433/100,0)</f>
        <v>0</v>
      </c>
    </row>
    <row r="434" spans="1:15">
      <c r="A434" s="1" t="s">
        <v>371</v>
      </c>
      <c r="B434" s="1"/>
      <c r="C434" s="304">
        <f>SUM(C419:C421)</f>
        <v>2729</v>
      </c>
      <c r="D434" s="304">
        <v>5657.1497597183234</v>
      </c>
      <c r="E434" s="315"/>
      <c r="F434" s="2"/>
      <c r="G434" s="2">
        <f>SUM(G413:G433)</f>
        <v>1696</v>
      </c>
      <c r="H434" s="2">
        <f>SUM(H413:H433)</f>
        <v>2541</v>
      </c>
      <c r="I434" s="315"/>
      <c r="J434" s="308"/>
      <c r="K434" s="2">
        <f>SUM(K413:K433)</f>
        <v>2674</v>
      </c>
    </row>
    <row r="435" spans="1:15">
      <c r="A435" s="1" t="s">
        <v>353</v>
      </c>
      <c r="B435" s="1"/>
      <c r="C435" s="334">
        <v>-61.512045213815</v>
      </c>
      <c r="D435" s="334">
        <v>0</v>
      </c>
      <c r="E435" s="294"/>
      <c r="F435" s="294"/>
      <c r="G435" s="326">
        <v>-28.466349506112088</v>
      </c>
      <c r="H435" s="326">
        <v>0</v>
      </c>
      <c r="I435" s="294"/>
      <c r="J435" s="294"/>
      <c r="K435" s="326">
        <v>0</v>
      </c>
      <c r="M435" s="274"/>
      <c r="N435" s="274"/>
      <c r="O435" s="275"/>
    </row>
    <row r="436" spans="1:15" ht="16.5" thickBot="1">
      <c r="A436" s="1" t="s">
        <v>372</v>
      </c>
      <c r="B436" s="1"/>
      <c r="C436" s="296">
        <f>SUM(C434:C435)</f>
        <v>2667.4879547861851</v>
      </c>
      <c r="D436" s="296">
        <f>SUM(D434:D435)</f>
        <v>5657.1497597183234</v>
      </c>
      <c r="E436" s="327"/>
      <c r="F436" s="328"/>
      <c r="G436" s="329">
        <f>G434+G435</f>
        <v>1667.533650493888</v>
      </c>
      <c r="H436" s="329">
        <f>H434+H435</f>
        <v>2541</v>
      </c>
      <c r="I436" s="327"/>
      <c r="J436" s="330"/>
      <c r="K436" s="329">
        <f>K434+K435</f>
        <v>2674</v>
      </c>
      <c r="M436" s="276"/>
      <c r="N436" s="276"/>
      <c r="O436" s="277"/>
    </row>
    <row r="437" spans="1:15" ht="16.5" thickTop="1">
      <c r="A437" s="1"/>
      <c r="B437" s="1"/>
      <c r="C437" s="21"/>
      <c r="D437" s="21"/>
      <c r="E437" s="322"/>
      <c r="F437" s="2"/>
      <c r="G437" s="2"/>
      <c r="H437" s="2"/>
      <c r="I437" s="338" t="s">
        <v>31</v>
      </c>
      <c r="J437" s="1"/>
      <c r="K437" s="2" t="s">
        <v>31</v>
      </c>
    </row>
    <row r="438" spans="1:15">
      <c r="A438" s="1"/>
      <c r="B438" s="1"/>
      <c r="C438" s="21"/>
      <c r="D438" s="21"/>
      <c r="E438" s="322"/>
      <c r="F438" s="2"/>
      <c r="G438" s="2"/>
      <c r="H438" s="2"/>
      <c r="I438" s="338" t="s">
        <v>31</v>
      </c>
      <c r="J438" s="1"/>
      <c r="K438" s="2" t="s">
        <v>31</v>
      </c>
    </row>
    <row r="439" spans="1:15">
      <c r="A439" s="278" t="s">
        <v>410</v>
      </c>
      <c r="B439" s="1"/>
      <c r="C439" s="339"/>
      <c r="D439" s="339"/>
      <c r="E439" s="2"/>
      <c r="F439" s="2"/>
      <c r="G439" s="1"/>
      <c r="H439" s="1"/>
      <c r="I439" s="2"/>
      <c r="J439" s="1"/>
      <c r="K439" s="2" t="s">
        <v>31</v>
      </c>
    </row>
    <row r="440" spans="1:15">
      <c r="A440" s="308" t="s">
        <v>325</v>
      </c>
      <c r="B440" s="1"/>
      <c r="C440" s="1" t="s">
        <v>31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308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308" t="s">
        <v>383</v>
      </c>
      <c r="B442" s="1"/>
      <c r="C442" s="304"/>
      <c r="D442" s="304"/>
      <c r="E442" s="2"/>
      <c r="F442" s="2"/>
      <c r="G442" s="1"/>
      <c r="H442" s="1"/>
      <c r="I442" s="2"/>
      <c r="J442" s="1"/>
      <c r="K442" s="1"/>
    </row>
    <row r="443" spans="1:15">
      <c r="A443" s="308" t="s">
        <v>411</v>
      </c>
      <c r="B443" s="1"/>
      <c r="C443" s="304">
        <v>0</v>
      </c>
      <c r="D443" s="304">
        <v>0</v>
      </c>
      <c r="E443" s="340">
        <f>E480</f>
        <v>205</v>
      </c>
      <c r="F443" s="308"/>
      <c r="G443" s="306">
        <f t="shared" ref="G443:H445" si="39">ROUND(E443*$C443,0)</f>
        <v>0</v>
      </c>
      <c r="H443" s="306">
        <f t="shared" si="39"/>
        <v>0</v>
      </c>
      <c r="I443" s="340">
        <f>I480</f>
        <v>225</v>
      </c>
      <c r="J443" s="308"/>
      <c r="K443" s="306">
        <f>ROUND(I443*$D443,0)</f>
        <v>0</v>
      </c>
    </row>
    <row r="444" spans="1:15">
      <c r="A444" s="308" t="s">
        <v>412</v>
      </c>
      <c r="B444" s="1"/>
      <c r="C444" s="304">
        <v>0</v>
      </c>
      <c r="D444" s="304">
        <v>0</v>
      </c>
      <c r="E444" s="340">
        <f>E481</f>
        <v>75</v>
      </c>
      <c r="F444" s="308"/>
      <c r="G444" s="306">
        <f t="shared" si="39"/>
        <v>0</v>
      </c>
      <c r="H444" s="306">
        <f t="shared" si="39"/>
        <v>0</v>
      </c>
      <c r="I444" s="340">
        <f>I481</f>
        <v>83</v>
      </c>
      <c r="J444" s="308"/>
      <c r="K444" s="306">
        <f>ROUND(I444*$D444,0)</f>
        <v>0</v>
      </c>
    </row>
    <row r="445" spans="1:15">
      <c r="A445" s="308" t="s">
        <v>413</v>
      </c>
      <c r="B445" s="1"/>
      <c r="C445" s="304">
        <v>0</v>
      </c>
      <c r="D445" s="304">
        <v>0</v>
      </c>
      <c r="E445" s="340">
        <f>E482</f>
        <v>150</v>
      </c>
      <c r="F445" s="310"/>
      <c r="G445" s="306">
        <f t="shared" si="39"/>
        <v>0</v>
      </c>
      <c r="H445" s="306">
        <f t="shared" si="39"/>
        <v>0</v>
      </c>
      <c r="I445" s="340">
        <f>I482</f>
        <v>166</v>
      </c>
      <c r="J445" s="310"/>
      <c r="K445" s="306">
        <f>ROUND(I445*$D445,0)</f>
        <v>0</v>
      </c>
    </row>
    <row r="446" spans="1:15">
      <c r="A446" s="308" t="s">
        <v>384</v>
      </c>
      <c r="B446" s="1"/>
      <c r="C446" s="304">
        <f>SUM(C443:C445)</f>
        <v>0</v>
      </c>
      <c r="D446" s="304">
        <f>SUM(D443:D445)</f>
        <v>0</v>
      </c>
      <c r="E446" s="340"/>
      <c r="F446" s="308"/>
      <c r="G446" s="306"/>
      <c r="H446" s="306"/>
      <c r="I446" s="340"/>
      <c r="J446" s="308"/>
      <c r="K446" s="306"/>
    </row>
    <row r="447" spans="1:15">
      <c r="A447" s="308" t="s">
        <v>412</v>
      </c>
      <c r="B447" s="1"/>
      <c r="C447" s="304">
        <v>0</v>
      </c>
      <c r="D447" s="304">
        <v>0</v>
      </c>
      <c r="E447" s="340">
        <f>E484</f>
        <v>1.38</v>
      </c>
      <c r="F447" s="308" t="s">
        <v>31</v>
      </c>
      <c r="G447" s="306">
        <f>ROUND(E447*$C447,0)</f>
        <v>0</v>
      </c>
      <c r="H447" s="306">
        <f>ROUND(F447*$C447,0)</f>
        <v>0</v>
      </c>
      <c r="I447" s="340">
        <f>I484</f>
        <v>1.47</v>
      </c>
      <c r="J447" s="308" t="s">
        <v>31</v>
      </c>
      <c r="K447" s="306">
        <f>ROUND(I447*$D447,0)</f>
        <v>0</v>
      </c>
    </row>
    <row r="448" spans="1:15">
      <c r="A448" s="308" t="s">
        <v>413</v>
      </c>
      <c r="B448" s="1"/>
      <c r="C448" s="304">
        <v>0</v>
      </c>
      <c r="D448" s="304">
        <v>0</v>
      </c>
      <c r="E448" s="340">
        <f>E485</f>
        <v>1.1299999999999999</v>
      </c>
      <c r="F448" s="308" t="s">
        <v>31</v>
      </c>
      <c r="G448" s="306">
        <f>ROUND(E448*$C448,0)</f>
        <v>0</v>
      </c>
      <c r="H448" s="306">
        <f>ROUND(F448*$C448,0)</f>
        <v>0</v>
      </c>
      <c r="I448" s="340">
        <f>I485</f>
        <v>1.2</v>
      </c>
      <c r="J448" s="308" t="s">
        <v>31</v>
      </c>
      <c r="K448" s="306">
        <f>ROUND(I448*$D448,0)</f>
        <v>0</v>
      </c>
    </row>
    <row r="449" spans="1:11">
      <c r="A449" s="294" t="s">
        <v>414</v>
      </c>
      <c r="B449" s="1"/>
      <c r="C449" s="304"/>
      <c r="D449" s="304"/>
      <c r="E449" s="340"/>
      <c r="F449" s="308"/>
      <c r="G449" s="306"/>
      <c r="H449" s="306"/>
      <c r="I449" s="340"/>
      <c r="J449" s="308"/>
      <c r="K449" s="306"/>
    </row>
    <row r="450" spans="1:11">
      <c r="A450" s="294" t="s">
        <v>415</v>
      </c>
      <c r="B450" s="1"/>
      <c r="C450" s="304">
        <v>0</v>
      </c>
      <c r="D450" s="304">
        <v>0</v>
      </c>
      <c r="E450" s="340">
        <f>E487</f>
        <v>3.64</v>
      </c>
      <c r="F450" s="308"/>
      <c r="G450" s="306">
        <f>ROUND(E450*$C450,0)</f>
        <v>0</v>
      </c>
      <c r="H450" s="306">
        <f>ROUND(F450*$C450,0)</f>
        <v>0</v>
      </c>
      <c r="I450" s="340">
        <f>I487</f>
        <v>3.75</v>
      </c>
      <c r="J450" s="308"/>
      <c r="K450" s="306">
        <f>ROUND(I450*$D450,0)</f>
        <v>0</v>
      </c>
    </row>
    <row r="451" spans="1:11">
      <c r="A451" s="308" t="s">
        <v>416</v>
      </c>
      <c r="B451" s="1"/>
      <c r="C451" s="304"/>
      <c r="D451" s="304"/>
      <c r="E451" s="341"/>
      <c r="F451" s="306"/>
      <c r="G451" s="306"/>
      <c r="H451" s="306"/>
      <c r="I451" s="341"/>
      <c r="J451" s="306"/>
      <c r="K451" s="306"/>
    </row>
    <row r="452" spans="1:11">
      <c r="A452" s="308" t="s">
        <v>417</v>
      </c>
      <c r="B452" s="1"/>
      <c r="C452" s="304">
        <v>0</v>
      </c>
      <c r="D452" s="304">
        <v>0</v>
      </c>
      <c r="E452" s="342">
        <f>E490</f>
        <v>3.9809999999999999</v>
      </c>
      <c r="F452" s="306" t="s">
        <v>364</v>
      </c>
      <c r="G452" s="306">
        <f>ROUND($C452*E452/100,0)</f>
        <v>0</v>
      </c>
      <c r="H452" s="306">
        <f>ROUND($C452*F452/100,0)</f>
        <v>0</v>
      </c>
      <c r="I452" s="342">
        <f>I490</f>
        <v>4.3570000000000002</v>
      </c>
      <c r="J452" s="306" t="s">
        <v>364</v>
      </c>
      <c r="K452" s="306">
        <f>ROUND($D452*I452/100,0)</f>
        <v>0</v>
      </c>
    </row>
    <row r="453" spans="1:11">
      <c r="A453" s="308" t="s">
        <v>389</v>
      </c>
      <c r="B453" s="1"/>
      <c r="C453" s="304">
        <v>0</v>
      </c>
      <c r="D453" s="304">
        <v>0</v>
      </c>
      <c r="E453" s="342">
        <f>E491</f>
        <v>3.649</v>
      </c>
      <c r="F453" s="306" t="s">
        <v>364</v>
      </c>
      <c r="G453" s="306">
        <f>ROUND($C453*E453/100,0)</f>
        <v>0</v>
      </c>
      <c r="H453" s="306">
        <f>ROUND($C453*F453/100,0)</f>
        <v>0</v>
      </c>
      <c r="I453" s="342">
        <f>I491</f>
        <v>3.9930000000000003</v>
      </c>
      <c r="J453" s="306" t="s">
        <v>364</v>
      </c>
      <c r="K453" s="306">
        <f>ROUND($D453*I453/100,0)</f>
        <v>0</v>
      </c>
    </row>
    <row r="454" spans="1:11">
      <c r="A454" s="308" t="s">
        <v>390</v>
      </c>
      <c r="B454" s="1"/>
      <c r="C454" s="304">
        <v>0</v>
      </c>
      <c r="D454" s="304">
        <v>0</v>
      </c>
      <c r="E454" s="343">
        <v>45</v>
      </c>
      <c r="F454" s="306" t="s">
        <v>364</v>
      </c>
      <c r="G454" s="306">
        <f>ROUND(E454*$C454/100,0)</f>
        <v>0</v>
      </c>
      <c r="H454" s="306">
        <f>ROUND(F454*$C454/100,0)</f>
        <v>0</v>
      </c>
      <c r="I454" s="343">
        <v>45</v>
      </c>
      <c r="J454" s="306" t="s">
        <v>364</v>
      </c>
      <c r="K454" s="306">
        <f>ROUND(I454*$D454,0)</f>
        <v>0</v>
      </c>
    </row>
    <row r="455" spans="1:11">
      <c r="A455" s="308" t="s">
        <v>418</v>
      </c>
      <c r="B455" s="1"/>
      <c r="C455" s="304">
        <v>0</v>
      </c>
      <c r="D455" s="304">
        <v>0</v>
      </c>
      <c r="E455" s="344">
        <v>0.06</v>
      </c>
      <c r="F455" s="306"/>
      <c r="G455" s="306">
        <f>ROUND($C455*E455/100,0)</f>
        <v>0</v>
      </c>
      <c r="H455" s="306">
        <f>ROUND($C455*F455/100,0)</f>
        <v>0</v>
      </c>
      <c r="I455" s="344">
        <v>0.06</v>
      </c>
      <c r="J455" s="306"/>
      <c r="K455" s="306">
        <f>ROUND($D455*I455/100,0)</f>
        <v>0</v>
      </c>
    </row>
    <row r="456" spans="1:11">
      <c r="A456" s="345" t="s">
        <v>391</v>
      </c>
      <c r="B456" s="1"/>
      <c r="C456" s="304"/>
      <c r="D456" s="304"/>
      <c r="E456" s="317">
        <v>-0.01</v>
      </c>
      <c r="F456" s="346"/>
      <c r="G456" s="346"/>
      <c r="H456" s="346"/>
      <c r="I456" s="317">
        <v>-0.01</v>
      </c>
      <c r="J456" s="346"/>
      <c r="K456" s="2"/>
    </row>
    <row r="457" spans="1:11">
      <c r="A457" s="308" t="s">
        <v>411</v>
      </c>
      <c r="B457" s="1"/>
      <c r="C457" s="304">
        <v>0</v>
      </c>
      <c r="D457" s="304">
        <v>0</v>
      </c>
      <c r="E457" s="340">
        <f>E443</f>
        <v>205</v>
      </c>
      <c r="F457" s="308"/>
      <c r="G457" s="306">
        <f t="shared" ref="G457:H462" si="40">ROUND(E457*$C457*$E$456,0)</f>
        <v>0</v>
      </c>
      <c r="H457" s="306">
        <f t="shared" si="40"/>
        <v>0</v>
      </c>
      <c r="I457" s="340">
        <f>I443</f>
        <v>225</v>
      </c>
      <c r="J457" s="308"/>
      <c r="K457" s="306">
        <f t="shared" ref="K457:K462" si="41">ROUND(I457*$D457*$E$456,0)</f>
        <v>0</v>
      </c>
    </row>
    <row r="458" spans="1:11">
      <c r="A458" s="308" t="s">
        <v>412</v>
      </c>
      <c r="B458" s="1"/>
      <c r="C458" s="304">
        <v>0</v>
      </c>
      <c r="D458" s="304">
        <v>0</v>
      </c>
      <c r="E458" s="340">
        <f>E444</f>
        <v>75</v>
      </c>
      <c r="F458" s="308"/>
      <c r="G458" s="306">
        <f t="shared" si="40"/>
        <v>0</v>
      </c>
      <c r="H458" s="306">
        <f t="shared" si="40"/>
        <v>0</v>
      </c>
      <c r="I458" s="340">
        <f>I444</f>
        <v>83</v>
      </c>
      <c r="J458" s="308"/>
      <c r="K458" s="306">
        <f t="shared" si="41"/>
        <v>0</v>
      </c>
    </row>
    <row r="459" spans="1:11">
      <c r="A459" s="308" t="s">
        <v>413</v>
      </c>
      <c r="B459" s="1"/>
      <c r="C459" s="304">
        <v>0</v>
      </c>
      <c r="D459" s="304">
        <v>0</v>
      </c>
      <c r="E459" s="340">
        <f>E445</f>
        <v>150</v>
      </c>
      <c r="F459" s="310"/>
      <c r="G459" s="306">
        <f t="shared" si="40"/>
        <v>0</v>
      </c>
      <c r="H459" s="306">
        <f t="shared" si="40"/>
        <v>0</v>
      </c>
      <c r="I459" s="340">
        <f>I445</f>
        <v>166</v>
      </c>
      <c r="J459" s="310"/>
      <c r="K459" s="306">
        <f t="shared" si="41"/>
        <v>0</v>
      </c>
    </row>
    <row r="460" spans="1:11">
      <c r="A460" s="308" t="s">
        <v>412</v>
      </c>
      <c r="B460" s="1"/>
      <c r="C460" s="304">
        <v>0</v>
      </c>
      <c r="D460" s="304">
        <v>0</v>
      </c>
      <c r="E460" s="340">
        <f>E447</f>
        <v>1.38</v>
      </c>
      <c r="F460" s="308" t="s">
        <v>31</v>
      </c>
      <c r="G460" s="306">
        <f t="shared" si="40"/>
        <v>0</v>
      </c>
      <c r="H460" s="306">
        <f t="shared" si="40"/>
        <v>0</v>
      </c>
      <c r="I460" s="340">
        <f>I447</f>
        <v>1.47</v>
      </c>
      <c r="J460" s="308" t="s">
        <v>31</v>
      </c>
      <c r="K460" s="306">
        <f t="shared" si="41"/>
        <v>0</v>
      </c>
    </row>
    <row r="461" spans="1:11">
      <c r="A461" s="308" t="s">
        <v>413</v>
      </c>
      <c r="B461" s="1"/>
      <c r="C461" s="304">
        <v>0</v>
      </c>
      <c r="D461" s="304">
        <v>0</v>
      </c>
      <c r="E461" s="340">
        <f>E448</f>
        <v>1.1299999999999999</v>
      </c>
      <c r="F461" s="308" t="s">
        <v>31</v>
      </c>
      <c r="G461" s="306">
        <f t="shared" si="40"/>
        <v>0</v>
      </c>
      <c r="H461" s="306">
        <f t="shared" si="40"/>
        <v>0</v>
      </c>
      <c r="I461" s="340">
        <f>I448</f>
        <v>1.2</v>
      </c>
      <c r="J461" s="308" t="s">
        <v>31</v>
      </c>
      <c r="K461" s="306">
        <f t="shared" si="41"/>
        <v>0</v>
      </c>
    </row>
    <row r="462" spans="1:11">
      <c r="A462" s="294" t="s">
        <v>415</v>
      </c>
      <c r="B462" s="1"/>
      <c r="C462" s="304">
        <v>0</v>
      </c>
      <c r="D462" s="304">
        <v>0</v>
      </c>
      <c r="E462" s="340">
        <f>E450</f>
        <v>3.64</v>
      </c>
      <c r="F462" s="308"/>
      <c r="G462" s="306">
        <f t="shared" si="40"/>
        <v>0</v>
      </c>
      <c r="H462" s="306">
        <f t="shared" si="40"/>
        <v>0</v>
      </c>
      <c r="I462" s="340">
        <f>I450</f>
        <v>3.75</v>
      </c>
      <c r="J462" s="308"/>
      <c r="K462" s="306">
        <f t="shared" si="41"/>
        <v>0</v>
      </c>
    </row>
    <row r="463" spans="1:11">
      <c r="A463" s="308" t="s">
        <v>417</v>
      </c>
      <c r="B463" s="1"/>
      <c r="C463" s="304">
        <v>0</v>
      </c>
      <c r="D463" s="304">
        <v>0</v>
      </c>
      <c r="E463" s="320">
        <f>E452</f>
        <v>3.9809999999999999</v>
      </c>
      <c r="F463" s="306" t="s">
        <v>364</v>
      </c>
      <c r="G463" s="306">
        <f>ROUND(E463/100*$C463*E456,0)</f>
        <v>0</v>
      </c>
      <c r="H463" s="306">
        <f>ROUND(F463/100*$C463*F456,0)</f>
        <v>0</v>
      </c>
      <c r="I463" s="320">
        <f>I452</f>
        <v>4.3570000000000002</v>
      </c>
      <c r="J463" s="306" t="s">
        <v>364</v>
      </c>
      <c r="K463" s="306">
        <f>ROUND(I463/100*$D463*E456,0)</f>
        <v>0</v>
      </c>
    </row>
    <row r="464" spans="1:11">
      <c r="A464" s="308" t="s">
        <v>389</v>
      </c>
      <c r="B464" s="1"/>
      <c r="C464" s="304">
        <v>0</v>
      </c>
      <c r="D464" s="304">
        <v>0</v>
      </c>
      <c r="E464" s="320">
        <f>E453</f>
        <v>3.649</v>
      </c>
      <c r="F464" s="306" t="s">
        <v>364</v>
      </c>
      <c r="G464" s="306">
        <f>ROUND(E464/100*$C464*E456,0)</f>
        <v>0</v>
      </c>
      <c r="H464" s="306">
        <f>ROUND(F464/100*$C464*F456,0)</f>
        <v>0</v>
      </c>
      <c r="I464" s="320">
        <f>I453</f>
        <v>3.9930000000000003</v>
      </c>
      <c r="J464" s="306" t="s">
        <v>364</v>
      </c>
      <c r="K464" s="306">
        <f>ROUND(I464/100*$D464*E456,0)</f>
        <v>0</v>
      </c>
    </row>
    <row r="465" spans="1:24">
      <c r="A465" s="294" t="s">
        <v>419</v>
      </c>
      <c r="B465" s="1"/>
      <c r="C465" s="304">
        <v>0</v>
      </c>
      <c r="D465" s="304">
        <v>0</v>
      </c>
      <c r="E465" s="347">
        <v>45</v>
      </c>
      <c r="F465" s="306" t="s">
        <v>364</v>
      </c>
      <c r="G465" s="306">
        <f>ROUND(E465*$C465*$E$456,0)</f>
        <v>0</v>
      </c>
      <c r="H465" s="306">
        <f>ROUND(F465*$C465*$E$456,0)</f>
        <v>0</v>
      </c>
      <c r="I465" s="347">
        <v>45</v>
      </c>
      <c r="J465" s="306" t="s">
        <v>364</v>
      </c>
      <c r="K465" s="306">
        <f>ROUND(I465*$D465*$E$456,0)</f>
        <v>0</v>
      </c>
    </row>
    <row r="466" spans="1:24">
      <c r="A466" s="294" t="s">
        <v>420</v>
      </c>
      <c r="B466" s="1"/>
      <c r="C466" s="304">
        <v>0</v>
      </c>
      <c r="D466" s="304">
        <v>0</v>
      </c>
      <c r="E466" s="321">
        <v>0.06</v>
      </c>
      <c r="F466" s="306" t="s">
        <v>364</v>
      </c>
      <c r="G466" s="306">
        <f>ROUND(E466/100*$C466*E456,0)</f>
        <v>0</v>
      </c>
      <c r="H466" s="306">
        <f>ROUND(F466/100*$C466*F456,0)</f>
        <v>0</v>
      </c>
      <c r="I466" s="321">
        <v>0.06</v>
      </c>
      <c r="J466" s="306" t="s">
        <v>364</v>
      </c>
      <c r="K466" s="306">
        <f>ROUND(I466/100*$D466*I456,0)</f>
        <v>0</v>
      </c>
    </row>
    <row r="467" spans="1:24">
      <c r="A467" s="308" t="s">
        <v>421</v>
      </c>
      <c r="B467" s="1"/>
      <c r="C467" s="304">
        <v>0</v>
      </c>
      <c r="D467" s="304">
        <v>0</v>
      </c>
      <c r="E467" s="348">
        <v>60</v>
      </c>
      <c r="F467" s="346" t="s">
        <v>31</v>
      </c>
      <c r="G467" s="306">
        <f>ROUND(E467*$C467,0)</f>
        <v>0</v>
      </c>
      <c r="H467" s="306">
        <f>ROUND(F467*$C467,0)</f>
        <v>0</v>
      </c>
      <c r="I467" s="348">
        <v>60</v>
      </c>
      <c r="J467" s="349" t="s">
        <v>31</v>
      </c>
      <c r="K467" s="306">
        <f>ROUND(I467*$D467,0)</f>
        <v>0</v>
      </c>
    </row>
    <row r="468" spans="1:24">
      <c r="A468" s="308" t="s">
        <v>422</v>
      </c>
      <c r="B468" s="1"/>
      <c r="C468" s="304">
        <v>0</v>
      </c>
      <c r="D468" s="304">
        <v>0</v>
      </c>
      <c r="E468" s="321">
        <v>-30</v>
      </c>
      <c r="F468" s="306" t="s">
        <v>364</v>
      </c>
      <c r="G468" s="306">
        <f>ROUND(E468*$C468*$E$456,0)</f>
        <v>0</v>
      </c>
      <c r="H468" s="306">
        <f>ROUND(F468*$C468*$E$456,0)</f>
        <v>0</v>
      </c>
      <c r="I468" s="321">
        <v>-30</v>
      </c>
      <c r="J468" s="306" t="s">
        <v>364</v>
      </c>
      <c r="K468" s="306">
        <f>ROUND(I468*$D468*$E$456,0)</f>
        <v>0</v>
      </c>
    </row>
    <row r="469" spans="1:24">
      <c r="A469" s="294" t="s">
        <v>423</v>
      </c>
      <c r="B469" s="1"/>
      <c r="C469" s="304">
        <v>0</v>
      </c>
      <c r="D469" s="304">
        <v>0</v>
      </c>
      <c r="E469" s="319">
        <f>E450/2</f>
        <v>1.82</v>
      </c>
      <c r="F469" s="306"/>
      <c r="G469" s="306"/>
      <c r="H469" s="306"/>
      <c r="I469" s="319">
        <f>I450/2</f>
        <v>1.875</v>
      </c>
      <c r="J469" s="306"/>
      <c r="K469" s="306">
        <f>ROUND($D469*I469,0)</f>
        <v>0</v>
      </c>
    </row>
    <row r="470" spans="1:24">
      <c r="A470" s="294" t="s">
        <v>424</v>
      </c>
      <c r="B470" s="1"/>
      <c r="C470" s="304">
        <v>0</v>
      </c>
      <c r="D470" s="304">
        <v>0</v>
      </c>
      <c r="E470" s="319">
        <f>E450*4</f>
        <v>14.56</v>
      </c>
      <c r="F470" s="306"/>
      <c r="G470" s="306"/>
      <c r="H470" s="306"/>
      <c r="I470" s="319">
        <f>I450*4</f>
        <v>15</v>
      </c>
      <c r="J470" s="306"/>
      <c r="K470" s="306">
        <f>ROUND($D470*I470,0)</f>
        <v>0</v>
      </c>
    </row>
    <row r="471" spans="1:24">
      <c r="A471" s="3" t="s">
        <v>425</v>
      </c>
      <c r="B471" s="288"/>
      <c r="C471" s="304">
        <v>0</v>
      </c>
      <c r="D471" s="304">
        <v>0</v>
      </c>
      <c r="E471" s="350">
        <f>E453*4</f>
        <v>14.596</v>
      </c>
      <c r="F471" s="306" t="s">
        <v>364</v>
      </c>
      <c r="G471" s="306">
        <f>ROUND($C471*E471/100,0)</f>
        <v>0</v>
      </c>
      <c r="H471" s="306">
        <f>ROUND($C471*F471/100,0)</f>
        <v>0</v>
      </c>
      <c r="I471" s="590">
        <f>I453*4</f>
        <v>15.972000000000001</v>
      </c>
      <c r="J471" s="306" t="s">
        <v>364</v>
      </c>
      <c r="K471" s="306">
        <f>ROUND($D471*I471/100,0)</f>
        <v>0</v>
      </c>
    </row>
    <row r="472" spans="1:24">
      <c r="A472" s="1" t="s">
        <v>371</v>
      </c>
      <c r="B472" s="1"/>
      <c r="C472" s="304">
        <f>SUM(C452:C453)</f>
        <v>0</v>
      </c>
      <c r="D472" s="304">
        <f>SUM(D452:D453)</f>
        <v>0</v>
      </c>
      <c r="E472" s="315"/>
      <c r="F472" s="2"/>
      <c r="G472" s="2">
        <f>SUM(G443:G471)</f>
        <v>0</v>
      </c>
      <c r="H472" s="2">
        <f>SUM(H443:H471)</f>
        <v>0</v>
      </c>
      <c r="I472" s="315"/>
      <c r="J472" s="308"/>
      <c r="K472" s="2">
        <f>SUM(K443:K471)</f>
        <v>0</v>
      </c>
    </row>
    <row r="473" spans="1:24">
      <c r="A473" s="1" t="s">
        <v>353</v>
      </c>
      <c r="B473" s="1"/>
      <c r="C473" s="334">
        <v>0</v>
      </c>
      <c r="D473" s="334">
        <v>0</v>
      </c>
      <c r="E473" s="294"/>
      <c r="F473" s="294"/>
      <c r="G473" s="295">
        <v>0</v>
      </c>
      <c r="H473" s="295">
        <v>0</v>
      </c>
      <c r="I473" s="294"/>
      <c r="J473" s="294"/>
      <c r="K473" s="295">
        <v>0</v>
      </c>
      <c r="M473" s="274"/>
      <c r="N473" s="274"/>
      <c r="O473" s="275"/>
    </row>
    <row r="474" spans="1:24" ht="16.5" thickBot="1">
      <c r="A474" s="1" t="s">
        <v>372</v>
      </c>
      <c r="B474" s="1"/>
      <c r="C474" s="351">
        <f>SUM(C472:C473)</f>
        <v>0</v>
      </c>
      <c r="D474" s="351">
        <f>SUM(D472:D473)</f>
        <v>0</v>
      </c>
      <c r="E474" s="327"/>
      <c r="F474" s="328"/>
      <c r="G474" s="329">
        <f>SUM(G472:G473)</f>
        <v>0</v>
      </c>
      <c r="H474" s="329">
        <f>SUM(H472:H473)</f>
        <v>0</v>
      </c>
      <c r="I474" s="327"/>
      <c r="J474" s="330"/>
      <c r="K474" s="329">
        <f>SUM(K472:K473)</f>
        <v>0</v>
      </c>
      <c r="M474" s="276"/>
      <c r="N474" s="276"/>
      <c r="O474" s="277"/>
    </row>
    <row r="475" spans="1:24" ht="16.5" thickTop="1">
      <c r="A475" s="1"/>
      <c r="B475" s="352"/>
      <c r="C475" s="21"/>
      <c r="D475" s="21"/>
      <c r="E475" s="322"/>
      <c r="F475" s="2"/>
      <c r="G475" s="2"/>
      <c r="H475" s="2"/>
      <c r="I475" s="322"/>
      <c r="J475" s="1"/>
      <c r="K475" s="2"/>
    </row>
    <row r="476" spans="1:24">
      <c r="A476" s="278" t="s">
        <v>426</v>
      </c>
      <c r="B476" s="1"/>
      <c r="C476" s="1"/>
      <c r="D476" s="1"/>
      <c r="E476" s="2"/>
      <c r="F476" s="2"/>
      <c r="G476" s="1" t="s">
        <v>31</v>
      </c>
      <c r="H476" s="1"/>
      <c r="I476" s="2"/>
      <c r="J476" s="1"/>
      <c r="K476" s="1"/>
    </row>
    <row r="477" spans="1:24">
      <c r="A477" s="294" t="s">
        <v>427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308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308" t="s">
        <v>383</v>
      </c>
      <c r="B479" s="1"/>
      <c r="C479" s="304"/>
      <c r="D479" s="304"/>
      <c r="E479" s="2"/>
      <c r="F479" s="2"/>
      <c r="G479" s="1"/>
      <c r="H479" s="1"/>
      <c r="I479" s="2"/>
      <c r="J479" s="1"/>
      <c r="K479" s="1"/>
      <c r="S479" s="22">
        <v>100</v>
      </c>
      <c r="T479" s="22">
        <v>101</v>
      </c>
      <c r="U479" s="22">
        <v>300</v>
      </c>
      <c r="V479" s="22">
        <v>301</v>
      </c>
      <c r="W479" s="22" t="s">
        <v>428</v>
      </c>
      <c r="X479" s="22" t="s">
        <v>429</v>
      </c>
    </row>
    <row r="480" spans="1:24">
      <c r="A480" s="308" t="s">
        <v>411</v>
      </c>
      <c r="B480" s="1"/>
      <c r="C480" s="304">
        <f t="shared" ref="C480:D482" si="42">C514+C548</f>
        <v>289</v>
      </c>
      <c r="D480" s="304">
        <f t="shared" si="42"/>
        <v>292</v>
      </c>
      <c r="E480" s="283">
        <v>205</v>
      </c>
      <c r="F480" s="308"/>
      <c r="G480" s="306">
        <f t="shared" ref="G480:H482" si="43">G514+G548</f>
        <v>59245</v>
      </c>
      <c r="H480" s="306">
        <f t="shared" si="43"/>
        <v>59860</v>
      </c>
      <c r="I480" s="283">
        <v>225</v>
      </c>
      <c r="J480" s="308"/>
      <c r="K480" s="306">
        <f>K514+K548</f>
        <v>65700</v>
      </c>
      <c r="M480" s="84">
        <f>I480*D480</f>
        <v>65700</v>
      </c>
      <c r="N480" s="14"/>
      <c r="O480" s="14">
        <f>(I480-E480)/E480</f>
        <v>9.7560975609756101E-2</v>
      </c>
      <c r="P480" s="222">
        <f>SUM(K480:K485)/SUM(H480:H485)-1</f>
        <v>7.3572489540367991E-2</v>
      </c>
      <c r="R480" s="3" t="s">
        <v>361</v>
      </c>
      <c r="S480" s="314">
        <f>E480</f>
        <v>205</v>
      </c>
      <c r="T480" s="314">
        <f>E481+(E484*101)</f>
        <v>214.38</v>
      </c>
      <c r="U480" s="314">
        <f>E481+(E484*300)</f>
        <v>488.99999999999994</v>
      </c>
      <c r="V480" s="314">
        <f>E482+(E485*301)</f>
        <v>490.13</v>
      </c>
      <c r="W480" s="84">
        <f>(D480+D481+D482)*E480</f>
        <v>2621745</v>
      </c>
      <c r="X480" s="84">
        <f>SUM(H480:H485)-W480</f>
        <v>2785711</v>
      </c>
    </row>
    <row r="481" spans="1:25">
      <c r="A481" s="308" t="s">
        <v>412</v>
      </c>
      <c r="B481" s="1"/>
      <c r="C481" s="304">
        <f t="shared" si="42"/>
        <v>8907</v>
      </c>
      <c r="D481" s="304">
        <f t="shared" si="42"/>
        <v>8972</v>
      </c>
      <c r="E481" s="283">
        <v>75</v>
      </c>
      <c r="F481" s="308"/>
      <c r="G481" s="306">
        <f t="shared" si="43"/>
        <v>668025</v>
      </c>
      <c r="H481" s="306">
        <f t="shared" si="43"/>
        <v>672900</v>
      </c>
      <c r="I481" s="283">
        <v>83</v>
      </c>
      <c r="J481" s="308"/>
      <c r="K481" s="306">
        <f>K515+K549</f>
        <v>744676</v>
      </c>
      <c r="M481" s="84">
        <f>I481*D481</f>
        <v>744676</v>
      </c>
      <c r="N481" s="14"/>
      <c r="O481" s="14">
        <f>(I481-E481)/E481</f>
        <v>0.10666666666666667</v>
      </c>
      <c r="R481" s="3" t="s">
        <v>296</v>
      </c>
      <c r="S481" s="314">
        <f>I480</f>
        <v>225</v>
      </c>
      <c r="T481" s="314">
        <f>I481+(I484*101)</f>
        <v>231.47</v>
      </c>
      <c r="U481" s="314">
        <f>I481+(I484*300)</f>
        <v>524</v>
      </c>
      <c r="V481" s="314">
        <f>I482+(I485*301)</f>
        <v>527.20000000000005</v>
      </c>
      <c r="W481" s="84">
        <f>(D480+D481+D482)*I480</f>
        <v>2877525</v>
      </c>
      <c r="X481" s="84">
        <f>SUM(K480:K485)-W481</f>
        <v>2927771</v>
      </c>
    </row>
    <row r="482" spans="1:25">
      <c r="A482" s="308" t="s">
        <v>413</v>
      </c>
      <c r="B482" s="1"/>
      <c r="C482" s="304">
        <f t="shared" si="42"/>
        <v>3508</v>
      </c>
      <c r="D482" s="304">
        <f t="shared" si="42"/>
        <v>3525</v>
      </c>
      <c r="E482" s="283">
        <v>150</v>
      </c>
      <c r="F482" s="310"/>
      <c r="G482" s="306">
        <f t="shared" si="43"/>
        <v>526200</v>
      </c>
      <c r="H482" s="306">
        <f t="shared" si="43"/>
        <v>528750</v>
      </c>
      <c r="I482" s="283">
        <v>166</v>
      </c>
      <c r="J482" s="310"/>
      <c r="K482" s="306">
        <f>K516+K550</f>
        <v>585150</v>
      </c>
      <c r="M482" s="84">
        <f>I482*D482</f>
        <v>585150</v>
      </c>
      <c r="N482" s="14"/>
      <c r="O482" s="14">
        <f>(I482-E482)/E482</f>
        <v>0.10666666666666667</v>
      </c>
      <c r="R482" s="3" t="s">
        <v>246</v>
      </c>
      <c r="W482" s="3">
        <f>W481/W480</f>
        <v>1.0975609756097562</v>
      </c>
      <c r="X482" s="3">
        <f>X481/X480</f>
        <v>1.0509959575849757</v>
      </c>
    </row>
    <row r="483" spans="1:25">
      <c r="A483" s="308" t="s">
        <v>384</v>
      </c>
      <c r="B483" s="1"/>
      <c r="C483" s="304">
        <f>SUM(C480:C482)</f>
        <v>12704</v>
      </c>
      <c r="D483" s="304">
        <f>SUM(D480:D482)</f>
        <v>12789</v>
      </c>
      <c r="E483" s="283"/>
      <c r="F483" s="308"/>
      <c r="G483" s="306"/>
      <c r="H483" s="306"/>
      <c r="I483" s="283"/>
      <c r="J483" s="308"/>
      <c r="K483" s="306"/>
    </row>
    <row r="484" spans="1:25">
      <c r="A484" s="308" t="s">
        <v>412</v>
      </c>
      <c r="B484" s="1"/>
      <c r="C484" s="304">
        <f>C518+C552</f>
        <v>1535371</v>
      </c>
      <c r="D484" s="304">
        <f>D518+D552</f>
        <v>1549871</v>
      </c>
      <c r="E484" s="283">
        <v>1.38</v>
      </c>
      <c r="F484" s="308" t="s">
        <v>31</v>
      </c>
      <c r="G484" s="306">
        <f>G518+G552</f>
        <v>2118812</v>
      </c>
      <c r="H484" s="306">
        <f>H518+H552</f>
        <v>2138822</v>
      </c>
      <c r="I484" s="283">
        <v>1.47</v>
      </c>
      <c r="J484" s="308" t="s">
        <v>31</v>
      </c>
      <c r="K484" s="306">
        <f>K518+K552</f>
        <v>2278311</v>
      </c>
      <c r="M484" s="84">
        <f>I484*D484</f>
        <v>2278310.37</v>
      </c>
      <c r="N484" s="14"/>
      <c r="O484" s="14">
        <f>(I484-E484)/E484</f>
        <v>6.5217391304347894E-2</v>
      </c>
      <c r="R484" s="3" t="s">
        <v>430</v>
      </c>
    </row>
    <row r="485" spans="1:25">
      <c r="A485" s="308" t="s">
        <v>413</v>
      </c>
      <c r="B485" s="1"/>
      <c r="C485" s="304">
        <f>C519+C553</f>
        <v>1759859</v>
      </c>
      <c r="D485" s="304">
        <f>D519+D553</f>
        <v>1776216</v>
      </c>
      <c r="E485" s="283">
        <v>1.1299999999999999</v>
      </c>
      <c r="F485" s="308" t="s">
        <v>31</v>
      </c>
      <c r="G485" s="306">
        <f>G519+G553</f>
        <v>1988640</v>
      </c>
      <c r="H485" s="306">
        <f>H519+H553</f>
        <v>2007124</v>
      </c>
      <c r="I485" s="283">
        <v>1.2</v>
      </c>
      <c r="J485" s="308" t="s">
        <v>31</v>
      </c>
      <c r="K485" s="306">
        <f>K519+K553</f>
        <v>2131459</v>
      </c>
      <c r="M485" s="84">
        <f>I485*D485</f>
        <v>2131459.1999999997</v>
      </c>
      <c r="N485" s="14"/>
      <c r="O485" s="14">
        <f>(I485-E485)/E485</f>
        <v>6.1946902654867318E-2</v>
      </c>
      <c r="R485" s="3" t="s">
        <v>361</v>
      </c>
      <c r="T485" s="3">
        <f>(T480-S480)*12</f>
        <v>112.55999999999995</v>
      </c>
      <c r="V485" s="3">
        <f>(V480-U480)*12</f>
        <v>13.560000000000628</v>
      </c>
      <c r="X485" s="353"/>
      <c r="Y485" s="314"/>
    </row>
    <row r="486" spans="1:25">
      <c r="A486" s="294" t="s">
        <v>414</v>
      </c>
      <c r="B486" s="1"/>
      <c r="C486" s="304"/>
      <c r="D486" s="304"/>
      <c r="E486" s="340"/>
      <c r="F486" s="308"/>
      <c r="G486" s="306"/>
      <c r="H486" s="306"/>
      <c r="I486" s="340"/>
      <c r="J486" s="308"/>
      <c r="K486" s="306"/>
      <c r="R486" s="3" t="s">
        <v>296</v>
      </c>
      <c r="T486" s="3">
        <f>(T481-S481)*12</f>
        <v>77.639999999999986</v>
      </c>
      <c r="V486" s="3">
        <f>(V481-U481)*12</f>
        <v>38.400000000000546</v>
      </c>
    </row>
    <row r="487" spans="1:25">
      <c r="A487" s="294" t="s">
        <v>415</v>
      </c>
      <c r="B487" s="1"/>
      <c r="C487" s="304">
        <f>C521+C555</f>
        <v>2505096</v>
      </c>
      <c r="D487" s="304">
        <f>D521+D555</f>
        <v>2528566</v>
      </c>
      <c r="E487" s="283">
        <v>3.64</v>
      </c>
      <c r="F487" s="308"/>
      <c r="G487" s="306">
        <f>G521+G555</f>
        <v>9118549</v>
      </c>
      <c r="H487" s="306">
        <f>H521+H555</f>
        <v>9203980</v>
      </c>
      <c r="I487" s="283">
        <v>3.75</v>
      </c>
      <c r="J487" s="308"/>
      <c r="K487" s="306">
        <f>K521+K555</f>
        <v>9482123</v>
      </c>
      <c r="M487" s="84">
        <f>I487*D487</f>
        <v>9482122.5</v>
      </c>
      <c r="N487" s="14"/>
      <c r="O487" s="14">
        <f>(I487-E487)/E487</f>
        <v>3.0219780219780185E-2</v>
      </c>
    </row>
    <row r="488" spans="1:25">
      <c r="A488" s="294" t="s">
        <v>431</v>
      </c>
      <c r="B488" s="1"/>
      <c r="C488" s="304">
        <f>C522+C556</f>
        <v>29432</v>
      </c>
      <c r="D488" s="304">
        <f>D522+D556</f>
        <v>29702</v>
      </c>
      <c r="E488" s="354">
        <f>E487</f>
        <v>3.64</v>
      </c>
      <c r="F488" s="308"/>
      <c r="G488" s="306">
        <f>G522+G556</f>
        <v>107133</v>
      </c>
      <c r="H488" s="306">
        <f>H522+H556</f>
        <v>108115</v>
      </c>
      <c r="I488" s="354">
        <f>I487</f>
        <v>3.75</v>
      </c>
      <c r="J488" s="308"/>
      <c r="K488" s="306">
        <f>K522+K556</f>
        <v>111383</v>
      </c>
      <c r="M488" s="84">
        <f>I488*D488</f>
        <v>111382.5</v>
      </c>
      <c r="N488" s="14"/>
      <c r="O488" s="14">
        <f>(I488-E488)/E488</f>
        <v>3.0219780219780185E-2</v>
      </c>
    </row>
    <row r="489" spans="1:25">
      <c r="A489" s="308" t="s">
        <v>416</v>
      </c>
      <c r="B489" s="1"/>
      <c r="C489" s="304"/>
      <c r="D489" s="304"/>
      <c r="E489" s="283"/>
      <c r="F489" s="308"/>
      <c r="G489" s="306"/>
      <c r="H489" s="306"/>
      <c r="I489" s="283"/>
      <c r="J489" s="308"/>
      <c r="K489" s="306"/>
    </row>
    <row r="490" spans="1:25">
      <c r="A490" s="308" t="s">
        <v>417</v>
      </c>
      <c r="B490" s="304"/>
      <c r="C490" s="304">
        <v>399000610.21105069</v>
      </c>
      <c r="D490" s="304">
        <f>D524+D558</f>
        <v>402768334</v>
      </c>
      <c r="E490" s="355">
        <v>3.9809999999999999</v>
      </c>
      <c r="F490" s="308" t="s">
        <v>364</v>
      </c>
      <c r="G490" s="306">
        <f t="shared" ref="G490:H492" si="44">G524+G558</f>
        <v>15884355</v>
      </c>
      <c r="H490" s="306">
        <f t="shared" si="44"/>
        <v>16034207</v>
      </c>
      <c r="I490" s="312">
        <v>4.3570000000000002</v>
      </c>
      <c r="J490" s="308" t="s">
        <v>364</v>
      </c>
      <c r="K490" s="306">
        <f>K524+K558</f>
        <v>17548616</v>
      </c>
      <c r="M490" s="84">
        <f>(I490/100)*D490</f>
        <v>17548616.312380001</v>
      </c>
      <c r="N490" s="14"/>
      <c r="O490" s="14">
        <f>(I490-E490)/E490</f>
        <v>9.4448630997236965E-2</v>
      </c>
    </row>
    <row r="491" spans="1:25">
      <c r="A491" s="308" t="s">
        <v>389</v>
      </c>
      <c r="B491" s="304"/>
      <c r="C491" s="304">
        <v>502109624.78894931</v>
      </c>
      <c r="D491" s="304">
        <f>D525+D559</f>
        <v>506816374</v>
      </c>
      <c r="E491" s="355">
        <v>3.649</v>
      </c>
      <c r="F491" s="308" t="s">
        <v>364</v>
      </c>
      <c r="G491" s="306">
        <f t="shared" si="44"/>
        <v>18322143</v>
      </c>
      <c r="H491" s="306">
        <f t="shared" si="44"/>
        <v>18493730</v>
      </c>
      <c r="I491" s="355">
        <f>ROUND((E491/E490)*I490,3)-0.001</f>
        <v>3.9930000000000003</v>
      </c>
      <c r="J491" s="308" t="s">
        <v>364</v>
      </c>
      <c r="K491" s="306">
        <f>K525+K559</f>
        <v>20237178</v>
      </c>
      <c r="M491" s="84">
        <f>(I491/100)*D491</f>
        <v>20237177.813820001</v>
      </c>
      <c r="N491" s="14"/>
      <c r="O491" s="14">
        <f>(I491-E491)/E491</f>
        <v>9.4272403398191373E-2</v>
      </c>
    </row>
    <row r="492" spans="1:25">
      <c r="A492" s="308" t="s">
        <v>390</v>
      </c>
      <c r="B492" s="1"/>
      <c r="C492" s="304">
        <f>C526+C560</f>
        <v>523331</v>
      </c>
      <c r="D492" s="304">
        <f>D526+D560</f>
        <v>528143</v>
      </c>
      <c r="E492" s="324">
        <v>45</v>
      </c>
      <c r="F492" s="308" t="s">
        <v>364</v>
      </c>
      <c r="G492" s="306">
        <f t="shared" si="44"/>
        <v>235499</v>
      </c>
      <c r="H492" s="306">
        <f t="shared" si="44"/>
        <v>237664</v>
      </c>
      <c r="I492" s="324">
        <v>45</v>
      </c>
      <c r="J492" s="308" t="s">
        <v>364</v>
      </c>
      <c r="K492" s="306">
        <f>K526+K560</f>
        <v>237664</v>
      </c>
      <c r="M492" s="84">
        <f>(I492/100)*D492</f>
        <v>237664.35</v>
      </c>
      <c r="N492" s="14"/>
      <c r="O492" s="14">
        <f>(I492-E492)/E492</f>
        <v>0</v>
      </c>
      <c r="S492" s="3" t="s">
        <v>361</v>
      </c>
      <c r="T492" s="3" t="s">
        <v>296</v>
      </c>
      <c r="U492" s="3" t="s">
        <v>362</v>
      </c>
      <c r="V492" s="3" t="s">
        <v>305</v>
      </c>
    </row>
    <row r="493" spans="1:25">
      <c r="A493" s="345" t="s">
        <v>391</v>
      </c>
      <c r="B493" s="1"/>
      <c r="C493" s="304"/>
      <c r="D493" s="304"/>
      <c r="E493" s="317">
        <v>-0.01</v>
      </c>
      <c r="F493" s="2"/>
      <c r="G493" s="306"/>
      <c r="H493" s="306"/>
      <c r="I493" s="317">
        <v>-0.01</v>
      </c>
      <c r="J493" s="1"/>
      <c r="K493" s="306"/>
      <c r="R493" s="3" t="s">
        <v>432</v>
      </c>
      <c r="S493" s="84">
        <f>SUM(H480:H485)</f>
        <v>5407456</v>
      </c>
      <c r="T493" s="84">
        <f>SUM(K480:K485)</f>
        <v>5805296</v>
      </c>
      <c r="U493" s="106">
        <v>6297781.880353801</v>
      </c>
      <c r="V493" s="222">
        <f>T493/U493</f>
        <v>0.92180010522591582</v>
      </c>
    </row>
    <row r="494" spans="1:25">
      <c r="A494" s="308" t="s">
        <v>411</v>
      </c>
      <c r="B494" s="1"/>
      <c r="C494" s="304">
        <f t="shared" ref="C494:D507" si="45">C528+C562</f>
        <v>0</v>
      </c>
      <c r="D494" s="304">
        <f t="shared" si="45"/>
        <v>0</v>
      </c>
      <c r="E494" s="289">
        <f>E480</f>
        <v>205</v>
      </c>
      <c r="F494" s="349"/>
      <c r="G494" s="306">
        <f t="shared" ref="G494:H507" si="46">G528+G562</f>
        <v>0</v>
      </c>
      <c r="H494" s="306">
        <f t="shared" si="46"/>
        <v>0</v>
      </c>
      <c r="I494" s="289">
        <f>I480</f>
        <v>225</v>
      </c>
      <c r="J494" s="278"/>
      <c r="K494" s="306">
        <f t="shared" ref="K494:K507" si="47">K528+K562</f>
        <v>0</v>
      </c>
      <c r="M494" s="84">
        <f t="shared" ref="M494:M500" si="48">-(I494*D494)/100</f>
        <v>0</v>
      </c>
      <c r="R494" s="3" t="s">
        <v>366</v>
      </c>
      <c r="S494" s="84">
        <f>SUM(H490:H491)</f>
        <v>34527937</v>
      </c>
      <c r="T494" s="84">
        <f>SUM(K490:K491)</f>
        <v>37785794</v>
      </c>
      <c r="U494" s="106">
        <v>43870359.484416999</v>
      </c>
      <c r="V494" s="222">
        <f>T494/U494</f>
        <v>0.86130577556406229</v>
      </c>
    </row>
    <row r="495" spans="1:25">
      <c r="A495" s="308" t="s">
        <v>412</v>
      </c>
      <c r="B495" s="1"/>
      <c r="C495" s="304">
        <f t="shared" si="45"/>
        <v>36</v>
      </c>
      <c r="D495" s="304">
        <f t="shared" si="45"/>
        <v>36</v>
      </c>
      <c r="E495" s="289">
        <f>E481</f>
        <v>75</v>
      </c>
      <c r="F495" s="349"/>
      <c r="G495" s="306">
        <f t="shared" si="46"/>
        <v>-27</v>
      </c>
      <c r="H495" s="306">
        <f t="shared" si="46"/>
        <v>-27</v>
      </c>
      <c r="I495" s="289">
        <f>I481</f>
        <v>83</v>
      </c>
      <c r="J495" s="278"/>
      <c r="K495" s="306">
        <f t="shared" si="47"/>
        <v>-30</v>
      </c>
      <c r="M495" s="84">
        <f t="shared" si="48"/>
        <v>-29.88</v>
      </c>
      <c r="O495" s="356"/>
      <c r="R495" s="3" t="s">
        <v>396</v>
      </c>
      <c r="S495" s="84">
        <f>SUM(H487:H488)</f>
        <v>9312095</v>
      </c>
      <c r="T495" s="84">
        <f>SUM(K487:K488)</f>
        <v>9593506</v>
      </c>
      <c r="U495" s="106">
        <v>6509411.4532006206</v>
      </c>
      <c r="V495" s="222">
        <f>T495/U495</f>
        <v>1.4737900759496401</v>
      </c>
    </row>
    <row r="496" spans="1:25">
      <c r="A496" s="308" t="s">
        <v>413</v>
      </c>
      <c r="B496" s="1"/>
      <c r="C496" s="304">
        <f t="shared" si="45"/>
        <v>96</v>
      </c>
      <c r="D496" s="304">
        <f t="shared" si="45"/>
        <v>97</v>
      </c>
      <c r="E496" s="289">
        <f>E482</f>
        <v>150</v>
      </c>
      <c r="F496" s="357"/>
      <c r="G496" s="306">
        <f t="shared" si="46"/>
        <v>-144</v>
      </c>
      <c r="H496" s="306">
        <f t="shared" si="46"/>
        <v>-146</v>
      </c>
      <c r="I496" s="289">
        <f>I482</f>
        <v>166</v>
      </c>
      <c r="J496" s="358"/>
      <c r="K496" s="306">
        <f t="shared" si="47"/>
        <v>-161</v>
      </c>
      <c r="M496" s="84">
        <f t="shared" si="48"/>
        <v>-161.02000000000001</v>
      </c>
      <c r="O496" s="356"/>
    </row>
    <row r="497" spans="1:16">
      <c r="A497" s="308" t="s">
        <v>412</v>
      </c>
      <c r="B497" s="1"/>
      <c r="C497" s="304">
        <f t="shared" si="45"/>
        <v>5797</v>
      </c>
      <c r="D497" s="304">
        <f t="shared" si="45"/>
        <v>5851</v>
      </c>
      <c r="E497" s="289">
        <f>E484</f>
        <v>1.38</v>
      </c>
      <c r="F497" s="349"/>
      <c r="G497" s="306">
        <f t="shared" si="46"/>
        <v>-80</v>
      </c>
      <c r="H497" s="306">
        <f t="shared" si="46"/>
        <v>-81</v>
      </c>
      <c r="I497" s="289">
        <f>I484</f>
        <v>1.47</v>
      </c>
      <c r="J497" s="278"/>
      <c r="K497" s="306">
        <f t="shared" si="47"/>
        <v>-86</v>
      </c>
      <c r="M497" s="84">
        <f t="shared" si="48"/>
        <v>-86.009699999999995</v>
      </c>
    </row>
    <row r="498" spans="1:16">
      <c r="A498" s="308" t="s">
        <v>413</v>
      </c>
      <c r="B498" s="1"/>
      <c r="C498" s="304">
        <f t="shared" si="45"/>
        <v>55144</v>
      </c>
      <c r="D498" s="304">
        <f t="shared" si="45"/>
        <v>55664</v>
      </c>
      <c r="E498" s="289">
        <f>E485</f>
        <v>1.1299999999999999</v>
      </c>
      <c r="F498" s="349" t="s">
        <v>31</v>
      </c>
      <c r="G498" s="306">
        <f t="shared" si="46"/>
        <v>-623</v>
      </c>
      <c r="H498" s="306">
        <f t="shared" si="46"/>
        <v>-629</v>
      </c>
      <c r="I498" s="289">
        <f>I485</f>
        <v>1.2</v>
      </c>
      <c r="J498" s="278"/>
      <c r="K498" s="306">
        <f t="shared" si="47"/>
        <v>-668</v>
      </c>
      <c r="M498" s="84">
        <f t="shared" si="48"/>
        <v>-667.96800000000007</v>
      </c>
    </row>
    <row r="499" spans="1:16">
      <c r="A499" s="294" t="s">
        <v>415</v>
      </c>
      <c r="B499" s="1"/>
      <c r="C499" s="304">
        <f t="shared" si="45"/>
        <v>50196</v>
      </c>
      <c r="D499" s="304">
        <f t="shared" si="45"/>
        <v>50667</v>
      </c>
      <c r="E499" s="289">
        <f>E487</f>
        <v>3.64</v>
      </c>
      <c r="F499" s="349" t="s">
        <v>31</v>
      </c>
      <c r="G499" s="306">
        <f t="shared" si="46"/>
        <v>-1827</v>
      </c>
      <c r="H499" s="306">
        <f t="shared" si="46"/>
        <v>-1845</v>
      </c>
      <c r="I499" s="289">
        <f>I487</f>
        <v>3.75</v>
      </c>
      <c r="J499" s="278"/>
      <c r="K499" s="306">
        <f t="shared" si="47"/>
        <v>-1900</v>
      </c>
      <c r="M499" s="84">
        <f t="shared" si="48"/>
        <v>-1900.0125</v>
      </c>
    </row>
    <row r="500" spans="1:16">
      <c r="A500" s="294" t="s">
        <v>431</v>
      </c>
      <c r="B500" s="1"/>
      <c r="C500" s="304">
        <f t="shared" si="45"/>
        <v>0</v>
      </c>
      <c r="D500" s="304">
        <f t="shared" si="45"/>
        <v>0</v>
      </c>
      <c r="E500" s="289">
        <f>E488</f>
        <v>3.64</v>
      </c>
      <c r="F500" s="349" t="s">
        <v>31</v>
      </c>
      <c r="G500" s="306">
        <f t="shared" si="46"/>
        <v>0</v>
      </c>
      <c r="H500" s="306">
        <f t="shared" si="46"/>
        <v>0</v>
      </c>
      <c r="I500" s="289">
        <f>I488</f>
        <v>3.75</v>
      </c>
      <c r="J500" s="278"/>
      <c r="K500" s="306">
        <f t="shared" si="47"/>
        <v>0</v>
      </c>
      <c r="M500" s="84">
        <f t="shared" si="48"/>
        <v>0</v>
      </c>
    </row>
    <row r="501" spans="1:16">
      <c r="A501" s="308" t="s">
        <v>417</v>
      </c>
      <c r="B501" s="1"/>
      <c r="C501" s="304">
        <f t="shared" si="45"/>
        <v>5098267</v>
      </c>
      <c r="D501" s="304">
        <f t="shared" si="45"/>
        <v>5145947</v>
      </c>
      <c r="E501" s="359">
        <f>E490</f>
        <v>3.9809999999999999</v>
      </c>
      <c r="F501" s="306" t="s">
        <v>364</v>
      </c>
      <c r="G501" s="306">
        <f t="shared" si="46"/>
        <v>-2030</v>
      </c>
      <c r="H501" s="306">
        <f t="shared" si="46"/>
        <v>-2049</v>
      </c>
      <c r="I501" s="359">
        <f>I490</f>
        <v>4.3570000000000002</v>
      </c>
      <c r="J501" s="308" t="s">
        <v>364</v>
      </c>
      <c r="K501" s="306">
        <f t="shared" si="47"/>
        <v>-2242</v>
      </c>
      <c r="M501" s="84">
        <f>-((I501*D501)/100)/100</f>
        <v>-2242.0891078999998</v>
      </c>
    </row>
    <row r="502" spans="1:16">
      <c r="A502" s="308" t="s">
        <v>389</v>
      </c>
      <c r="B502" s="1"/>
      <c r="C502" s="304">
        <f t="shared" si="45"/>
        <v>15873073</v>
      </c>
      <c r="D502" s="304">
        <f t="shared" si="45"/>
        <v>16019655</v>
      </c>
      <c r="E502" s="359">
        <f>E491</f>
        <v>3.649</v>
      </c>
      <c r="F502" s="306" t="s">
        <v>364</v>
      </c>
      <c r="G502" s="306">
        <f t="shared" si="46"/>
        <v>-5792</v>
      </c>
      <c r="H502" s="306">
        <f t="shared" si="46"/>
        <v>-5845</v>
      </c>
      <c r="I502" s="359">
        <f>I491</f>
        <v>3.9930000000000003</v>
      </c>
      <c r="J502" s="308" t="s">
        <v>364</v>
      </c>
      <c r="K502" s="306">
        <f t="shared" si="47"/>
        <v>-6396</v>
      </c>
      <c r="M502" s="84">
        <f>-((I502*D502)/100)/100</f>
        <v>-6396.6482415000009</v>
      </c>
    </row>
    <row r="503" spans="1:16">
      <c r="A503" s="308" t="s">
        <v>390</v>
      </c>
      <c r="B503" s="1"/>
      <c r="C503" s="304">
        <f t="shared" si="45"/>
        <v>9247</v>
      </c>
      <c r="D503" s="304">
        <f t="shared" si="45"/>
        <v>9336</v>
      </c>
      <c r="E503" s="360">
        <f>E492</f>
        <v>45</v>
      </c>
      <c r="F503" s="306" t="s">
        <v>364</v>
      </c>
      <c r="G503" s="306">
        <f t="shared" si="46"/>
        <v>-42</v>
      </c>
      <c r="H503" s="306">
        <f t="shared" si="46"/>
        <v>-42</v>
      </c>
      <c r="I503" s="360">
        <f>I492</f>
        <v>45</v>
      </c>
      <c r="J503" s="308" t="s">
        <v>364</v>
      </c>
      <c r="K503" s="306">
        <f t="shared" si="47"/>
        <v>-42</v>
      </c>
      <c r="M503" s="84">
        <f>-((I503*D503)/100)/100</f>
        <v>-42.012</v>
      </c>
    </row>
    <row r="504" spans="1:16">
      <c r="A504" s="308" t="s">
        <v>433</v>
      </c>
      <c r="B504" s="1"/>
      <c r="C504" s="304">
        <f t="shared" si="45"/>
        <v>132</v>
      </c>
      <c r="D504" s="304">
        <f t="shared" si="45"/>
        <v>132</v>
      </c>
      <c r="E504" s="283">
        <v>60</v>
      </c>
      <c r="F504" s="349" t="s">
        <v>31</v>
      </c>
      <c r="G504" s="306">
        <f t="shared" si="46"/>
        <v>7920</v>
      </c>
      <c r="H504" s="306">
        <f t="shared" si="46"/>
        <v>7920</v>
      </c>
      <c r="I504" s="283">
        <v>60</v>
      </c>
      <c r="J504" s="1"/>
      <c r="K504" s="306">
        <f t="shared" si="47"/>
        <v>7920</v>
      </c>
      <c r="M504" s="84">
        <f>I504*D504</f>
        <v>7920</v>
      </c>
      <c r="O504" s="361"/>
    </row>
    <row r="505" spans="1:16">
      <c r="A505" s="308" t="s">
        <v>434</v>
      </c>
      <c r="B505" s="1"/>
      <c r="C505" s="304">
        <f t="shared" si="45"/>
        <v>60941</v>
      </c>
      <c r="D505" s="304">
        <f t="shared" si="45"/>
        <v>61515</v>
      </c>
      <c r="E505" s="324">
        <v>-30</v>
      </c>
      <c r="F505" s="306" t="s">
        <v>364</v>
      </c>
      <c r="G505" s="306">
        <f t="shared" si="46"/>
        <v>-18282</v>
      </c>
      <c r="H505" s="306">
        <f t="shared" si="46"/>
        <v>-18455</v>
      </c>
      <c r="I505" s="324">
        <v>-30</v>
      </c>
      <c r="J505" s="306" t="s">
        <v>364</v>
      </c>
      <c r="K505" s="306">
        <f t="shared" si="47"/>
        <v>-18455</v>
      </c>
      <c r="M505" s="84">
        <f>(I505/100)*D505</f>
        <v>-18454.5</v>
      </c>
      <c r="O505" s="279"/>
    </row>
    <row r="506" spans="1:16">
      <c r="A506" s="1" t="s">
        <v>371</v>
      </c>
      <c r="B506" s="65"/>
      <c r="C506" s="304">
        <f t="shared" si="45"/>
        <v>901118201</v>
      </c>
      <c r="D506" s="304">
        <f t="shared" si="45"/>
        <v>909584708.38655555</v>
      </c>
      <c r="E506" s="315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84">
        <f>SUM(M480:M505)</f>
        <v>53400198.906650588</v>
      </c>
      <c r="P506" s="362"/>
    </row>
    <row r="507" spans="1:16">
      <c r="A507" s="1" t="s">
        <v>353</v>
      </c>
      <c r="B507" s="25"/>
      <c r="C507" s="325">
        <f t="shared" si="45"/>
        <v>73314.063672312535</v>
      </c>
      <c r="D507" s="325">
        <f t="shared" si="45"/>
        <v>0</v>
      </c>
      <c r="E507" s="294"/>
      <c r="F507" s="294"/>
      <c r="G507" s="295">
        <f t="shared" si="46"/>
        <v>-2406.1600057471078</v>
      </c>
      <c r="H507" s="295">
        <f t="shared" si="46"/>
        <v>0</v>
      </c>
      <c r="I507" s="294"/>
      <c r="J507" s="294"/>
      <c r="K507" s="295">
        <f t="shared" si="47"/>
        <v>0</v>
      </c>
      <c r="M507" s="274"/>
      <c r="N507" s="274"/>
      <c r="O507" s="275"/>
    </row>
    <row r="508" spans="1:16" ht="16.5" thickBot="1">
      <c r="A508" s="1" t="s">
        <v>372</v>
      </c>
      <c r="B508" s="1"/>
      <c r="C508" s="351">
        <f>SUM(C506)+C507</f>
        <v>901191515.0636723</v>
      </c>
      <c r="D508" s="351">
        <f>SUM(D490:D491)+D507</f>
        <v>909584708</v>
      </c>
      <c r="E508" s="327"/>
      <c r="F508" s="328"/>
      <c r="G508" s="329">
        <f>G506+G507</f>
        <v>49005267.839994252</v>
      </c>
      <c r="H508" s="329">
        <f>H506+H507</f>
        <v>49463953</v>
      </c>
      <c r="I508" s="327"/>
      <c r="J508" s="330"/>
      <c r="K508" s="329">
        <f>K506+K507</f>
        <v>53400200</v>
      </c>
      <c r="M508" s="276"/>
      <c r="N508" s="3" t="s">
        <v>399</v>
      </c>
      <c r="O508" s="84" t="e">
        <f>#REF!*1000</f>
        <v>#REF!</v>
      </c>
    </row>
    <row r="509" spans="1:16" ht="16.5" thickTop="1">
      <c r="A509" s="1"/>
      <c r="B509" s="1"/>
      <c r="C509" s="21"/>
      <c r="D509" s="21"/>
      <c r="E509" s="322"/>
      <c r="F509" s="2"/>
      <c r="G509" s="2"/>
      <c r="H509" s="2"/>
      <c r="I509" s="338" t="s">
        <v>31</v>
      </c>
      <c r="J509" s="1"/>
      <c r="K509" s="2" t="s">
        <v>31</v>
      </c>
      <c r="N509" s="3" t="s">
        <v>257</v>
      </c>
      <c r="O509" s="84" t="e">
        <f>O508-K508</f>
        <v>#REF!</v>
      </c>
      <c r="P509" s="261" t="e">
        <f>(O508-K508)/K508</f>
        <v>#REF!</v>
      </c>
    </row>
    <row r="510" spans="1:16">
      <c r="A510" s="278" t="s">
        <v>426</v>
      </c>
      <c r="B510" s="1"/>
      <c r="C510" s="1"/>
      <c r="D510" s="1"/>
      <c r="E510" s="2"/>
      <c r="F510" s="2"/>
      <c r="G510" s="1" t="s">
        <v>31</v>
      </c>
      <c r="H510" s="1"/>
      <c r="I510" s="2"/>
      <c r="J510" s="1"/>
      <c r="K510" s="1"/>
    </row>
    <row r="511" spans="1:16">
      <c r="A511" s="294" t="s">
        <v>435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84"/>
      <c r="O511" s="261" t="e">
        <f>O509/(K490+K491)</f>
        <v>#REF!</v>
      </c>
    </row>
    <row r="512" spans="1:16">
      <c r="A512" s="308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84">
        <f>K508-H508</f>
        <v>3936247</v>
      </c>
      <c r="N512" s="279"/>
    </row>
    <row r="513" spans="1:11">
      <c r="A513" s="308" t="s">
        <v>383</v>
      </c>
      <c r="B513" s="1"/>
      <c r="C513" s="304"/>
      <c r="D513" s="304"/>
      <c r="E513" s="2"/>
      <c r="F513" s="2"/>
      <c r="G513" s="1"/>
      <c r="H513" s="1"/>
      <c r="I513" s="2"/>
      <c r="J513" s="1"/>
      <c r="K513" s="1"/>
    </row>
    <row r="514" spans="1:11">
      <c r="A514" s="308" t="s">
        <v>411</v>
      </c>
      <c r="B514" s="1"/>
      <c r="C514" s="304">
        <f>39+239</f>
        <v>278</v>
      </c>
      <c r="D514" s="304">
        <v>281</v>
      </c>
      <c r="E514" s="283">
        <v>205</v>
      </c>
      <c r="F514" s="308"/>
      <c r="G514" s="306">
        <f>ROUND(E514*$C514,0)</f>
        <v>56990</v>
      </c>
      <c r="H514" s="306">
        <f>ROUND(E514*$D514,0)</f>
        <v>57605</v>
      </c>
      <c r="I514" s="283">
        <f>$I$480</f>
        <v>225</v>
      </c>
      <c r="J514" s="308"/>
      <c r="K514" s="306">
        <f>ROUND(I514*$D514,0)</f>
        <v>63225</v>
      </c>
    </row>
    <row r="515" spans="1:11">
      <c r="A515" s="308" t="s">
        <v>412</v>
      </c>
      <c r="B515" s="1"/>
      <c r="C515" s="304">
        <f>922+24+6772</f>
        <v>7718</v>
      </c>
      <c r="D515" s="304">
        <v>7812</v>
      </c>
      <c r="E515" s="283">
        <v>75</v>
      </c>
      <c r="F515" s="308"/>
      <c r="G515" s="306">
        <f>ROUND(E515*$C515,0)</f>
        <v>578850</v>
      </c>
      <c r="H515" s="306">
        <f>ROUND(E515*$D515,0)</f>
        <v>585900</v>
      </c>
      <c r="I515" s="283">
        <f>$I$481</f>
        <v>83</v>
      </c>
      <c r="J515" s="308"/>
      <c r="K515" s="306">
        <f>ROUND(I515*$D515,0)</f>
        <v>648396</v>
      </c>
    </row>
    <row r="516" spans="1:11">
      <c r="A516" s="308" t="s">
        <v>413</v>
      </c>
      <c r="B516" s="1"/>
      <c r="C516" s="304">
        <f>216+84+2519</f>
        <v>2819</v>
      </c>
      <c r="D516" s="304">
        <v>2853</v>
      </c>
      <c r="E516" s="283">
        <v>150</v>
      </c>
      <c r="F516" s="310"/>
      <c r="G516" s="306">
        <f>ROUND(E516*$C516,0)</f>
        <v>422850</v>
      </c>
      <c r="H516" s="306">
        <f>ROUND(E516*$D516,0)</f>
        <v>427950</v>
      </c>
      <c r="I516" s="283">
        <f>$I$482</f>
        <v>166</v>
      </c>
      <c r="J516" s="310"/>
      <c r="K516" s="306">
        <f>ROUND(I516*$D516,0)</f>
        <v>473598</v>
      </c>
    </row>
    <row r="517" spans="1:11">
      <c r="A517" s="308" t="s">
        <v>384</v>
      </c>
      <c r="B517" s="1"/>
      <c r="C517" s="304">
        <f>SUM(C514:C516)</f>
        <v>10815</v>
      </c>
      <c r="D517" s="304">
        <f>SUM(D514:D516)</f>
        <v>10946</v>
      </c>
      <c r="E517" s="283"/>
      <c r="F517" s="308"/>
      <c r="G517" s="306"/>
      <c r="H517" s="306"/>
      <c r="I517" s="283"/>
      <c r="J517" s="308"/>
      <c r="K517" s="306"/>
    </row>
    <row r="518" spans="1:11">
      <c r="A518" s="308" t="s">
        <v>412</v>
      </c>
      <c r="B518" s="1"/>
      <c r="C518" s="304">
        <f>169076+4310+1159051</f>
        <v>1332437</v>
      </c>
      <c r="D518" s="304">
        <f>ROUND(($D$540/'Blocking - detail'!$C$540)*C518,0)</f>
        <v>1345310</v>
      </c>
      <c r="E518" s="283">
        <v>1.38</v>
      </c>
      <c r="F518" s="308" t="s">
        <v>31</v>
      </c>
      <c r="G518" s="306">
        <f>ROUND(E518*$C518,0)</f>
        <v>1838763</v>
      </c>
      <c r="H518" s="306">
        <f>ROUND(E518*$D518,0)</f>
        <v>1856528</v>
      </c>
      <c r="I518" s="283">
        <f>$I$484</f>
        <v>1.47</v>
      </c>
      <c r="J518" s="308" t="s">
        <v>31</v>
      </c>
      <c r="K518" s="306">
        <f>ROUND(I518*$D518,0)</f>
        <v>1977606</v>
      </c>
    </row>
    <row r="519" spans="1:11">
      <c r="A519" s="308" t="s">
        <v>413</v>
      </c>
      <c r="B519" s="1"/>
      <c r="C519" s="304">
        <f>116000+47327+1204260</f>
        <v>1367587</v>
      </c>
      <c r="D519" s="304">
        <f>ROUND(($D$540/'Blocking - detail'!$C$540)*C519,0)</f>
        <v>1380800</v>
      </c>
      <c r="E519" s="283">
        <v>1.1299999999999999</v>
      </c>
      <c r="F519" s="308" t="s">
        <v>31</v>
      </c>
      <c r="G519" s="306">
        <f>ROUND(E519*$C519,0)</f>
        <v>1545373</v>
      </c>
      <c r="H519" s="306">
        <f>ROUND(E519*$D519,0)</f>
        <v>1560304</v>
      </c>
      <c r="I519" s="283">
        <f>$I$485</f>
        <v>1.2</v>
      </c>
      <c r="J519" s="308" t="s">
        <v>31</v>
      </c>
      <c r="K519" s="306">
        <f>ROUND(I519*$D519,0)</f>
        <v>1656960</v>
      </c>
    </row>
    <row r="520" spans="1:11">
      <c r="A520" s="294" t="s">
        <v>414</v>
      </c>
      <c r="B520" s="1"/>
      <c r="C520" s="304"/>
      <c r="D520" s="304"/>
      <c r="E520" s="340"/>
      <c r="F520" s="308"/>
      <c r="G520" s="306"/>
      <c r="H520" s="306"/>
      <c r="I520" s="340"/>
      <c r="J520" s="308"/>
      <c r="K520" s="306"/>
    </row>
    <row r="521" spans="1:11">
      <c r="A521" s="294" t="s">
        <v>415</v>
      </c>
      <c r="B521" s="1"/>
      <c r="C521" s="304">
        <f>2149+118464+82513+3301+38481+13812+879543+921273</f>
        <v>2059536</v>
      </c>
      <c r="D521" s="304">
        <f>ROUND(($D$540/'Blocking - detail'!$C$540)*C521,0)</f>
        <v>2079434</v>
      </c>
      <c r="E521" s="283">
        <v>3.64</v>
      </c>
      <c r="F521" s="308"/>
      <c r="G521" s="306">
        <f>ROUND(E521*$C521,0)</f>
        <v>7496711</v>
      </c>
      <c r="H521" s="306">
        <f>ROUND(E521*$D521,0)</f>
        <v>7569140</v>
      </c>
      <c r="I521" s="283">
        <f>$I$487</f>
        <v>3.75</v>
      </c>
      <c r="J521" s="308"/>
      <c r="K521" s="306">
        <f>ROUND(I521*$D521,0)</f>
        <v>7797878</v>
      </c>
    </row>
    <row r="522" spans="1:11">
      <c r="A522" s="294" t="s">
        <v>431</v>
      </c>
      <c r="B522" s="1"/>
      <c r="C522" s="304">
        <f>574+3763+211+1674+12455+2040</f>
        <v>20717</v>
      </c>
      <c r="D522" s="304">
        <f>ROUND(($D$540/'Blocking - detail'!$C$540)*C522,0)</f>
        <v>20917</v>
      </c>
      <c r="E522" s="354">
        <f>E521</f>
        <v>3.64</v>
      </c>
      <c r="F522" s="308"/>
      <c r="G522" s="306">
        <f>ROUND(E522*$C522,0)</f>
        <v>75410</v>
      </c>
      <c r="H522" s="306">
        <f>ROUND(E522*$D522,0)</f>
        <v>76138</v>
      </c>
      <c r="I522" s="354">
        <f>I521</f>
        <v>3.75</v>
      </c>
      <c r="J522" s="308"/>
      <c r="K522" s="306">
        <f>ROUND(I522*$D522,0)</f>
        <v>78439</v>
      </c>
    </row>
    <row r="523" spans="1:11">
      <c r="A523" s="308" t="s">
        <v>416</v>
      </c>
      <c r="B523" s="1"/>
      <c r="C523" s="304"/>
      <c r="D523" s="304"/>
      <c r="E523" s="283"/>
      <c r="F523" s="308"/>
      <c r="G523" s="306"/>
      <c r="H523" s="306"/>
      <c r="I523" s="283"/>
      <c r="J523" s="308"/>
      <c r="K523" s="306"/>
    </row>
    <row r="524" spans="1:11">
      <c r="A524" s="308" t="s">
        <v>417</v>
      </c>
      <c r="B524" s="304"/>
      <c r="C524" s="304">
        <v>343844159.45859212</v>
      </c>
      <c r="D524" s="304">
        <f>ROUND(($D$540/'Blocking - detail'!$C$540)*C524,0)</f>
        <v>347166190</v>
      </c>
      <c r="E524" s="355">
        <v>3.9809999999999999</v>
      </c>
      <c r="F524" s="308" t="s">
        <v>364</v>
      </c>
      <c r="G524" s="306">
        <f>ROUND(E524*$C524/100,0)</f>
        <v>13688436</v>
      </c>
      <c r="H524" s="306">
        <f>ROUND(E524*$D524/100,0)</f>
        <v>13820686</v>
      </c>
      <c r="I524" s="355">
        <f>$I$490</f>
        <v>4.3570000000000002</v>
      </c>
      <c r="J524" s="308" t="s">
        <v>364</v>
      </c>
      <c r="K524" s="306">
        <f>ROUND(I524*$D524/100,0)</f>
        <v>15126031</v>
      </c>
    </row>
    <row r="525" spans="1:11">
      <c r="A525" s="308" t="s">
        <v>389</v>
      </c>
      <c r="B525" s="304"/>
      <c r="C525" s="304">
        <v>411657922.54140788</v>
      </c>
      <c r="D525" s="304">
        <f>ROUND(($D$540/'Blocking - detail'!$C$540)*C525,0)</f>
        <v>415635131</v>
      </c>
      <c r="E525" s="355">
        <v>3.649</v>
      </c>
      <c r="F525" s="308" t="s">
        <v>364</v>
      </c>
      <c r="G525" s="306">
        <f>ROUND(E525*$C525/100,0)</f>
        <v>15021398</v>
      </c>
      <c r="H525" s="306">
        <f>ROUND(E525*$D525/100,0)</f>
        <v>15166526</v>
      </c>
      <c r="I525" s="355">
        <f>$I$491</f>
        <v>3.9930000000000003</v>
      </c>
      <c r="J525" s="308" t="s">
        <v>364</v>
      </c>
      <c r="K525" s="306">
        <f>ROUND(I525*$D525/100,0)</f>
        <v>16596311</v>
      </c>
    </row>
    <row r="526" spans="1:11">
      <c r="A526" s="308" t="s">
        <v>390</v>
      </c>
      <c r="B526" s="1"/>
      <c r="C526" s="304">
        <f>263+27052+20055+42+9205+1343+147244+169944</f>
        <v>375148</v>
      </c>
      <c r="D526" s="304">
        <f>ROUND(($D$540/'Blocking - detail'!$C$540)*C526,0)</f>
        <v>378772</v>
      </c>
      <c r="E526" s="324">
        <v>45</v>
      </c>
      <c r="F526" s="308" t="s">
        <v>364</v>
      </c>
      <c r="G526" s="306">
        <f>ROUND(E526*$C526/100,0)</f>
        <v>168817</v>
      </c>
      <c r="H526" s="306">
        <f>ROUND(E526*$D526/100,0)</f>
        <v>170447</v>
      </c>
      <c r="I526" s="324">
        <f>$I$492</f>
        <v>45</v>
      </c>
      <c r="J526" s="308" t="s">
        <v>364</v>
      </c>
      <c r="K526" s="306">
        <f>ROUND(I526*$D526/100,0)</f>
        <v>170447</v>
      </c>
    </row>
    <row r="527" spans="1:11">
      <c r="A527" s="345" t="s">
        <v>391</v>
      </c>
      <c r="B527" s="1"/>
      <c r="C527" s="304"/>
      <c r="D527" s="304"/>
      <c r="E527" s="317">
        <v>-0.01</v>
      </c>
      <c r="F527" s="2"/>
      <c r="G527" s="306"/>
      <c r="H527" s="306"/>
      <c r="I527" s="317">
        <f>$I$493</f>
        <v>-0.01</v>
      </c>
      <c r="J527" s="1"/>
      <c r="K527" s="306"/>
    </row>
    <row r="528" spans="1:11">
      <c r="A528" s="308" t="s">
        <v>411</v>
      </c>
      <c r="B528" s="21"/>
      <c r="C528" s="304">
        <v>0</v>
      </c>
      <c r="D528" s="304">
        <v>0</v>
      </c>
      <c r="E528" s="289">
        <f>E514</f>
        <v>205</v>
      </c>
      <c r="F528" s="349"/>
      <c r="G528" s="306">
        <f>ROUND(E528*$C528*E527,0)</f>
        <v>0</v>
      </c>
      <c r="H528" s="306">
        <f>ROUND(E528*$D528*E527,0)</f>
        <v>0</v>
      </c>
      <c r="I528" s="289">
        <f>I514</f>
        <v>225</v>
      </c>
      <c r="J528" s="278"/>
      <c r="K528" s="306">
        <f>ROUND(I528*$D528*I527,0)</f>
        <v>0</v>
      </c>
    </row>
    <row r="529" spans="1:16">
      <c r="A529" s="308" t="s">
        <v>412</v>
      </c>
      <c r="B529" s="1"/>
      <c r="C529" s="304">
        <f>24</f>
        <v>24</v>
      </c>
      <c r="D529" s="304">
        <v>24</v>
      </c>
      <c r="E529" s="289">
        <f>E515</f>
        <v>75</v>
      </c>
      <c r="F529" s="349"/>
      <c r="G529" s="306">
        <f>ROUND(E529*$C529*E527,0)</f>
        <v>-18</v>
      </c>
      <c r="H529" s="306">
        <f>ROUND(E529*$D529*E527,0)</f>
        <v>-18</v>
      </c>
      <c r="I529" s="289">
        <f>I515</f>
        <v>83</v>
      </c>
      <c r="J529" s="278"/>
      <c r="K529" s="306">
        <f>ROUND(I529*$D529*I527,0)</f>
        <v>-20</v>
      </c>
    </row>
    <row r="530" spans="1:16">
      <c r="A530" s="308" t="s">
        <v>413</v>
      </c>
      <c r="B530" s="1"/>
      <c r="C530" s="304">
        <f>84</f>
        <v>84</v>
      </c>
      <c r="D530" s="304">
        <v>85</v>
      </c>
      <c r="E530" s="289">
        <f>E516</f>
        <v>150</v>
      </c>
      <c r="F530" s="357"/>
      <c r="G530" s="306">
        <f>ROUND(E530*$C530*E527,0)</f>
        <v>-126</v>
      </c>
      <c r="H530" s="306">
        <f>ROUND(E530*$D530*E527,0)</f>
        <v>-128</v>
      </c>
      <c r="I530" s="289">
        <f>I516</f>
        <v>166</v>
      </c>
      <c r="J530" s="358"/>
      <c r="K530" s="306">
        <f>ROUND(I530*$D530*I527,0)</f>
        <v>-141</v>
      </c>
    </row>
    <row r="531" spans="1:16">
      <c r="A531" s="308" t="s">
        <v>412</v>
      </c>
      <c r="B531" s="1"/>
      <c r="C531" s="304">
        <f>4310</f>
        <v>4310</v>
      </c>
      <c r="D531" s="304">
        <f>ROUND(($D$540/'Blocking - detail'!$C$540)*C531,0)</f>
        <v>4352</v>
      </c>
      <c r="E531" s="289">
        <f>E518</f>
        <v>1.38</v>
      </c>
      <c r="F531" s="349"/>
      <c r="G531" s="306">
        <f>ROUND(E531*$C531*E527,0)</f>
        <v>-59</v>
      </c>
      <c r="H531" s="306">
        <f>ROUND(E531*$D531*E527,0)</f>
        <v>-60</v>
      </c>
      <c r="I531" s="289">
        <f>I518</f>
        <v>1.47</v>
      </c>
      <c r="J531" s="278"/>
      <c r="K531" s="306">
        <f>ROUND(I531*$D531*I527,0)</f>
        <v>-64</v>
      </c>
      <c r="O531" s="361"/>
    </row>
    <row r="532" spans="1:16">
      <c r="A532" s="308" t="s">
        <v>413</v>
      </c>
      <c r="B532" s="1"/>
      <c r="C532" s="304">
        <f>47327</f>
        <v>47327</v>
      </c>
      <c r="D532" s="304">
        <f>ROUND(($D$540/'Blocking - detail'!$C$540)*C532,0)</f>
        <v>47784</v>
      </c>
      <c r="E532" s="289">
        <f>E519</f>
        <v>1.1299999999999999</v>
      </c>
      <c r="F532" s="349" t="s">
        <v>31</v>
      </c>
      <c r="G532" s="306">
        <f>ROUND(E532*$C532*E527,0)</f>
        <v>-535</v>
      </c>
      <c r="H532" s="306">
        <f>ROUND(E532*$D532*E527,0)</f>
        <v>-540</v>
      </c>
      <c r="I532" s="289">
        <f>I519</f>
        <v>1.2</v>
      </c>
      <c r="J532" s="278"/>
      <c r="K532" s="306">
        <f>ROUND(I532*$D532*I527,0)</f>
        <v>-573</v>
      </c>
    </row>
    <row r="533" spans="1:16">
      <c r="A533" s="294" t="s">
        <v>415</v>
      </c>
      <c r="B533" s="1"/>
      <c r="C533" s="304">
        <f>3301+38481</f>
        <v>41782</v>
      </c>
      <c r="D533" s="304">
        <f>ROUND(($D$540/'Blocking - detail'!$C$540)*C533,0)</f>
        <v>42186</v>
      </c>
      <c r="E533" s="289">
        <f>E521</f>
        <v>3.64</v>
      </c>
      <c r="F533" s="349" t="s">
        <v>31</v>
      </c>
      <c r="G533" s="306">
        <f>ROUND(E533*$C533*E527,0)</f>
        <v>-1521</v>
      </c>
      <c r="H533" s="306">
        <f>ROUND(E533*$D533*E527,0)</f>
        <v>-1536</v>
      </c>
      <c r="I533" s="289">
        <f>I521</f>
        <v>3.75</v>
      </c>
      <c r="J533" s="278"/>
      <c r="K533" s="306">
        <f>ROUND(I533*$D533*I527,0)</f>
        <v>-1582</v>
      </c>
    </row>
    <row r="534" spans="1:16">
      <c r="A534" s="294" t="s">
        <v>431</v>
      </c>
      <c r="B534" s="1"/>
      <c r="C534" s="304">
        <v>0</v>
      </c>
      <c r="D534" s="304">
        <f>ROUND(($D$540/'Blocking - detail'!$C$540)*C534,0)</f>
        <v>0</v>
      </c>
      <c r="E534" s="289">
        <f>E522</f>
        <v>3.64</v>
      </c>
      <c r="F534" s="349" t="s">
        <v>31</v>
      </c>
      <c r="G534" s="306">
        <f>ROUND(E534*$C534*E527,0)</f>
        <v>0</v>
      </c>
      <c r="H534" s="306">
        <f>ROUND(E534*$D534*E527,0)</f>
        <v>0</v>
      </c>
      <c r="I534" s="289">
        <f>I522</f>
        <v>3.75</v>
      </c>
      <c r="J534" s="278"/>
      <c r="K534" s="306">
        <f>ROUND(I534*$D534*I527,0)</f>
        <v>0</v>
      </c>
    </row>
    <row r="535" spans="1:16">
      <c r="A535" s="308" t="s">
        <v>417</v>
      </c>
      <c r="B535" s="1"/>
      <c r="C535" s="304">
        <f>914400+3225200</f>
        <v>4139600</v>
      </c>
      <c r="D535" s="304">
        <f>ROUND(($D$540/'Blocking - detail'!$C$540)*C535,0)</f>
        <v>4179595</v>
      </c>
      <c r="E535" s="359">
        <f>E524</f>
        <v>3.9809999999999999</v>
      </c>
      <c r="F535" s="306" t="s">
        <v>364</v>
      </c>
      <c r="G535" s="306">
        <f>ROUND(E535*$C535/100*E527,0)</f>
        <v>-1648</v>
      </c>
      <c r="H535" s="306">
        <f>ROUND(E535*$D535/100*E527,0)</f>
        <v>-1664</v>
      </c>
      <c r="I535" s="359">
        <f>I524</f>
        <v>4.3570000000000002</v>
      </c>
      <c r="J535" s="308" t="s">
        <v>364</v>
      </c>
      <c r="K535" s="306">
        <f>ROUND(I535*$D535/100*I527,0)</f>
        <v>-1821</v>
      </c>
      <c r="M535" s="84"/>
      <c r="N535" s="84"/>
    </row>
    <row r="536" spans="1:16">
      <c r="A536" s="308" t="s">
        <v>389</v>
      </c>
      <c r="B536" s="1"/>
      <c r="C536" s="304">
        <f>1353000+14542340-C535</f>
        <v>11755740</v>
      </c>
      <c r="D536" s="304">
        <f>ROUND(($D$540/'Blocking - detail'!$C$540)*C536,0)</f>
        <v>11869317</v>
      </c>
      <c r="E536" s="359">
        <f>E525</f>
        <v>3.649</v>
      </c>
      <c r="F536" s="306" t="s">
        <v>364</v>
      </c>
      <c r="G536" s="306">
        <f>ROUND(E536*$C536/100*E527,0)</f>
        <v>-4290</v>
      </c>
      <c r="H536" s="306">
        <f>ROUND(E536*$D536/100*E527,0)</f>
        <v>-4331</v>
      </c>
      <c r="I536" s="359">
        <f>I525</f>
        <v>3.9930000000000003</v>
      </c>
      <c r="J536" s="308" t="s">
        <v>364</v>
      </c>
      <c r="K536" s="306">
        <f>ROUND(I536*$D536/100*I527,0)</f>
        <v>-4739</v>
      </c>
    </row>
    <row r="537" spans="1:16">
      <c r="A537" s="308" t="s">
        <v>390</v>
      </c>
      <c r="B537" s="1"/>
      <c r="C537" s="304">
        <f>42+9205</f>
        <v>9247</v>
      </c>
      <c r="D537" s="304">
        <f>ROUND(($D$540/'Blocking - detail'!$C$540)*C537,0)</f>
        <v>9336</v>
      </c>
      <c r="E537" s="360">
        <f>E526</f>
        <v>45</v>
      </c>
      <c r="F537" s="306" t="s">
        <v>364</v>
      </c>
      <c r="G537" s="306">
        <f>ROUND(E537*$C537/100*E527,0)</f>
        <v>-42</v>
      </c>
      <c r="H537" s="306">
        <f>ROUND(E537*$D537/100*E527,0)</f>
        <v>-42</v>
      </c>
      <c r="I537" s="360">
        <f>I526</f>
        <v>45</v>
      </c>
      <c r="J537" s="308" t="s">
        <v>364</v>
      </c>
      <c r="K537" s="306">
        <f>ROUND(I537*$D537/100*I527,0)</f>
        <v>-42</v>
      </c>
    </row>
    <row r="538" spans="1:16">
      <c r="A538" s="308" t="s">
        <v>433</v>
      </c>
      <c r="B538" s="1"/>
      <c r="C538" s="304">
        <f>24+84</f>
        <v>108</v>
      </c>
      <c r="D538" s="304">
        <v>109</v>
      </c>
      <c r="E538" s="283">
        <v>60</v>
      </c>
      <c r="F538" s="349" t="s">
        <v>31</v>
      </c>
      <c r="G538" s="306">
        <f>ROUND(E538*$C538,0)</f>
        <v>6480</v>
      </c>
      <c r="H538" s="306">
        <f>ROUND(E538*$D538,0)</f>
        <v>6540</v>
      </c>
      <c r="I538" s="283">
        <f>$I$504</f>
        <v>60</v>
      </c>
      <c r="J538" s="1"/>
      <c r="K538" s="306">
        <f>ROUND(I538*$D538,0)</f>
        <v>6540</v>
      </c>
      <c r="P538" s="292"/>
    </row>
    <row r="539" spans="1:16">
      <c r="A539" s="308" t="s">
        <v>434</v>
      </c>
      <c r="B539" s="290"/>
      <c r="C539" s="304">
        <f>4310+47327</f>
        <v>51637</v>
      </c>
      <c r="D539" s="304">
        <f>ROUND(($D$540/'Blocking - detail'!$C$540)*C539,0)</f>
        <v>52136</v>
      </c>
      <c r="E539" s="324">
        <v>-30</v>
      </c>
      <c r="F539" s="306" t="s">
        <v>364</v>
      </c>
      <c r="G539" s="306">
        <f>ROUND(E539*$C539/100,0)</f>
        <v>-15491</v>
      </c>
      <c r="H539" s="306">
        <f>ROUND(E539*$D539/100,0)</f>
        <v>-15641</v>
      </c>
      <c r="I539" s="324">
        <v>-30</v>
      </c>
      <c r="J539" s="306" t="s">
        <v>364</v>
      </c>
      <c r="K539" s="306">
        <f>ROUND(I539*$D539/100,0)</f>
        <v>-15641</v>
      </c>
    </row>
    <row r="540" spans="1:16">
      <c r="A540" s="1" t="s">
        <v>371</v>
      </c>
      <c r="B540" s="292"/>
      <c r="C540" s="304">
        <f>SUM(C524:C525)</f>
        <v>755502082</v>
      </c>
      <c r="D540" s="304">
        <v>762801321.03140867</v>
      </c>
      <c r="E540" s="315"/>
      <c r="F540" s="2"/>
      <c r="G540" s="2">
        <f>SUM(G514:G539)</f>
        <v>40876348</v>
      </c>
      <c r="H540" s="2">
        <f>SUM(H514:H539)</f>
        <v>41273804</v>
      </c>
      <c r="I540" s="315"/>
      <c r="J540" s="1"/>
      <c r="K540" s="2">
        <f>SUM(K514:K539)</f>
        <v>44570808</v>
      </c>
    </row>
    <row r="541" spans="1:16">
      <c r="A541" s="1" t="s">
        <v>353</v>
      </c>
      <c r="B541" s="1"/>
      <c r="C541" s="334">
        <v>3340695.5089634694</v>
      </c>
      <c r="D541" s="325">
        <v>0</v>
      </c>
      <c r="E541" s="294"/>
      <c r="F541" s="294"/>
      <c r="G541" s="295">
        <v>152243.87198457948</v>
      </c>
      <c r="H541" s="295">
        <v>0</v>
      </c>
      <c r="I541" s="294"/>
      <c r="J541" s="294"/>
      <c r="K541" s="295">
        <v>0</v>
      </c>
      <c r="M541" s="274"/>
      <c r="N541" s="274"/>
      <c r="O541" s="275"/>
    </row>
    <row r="542" spans="1:16" ht="16.5" thickBot="1">
      <c r="A542" s="1" t="s">
        <v>372</v>
      </c>
      <c r="B542" s="1"/>
      <c r="C542" s="351">
        <f>SUM(C540)+C541</f>
        <v>758842777.50896347</v>
      </c>
      <c r="D542" s="351">
        <f>SUM(D524:D525)+D541</f>
        <v>762801321</v>
      </c>
      <c r="E542" s="327"/>
      <c r="F542" s="328"/>
      <c r="G542" s="329">
        <f>G540+G541</f>
        <v>41028591.871984579</v>
      </c>
      <c r="H542" s="329">
        <f>H540+H541</f>
        <v>41273804</v>
      </c>
      <c r="I542" s="327"/>
      <c r="J542" s="330"/>
      <c r="K542" s="329">
        <f>K540+K541</f>
        <v>44570808</v>
      </c>
      <c r="M542" s="276"/>
      <c r="N542" s="276"/>
      <c r="O542" s="277"/>
    </row>
    <row r="543" spans="1:16" ht="16.5" thickTop="1">
      <c r="A543" s="1"/>
      <c r="B543" s="1"/>
      <c r="C543" s="21"/>
      <c r="D543" s="21"/>
      <c r="E543" s="322"/>
      <c r="F543" s="2"/>
      <c r="G543" s="2"/>
      <c r="H543" s="2"/>
      <c r="I543" s="338" t="s">
        <v>31</v>
      </c>
      <c r="J543" s="1"/>
      <c r="K543" s="2" t="s">
        <v>31</v>
      </c>
    </row>
    <row r="544" spans="1:16">
      <c r="A544" s="278" t="s">
        <v>426</v>
      </c>
      <c r="B544" s="1"/>
      <c r="C544" s="1"/>
      <c r="D544" s="1"/>
      <c r="E544" s="2"/>
      <c r="F544" s="2"/>
      <c r="G544" s="1" t="s">
        <v>31</v>
      </c>
      <c r="H544" s="1"/>
      <c r="I544" s="2"/>
      <c r="J544" s="1"/>
      <c r="K544" s="1"/>
    </row>
    <row r="545" spans="1:11">
      <c r="A545" s="294" t="s">
        <v>436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308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308" t="s">
        <v>383</v>
      </c>
      <c r="B547" s="21"/>
      <c r="C547" s="304"/>
      <c r="D547" s="304"/>
      <c r="E547" s="2"/>
      <c r="F547" s="2"/>
      <c r="G547" s="1"/>
      <c r="H547" s="1"/>
      <c r="I547" s="2"/>
      <c r="J547" s="1"/>
      <c r="K547" s="1"/>
    </row>
    <row r="548" spans="1:11">
      <c r="A548" s="308" t="s">
        <v>411</v>
      </c>
      <c r="B548" s="1"/>
      <c r="C548" s="304">
        <f>2+9</f>
        <v>11</v>
      </c>
      <c r="D548" s="304">
        <v>11</v>
      </c>
      <c r="E548" s="283">
        <v>205</v>
      </c>
      <c r="F548" s="308"/>
      <c r="G548" s="306">
        <f>ROUND(E548*$C548,0)</f>
        <v>2255</v>
      </c>
      <c r="H548" s="306">
        <f>ROUND(E548*$D548,0)</f>
        <v>2255</v>
      </c>
      <c r="I548" s="283">
        <f>$I$480</f>
        <v>225</v>
      </c>
      <c r="J548" s="308"/>
      <c r="K548" s="306">
        <f>ROUND(I548*$D548,0)</f>
        <v>2475</v>
      </c>
    </row>
    <row r="549" spans="1:11">
      <c r="A549" s="308" t="s">
        <v>412</v>
      </c>
      <c r="B549" s="1"/>
      <c r="C549" s="304">
        <f>314+12+863</f>
        <v>1189</v>
      </c>
      <c r="D549" s="304">
        <v>1160</v>
      </c>
      <c r="E549" s="283">
        <v>75</v>
      </c>
      <c r="F549" s="308"/>
      <c r="G549" s="306">
        <f>ROUND(E549*$C549,0)</f>
        <v>89175</v>
      </c>
      <c r="H549" s="306">
        <f>ROUND(E549*$D549,0)</f>
        <v>87000</v>
      </c>
      <c r="I549" s="283">
        <f>$I$481</f>
        <v>83</v>
      </c>
      <c r="J549" s="308"/>
      <c r="K549" s="306">
        <f>ROUND(I549*$D549,0)</f>
        <v>96280</v>
      </c>
    </row>
    <row r="550" spans="1:11">
      <c r="A550" s="308" t="s">
        <v>413</v>
      </c>
      <c r="B550" s="1"/>
      <c r="C550" s="304">
        <f>12+12+665</f>
        <v>689</v>
      </c>
      <c r="D550" s="304">
        <v>672</v>
      </c>
      <c r="E550" s="283">
        <v>150</v>
      </c>
      <c r="F550" s="310"/>
      <c r="G550" s="306">
        <f>ROUND(E550*$C550,0)</f>
        <v>103350</v>
      </c>
      <c r="H550" s="306">
        <f>ROUND(E550*$D550,0)</f>
        <v>100800</v>
      </c>
      <c r="I550" s="283">
        <f>$I$482</f>
        <v>166</v>
      </c>
      <c r="J550" s="310"/>
      <c r="K550" s="306">
        <f>ROUND(I550*$D550,0)</f>
        <v>111552</v>
      </c>
    </row>
    <row r="551" spans="1:11">
      <c r="A551" s="308" t="s">
        <v>384</v>
      </c>
      <c r="B551" s="1"/>
      <c r="C551" s="304">
        <f>SUM(C548:C550)</f>
        <v>1889</v>
      </c>
      <c r="D551" s="304">
        <f>SUM(D548:D550)</f>
        <v>1843</v>
      </c>
      <c r="E551" s="283"/>
      <c r="F551" s="308"/>
      <c r="G551" s="306"/>
      <c r="H551" s="306"/>
      <c r="I551" s="283"/>
      <c r="J551" s="308"/>
      <c r="K551" s="306"/>
    </row>
    <row r="552" spans="1:11">
      <c r="A552" s="308" t="s">
        <v>412</v>
      </c>
      <c r="B552" s="1"/>
      <c r="C552" s="304">
        <f>53027+1380+148527</f>
        <v>202934</v>
      </c>
      <c r="D552" s="304">
        <f>ROUND(($D$574/'Blocking - detail'!$C$574)*C552,0)</f>
        <v>204561</v>
      </c>
      <c r="E552" s="283">
        <v>1.38</v>
      </c>
      <c r="F552" s="308" t="s">
        <v>31</v>
      </c>
      <c r="G552" s="306">
        <f>ROUND(E552*$C552,0)</f>
        <v>280049</v>
      </c>
      <c r="H552" s="306">
        <f>ROUND(E552*$D552,0)</f>
        <v>282294</v>
      </c>
      <c r="I552" s="283">
        <f>$I$484</f>
        <v>1.47</v>
      </c>
      <c r="J552" s="308" t="s">
        <v>31</v>
      </c>
      <c r="K552" s="306">
        <f>ROUND(I552*$D552,0)</f>
        <v>300705</v>
      </c>
    </row>
    <row r="553" spans="1:11">
      <c r="A553" s="308" t="s">
        <v>413</v>
      </c>
      <c r="B553" s="1"/>
      <c r="C553" s="304">
        <f>3665+7817+380790</f>
        <v>392272</v>
      </c>
      <c r="D553" s="304">
        <f>ROUND(($D$574/'Blocking - detail'!$C$574)*C553,0)</f>
        <v>395416</v>
      </c>
      <c r="E553" s="283">
        <v>1.1299999999999999</v>
      </c>
      <c r="F553" s="308" t="s">
        <v>31</v>
      </c>
      <c r="G553" s="306">
        <f>ROUND(E553*$C553,0)</f>
        <v>443267</v>
      </c>
      <c r="H553" s="306">
        <f>ROUND(E553*$D553,0)</f>
        <v>446820</v>
      </c>
      <c r="I553" s="283">
        <f>$I$485</f>
        <v>1.2</v>
      </c>
      <c r="J553" s="308" t="s">
        <v>31</v>
      </c>
      <c r="K553" s="306">
        <f>ROUND(I553*$D553,0)</f>
        <v>474499</v>
      </c>
    </row>
    <row r="554" spans="1:11">
      <c r="A554" s="294" t="s">
        <v>414</v>
      </c>
      <c r="B554" s="1"/>
      <c r="C554" s="304"/>
      <c r="D554" s="304"/>
      <c r="E554" s="340"/>
      <c r="F554" s="308"/>
      <c r="G554" s="306"/>
      <c r="H554" s="306"/>
      <c r="I554" s="340"/>
      <c r="J554" s="308"/>
      <c r="K554" s="306"/>
    </row>
    <row r="555" spans="1:11">
      <c r="A555" s="294" t="s">
        <v>415</v>
      </c>
      <c r="B555" s="1"/>
      <c r="C555" s="304">
        <f>31+16993+1024+1380+6927+349+121488+297368</f>
        <v>445560</v>
      </c>
      <c r="D555" s="304">
        <f>ROUND(($D$574/'Blocking - detail'!$C$574)*C555,0)</f>
        <v>449132</v>
      </c>
      <c r="E555" s="283">
        <v>3.64</v>
      </c>
      <c r="F555" s="308"/>
      <c r="G555" s="306">
        <f>ROUND(E555*$C555,0)</f>
        <v>1621838</v>
      </c>
      <c r="H555" s="306">
        <f>ROUND(E555*$D555,0)</f>
        <v>1634840</v>
      </c>
      <c r="I555" s="283">
        <f>$I$487</f>
        <v>3.75</v>
      </c>
      <c r="J555" s="308"/>
      <c r="K555" s="306">
        <f>ROUND(I555*$D555,0)</f>
        <v>1684245</v>
      </c>
    </row>
    <row r="556" spans="1:11">
      <c r="A556" s="294" t="s">
        <v>431</v>
      </c>
      <c r="B556" s="1"/>
      <c r="C556" s="304">
        <f>69+6778+239+102+1209+318</f>
        <v>8715</v>
      </c>
      <c r="D556" s="304">
        <f>ROUND(($D$574/'Blocking - detail'!$C$574)*C556,0)</f>
        <v>8785</v>
      </c>
      <c r="E556" s="354">
        <f>E555</f>
        <v>3.64</v>
      </c>
      <c r="F556" s="308"/>
      <c r="G556" s="306">
        <f>ROUND(E556*$C556,0)</f>
        <v>31723</v>
      </c>
      <c r="H556" s="306">
        <f>ROUND(E556*$D556,0)</f>
        <v>31977</v>
      </c>
      <c r="I556" s="354">
        <f>I555</f>
        <v>3.75</v>
      </c>
      <c r="J556" s="308"/>
      <c r="K556" s="306">
        <f>ROUND(I556*$D556,0)</f>
        <v>32944</v>
      </c>
    </row>
    <row r="557" spans="1:11">
      <c r="A557" s="308" t="s">
        <v>416</v>
      </c>
      <c r="B557" s="1"/>
      <c r="C557" s="304"/>
      <c r="D557" s="304"/>
      <c r="E557" s="283"/>
      <c r="F557" s="308"/>
      <c r="G557" s="306"/>
      <c r="H557" s="306"/>
      <c r="I557" s="283"/>
      <c r="J557" s="308"/>
      <c r="K557" s="306"/>
    </row>
    <row r="558" spans="1:11">
      <c r="A558" s="308" t="s">
        <v>417</v>
      </c>
      <c r="B558" s="1"/>
      <c r="C558" s="304">
        <f>10240+2853225+81440+478667+480000+55800+25725353+25475253</f>
        <v>55159978</v>
      </c>
      <c r="D558" s="304">
        <f>ROUND(($D$574/'Blocking - detail'!$C$574)*C558,0)</f>
        <v>55602144</v>
      </c>
      <c r="E558" s="355">
        <v>3.9809999999999999</v>
      </c>
      <c r="F558" s="308" t="s">
        <v>364</v>
      </c>
      <c r="G558" s="306">
        <f>ROUND(E558*$C558/100,0)</f>
        <v>2195919</v>
      </c>
      <c r="H558" s="306">
        <f>ROUND(E558*$D558/100,0)</f>
        <v>2213521</v>
      </c>
      <c r="I558" s="355">
        <f>$I$490</f>
        <v>4.3570000000000002</v>
      </c>
      <c r="J558" s="308" t="s">
        <v>364</v>
      </c>
      <c r="K558" s="306">
        <f>ROUND(I558*$D558/100,0)</f>
        <v>2422585</v>
      </c>
    </row>
    <row r="559" spans="1:11">
      <c r="A559" s="308" t="s">
        <v>389</v>
      </c>
      <c r="B559" s="1"/>
      <c r="C559" s="304">
        <f>10240+3545465+133120+979200+4096800+55800+34983239+101812255-C558</f>
        <v>90456141</v>
      </c>
      <c r="D559" s="304">
        <f>ROUND(($D$574/'Blocking - detail'!$C$574)*C559,0)</f>
        <v>91181243</v>
      </c>
      <c r="E559" s="355">
        <v>3.649</v>
      </c>
      <c r="F559" s="308" t="s">
        <v>364</v>
      </c>
      <c r="G559" s="306">
        <f>ROUND(E559*$C559/100,0)</f>
        <v>3300745</v>
      </c>
      <c r="H559" s="306">
        <f>ROUND(E559*$D559/100,0)</f>
        <v>3327204</v>
      </c>
      <c r="I559" s="355">
        <f>$I$491</f>
        <v>3.9930000000000003</v>
      </c>
      <c r="J559" s="308" t="s">
        <v>364</v>
      </c>
      <c r="K559" s="306">
        <f>ROUND(I559*$D559/100,0)</f>
        <v>3640867</v>
      </c>
    </row>
    <row r="560" spans="1:11">
      <c r="A560" s="308" t="s">
        <v>390</v>
      </c>
      <c r="B560" s="1"/>
      <c r="C560" s="304">
        <f>14+5104+263+1145+2693+4+38848+100112</f>
        <v>148183</v>
      </c>
      <c r="D560" s="304">
        <f>ROUND(($D$574/'Blocking - detail'!$C$574)*C560,0)</f>
        <v>149371</v>
      </c>
      <c r="E560" s="324">
        <v>45</v>
      </c>
      <c r="F560" s="308" t="s">
        <v>364</v>
      </c>
      <c r="G560" s="306">
        <f>ROUND(E560*$C560/100,0)</f>
        <v>66682</v>
      </c>
      <c r="H560" s="306">
        <f>ROUND(E560*$D560/100,0)</f>
        <v>67217</v>
      </c>
      <c r="I560" s="324">
        <f>$I$492</f>
        <v>45</v>
      </c>
      <c r="J560" s="308" t="s">
        <v>364</v>
      </c>
      <c r="K560" s="306">
        <f>ROUND(I560*$D560/100,0)</f>
        <v>67217</v>
      </c>
    </row>
    <row r="561" spans="1:15">
      <c r="A561" s="345" t="s">
        <v>391</v>
      </c>
      <c r="B561" s="1"/>
      <c r="C561" s="304"/>
      <c r="D561" s="304"/>
      <c r="E561" s="317">
        <v>-0.01</v>
      </c>
      <c r="F561" s="2"/>
      <c r="G561" s="306"/>
      <c r="H561" s="306"/>
      <c r="I561" s="317">
        <f>$I$493</f>
        <v>-0.01</v>
      </c>
      <c r="J561" s="1"/>
      <c r="K561" s="306"/>
    </row>
    <row r="562" spans="1:15">
      <c r="A562" s="308" t="s">
        <v>411</v>
      </c>
      <c r="B562" s="1"/>
      <c r="C562" s="304">
        <v>0</v>
      </c>
      <c r="D562" s="304">
        <v>0</v>
      </c>
      <c r="E562" s="289">
        <f>E548</f>
        <v>205</v>
      </c>
      <c r="F562" s="349"/>
      <c r="G562" s="306">
        <f>ROUND(E562*$C562*E561,0)</f>
        <v>0</v>
      </c>
      <c r="H562" s="306">
        <f>ROUND(E562*$D562*E561,0)</f>
        <v>0</v>
      </c>
      <c r="I562" s="289">
        <f>I548</f>
        <v>225</v>
      </c>
      <c r="J562" s="278"/>
      <c r="K562" s="306">
        <f>ROUND(I562*$D562*I561,0)</f>
        <v>0</v>
      </c>
    </row>
    <row r="563" spans="1:15">
      <c r="A563" s="308" t="s">
        <v>412</v>
      </c>
      <c r="B563" s="1"/>
      <c r="C563" s="304">
        <f>12</f>
        <v>12</v>
      </c>
      <c r="D563" s="304">
        <v>12</v>
      </c>
      <c r="E563" s="289">
        <f>E549</f>
        <v>75</v>
      </c>
      <c r="F563" s="349"/>
      <c r="G563" s="306">
        <f>ROUND(E563*$C563*E561,0)</f>
        <v>-9</v>
      </c>
      <c r="H563" s="306">
        <f>ROUND(E563*$D563*E561,0)</f>
        <v>-9</v>
      </c>
      <c r="I563" s="289">
        <f>I549</f>
        <v>83</v>
      </c>
      <c r="J563" s="278"/>
      <c r="K563" s="306">
        <f>ROUND(I563*$D563*I561,0)</f>
        <v>-10</v>
      </c>
    </row>
    <row r="564" spans="1:15">
      <c r="A564" s="308" t="s">
        <v>413</v>
      </c>
      <c r="B564" s="1"/>
      <c r="C564" s="304">
        <f>12</f>
        <v>12</v>
      </c>
      <c r="D564" s="304">
        <v>12</v>
      </c>
      <c r="E564" s="289">
        <f>E550</f>
        <v>150</v>
      </c>
      <c r="F564" s="357"/>
      <c r="G564" s="306">
        <f>ROUND(E564*$C564*E561,0)</f>
        <v>-18</v>
      </c>
      <c r="H564" s="306">
        <f>ROUND(E564*$D564*E561,0)</f>
        <v>-18</v>
      </c>
      <c r="I564" s="289">
        <f>I550</f>
        <v>166</v>
      </c>
      <c r="J564" s="358"/>
      <c r="K564" s="306">
        <f>ROUND(I564*$D564*I561,0)</f>
        <v>-20</v>
      </c>
    </row>
    <row r="565" spans="1:15">
      <c r="A565" s="308" t="s">
        <v>412</v>
      </c>
      <c r="B565" s="1"/>
      <c r="C565" s="304">
        <f>1487</f>
        <v>1487</v>
      </c>
      <c r="D565" s="304">
        <f>ROUND(($D$574/'Blocking - detail'!$C$574)*C565,0)</f>
        <v>1499</v>
      </c>
      <c r="E565" s="289">
        <f>E552</f>
        <v>1.38</v>
      </c>
      <c r="F565" s="349"/>
      <c r="G565" s="306">
        <f>ROUND(E565*$C565*E561,0)</f>
        <v>-21</v>
      </c>
      <c r="H565" s="306">
        <f>ROUND(E565*$D565*E561,0)</f>
        <v>-21</v>
      </c>
      <c r="I565" s="289">
        <f>I552</f>
        <v>1.47</v>
      </c>
      <c r="J565" s="278"/>
      <c r="K565" s="306">
        <f>ROUND(I565*$D565*I561,0)</f>
        <v>-22</v>
      </c>
    </row>
    <row r="566" spans="1:15">
      <c r="A566" s="308" t="s">
        <v>413</v>
      </c>
      <c r="B566" s="1"/>
      <c r="C566" s="304">
        <v>7817</v>
      </c>
      <c r="D566" s="304">
        <f>ROUND(($D$574/'Blocking - detail'!$C$574)*C566,0)</f>
        <v>7880</v>
      </c>
      <c r="E566" s="289">
        <f>E553</f>
        <v>1.1299999999999999</v>
      </c>
      <c r="F566" s="349" t="s">
        <v>31</v>
      </c>
      <c r="G566" s="306">
        <f>ROUND(E566*$C566*E561,0)</f>
        <v>-88</v>
      </c>
      <c r="H566" s="306">
        <f>ROUND(E566*$D566*E561,0)</f>
        <v>-89</v>
      </c>
      <c r="I566" s="289">
        <f>I553</f>
        <v>1.2</v>
      </c>
      <c r="J566" s="278"/>
      <c r="K566" s="306">
        <f>ROUND(I566*$D566*I561,0)</f>
        <v>-95</v>
      </c>
    </row>
    <row r="567" spans="1:15">
      <c r="A567" s="294" t="s">
        <v>415</v>
      </c>
      <c r="B567" s="1"/>
      <c r="C567" s="304">
        <f>1487+6927</f>
        <v>8414</v>
      </c>
      <c r="D567" s="304">
        <f>ROUND(($D$574/'Blocking - detail'!$C$574)*C567,0)</f>
        <v>8481</v>
      </c>
      <c r="E567" s="289">
        <f>E555</f>
        <v>3.64</v>
      </c>
      <c r="F567" s="349" t="s">
        <v>31</v>
      </c>
      <c r="G567" s="306">
        <f>ROUND(E567*$C567*E561,0)</f>
        <v>-306</v>
      </c>
      <c r="H567" s="306">
        <f>ROUND(E567*$D567*E561,0)</f>
        <v>-309</v>
      </c>
      <c r="I567" s="289">
        <f>I555</f>
        <v>3.75</v>
      </c>
      <c r="J567" s="278"/>
      <c r="K567" s="306">
        <f>ROUND(I567*$D567*I561,0)</f>
        <v>-318</v>
      </c>
    </row>
    <row r="568" spans="1:15">
      <c r="A568" s="294" t="s">
        <v>431</v>
      </c>
      <c r="B568" s="1"/>
      <c r="C568" s="304">
        <v>0</v>
      </c>
      <c r="D568" s="304">
        <f>ROUND(($D$574/'Blocking - detail'!$C$574)*C568,0)</f>
        <v>0</v>
      </c>
      <c r="E568" s="289">
        <f>E556</f>
        <v>3.64</v>
      </c>
      <c r="F568" s="349" t="s">
        <v>31</v>
      </c>
      <c r="G568" s="306">
        <f>ROUND(E568*$C568*E561,0)</f>
        <v>0</v>
      </c>
      <c r="H568" s="306">
        <f>ROUND(E568*$D568*E561,0)</f>
        <v>0</v>
      </c>
      <c r="I568" s="289">
        <f>I556</f>
        <v>3.75</v>
      </c>
      <c r="J568" s="278"/>
      <c r="K568" s="306">
        <f>ROUND(I568*$D568*I561,0)</f>
        <v>0</v>
      </c>
    </row>
    <row r="569" spans="1:15">
      <c r="A569" s="308" t="s">
        <v>417</v>
      </c>
      <c r="B569" s="1"/>
      <c r="C569" s="304">
        <f>478667+480000</f>
        <v>958667</v>
      </c>
      <c r="D569" s="304">
        <f>ROUND(($D$574/'Blocking - detail'!$C$574)*C569,0)</f>
        <v>966352</v>
      </c>
      <c r="E569" s="359">
        <f>E558</f>
        <v>3.9809999999999999</v>
      </c>
      <c r="F569" s="306" t="s">
        <v>364</v>
      </c>
      <c r="G569" s="306">
        <f>ROUND(E569*$C569/100*E561,0)</f>
        <v>-382</v>
      </c>
      <c r="H569" s="306">
        <f>ROUND(E569*$D569/100*E561,0)</f>
        <v>-385</v>
      </c>
      <c r="I569" s="359">
        <f>I558</f>
        <v>4.3570000000000002</v>
      </c>
      <c r="J569" s="308" t="s">
        <v>364</v>
      </c>
      <c r="K569" s="306">
        <f>ROUND(I569*$D569/100*I561,0)</f>
        <v>-421</v>
      </c>
    </row>
    <row r="570" spans="1:15">
      <c r="A570" s="308" t="s">
        <v>389</v>
      </c>
      <c r="B570" s="1"/>
      <c r="C570" s="304">
        <f>979200+4096800-C569</f>
        <v>4117333</v>
      </c>
      <c r="D570" s="304">
        <f>ROUND(($D$574/'Blocking - detail'!$C$574)*C570,0)</f>
        <v>4150338</v>
      </c>
      <c r="E570" s="359">
        <f>E559</f>
        <v>3.649</v>
      </c>
      <c r="F570" s="306" t="s">
        <v>364</v>
      </c>
      <c r="G570" s="306">
        <f>ROUND(E570*$C570/100*E561,0)</f>
        <v>-1502</v>
      </c>
      <c r="H570" s="306">
        <f>ROUND(E570*$D570/100*E561,0)</f>
        <v>-1514</v>
      </c>
      <c r="I570" s="359">
        <f>I559</f>
        <v>3.9930000000000003</v>
      </c>
      <c r="J570" s="308" t="s">
        <v>364</v>
      </c>
      <c r="K570" s="306">
        <f>ROUND(I570*$D570/100*I561,0)</f>
        <v>-1657</v>
      </c>
    </row>
    <row r="571" spans="1:15">
      <c r="A571" s="308" t="s">
        <v>390</v>
      </c>
      <c r="B571" s="1"/>
      <c r="C571" s="304">
        <f>0</f>
        <v>0</v>
      </c>
      <c r="D571" s="304">
        <f>ROUND(($D$574/'Blocking - detail'!$C$574)*C571,0)</f>
        <v>0</v>
      </c>
      <c r="E571" s="360">
        <f>E560</f>
        <v>45</v>
      </c>
      <c r="F571" s="306" t="s">
        <v>364</v>
      </c>
      <c r="G571" s="306">
        <f>ROUND(E571*$C571/100*E561,0)</f>
        <v>0</v>
      </c>
      <c r="H571" s="306">
        <f>ROUND(E571*$D571/100*E561,0)</f>
        <v>0</v>
      </c>
      <c r="I571" s="360">
        <f>I560</f>
        <v>45</v>
      </c>
      <c r="J571" s="308" t="s">
        <v>364</v>
      </c>
      <c r="K571" s="306">
        <f>ROUND(I571*$D571/100*I561,0)</f>
        <v>0</v>
      </c>
    </row>
    <row r="572" spans="1:15">
      <c r="A572" s="308" t="s">
        <v>433</v>
      </c>
      <c r="B572" s="1"/>
      <c r="C572" s="304">
        <f>C563+C564</f>
        <v>24</v>
      </c>
      <c r="D572" s="304">
        <v>23</v>
      </c>
      <c r="E572" s="283">
        <v>60</v>
      </c>
      <c r="F572" s="349" t="s">
        <v>31</v>
      </c>
      <c r="G572" s="306">
        <f>ROUND(E572*$C572,0)</f>
        <v>1440</v>
      </c>
      <c r="H572" s="306">
        <f>ROUND(E572*$D572,0)</f>
        <v>1380</v>
      </c>
      <c r="I572" s="283">
        <f>$I$504</f>
        <v>60</v>
      </c>
      <c r="J572" s="1"/>
      <c r="K572" s="306">
        <f>ROUND(I572*$D572,0)</f>
        <v>1380</v>
      </c>
    </row>
    <row r="573" spans="1:15">
      <c r="A573" s="308" t="s">
        <v>434</v>
      </c>
      <c r="B573" s="1"/>
      <c r="C573" s="304">
        <f>C565+C566</f>
        <v>9304</v>
      </c>
      <c r="D573" s="304">
        <f>ROUND(($D$574/'Blocking - detail'!$C$574)*C573,0)</f>
        <v>9379</v>
      </c>
      <c r="E573" s="324">
        <v>-30</v>
      </c>
      <c r="F573" s="306" t="s">
        <v>364</v>
      </c>
      <c r="G573" s="306">
        <f>ROUND(E573*$C573/100,0)</f>
        <v>-2791</v>
      </c>
      <c r="H573" s="306">
        <f>ROUND(E573*$D573/100,0)</f>
        <v>-2814</v>
      </c>
      <c r="I573" s="324">
        <v>-30</v>
      </c>
      <c r="J573" s="306" t="s">
        <v>364</v>
      </c>
      <c r="K573" s="306">
        <f>ROUND(I573*$D573/100,0)</f>
        <v>-2814</v>
      </c>
    </row>
    <row r="574" spans="1:15">
      <c r="A574" s="1" t="s">
        <v>371</v>
      </c>
      <c r="B574" s="1"/>
      <c r="C574" s="304">
        <f>SUM(C558:C559)</f>
        <v>145616119</v>
      </c>
      <c r="D574" s="304">
        <v>146783387.35514688</v>
      </c>
      <c r="E574" s="315"/>
      <c r="F574" s="2"/>
      <c r="G574" s="2">
        <f>SUM(G548:G573)</f>
        <v>8131326</v>
      </c>
      <c r="H574" s="2">
        <f>SUM(H548:H573)</f>
        <v>8190149</v>
      </c>
      <c r="I574" s="315"/>
      <c r="J574" s="1"/>
      <c r="K574" s="2">
        <f>SUM(K548:K573)</f>
        <v>8829392</v>
      </c>
    </row>
    <row r="575" spans="1:15">
      <c r="A575" s="1" t="s">
        <v>353</v>
      </c>
      <c r="B575" s="1"/>
      <c r="C575" s="334">
        <v>-3267381.4452911569</v>
      </c>
      <c r="D575" s="325">
        <v>0</v>
      </c>
      <c r="E575" s="294"/>
      <c r="F575" s="294"/>
      <c r="G575" s="295">
        <v>-154650.03199032659</v>
      </c>
      <c r="H575" s="295">
        <v>0</v>
      </c>
      <c r="I575" s="294"/>
      <c r="J575" s="294"/>
      <c r="K575" s="295">
        <v>0</v>
      </c>
      <c r="M575" s="274"/>
      <c r="N575" s="274"/>
      <c r="O575" s="275"/>
    </row>
    <row r="576" spans="1:15" ht="16.5" thickBot="1">
      <c r="A576" s="1" t="s">
        <v>372</v>
      </c>
      <c r="B576" s="1"/>
      <c r="C576" s="351">
        <f>SUM(C574)+C575</f>
        <v>142348737.55470884</v>
      </c>
      <c r="D576" s="351">
        <f>SUM(D558:D559)+D575</f>
        <v>146783387</v>
      </c>
      <c r="E576" s="327"/>
      <c r="F576" s="328"/>
      <c r="G576" s="329">
        <f>G574+G575</f>
        <v>7976675.9680096731</v>
      </c>
      <c r="H576" s="329">
        <f>H574+H575</f>
        <v>8190149</v>
      </c>
      <c r="I576" s="327"/>
      <c r="J576" s="330"/>
      <c r="K576" s="329">
        <f>K574+K575</f>
        <v>8829392</v>
      </c>
      <c r="M576" s="276"/>
      <c r="N576" s="276"/>
      <c r="O576" s="277"/>
    </row>
    <row r="577" spans="1:21" ht="16.5" thickTop="1">
      <c r="A577" s="288"/>
      <c r="B577" s="363"/>
      <c r="C577" s="288"/>
      <c r="D577" s="288"/>
      <c r="E577" s="21"/>
      <c r="F577" s="21"/>
      <c r="G577" s="364"/>
      <c r="H577" s="364"/>
      <c r="I577" s="288"/>
      <c r="J577" s="288"/>
      <c r="K577" s="288"/>
    </row>
    <row r="578" spans="1:21">
      <c r="A578" s="278" t="s">
        <v>437</v>
      </c>
      <c r="B578" s="1"/>
      <c r="C578" s="21"/>
      <c r="D578" s="21"/>
      <c r="E578" s="322"/>
      <c r="F578" s="2"/>
      <c r="G578" s="2"/>
      <c r="H578" s="2"/>
      <c r="I578" s="322"/>
      <c r="J578" s="1"/>
      <c r="K578" s="2"/>
    </row>
    <row r="579" spans="1:21">
      <c r="A579" s="294" t="s">
        <v>438</v>
      </c>
      <c r="B579" s="1"/>
      <c r="C579" s="21"/>
      <c r="D579" s="21"/>
      <c r="E579" s="322"/>
      <c r="F579" s="2"/>
      <c r="G579" s="2"/>
      <c r="H579" s="2"/>
      <c r="I579" s="322"/>
      <c r="J579" s="1"/>
      <c r="K579" s="2"/>
    </row>
    <row r="580" spans="1:21">
      <c r="A580" s="308"/>
      <c r="B580" s="1"/>
      <c r="C580" s="21"/>
      <c r="D580" s="21"/>
      <c r="E580" s="322"/>
      <c r="F580" s="2"/>
      <c r="G580" s="365"/>
      <c r="H580" s="365"/>
      <c r="I580" s="322"/>
      <c r="J580" s="1"/>
      <c r="K580" s="366"/>
    </row>
    <row r="581" spans="1:21">
      <c r="A581" s="294" t="s">
        <v>439</v>
      </c>
      <c r="B581" s="1"/>
      <c r="C581" s="304"/>
      <c r="D581" s="304"/>
      <c r="E581" s="2" t="s">
        <v>31</v>
      </c>
      <c r="F581" s="2"/>
      <c r="G581" s="1"/>
      <c r="H581" s="1"/>
      <c r="I581" s="2" t="s">
        <v>31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294" t="s">
        <v>440</v>
      </c>
      <c r="B582" s="1"/>
      <c r="C582" s="304">
        <f>C633+C684</f>
        <v>1046</v>
      </c>
      <c r="D582" s="304">
        <f>D633+D684</f>
        <v>1055</v>
      </c>
      <c r="E582" s="322">
        <v>0</v>
      </c>
      <c r="F582" s="309"/>
      <c r="G582" s="306">
        <f>G633+G684</f>
        <v>0</v>
      </c>
      <c r="H582" s="306">
        <f>H633+H684</f>
        <v>0</v>
      </c>
      <c r="I582" s="322">
        <v>0</v>
      </c>
      <c r="J582" s="309"/>
      <c r="K582" s="306">
        <f>K633+K684</f>
        <v>0</v>
      </c>
      <c r="M582" s="84">
        <f>I582*D582</f>
        <v>0</v>
      </c>
      <c r="O582" s="14"/>
      <c r="P582" s="69" t="s">
        <v>31</v>
      </c>
      <c r="Q582" s="3" t="s">
        <v>361</v>
      </c>
      <c r="R582" s="314">
        <f>E584+(E593*50)</f>
        <v>907.49999999999989</v>
      </c>
      <c r="S582" s="314">
        <f>E585+(E594*51)</f>
        <v>907.4</v>
      </c>
      <c r="T582" s="314">
        <f>E585+(E594*300)</f>
        <v>3995</v>
      </c>
      <c r="U582" s="314">
        <f>E586+(E595*301)</f>
        <v>4014.65</v>
      </c>
    </row>
    <row r="583" spans="1:21">
      <c r="A583" s="294" t="s">
        <v>441</v>
      </c>
      <c r="B583" s="1"/>
      <c r="C583" s="304"/>
      <c r="D583" s="304"/>
      <c r="E583" s="322"/>
      <c r="F583" s="309"/>
      <c r="G583" s="306"/>
      <c r="H583" s="306"/>
      <c r="I583" s="322"/>
      <c r="J583" s="309"/>
      <c r="K583" s="306"/>
      <c r="Q583" s="3" t="s">
        <v>296</v>
      </c>
      <c r="R583" s="314">
        <f>I584+(I593*50)</f>
        <v>993.5</v>
      </c>
      <c r="S583" s="314">
        <f>I585+(I594*51)</f>
        <v>996.64</v>
      </c>
      <c r="T583" s="314">
        <f>I585+(I594*300)</f>
        <v>4393</v>
      </c>
      <c r="U583" s="314">
        <f>I586+(I595*301)</f>
        <v>4411.62</v>
      </c>
    </row>
    <row r="584" spans="1:21">
      <c r="A584" s="294" t="s">
        <v>442</v>
      </c>
      <c r="B584" s="1"/>
      <c r="C584" s="304">
        <f t="shared" ref="C584:D589" si="49">C635+C686</f>
        <v>3810</v>
      </c>
      <c r="D584" s="304">
        <f t="shared" si="49"/>
        <v>3832</v>
      </c>
      <c r="E584" s="322">
        <v>0</v>
      </c>
      <c r="F584" s="309"/>
      <c r="G584" s="306">
        <f t="shared" ref="G584:H586" si="50">G635+G686</f>
        <v>0</v>
      </c>
      <c r="H584" s="306">
        <f t="shared" si="50"/>
        <v>0</v>
      </c>
      <c r="I584" s="322">
        <v>0</v>
      </c>
      <c r="J584" s="309"/>
      <c r="K584" s="306">
        <f>K635+K686</f>
        <v>0</v>
      </c>
      <c r="M584" s="84">
        <f>I584*D584</f>
        <v>0</v>
      </c>
      <c r="N584" s="53"/>
    </row>
    <row r="585" spans="1:21">
      <c r="A585" s="294" t="s">
        <v>443</v>
      </c>
      <c r="B585" s="1"/>
      <c r="C585" s="304">
        <f t="shared" si="49"/>
        <v>391</v>
      </c>
      <c r="D585" s="304">
        <f t="shared" si="49"/>
        <v>394</v>
      </c>
      <c r="E585" s="322">
        <v>275</v>
      </c>
      <c r="F585" s="309"/>
      <c r="G585" s="306">
        <f t="shared" si="50"/>
        <v>107525</v>
      </c>
      <c r="H585" s="306">
        <f t="shared" si="50"/>
        <v>108350</v>
      </c>
      <c r="I585" s="322">
        <v>301</v>
      </c>
      <c r="J585" s="309"/>
      <c r="K585" s="306">
        <f>K636+K687</f>
        <v>118594</v>
      </c>
      <c r="M585" s="84">
        <f>I585*D585</f>
        <v>118594</v>
      </c>
      <c r="N585" s="222"/>
      <c r="O585" s="14">
        <f>(I585-E585)/E585</f>
        <v>9.4545454545454544E-2</v>
      </c>
      <c r="S585" s="314">
        <f>S583-R583</f>
        <v>3.1399999999999864</v>
      </c>
      <c r="U585" s="314">
        <f>U583-T583</f>
        <v>18.619999999999891</v>
      </c>
    </row>
    <row r="586" spans="1:21">
      <c r="A586" s="294" t="s">
        <v>444</v>
      </c>
      <c r="B586" s="1"/>
      <c r="C586" s="304">
        <f t="shared" si="49"/>
        <v>12</v>
      </c>
      <c r="D586" s="304">
        <f t="shared" si="49"/>
        <v>12</v>
      </c>
      <c r="E586" s="322">
        <v>1110</v>
      </c>
      <c r="F586" s="309"/>
      <c r="G586" s="306">
        <f t="shared" si="50"/>
        <v>13320</v>
      </c>
      <c r="H586" s="306">
        <f t="shared" si="50"/>
        <v>13320</v>
      </c>
      <c r="I586" s="322">
        <v>1215</v>
      </c>
      <c r="J586" s="309"/>
      <c r="K586" s="306">
        <f>K637+K688</f>
        <v>14580</v>
      </c>
      <c r="M586" s="84">
        <f>I586*D586</f>
        <v>14580</v>
      </c>
      <c r="N586" s="222"/>
      <c r="O586" s="14">
        <f>(I586-E586)/E586</f>
        <v>9.45945945945946E-2</v>
      </c>
    </row>
    <row r="587" spans="1:21">
      <c r="A587" s="294" t="s">
        <v>352</v>
      </c>
      <c r="B587" s="1"/>
      <c r="C587" s="304">
        <f t="shared" si="49"/>
        <v>5259</v>
      </c>
      <c r="D587" s="304">
        <f t="shared" si="49"/>
        <v>5292.9166666666661</v>
      </c>
      <c r="E587" s="322"/>
      <c r="F587" s="309"/>
      <c r="G587" s="306"/>
      <c r="H587" s="306"/>
      <c r="I587" s="322"/>
      <c r="J587" s="309"/>
      <c r="K587" s="306"/>
      <c r="M587" s="69"/>
      <c r="N587" s="69"/>
      <c r="O587" s="305"/>
      <c r="S587" s="314">
        <f>I593</f>
        <v>19.87</v>
      </c>
      <c r="U587" s="314">
        <f>I595</f>
        <v>10.62</v>
      </c>
    </row>
    <row r="588" spans="1:21">
      <c r="A588" s="294" t="s">
        <v>445</v>
      </c>
      <c r="B588" s="1"/>
      <c r="C588" s="304">
        <f t="shared" si="49"/>
        <v>34292</v>
      </c>
      <c r="D588" s="304">
        <f t="shared" si="49"/>
        <v>34530</v>
      </c>
      <c r="E588" s="322"/>
      <c r="F588" s="309"/>
      <c r="G588" s="306"/>
      <c r="H588" s="306"/>
      <c r="I588" s="322"/>
      <c r="J588" s="309"/>
      <c r="K588" s="306"/>
      <c r="M588" s="69"/>
      <c r="N588" s="69"/>
      <c r="O588" s="305"/>
    </row>
    <row r="589" spans="1:21">
      <c r="A589" s="294" t="s">
        <v>104</v>
      </c>
      <c r="B589" s="1"/>
      <c r="C589" s="304">
        <f t="shared" si="49"/>
        <v>5714</v>
      </c>
      <c r="D589" s="304">
        <f t="shared" si="49"/>
        <v>5752</v>
      </c>
      <c r="E589" s="322"/>
      <c r="F589" s="306"/>
      <c r="G589" s="306"/>
      <c r="H589" s="306"/>
      <c r="I589" s="322"/>
      <c r="J589" s="306"/>
      <c r="K589" s="306"/>
      <c r="M589" s="69"/>
      <c r="N589" s="69"/>
      <c r="O589" s="305"/>
      <c r="P589" s="279"/>
    </row>
    <row r="590" spans="1:21">
      <c r="A590" s="294" t="s">
        <v>446</v>
      </c>
      <c r="B590" s="1"/>
      <c r="C590" s="304"/>
      <c r="D590" s="304"/>
      <c r="E590" s="322"/>
      <c r="F590" s="309"/>
      <c r="G590" s="306"/>
      <c r="H590" s="306"/>
      <c r="I590" s="322"/>
      <c r="J590" s="309"/>
      <c r="K590" s="306"/>
      <c r="M590" s="69"/>
      <c r="N590" s="69"/>
      <c r="O590" s="305"/>
    </row>
    <row r="591" spans="1:21">
      <c r="A591" s="294" t="s">
        <v>447</v>
      </c>
      <c r="B591" s="1"/>
      <c r="C591" s="304">
        <f>C642+C693</f>
        <v>4094</v>
      </c>
      <c r="D591" s="304">
        <f>D642+D693</f>
        <v>3767</v>
      </c>
      <c r="E591" s="322">
        <v>18.149999999999999</v>
      </c>
      <c r="F591" s="309"/>
      <c r="G591" s="306">
        <f>G642+G693</f>
        <v>74306</v>
      </c>
      <c r="H591" s="306">
        <f>H642+H693</f>
        <v>68371</v>
      </c>
      <c r="I591" s="322">
        <v>19.87</v>
      </c>
      <c r="J591" s="309"/>
      <c r="K591" s="306">
        <f>K642+K693</f>
        <v>74851</v>
      </c>
      <c r="M591" s="84">
        <f>I591*D591</f>
        <v>74850.290000000008</v>
      </c>
      <c r="N591" s="222"/>
      <c r="O591" s="14">
        <f>(I591-E591)/E591</f>
        <v>9.4765840220385811E-2</v>
      </c>
      <c r="R591" s="3" t="s">
        <v>361</v>
      </c>
      <c r="S591" s="3" t="s">
        <v>296</v>
      </c>
      <c r="T591" s="3" t="s">
        <v>362</v>
      </c>
      <c r="U591" s="3" t="s">
        <v>305</v>
      </c>
    </row>
    <row r="592" spans="1:21">
      <c r="A592" s="294" t="s">
        <v>448</v>
      </c>
      <c r="B592" s="1"/>
      <c r="C592" s="304"/>
      <c r="D592" s="304"/>
      <c r="E592" s="322"/>
      <c r="F592" s="309"/>
      <c r="G592" s="306"/>
      <c r="H592" s="306"/>
      <c r="I592" s="322"/>
      <c r="J592" s="309"/>
      <c r="K592" s="306"/>
      <c r="M592" s="361"/>
      <c r="N592" s="361"/>
      <c r="O592" s="305"/>
      <c r="Q592" s="3" t="s">
        <v>432</v>
      </c>
      <c r="R592" s="84">
        <f>SUM(H582:H597)</f>
        <v>1668109</v>
      </c>
      <c r="S592" s="84">
        <f>SUM(K582:K597)</f>
        <v>1828655</v>
      </c>
      <c r="T592" s="106">
        <v>2708270.4985879958</v>
      </c>
      <c r="U592" s="222">
        <f>S592/T592</f>
        <v>0.67521135756321282</v>
      </c>
    </row>
    <row r="593" spans="1:21">
      <c r="A593" s="294" t="s">
        <v>442</v>
      </c>
      <c r="B593" s="1"/>
      <c r="C593" s="304">
        <f t="shared" ref="C593:D597" si="51">C644+C695</f>
        <v>53610</v>
      </c>
      <c r="D593" s="304">
        <f t="shared" si="51"/>
        <v>49068</v>
      </c>
      <c r="E593" s="322">
        <f>E591</f>
        <v>18.149999999999999</v>
      </c>
      <c r="F593" s="309"/>
      <c r="G593" s="306">
        <f t="shared" ref="G593:H597" si="52">G644+G695</f>
        <v>973021</v>
      </c>
      <c r="H593" s="306">
        <f t="shared" si="52"/>
        <v>890585</v>
      </c>
      <c r="I593" s="322">
        <f>I591</f>
        <v>19.87</v>
      </c>
      <c r="J593" s="309"/>
      <c r="K593" s="306">
        <f>K644+K695</f>
        <v>974981</v>
      </c>
      <c r="M593" s="84">
        <f>I593*D593</f>
        <v>974981.16</v>
      </c>
      <c r="N593" s="222"/>
      <c r="O593" s="14">
        <f>(I593-E593)/E593</f>
        <v>9.4765840220385811E-2</v>
      </c>
      <c r="Q593" s="3" t="s">
        <v>449</v>
      </c>
      <c r="R593" s="84">
        <f>H602</f>
        <v>7542243</v>
      </c>
      <c r="S593" s="84">
        <f>K602</f>
        <v>8116487</v>
      </c>
      <c r="T593" s="106">
        <v>8051434.7234117109</v>
      </c>
      <c r="U593" s="222">
        <f>S593/T593</f>
        <v>1.0080795881508089</v>
      </c>
    </row>
    <row r="594" spans="1:21">
      <c r="A594" s="294" t="s">
        <v>443</v>
      </c>
      <c r="B594" s="1"/>
      <c r="C594" s="304">
        <f t="shared" si="51"/>
        <v>37992</v>
      </c>
      <c r="D594" s="304">
        <f t="shared" si="51"/>
        <v>34737</v>
      </c>
      <c r="E594" s="322">
        <v>12.4</v>
      </c>
      <c r="F594" s="309"/>
      <c r="G594" s="306">
        <f t="shared" si="52"/>
        <v>471100</v>
      </c>
      <c r="H594" s="306">
        <f t="shared" si="52"/>
        <v>430738</v>
      </c>
      <c r="I594" s="322">
        <v>13.64</v>
      </c>
      <c r="J594" s="309"/>
      <c r="K594" s="306">
        <f>K645+K696</f>
        <v>473813</v>
      </c>
      <c r="M594" s="84">
        <f>I594*D594</f>
        <v>473812.68</v>
      </c>
      <c r="N594" s="222"/>
      <c r="O594" s="14">
        <f>(I594-E594)/E594</f>
        <v>0.10000000000000002</v>
      </c>
      <c r="R594" s="84"/>
      <c r="S594" s="84"/>
      <c r="T594" s="106"/>
      <c r="U594" s="222"/>
    </row>
    <row r="595" spans="1:21">
      <c r="A595" s="294" t="s">
        <v>444</v>
      </c>
      <c r="B595" s="1"/>
      <c r="C595" s="304">
        <f t="shared" si="51"/>
        <v>4634</v>
      </c>
      <c r="D595" s="304">
        <f t="shared" si="51"/>
        <v>4281</v>
      </c>
      <c r="E595" s="322">
        <v>9.65</v>
      </c>
      <c r="F595" s="309"/>
      <c r="G595" s="306">
        <f t="shared" si="52"/>
        <v>44718</v>
      </c>
      <c r="H595" s="306">
        <f t="shared" si="52"/>
        <v>41312</v>
      </c>
      <c r="I595" s="322">
        <v>10.62</v>
      </c>
      <c r="J595" s="309"/>
      <c r="K595" s="306">
        <f>K646+K697</f>
        <v>45464</v>
      </c>
      <c r="M595" s="84">
        <f>I595*D595</f>
        <v>45464.219999999994</v>
      </c>
      <c r="N595" s="222"/>
      <c r="O595" s="14">
        <f>(I595-E595)/E595</f>
        <v>0.10051813471502578</v>
      </c>
    </row>
    <row r="596" spans="1:21">
      <c r="A596" s="294" t="s">
        <v>450</v>
      </c>
      <c r="B596" s="1"/>
      <c r="C596" s="304">
        <f t="shared" si="51"/>
        <v>402</v>
      </c>
      <c r="D596" s="304">
        <f t="shared" si="51"/>
        <v>368</v>
      </c>
      <c r="E596" s="322">
        <v>54.45</v>
      </c>
      <c r="F596" s="309"/>
      <c r="G596" s="306">
        <f t="shared" si="52"/>
        <v>21889</v>
      </c>
      <c r="H596" s="306">
        <f t="shared" si="52"/>
        <v>20037</v>
      </c>
      <c r="I596" s="322">
        <f>I591*3</f>
        <v>59.61</v>
      </c>
      <c r="J596" s="309"/>
      <c r="K596" s="306">
        <f>K647+K698</f>
        <v>21936</v>
      </c>
      <c r="M596" s="84">
        <f>I596*D596</f>
        <v>21936.48</v>
      </c>
      <c r="N596" s="222"/>
      <c r="O596" s="14">
        <f>(I596-E596)/E596</f>
        <v>9.4765840220385603E-2</v>
      </c>
    </row>
    <row r="597" spans="1:21">
      <c r="A597" s="294" t="s">
        <v>451</v>
      </c>
      <c r="B597" s="1"/>
      <c r="C597" s="304">
        <f t="shared" si="51"/>
        <v>960</v>
      </c>
      <c r="D597" s="304">
        <f t="shared" si="51"/>
        <v>876</v>
      </c>
      <c r="E597" s="322">
        <v>108.9</v>
      </c>
      <c r="F597" s="309"/>
      <c r="G597" s="306">
        <f t="shared" si="52"/>
        <v>104544</v>
      </c>
      <c r="H597" s="306">
        <f t="shared" si="52"/>
        <v>95396</v>
      </c>
      <c r="I597" s="322">
        <f>I591*6</f>
        <v>119.22</v>
      </c>
      <c r="J597" s="309"/>
      <c r="K597" s="306">
        <f>K648+K699</f>
        <v>104436</v>
      </c>
      <c r="M597" s="84">
        <f>I597*D597</f>
        <v>104436.72</v>
      </c>
      <c r="N597" s="222"/>
      <c r="O597" s="14">
        <f>(I597-E597)/E597</f>
        <v>9.4765840220385603E-2</v>
      </c>
    </row>
    <row r="598" spans="1:21">
      <c r="A598" s="294" t="s">
        <v>452</v>
      </c>
      <c r="B598" s="1"/>
      <c r="C598" s="304"/>
      <c r="D598" s="304"/>
      <c r="E598" s="322"/>
      <c r="F598" s="309"/>
      <c r="G598" s="306"/>
      <c r="H598" s="306"/>
      <c r="I598" s="322"/>
      <c r="J598" s="309"/>
      <c r="K598" s="306"/>
      <c r="M598" s="69"/>
      <c r="N598" s="69"/>
      <c r="O598" s="3"/>
    </row>
    <row r="599" spans="1:21">
      <c r="A599" s="294" t="s">
        <v>447</v>
      </c>
      <c r="B599" s="1"/>
      <c r="C599" s="304">
        <f>C650+C701</f>
        <v>566</v>
      </c>
      <c r="D599" s="304">
        <f>D650+D701</f>
        <v>518</v>
      </c>
      <c r="E599" s="348">
        <f>-E591</f>
        <v>-18.149999999999999</v>
      </c>
      <c r="F599" s="309"/>
      <c r="G599" s="306">
        <f>G650+G701</f>
        <v>-10273</v>
      </c>
      <c r="H599" s="306">
        <f>H650+H701</f>
        <v>-9402</v>
      </c>
      <c r="I599" s="348">
        <f>-I591</f>
        <v>-19.87</v>
      </c>
      <c r="J599" s="309"/>
      <c r="K599" s="306">
        <f>K650+K701</f>
        <v>-10293</v>
      </c>
      <c r="M599" s="84">
        <f>I599*D599</f>
        <v>-10292.66</v>
      </c>
      <c r="N599" s="69"/>
      <c r="O599" s="3"/>
    </row>
    <row r="600" spans="1:21">
      <c r="A600" s="294" t="s">
        <v>453</v>
      </c>
      <c r="B600" s="1"/>
      <c r="C600" s="304">
        <f>C651+C702</f>
        <v>2194</v>
      </c>
      <c r="D600" s="304">
        <f>D651+D702</f>
        <v>2004</v>
      </c>
      <c r="E600" s="348">
        <f>-E593</f>
        <v>-18.149999999999999</v>
      </c>
      <c r="F600" s="309"/>
      <c r="G600" s="306">
        <f>G651+G702</f>
        <v>-39821</v>
      </c>
      <c r="H600" s="306">
        <f>H651+H702</f>
        <v>-36373</v>
      </c>
      <c r="I600" s="348">
        <f>-I593</f>
        <v>-19.87</v>
      </c>
      <c r="J600" s="309"/>
      <c r="K600" s="306">
        <f>K651+K702</f>
        <v>-39820</v>
      </c>
      <c r="M600" s="84">
        <f>I600*D600</f>
        <v>-39819.480000000003</v>
      </c>
      <c r="N600" s="69"/>
      <c r="O600" s="3"/>
    </row>
    <row r="601" spans="1:21">
      <c r="A601" s="308" t="s">
        <v>416</v>
      </c>
      <c r="B601" s="1"/>
      <c r="C601" s="304"/>
      <c r="D601" s="304"/>
      <c r="E601" s="322"/>
      <c r="F601" s="306"/>
      <c r="G601" s="306"/>
      <c r="H601" s="306"/>
      <c r="I601" s="322"/>
      <c r="J601" s="306"/>
      <c r="K601" s="306"/>
      <c r="M601" s="69"/>
      <c r="N601" s="69"/>
      <c r="O601" s="3"/>
      <c r="Q601" s="3" t="s">
        <v>31</v>
      </c>
    </row>
    <row r="602" spans="1:21">
      <c r="A602" s="294" t="s">
        <v>454</v>
      </c>
      <c r="B602" s="1"/>
      <c r="C602" s="304">
        <f>C653+C704</f>
        <v>165066044</v>
      </c>
      <c r="D602" s="304">
        <f>D653+D704</f>
        <v>151116862</v>
      </c>
      <c r="E602" s="367">
        <v>4.9909999999999997</v>
      </c>
      <c r="F602" s="306" t="s">
        <v>364</v>
      </c>
      <c r="G602" s="306">
        <f>G653+G704</f>
        <v>8238447</v>
      </c>
      <c r="H602" s="306">
        <f>H653+H704</f>
        <v>7542243</v>
      </c>
      <c r="I602" s="368">
        <v>5.3710000000000004</v>
      </c>
      <c r="J602" s="306" t="s">
        <v>364</v>
      </c>
      <c r="K602" s="306">
        <f>K653+K704</f>
        <v>8116487</v>
      </c>
      <c r="M602" s="84">
        <f>(I602/100)*D602</f>
        <v>8116486.6580200009</v>
      </c>
      <c r="N602" s="222"/>
      <c r="O602" s="14">
        <f>(I602-E602)/E602</f>
        <v>7.6137046684031415E-2</v>
      </c>
    </row>
    <row r="603" spans="1:21">
      <c r="A603" s="308" t="s">
        <v>390</v>
      </c>
      <c r="B603" s="1"/>
      <c r="C603" s="304">
        <f>C654+C705</f>
        <v>28780</v>
      </c>
      <c r="D603" s="304">
        <f>D654+D705</f>
        <v>26281</v>
      </c>
      <c r="E603" s="324">
        <v>45</v>
      </c>
      <c r="F603" s="308" t="s">
        <v>364</v>
      </c>
      <c r="G603" s="306">
        <f>G654+G705</f>
        <v>12951</v>
      </c>
      <c r="H603" s="306">
        <f>H654+H705</f>
        <v>11826</v>
      </c>
      <c r="I603" s="324">
        <v>45</v>
      </c>
      <c r="J603" s="308" t="s">
        <v>364</v>
      </c>
      <c r="K603" s="306">
        <f>K654+K705</f>
        <v>11826</v>
      </c>
      <c r="M603" s="84">
        <f>(I603/100)*D603</f>
        <v>11826.45</v>
      </c>
      <c r="N603" s="222"/>
      <c r="O603" s="14">
        <f>(I603-E603)/E603</f>
        <v>0</v>
      </c>
    </row>
    <row r="604" spans="1:21">
      <c r="A604" s="345" t="s">
        <v>391</v>
      </c>
      <c r="B604" s="1"/>
      <c r="C604" s="304"/>
      <c r="D604" s="304"/>
      <c r="E604" s="317">
        <v>-0.01</v>
      </c>
      <c r="F604" s="2"/>
      <c r="G604" s="306"/>
      <c r="H604" s="306"/>
      <c r="I604" s="317">
        <v>-0.01</v>
      </c>
      <c r="J604" s="1"/>
      <c r="K604" s="306"/>
    </row>
    <row r="605" spans="1:21">
      <c r="A605" s="294" t="s">
        <v>380</v>
      </c>
      <c r="B605" s="1"/>
      <c r="C605" s="304">
        <f>C656+C707</f>
        <v>0</v>
      </c>
      <c r="D605" s="304">
        <f>D656+D707</f>
        <v>0</v>
      </c>
      <c r="E605" s="369">
        <f>E582</f>
        <v>0</v>
      </c>
      <c r="F605" s="309"/>
      <c r="G605" s="306">
        <f>G656+G707</f>
        <v>0</v>
      </c>
      <c r="H605" s="306">
        <f>H656+H707</f>
        <v>0</v>
      </c>
      <c r="I605" s="369">
        <f>I582</f>
        <v>0</v>
      </c>
      <c r="J605" s="309"/>
      <c r="K605" s="306">
        <f>K656+K707</f>
        <v>0</v>
      </c>
      <c r="M605" s="84">
        <f>-(I605/100)*D605</f>
        <v>0</v>
      </c>
    </row>
    <row r="606" spans="1:21">
      <c r="A606" s="294" t="s">
        <v>381</v>
      </c>
      <c r="B606" s="1"/>
      <c r="C606" s="304"/>
      <c r="D606" s="304"/>
      <c r="E606" s="369"/>
      <c r="F606" s="309"/>
      <c r="G606" s="306"/>
      <c r="H606" s="306"/>
      <c r="I606" s="369"/>
      <c r="J606" s="309"/>
      <c r="K606" s="306"/>
    </row>
    <row r="607" spans="1:21">
      <c r="A607" s="294" t="s">
        <v>442</v>
      </c>
      <c r="B607" s="1"/>
      <c r="C607" s="304">
        <f t="shared" ref="C607:D610" si="53">C658+C709</f>
        <v>1</v>
      </c>
      <c r="D607" s="304">
        <f t="shared" si="53"/>
        <v>1</v>
      </c>
      <c r="E607" s="369">
        <f>E584</f>
        <v>0</v>
      </c>
      <c r="F607" s="309"/>
      <c r="G607" s="306">
        <f t="shared" ref="G607:H610" si="54">G658+G709</f>
        <v>0</v>
      </c>
      <c r="H607" s="306">
        <f t="shared" si="54"/>
        <v>0</v>
      </c>
      <c r="I607" s="369">
        <f>I584</f>
        <v>0</v>
      </c>
      <c r="J607" s="309"/>
      <c r="K607" s="306">
        <f>K658+K709</f>
        <v>0</v>
      </c>
      <c r="M607" s="84">
        <f>-(I607/100)*D607</f>
        <v>0</v>
      </c>
    </row>
    <row r="608" spans="1:21">
      <c r="A608" s="294" t="s">
        <v>443</v>
      </c>
      <c r="B608" s="1"/>
      <c r="C608" s="304">
        <f t="shared" si="53"/>
        <v>0</v>
      </c>
      <c r="D608" s="304">
        <f t="shared" si="53"/>
        <v>0</v>
      </c>
      <c r="E608" s="369">
        <f>E585</f>
        <v>275</v>
      </c>
      <c r="F608" s="309"/>
      <c r="G608" s="306">
        <f t="shared" si="54"/>
        <v>0</v>
      </c>
      <c r="H608" s="306">
        <f t="shared" si="54"/>
        <v>0</v>
      </c>
      <c r="I608" s="369">
        <f>I585</f>
        <v>301</v>
      </c>
      <c r="J608" s="309"/>
      <c r="K608" s="306">
        <f>K659+K710</f>
        <v>0</v>
      </c>
      <c r="M608" s="84">
        <f>-(I608/100)*D608</f>
        <v>0</v>
      </c>
    </row>
    <row r="609" spans="1:13">
      <c r="A609" s="294" t="s">
        <v>444</v>
      </c>
      <c r="B609" s="1"/>
      <c r="C609" s="304">
        <f t="shared" si="53"/>
        <v>0</v>
      </c>
      <c r="D609" s="304">
        <f t="shared" si="53"/>
        <v>0</v>
      </c>
      <c r="E609" s="369">
        <f>E586</f>
        <v>1110</v>
      </c>
      <c r="F609" s="309"/>
      <c r="G609" s="306">
        <f t="shared" si="54"/>
        <v>0</v>
      </c>
      <c r="H609" s="306">
        <f t="shared" si="54"/>
        <v>0</v>
      </c>
      <c r="I609" s="369">
        <f>I586</f>
        <v>1215</v>
      </c>
      <c r="J609" s="309"/>
      <c r="K609" s="306">
        <f>K660+K711</f>
        <v>0</v>
      </c>
      <c r="M609" s="84">
        <f>-(I609/100)*D609</f>
        <v>0</v>
      </c>
    </row>
    <row r="610" spans="1:13">
      <c r="A610" s="294" t="s">
        <v>380</v>
      </c>
      <c r="B610" s="1"/>
      <c r="C610" s="304">
        <f t="shared" si="53"/>
        <v>0</v>
      </c>
      <c r="D610" s="304">
        <f t="shared" si="53"/>
        <v>0</v>
      </c>
      <c r="E610" s="369">
        <f>E591</f>
        <v>18.149999999999999</v>
      </c>
      <c r="F610" s="309"/>
      <c r="G610" s="306">
        <f t="shared" si="54"/>
        <v>0</v>
      </c>
      <c r="H610" s="306">
        <f t="shared" si="54"/>
        <v>0</v>
      </c>
      <c r="I610" s="369">
        <f>I591</f>
        <v>19.87</v>
      </c>
      <c r="J610" s="309"/>
      <c r="K610" s="306">
        <f>K661+K712</f>
        <v>0</v>
      </c>
      <c r="M610" s="84">
        <f>-(I610/100)*D610</f>
        <v>0</v>
      </c>
    </row>
    <row r="611" spans="1:13">
      <c r="A611" s="294" t="s">
        <v>381</v>
      </c>
      <c r="B611" s="1"/>
      <c r="C611" s="304"/>
      <c r="D611" s="304"/>
      <c r="E611" s="369"/>
      <c r="F611" s="309"/>
      <c r="G611" s="306"/>
      <c r="H611" s="306"/>
      <c r="I611" s="369"/>
      <c r="J611" s="309"/>
      <c r="K611" s="306"/>
    </row>
    <row r="612" spans="1:13">
      <c r="A612" s="294" t="s">
        <v>442</v>
      </c>
      <c r="B612" s="1"/>
      <c r="C612" s="304">
        <f t="shared" ref="C612:D616" si="55">C663+C714</f>
        <v>40</v>
      </c>
      <c r="D612" s="304">
        <f t="shared" si="55"/>
        <v>39</v>
      </c>
      <c r="E612" s="369">
        <f>E593</f>
        <v>18.149999999999999</v>
      </c>
      <c r="F612" s="309"/>
      <c r="G612" s="306">
        <f t="shared" ref="G612:H616" si="56">G663+G714</f>
        <v>-7</v>
      </c>
      <c r="H612" s="306">
        <f t="shared" si="56"/>
        <v>-7</v>
      </c>
      <c r="I612" s="369">
        <f>I593</f>
        <v>19.87</v>
      </c>
      <c r="J612" s="309"/>
      <c r="K612" s="306">
        <f>K663+K714</f>
        <v>-8</v>
      </c>
      <c r="M612" s="84">
        <f>-(I612/100)*D612</f>
        <v>-7.7493000000000007</v>
      </c>
    </row>
    <row r="613" spans="1:13">
      <c r="A613" s="294" t="s">
        <v>443</v>
      </c>
      <c r="B613" s="1"/>
      <c r="C613" s="304">
        <f t="shared" si="55"/>
        <v>0</v>
      </c>
      <c r="D613" s="304">
        <f t="shared" si="55"/>
        <v>0</v>
      </c>
      <c r="E613" s="369">
        <f>E594</f>
        <v>12.4</v>
      </c>
      <c r="F613" s="309"/>
      <c r="G613" s="306">
        <f t="shared" si="56"/>
        <v>0</v>
      </c>
      <c r="H613" s="306">
        <f t="shared" si="56"/>
        <v>0</v>
      </c>
      <c r="I613" s="369">
        <f>I594</f>
        <v>13.64</v>
      </c>
      <c r="J613" s="309"/>
      <c r="K613" s="306">
        <f>K664+K715</f>
        <v>0</v>
      </c>
      <c r="M613" s="84">
        <f>-(I613/100)*D613</f>
        <v>0</v>
      </c>
    </row>
    <row r="614" spans="1:13">
      <c r="A614" s="294" t="s">
        <v>444</v>
      </c>
      <c r="B614" s="1"/>
      <c r="C614" s="304">
        <f t="shared" si="55"/>
        <v>0</v>
      </c>
      <c r="D614" s="304">
        <f t="shared" si="55"/>
        <v>0</v>
      </c>
      <c r="E614" s="369">
        <f>E595</f>
        <v>9.65</v>
      </c>
      <c r="F614" s="309"/>
      <c r="G614" s="306">
        <f t="shared" si="56"/>
        <v>0</v>
      </c>
      <c r="H614" s="306">
        <f t="shared" si="56"/>
        <v>0</v>
      </c>
      <c r="I614" s="369">
        <f>I595</f>
        <v>10.62</v>
      </c>
      <c r="J614" s="309"/>
      <c r="K614" s="306">
        <f>K665+K716</f>
        <v>0</v>
      </c>
      <c r="M614" s="84">
        <f>-(I614/100)*D614</f>
        <v>0</v>
      </c>
    </row>
    <row r="615" spans="1:13">
      <c r="A615" s="294" t="s">
        <v>455</v>
      </c>
      <c r="B615" s="1"/>
      <c r="C615" s="304">
        <f t="shared" si="55"/>
        <v>0</v>
      </c>
      <c r="D615" s="304">
        <f t="shared" si="55"/>
        <v>0</v>
      </c>
      <c r="E615" s="338">
        <f>E596</f>
        <v>54.45</v>
      </c>
      <c r="F615" s="309"/>
      <c r="G615" s="306">
        <f t="shared" si="56"/>
        <v>0</v>
      </c>
      <c r="H615" s="306">
        <f t="shared" si="56"/>
        <v>0</v>
      </c>
      <c r="I615" s="338">
        <f>I596</f>
        <v>59.61</v>
      </c>
      <c r="J615" s="309"/>
      <c r="K615" s="306">
        <f>K666+K717</f>
        <v>0</v>
      </c>
      <c r="M615" s="84">
        <f>-(I615/100)*D615</f>
        <v>0</v>
      </c>
    </row>
    <row r="616" spans="1:13">
      <c r="A616" s="294" t="s">
        <v>456</v>
      </c>
      <c r="B616" s="1"/>
      <c r="C616" s="304">
        <f t="shared" si="55"/>
        <v>0</v>
      </c>
      <c r="D616" s="304">
        <f t="shared" si="55"/>
        <v>0</v>
      </c>
      <c r="E616" s="338">
        <f>E597</f>
        <v>108.9</v>
      </c>
      <c r="F616" s="309"/>
      <c r="G616" s="306">
        <f t="shared" si="56"/>
        <v>0</v>
      </c>
      <c r="H616" s="306">
        <f t="shared" si="56"/>
        <v>0</v>
      </c>
      <c r="I616" s="338">
        <f>I597</f>
        <v>119.22</v>
      </c>
      <c r="J616" s="309"/>
      <c r="K616" s="306">
        <f>K667+K718</f>
        <v>0</v>
      </c>
      <c r="M616" s="84">
        <f>-(I616/100)*D616</f>
        <v>0</v>
      </c>
    </row>
    <row r="617" spans="1:13">
      <c r="A617" s="294" t="s">
        <v>452</v>
      </c>
      <c r="B617" s="1"/>
      <c r="C617" s="304"/>
      <c r="D617" s="304"/>
      <c r="E617" s="322"/>
      <c r="F617" s="309"/>
      <c r="G617" s="306"/>
      <c r="H617" s="306"/>
      <c r="I617" s="322"/>
      <c r="J617" s="309"/>
      <c r="K617" s="306"/>
    </row>
    <row r="618" spans="1:13">
      <c r="A618" s="294" t="s">
        <v>447</v>
      </c>
      <c r="B618" s="1"/>
      <c r="C618" s="304">
        <f>C669+C720</f>
        <v>0</v>
      </c>
      <c r="D618" s="304">
        <f>D669+D720</f>
        <v>0</v>
      </c>
      <c r="E618" s="348">
        <f>E599</f>
        <v>-18.149999999999999</v>
      </c>
      <c r="F618" s="309"/>
      <c r="G618" s="306">
        <f>G669+G720</f>
        <v>0</v>
      </c>
      <c r="H618" s="306">
        <f>H669+H720</f>
        <v>0</v>
      </c>
      <c r="I618" s="348">
        <f>I599</f>
        <v>-19.87</v>
      </c>
      <c r="J618" s="309"/>
      <c r="K618" s="306">
        <f>K669+K720</f>
        <v>0</v>
      </c>
      <c r="M618" s="84">
        <f>-(I618/100)*D618</f>
        <v>0</v>
      </c>
    </row>
    <row r="619" spans="1:13">
      <c r="A619" s="294" t="s">
        <v>453</v>
      </c>
      <c r="B619" s="1"/>
      <c r="C619" s="304">
        <f>C670+C721</f>
        <v>0</v>
      </c>
      <c r="D619" s="304">
        <f>D670+D721</f>
        <v>0</v>
      </c>
      <c r="E619" s="348">
        <f>E600</f>
        <v>-18.149999999999999</v>
      </c>
      <c r="F619" s="309"/>
      <c r="G619" s="306">
        <f>G670+G721</f>
        <v>0</v>
      </c>
      <c r="H619" s="306">
        <f>H670+H721</f>
        <v>0</v>
      </c>
      <c r="I619" s="348">
        <f>I600</f>
        <v>-19.87</v>
      </c>
      <c r="J619" s="309"/>
      <c r="K619" s="306">
        <f>K670+K721</f>
        <v>0</v>
      </c>
      <c r="M619" s="84">
        <f>-(I619/100)*D619</f>
        <v>0</v>
      </c>
    </row>
    <row r="620" spans="1:13">
      <c r="A620" s="308" t="s">
        <v>416</v>
      </c>
      <c r="B620" s="1"/>
      <c r="C620" s="304"/>
      <c r="D620" s="304"/>
      <c r="E620" s="369"/>
      <c r="F620" s="306"/>
      <c r="G620" s="306"/>
      <c r="H620" s="306"/>
      <c r="I620" s="369"/>
      <c r="J620" s="306"/>
      <c r="K620" s="306"/>
    </row>
    <row r="621" spans="1:13">
      <c r="A621" s="294" t="s">
        <v>454</v>
      </c>
      <c r="B621" s="1"/>
      <c r="C621" s="304">
        <f t="shared" ref="C621:D626" si="57">C672+C723</f>
        <v>38079</v>
      </c>
      <c r="D621" s="304">
        <f t="shared" si="57"/>
        <v>36727</v>
      </c>
      <c r="E621" s="370">
        <f>E602</f>
        <v>4.9909999999999997</v>
      </c>
      <c r="F621" s="306" t="s">
        <v>364</v>
      </c>
      <c r="G621" s="306">
        <f t="shared" ref="G621:H626" si="58">G672+G723</f>
        <v>-19</v>
      </c>
      <c r="H621" s="306">
        <f t="shared" si="58"/>
        <v>-18</v>
      </c>
      <c r="I621" s="370">
        <f>I602</f>
        <v>5.3710000000000004</v>
      </c>
      <c r="J621" s="306" t="s">
        <v>364</v>
      </c>
      <c r="K621" s="306">
        <f t="shared" ref="K621:K626" si="59">K672+K723</f>
        <v>-20</v>
      </c>
      <c r="M621" s="84">
        <f>-((I621/100)*D621)/100</f>
        <v>-19.726071700000002</v>
      </c>
    </row>
    <row r="622" spans="1:13">
      <c r="A622" s="308" t="s">
        <v>390</v>
      </c>
      <c r="B622" s="1"/>
      <c r="C622" s="304">
        <f t="shared" si="57"/>
        <v>0</v>
      </c>
      <c r="D622" s="304">
        <f t="shared" si="57"/>
        <v>0</v>
      </c>
      <c r="E622" s="360">
        <f>E603</f>
        <v>45</v>
      </c>
      <c r="F622" s="306" t="s">
        <v>364</v>
      </c>
      <c r="G622" s="306">
        <f t="shared" si="58"/>
        <v>0</v>
      </c>
      <c r="H622" s="306">
        <f t="shared" si="58"/>
        <v>0</v>
      </c>
      <c r="I622" s="360">
        <f>I603</f>
        <v>45</v>
      </c>
      <c r="J622" s="308" t="s">
        <v>364</v>
      </c>
      <c r="K622" s="306">
        <f t="shared" si="59"/>
        <v>0</v>
      </c>
      <c r="M622" s="84">
        <f>-((I622/100)*D622)/100</f>
        <v>0</v>
      </c>
    </row>
    <row r="623" spans="1:13">
      <c r="A623" s="308" t="s">
        <v>433</v>
      </c>
      <c r="B623" s="1"/>
      <c r="C623" s="304">
        <f t="shared" si="57"/>
        <v>12</v>
      </c>
      <c r="D623" s="304">
        <f t="shared" si="57"/>
        <v>13</v>
      </c>
      <c r="E623" s="283">
        <v>60</v>
      </c>
      <c r="F623" s="349" t="s">
        <v>31</v>
      </c>
      <c r="G623" s="306">
        <f t="shared" si="58"/>
        <v>720</v>
      </c>
      <c r="H623" s="306">
        <f t="shared" si="58"/>
        <v>780</v>
      </c>
      <c r="I623" s="283">
        <v>60</v>
      </c>
      <c r="J623" s="1"/>
      <c r="K623" s="306">
        <f t="shared" si="59"/>
        <v>780</v>
      </c>
      <c r="M623" s="84">
        <f>I623*D623</f>
        <v>780</v>
      </c>
    </row>
    <row r="624" spans="1:13">
      <c r="A624" s="308" t="s">
        <v>434</v>
      </c>
      <c r="B624" s="1"/>
      <c r="C624" s="304">
        <f t="shared" si="57"/>
        <v>280</v>
      </c>
      <c r="D624" s="304">
        <f t="shared" si="57"/>
        <v>270</v>
      </c>
      <c r="E624" s="324">
        <v>-30</v>
      </c>
      <c r="F624" s="306" t="s">
        <v>364</v>
      </c>
      <c r="G624" s="306">
        <f t="shared" si="58"/>
        <v>-84</v>
      </c>
      <c r="H624" s="306">
        <f t="shared" si="58"/>
        <v>-81</v>
      </c>
      <c r="I624" s="324">
        <v>-30</v>
      </c>
      <c r="J624" s="306" t="s">
        <v>364</v>
      </c>
      <c r="K624" s="306">
        <f t="shared" si="59"/>
        <v>-81</v>
      </c>
      <c r="M624" s="84">
        <f>(I624/100)*D624</f>
        <v>-81</v>
      </c>
    </row>
    <row r="625" spans="1:16">
      <c r="A625" s="1" t="s">
        <v>371</v>
      </c>
      <c r="B625" s="1"/>
      <c r="C625" s="304">
        <f t="shared" si="57"/>
        <v>165066044</v>
      </c>
      <c r="D625" s="304">
        <f t="shared" si="57"/>
        <v>151116862.53785235</v>
      </c>
      <c r="E625" s="315"/>
      <c r="F625" s="2"/>
      <c r="G625" s="2">
        <f t="shared" si="58"/>
        <v>10012337</v>
      </c>
      <c r="H625" s="2">
        <f t="shared" si="58"/>
        <v>9177077</v>
      </c>
      <c r="I625" s="2"/>
      <c r="J625" s="308"/>
      <c r="K625" s="2">
        <f t="shared" si="59"/>
        <v>9907526</v>
      </c>
      <c r="M625" s="84">
        <f>SUM(M582:M624)</f>
        <v>9907528.0426483005</v>
      </c>
      <c r="P625" s="261"/>
    </row>
    <row r="626" spans="1:16">
      <c r="A626" s="1" t="s">
        <v>353</v>
      </c>
      <c r="B626" s="1"/>
      <c r="C626" s="325">
        <f t="shared" si="57"/>
        <v>2967000</v>
      </c>
      <c r="D626" s="325">
        <f t="shared" si="57"/>
        <v>0</v>
      </c>
      <c r="E626" s="294"/>
      <c r="F626" s="294"/>
      <c r="G626" s="295">
        <f t="shared" si="58"/>
        <v>128000.00000000003</v>
      </c>
      <c r="H626" s="295">
        <f t="shared" si="58"/>
        <v>0</v>
      </c>
      <c r="I626" s="294"/>
      <c r="J626" s="294"/>
      <c r="K626" s="295">
        <f t="shared" si="59"/>
        <v>0</v>
      </c>
    </row>
    <row r="627" spans="1:16" ht="16.5" thickBot="1">
      <c r="A627" s="1" t="s">
        <v>372</v>
      </c>
      <c r="B627" s="1"/>
      <c r="C627" s="351">
        <f>SUM(C625:C626)</f>
        <v>168033044</v>
      </c>
      <c r="D627" s="351">
        <f>SUM(D625:D626)</f>
        <v>151116862.53785235</v>
      </c>
      <c r="E627" s="327"/>
      <c r="F627" s="328"/>
      <c r="G627" s="329">
        <f>G625+G626</f>
        <v>10140337</v>
      </c>
      <c r="H627" s="329">
        <f>H625+H626</f>
        <v>9177077</v>
      </c>
      <c r="I627" s="327"/>
      <c r="J627" s="330"/>
      <c r="K627" s="329">
        <f>K625+K626</f>
        <v>9907526</v>
      </c>
      <c r="N627" s="3" t="s">
        <v>354</v>
      </c>
      <c r="O627" s="69" t="e">
        <f>#REF!*1000</f>
        <v>#REF!</v>
      </c>
    </row>
    <row r="628" spans="1:16" ht="16.5" thickTop="1">
      <c r="A628" s="1"/>
      <c r="B628" s="1"/>
      <c r="C628" s="26"/>
      <c r="D628" s="26"/>
      <c r="E628" s="336"/>
      <c r="F628" s="337"/>
      <c r="G628" s="307"/>
      <c r="H628" s="307"/>
      <c r="I628" s="371" t="s">
        <v>31</v>
      </c>
      <c r="J628" s="23"/>
      <c r="K628" s="257" t="s">
        <v>31</v>
      </c>
      <c r="N628" s="3" t="s">
        <v>257</v>
      </c>
      <c r="O628" s="69" t="e">
        <f>O627-K627</f>
        <v>#REF!</v>
      </c>
      <c r="P628" s="299" t="e">
        <f>(O627-K627)/(K627-K603-K623-K624)</f>
        <v>#REF!</v>
      </c>
    </row>
    <row r="629" spans="1:16">
      <c r="A629" s="278" t="s">
        <v>437</v>
      </c>
      <c r="B629" s="1"/>
      <c r="C629" s="21"/>
      <c r="D629" s="21"/>
      <c r="E629" s="322"/>
      <c r="F629" s="2"/>
      <c r="G629" s="2"/>
      <c r="H629" s="2"/>
      <c r="I629" s="322"/>
      <c r="J629" s="1"/>
      <c r="K629" s="2"/>
    </row>
    <row r="630" spans="1:16">
      <c r="A630" s="294" t="s">
        <v>190</v>
      </c>
      <c r="B630" s="1"/>
      <c r="C630" s="21"/>
      <c r="D630" s="21"/>
      <c r="E630" s="322"/>
      <c r="F630" s="2"/>
      <c r="G630" s="2"/>
      <c r="H630" s="2"/>
      <c r="I630" s="322"/>
      <c r="J630" s="1"/>
      <c r="K630" s="2"/>
      <c r="M630" s="84">
        <f>K627-H627</f>
        <v>730449</v>
      </c>
      <c r="N630" s="84"/>
      <c r="O630" s="331" t="e">
        <f>O628/(K585+K586+K591+K593+K594+K595+K596+K597+K599+K600)</f>
        <v>#REF!</v>
      </c>
      <c r="P630" s="222"/>
    </row>
    <row r="631" spans="1:16">
      <c r="A631" s="308"/>
      <c r="B631" s="1"/>
      <c r="C631" s="21"/>
      <c r="D631" s="21"/>
      <c r="E631" s="322"/>
      <c r="F631" s="2"/>
      <c r="G631" s="365"/>
      <c r="H631" s="365"/>
      <c r="I631" s="322"/>
      <c r="J631" s="1"/>
      <c r="K631" s="366"/>
      <c r="M631" s="314"/>
      <c r="N631" s="279">
        <v>0.46249872649158752</v>
      </c>
    </row>
    <row r="632" spans="1:16">
      <c r="A632" s="294" t="s">
        <v>439</v>
      </c>
      <c r="B632" s="1"/>
      <c r="C632" s="304"/>
      <c r="D632" s="304"/>
      <c r="E632" s="2" t="s">
        <v>31</v>
      </c>
      <c r="F632" s="2"/>
      <c r="G632" s="1"/>
      <c r="H632" s="1"/>
      <c r="I632" s="2" t="s">
        <v>31</v>
      </c>
      <c r="J632" s="1"/>
      <c r="K632" s="1"/>
    </row>
    <row r="633" spans="1:16">
      <c r="A633" s="294" t="s">
        <v>440</v>
      </c>
      <c r="B633" s="1"/>
      <c r="C633" s="304">
        <f>895</f>
        <v>895</v>
      </c>
      <c r="D633" s="304">
        <v>894</v>
      </c>
      <c r="E633" s="322">
        <v>0</v>
      </c>
      <c r="F633" s="309"/>
      <c r="G633" s="306">
        <f>ROUND(E633*$C633,0)</f>
        <v>0</v>
      </c>
      <c r="H633" s="306">
        <f>ROUND(E633*$D633,0)</f>
        <v>0</v>
      </c>
      <c r="I633" s="322">
        <f>$I$582</f>
        <v>0</v>
      </c>
      <c r="J633" s="309"/>
      <c r="K633" s="306">
        <f>ROUND(I633*$D633,0)</f>
        <v>0</v>
      </c>
    </row>
    <row r="634" spans="1:16">
      <c r="A634" s="294" t="s">
        <v>441</v>
      </c>
      <c r="B634" s="1"/>
      <c r="C634" s="304"/>
      <c r="D634" s="304"/>
      <c r="E634" s="322"/>
      <c r="F634" s="309"/>
      <c r="G634" s="306"/>
      <c r="H634" s="306"/>
      <c r="I634" s="322"/>
      <c r="J634" s="309"/>
      <c r="K634" s="306"/>
    </row>
    <row r="635" spans="1:16">
      <c r="A635" s="294" t="s">
        <v>442</v>
      </c>
      <c r="B635" s="1"/>
      <c r="C635" s="304">
        <f>3431</f>
        <v>3431</v>
      </c>
      <c r="D635" s="304">
        <v>3428</v>
      </c>
      <c r="E635" s="322">
        <v>0</v>
      </c>
      <c r="F635" s="309"/>
      <c r="G635" s="306">
        <f>ROUND(E635*$C635,0)</f>
        <v>0</v>
      </c>
      <c r="H635" s="306">
        <f>ROUND(E635*$D635,0)</f>
        <v>0</v>
      </c>
      <c r="I635" s="322">
        <f>$I$584</f>
        <v>0</v>
      </c>
      <c r="J635" s="309"/>
      <c r="K635" s="306">
        <f>ROUND(I635*$D635,0)</f>
        <v>0</v>
      </c>
    </row>
    <row r="636" spans="1:16">
      <c r="A636" s="294" t="s">
        <v>443</v>
      </c>
      <c r="B636" s="1"/>
      <c r="C636" s="304">
        <f>353</f>
        <v>353</v>
      </c>
      <c r="D636" s="304">
        <v>353</v>
      </c>
      <c r="E636" s="322">
        <v>275</v>
      </c>
      <c r="F636" s="309"/>
      <c r="G636" s="306">
        <f>ROUND(E636*$C636,0)</f>
        <v>97075</v>
      </c>
      <c r="H636" s="306">
        <f>ROUND(E636*$D636,0)</f>
        <v>97075</v>
      </c>
      <c r="I636" s="322">
        <f>$I$585</f>
        <v>301</v>
      </c>
      <c r="J636" s="309"/>
      <c r="K636" s="306">
        <f>ROUND(I636*$D636,0)</f>
        <v>106253</v>
      </c>
    </row>
    <row r="637" spans="1:16">
      <c r="A637" s="294" t="s">
        <v>444</v>
      </c>
      <c r="B637" s="1"/>
      <c r="C637" s="304">
        <f>9</f>
        <v>9</v>
      </c>
      <c r="D637" s="304">
        <v>9</v>
      </c>
      <c r="E637" s="322">
        <v>1110</v>
      </c>
      <c r="F637" s="309"/>
      <c r="G637" s="306">
        <f>ROUND(E637*$C637,0)</f>
        <v>9990</v>
      </c>
      <c r="H637" s="306">
        <f>ROUND(E637*$D637,0)</f>
        <v>9990</v>
      </c>
      <c r="I637" s="322">
        <f>$I$586</f>
        <v>1215</v>
      </c>
      <c r="J637" s="309"/>
      <c r="K637" s="306">
        <f>ROUND(I637*$D637,0)</f>
        <v>10935</v>
      </c>
    </row>
    <row r="638" spans="1:16">
      <c r="A638" s="294" t="s">
        <v>352</v>
      </c>
      <c r="B638" s="1"/>
      <c r="C638" s="304">
        <f>SUM(C633:C637)</f>
        <v>4688</v>
      </c>
      <c r="D638" s="304">
        <v>4683.9852262627228</v>
      </c>
      <c r="E638" s="322"/>
      <c r="F638" s="309"/>
      <c r="G638" s="306"/>
      <c r="H638" s="306"/>
      <c r="I638" s="322"/>
      <c r="J638" s="309"/>
      <c r="K638" s="306"/>
    </row>
    <row r="639" spans="1:16">
      <c r="A639" s="294" t="s">
        <v>445</v>
      </c>
      <c r="B639" s="1"/>
      <c r="C639" s="304">
        <f>5792+21967+2495+65</f>
        <v>30319</v>
      </c>
      <c r="D639" s="304">
        <v>30293</v>
      </c>
      <c r="E639" s="322"/>
      <c r="F639" s="306"/>
      <c r="G639" s="306"/>
      <c r="H639" s="306"/>
      <c r="I639" s="322"/>
      <c r="J639" s="306"/>
      <c r="K639" s="306"/>
    </row>
    <row r="640" spans="1:16">
      <c r="A640" s="294" t="s">
        <v>104</v>
      </c>
      <c r="B640" s="1"/>
      <c r="C640" s="304">
        <f>966+3743+364+9</f>
        <v>5082</v>
      </c>
      <c r="D640" s="304">
        <v>5078</v>
      </c>
      <c r="E640" s="322"/>
      <c r="F640" s="306"/>
      <c r="G640" s="306"/>
      <c r="H640" s="306"/>
      <c r="I640" s="322"/>
      <c r="J640" s="306"/>
      <c r="K640" s="306"/>
    </row>
    <row r="641" spans="1:11">
      <c r="A641" s="294" t="s">
        <v>446</v>
      </c>
      <c r="B641" s="1"/>
      <c r="C641" s="304"/>
      <c r="D641" s="304"/>
      <c r="E641" s="322"/>
      <c r="F641" s="309"/>
      <c r="G641" s="306"/>
      <c r="H641" s="306"/>
      <c r="I641" s="322"/>
      <c r="J641" s="309"/>
      <c r="K641" s="306"/>
    </row>
    <row r="642" spans="1:11">
      <c r="A642" s="294" t="s">
        <v>447</v>
      </c>
      <c r="B642" s="1"/>
      <c r="C642" s="304">
        <f>3278</f>
        <v>3278</v>
      </c>
      <c r="D642" s="304">
        <v>2980</v>
      </c>
      <c r="E642" s="322">
        <v>18.149999999999999</v>
      </c>
      <c r="F642" s="309"/>
      <c r="G642" s="306">
        <f>ROUND(E642*$C642,0)</f>
        <v>59496</v>
      </c>
      <c r="H642" s="306">
        <f>ROUND(E642*$D642,0)</f>
        <v>54087</v>
      </c>
      <c r="I642" s="322">
        <f>$I$591</f>
        <v>19.87</v>
      </c>
      <c r="J642" s="309"/>
      <c r="K642" s="306">
        <f>ROUND(I642*$D642,0)</f>
        <v>59213</v>
      </c>
    </row>
    <row r="643" spans="1:11">
      <c r="A643" s="294" t="s">
        <v>448</v>
      </c>
      <c r="B643" s="1"/>
      <c r="C643" s="304"/>
      <c r="D643" s="304"/>
      <c r="E643" s="322"/>
      <c r="F643" s="309"/>
      <c r="G643" s="306"/>
      <c r="H643" s="306"/>
      <c r="I643" s="322"/>
      <c r="J643" s="309"/>
      <c r="K643" s="306"/>
    </row>
    <row r="644" spans="1:11">
      <c r="A644" s="294" t="s">
        <v>442</v>
      </c>
      <c r="B644" s="1"/>
      <c r="C644" s="304">
        <f>47509</f>
        <v>47509</v>
      </c>
      <c r="D644" s="304">
        <v>43184</v>
      </c>
      <c r="E644" s="322">
        <v>18.149999999999999</v>
      </c>
      <c r="F644" s="309"/>
      <c r="G644" s="306">
        <f>ROUND(E644*$C644,0)</f>
        <v>862288</v>
      </c>
      <c r="H644" s="306">
        <f>ROUND(E644*$D644,0)</f>
        <v>783790</v>
      </c>
      <c r="I644" s="322">
        <f>$I$593</f>
        <v>19.87</v>
      </c>
      <c r="J644" s="309"/>
      <c r="K644" s="306">
        <f>ROUND(I644*$D644,0)</f>
        <v>858066</v>
      </c>
    </row>
    <row r="645" spans="1:11">
      <c r="A645" s="294" t="s">
        <v>443</v>
      </c>
      <c r="B645" s="1"/>
      <c r="C645" s="304">
        <f>34331</f>
        <v>34331</v>
      </c>
      <c r="D645" s="304">
        <v>31206</v>
      </c>
      <c r="E645" s="322">
        <v>12.4</v>
      </c>
      <c r="F645" s="309"/>
      <c r="G645" s="306">
        <f>ROUND(E645*$C645,0)</f>
        <v>425704</v>
      </c>
      <c r="H645" s="306">
        <f>ROUND(E645*$D645,0)</f>
        <v>386954</v>
      </c>
      <c r="I645" s="322">
        <f>$I$594</f>
        <v>13.64</v>
      </c>
      <c r="J645" s="309"/>
      <c r="K645" s="306">
        <f>ROUND(I645*$D645,0)</f>
        <v>425650</v>
      </c>
    </row>
    <row r="646" spans="1:11">
      <c r="A646" s="294" t="s">
        <v>444</v>
      </c>
      <c r="B646" s="1"/>
      <c r="C646" s="304">
        <f>3399</f>
        <v>3399</v>
      </c>
      <c r="D646" s="304">
        <v>3090</v>
      </c>
      <c r="E646" s="322">
        <v>9.65</v>
      </c>
      <c r="F646" s="309"/>
      <c r="G646" s="306">
        <f>ROUND(E646*$C646,0)</f>
        <v>32800</v>
      </c>
      <c r="H646" s="306">
        <f>ROUND(E646*$D646,0)</f>
        <v>29819</v>
      </c>
      <c r="I646" s="322">
        <f>$I$595</f>
        <v>10.62</v>
      </c>
      <c r="J646" s="309"/>
      <c r="K646" s="306">
        <f>ROUND(I646*$D646,0)</f>
        <v>32816</v>
      </c>
    </row>
    <row r="647" spans="1:11">
      <c r="A647" s="294" t="s">
        <v>450</v>
      </c>
      <c r="B647" s="1"/>
      <c r="C647" s="304">
        <f>355</f>
        <v>355</v>
      </c>
      <c r="D647" s="304">
        <v>323</v>
      </c>
      <c r="E647" s="322">
        <v>54.45</v>
      </c>
      <c r="F647" s="309"/>
      <c r="G647" s="306">
        <f>ROUND(E647*$C647,0)</f>
        <v>19330</v>
      </c>
      <c r="H647" s="306">
        <f>ROUND(E647*$D647,0)</f>
        <v>17587</v>
      </c>
      <c r="I647" s="322">
        <f>$I$596</f>
        <v>59.61</v>
      </c>
      <c r="J647" s="309"/>
      <c r="K647" s="306">
        <f>ROUND(I647*$D647,0)</f>
        <v>19254</v>
      </c>
    </row>
    <row r="648" spans="1:11">
      <c r="A648" s="294" t="s">
        <v>451</v>
      </c>
      <c r="B648" s="1"/>
      <c r="C648" s="304">
        <f>887</f>
        <v>887</v>
      </c>
      <c r="D648" s="304">
        <v>806</v>
      </c>
      <c r="E648" s="322">
        <v>108.9</v>
      </c>
      <c r="F648" s="309"/>
      <c r="G648" s="306">
        <f>ROUND(E648*$C648,0)</f>
        <v>96594</v>
      </c>
      <c r="H648" s="306">
        <f>ROUND(E648*$D648,0)</f>
        <v>87773</v>
      </c>
      <c r="I648" s="322">
        <f>$I$597</f>
        <v>119.22</v>
      </c>
      <c r="J648" s="309"/>
      <c r="K648" s="306">
        <f>ROUND(I648*$D648,0)</f>
        <v>96091</v>
      </c>
    </row>
    <row r="649" spans="1:11">
      <c r="A649" s="294" t="s">
        <v>452</v>
      </c>
      <c r="B649" s="1"/>
      <c r="C649" s="304"/>
      <c r="D649" s="304"/>
      <c r="E649" s="322"/>
      <c r="F649" s="309"/>
      <c r="G649" s="306"/>
      <c r="H649" s="306"/>
      <c r="I649" s="322"/>
      <c r="J649" s="309"/>
      <c r="K649" s="306"/>
    </row>
    <row r="650" spans="1:11">
      <c r="A650" s="294" t="s">
        <v>447</v>
      </c>
      <c r="B650" s="1"/>
      <c r="C650" s="304">
        <f>510</f>
        <v>510</v>
      </c>
      <c r="D650" s="304">
        <f>ROUND(($D$676/$C$676)*C650,0)</f>
        <v>464</v>
      </c>
      <c r="E650" s="348">
        <f>-E642</f>
        <v>-18.149999999999999</v>
      </c>
      <c r="F650" s="309"/>
      <c r="G650" s="306">
        <f>ROUND(E650*$C650,0)</f>
        <v>-9257</v>
      </c>
      <c r="H650" s="306">
        <f>ROUND(E650*$D650,0)</f>
        <v>-8422</v>
      </c>
      <c r="I650" s="348">
        <f>-I642</f>
        <v>-19.87</v>
      </c>
      <c r="J650" s="309"/>
      <c r="K650" s="306">
        <f>ROUND(I650*$D650,0)</f>
        <v>-9220</v>
      </c>
    </row>
    <row r="651" spans="1:11">
      <c r="A651" s="294" t="s">
        <v>453</v>
      </c>
      <c r="B651" s="1"/>
      <c r="C651" s="304">
        <f>2023</f>
        <v>2023</v>
      </c>
      <c r="D651" s="304">
        <f>ROUND(($D$676/$C$676)*C651,0)</f>
        <v>1839</v>
      </c>
      <c r="E651" s="348">
        <f>-E644</f>
        <v>-18.149999999999999</v>
      </c>
      <c r="F651" s="309"/>
      <c r="G651" s="306">
        <f>ROUND(E651*$C651,0)</f>
        <v>-36717</v>
      </c>
      <c r="H651" s="306">
        <f>ROUND(E651*$D651,0)</f>
        <v>-33378</v>
      </c>
      <c r="I651" s="348">
        <f>-I644</f>
        <v>-19.87</v>
      </c>
      <c r="J651" s="309"/>
      <c r="K651" s="306">
        <f>ROUND(I651*$D651,0)</f>
        <v>-36541</v>
      </c>
    </row>
    <row r="652" spans="1:11">
      <c r="A652" s="308" t="s">
        <v>416</v>
      </c>
      <c r="B652" s="1"/>
      <c r="C652" s="304"/>
      <c r="D652" s="304"/>
      <c r="E652" s="322"/>
      <c r="F652" s="306"/>
      <c r="G652" s="306"/>
      <c r="H652" s="306"/>
      <c r="I652" s="322"/>
      <c r="J652" s="306"/>
      <c r="K652" s="306"/>
    </row>
    <row r="653" spans="1:11">
      <c r="A653" s="294" t="s">
        <v>454</v>
      </c>
      <c r="B653" s="1"/>
      <c r="C653" s="304">
        <f>4946862+75987313+57989268+6739320</f>
        <v>145662763</v>
      </c>
      <c r="D653" s="304">
        <f>ROUND(($D$676/$C$676)*C653,0)</f>
        <v>132402479</v>
      </c>
      <c r="E653" s="367">
        <v>4.9909999999999997</v>
      </c>
      <c r="F653" s="306" t="s">
        <v>364</v>
      </c>
      <c r="G653" s="306">
        <f>ROUND(E653/100*$C653,0)</f>
        <v>7270029</v>
      </c>
      <c r="H653" s="306">
        <f>ROUND(E653/100*$D653,0)</f>
        <v>6608208</v>
      </c>
      <c r="I653" s="367">
        <f>$I$602</f>
        <v>5.3710000000000004</v>
      </c>
      <c r="J653" s="306" t="s">
        <v>364</v>
      </c>
      <c r="K653" s="306">
        <f>ROUND(I653/100*$D653,0)</f>
        <v>7111337</v>
      </c>
    </row>
    <row r="654" spans="1:11">
      <c r="A654" s="308" t="s">
        <v>390</v>
      </c>
      <c r="B654" s="1"/>
      <c r="C654" s="260">
        <f>1187+21863+3555</f>
        <v>26605</v>
      </c>
      <c r="D654" s="304">
        <f>ROUND(($D$676/$C$676)*C654,0)</f>
        <v>24183</v>
      </c>
      <c r="E654" s="324">
        <v>45</v>
      </c>
      <c r="F654" s="308" t="s">
        <v>364</v>
      </c>
      <c r="G654" s="306">
        <f>ROUND(E654*$C654/100,0)</f>
        <v>11972</v>
      </c>
      <c r="H654" s="306">
        <f>ROUND(E654*$D654/100,0)</f>
        <v>10882</v>
      </c>
      <c r="I654" s="324">
        <f>$I$603</f>
        <v>45</v>
      </c>
      <c r="J654" s="308" t="s">
        <v>364</v>
      </c>
      <c r="K654" s="306">
        <f>ROUND(I654*$D654/100,0)</f>
        <v>10882</v>
      </c>
    </row>
    <row r="655" spans="1:11">
      <c r="A655" s="345" t="s">
        <v>391</v>
      </c>
      <c r="B655" s="1"/>
      <c r="C655" s="304"/>
      <c r="D655" s="304"/>
      <c r="E655" s="317">
        <v>-0.01</v>
      </c>
      <c r="F655" s="2"/>
      <c r="G655" s="306"/>
      <c r="H655" s="306"/>
      <c r="I655" s="317">
        <f>$I$604</f>
        <v>-0.01</v>
      </c>
      <c r="J655" s="1"/>
      <c r="K655" s="306"/>
    </row>
    <row r="656" spans="1:11">
      <c r="A656" s="294" t="s">
        <v>380</v>
      </c>
      <c r="B656" s="1"/>
      <c r="C656" s="304">
        <v>0</v>
      </c>
      <c r="D656" s="304">
        <v>0</v>
      </c>
      <c r="E656" s="369">
        <f>E633</f>
        <v>0</v>
      </c>
      <c r="F656" s="309"/>
      <c r="G656" s="306">
        <f>ROUND(E656*$C656*$E$604,0)</f>
        <v>0</v>
      </c>
      <c r="H656" s="306">
        <f>ROUND(E656*$D656*$E$604,0)</f>
        <v>0</v>
      </c>
      <c r="I656" s="369">
        <f>I633</f>
        <v>0</v>
      </c>
      <c r="J656" s="309"/>
      <c r="K656" s="306">
        <f>ROUND(I656*$D656*$E$604,0)</f>
        <v>0</v>
      </c>
    </row>
    <row r="657" spans="1:11">
      <c r="A657" s="294" t="s">
        <v>381</v>
      </c>
      <c r="B657" s="1"/>
      <c r="C657" s="304"/>
      <c r="D657" s="304"/>
      <c r="E657" s="369"/>
      <c r="F657" s="309"/>
      <c r="G657" s="306"/>
      <c r="H657" s="306"/>
      <c r="I657" s="369"/>
      <c r="J657" s="309"/>
      <c r="K657" s="306"/>
    </row>
    <row r="658" spans="1:11">
      <c r="A658" s="294" t="s">
        <v>442</v>
      </c>
      <c r="B658" s="1"/>
      <c r="C658" s="304">
        <v>0</v>
      </c>
      <c r="D658" s="304">
        <v>0</v>
      </c>
      <c r="E658" s="369">
        <f>E635</f>
        <v>0</v>
      </c>
      <c r="F658" s="309"/>
      <c r="G658" s="306">
        <f>ROUND(E658*$C658*$E$604,0)</f>
        <v>0</v>
      </c>
      <c r="H658" s="306">
        <f>ROUND(E658*$D658*$E$604,0)</f>
        <v>0</v>
      </c>
      <c r="I658" s="369">
        <f>I635</f>
        <v>0</v>
      </c>
      <c r="J658" s="309"/>
      <c r="K658" s="306">
        <f>ROUND(I658*$D658*$E$604,0)</f>
        <v>0</v>
      </c>
    </row>
    <row r="659" spans="1:11">
      <c r="A659" s="294" t="s">
        <v>443</v>
      </c>
      <c r="B659" s="1"/>
      <c r="C659" s="304">
        <v>0</v>
      </c>
      <c r="D659" s="304">
        <v>0</v>
      </c>
      <c r="E659" s="369">
        <f>E636</f>
        <v>275</v>
      </c>
      <c r="F659" s="309"/>
      <c r="G659" s="306">
        <f>ROUND(E659*$C659*$E$604,0)</f>
        <v>0</v>
      </c>
      <c r="H659" s="306">
        <f>ROUND(E659*$D659*$E$604,0)</f>
        <v>0</v>
      </c>
      <c r="I659" s="369">
        <f>I636</f>
        <v>301</v>
      </c>
      <c r="J659" s="309"/>
      <c r="K659" s="306">
        <f>ROUND(I659*$D659*$E$604,0)</f>
        <v>0</v>
      </c>
    </row>
    <row r="660" spans="1:11">
      <c r="A660" s="294" t="s">
        <v>444</v>
      </c>
      <c r="B660" s="1"/>
      <c r="C660" s="304">
        <v>0</v>
      </c>
      <c r="D660" s="304">
        <v>0</v>
      </c>
      <c r="E660" s="369">
        <f>E637</f>
        <v>1110</v>
      </c>
      <c r="F660" s="309"/>
      <c r="G660" s="306">
        <f>ROUND(E660*$C660*$E$604,0)</f>
        <v>0</v>
      </c>
      <c r="H660" s="306">
        <f>ROUND(E660*$D660*$E$604,0)</f>
        <v>0</v>
      </c>
      <c r="I660" s="369">
        <f>I637</f>
        <v>1215</v>
      </c>
      <c r="J660" s="309"/>
      <c r="K660" s="306">
        <f>ROUND(I660*$D660*$E$604,0)</f>
        <v>0</v>
      </c>
    </row>
    <row r="661" spans="1:11">
      <c r="A661" s="294" t="s">
        <v>380</v>
      </c>
      <c r="B661" s="1"/>
      <c r="C661" s="304">
        <v>0</v>
      </c>
      <c r="D661" s="304">
        <v>0</v>
      </c>
      <c r="E661" s="369">
        <f>E642</f>
        <v>18.149999999999999</v>
      </c>
      <c r="F661" s="309"/>
      <c r="G661" s="306">
        <f>ROUND(E661*$C661*$E$604,0)</f>
        <v>0</v>
      </c>
      <c r="H661" s="306">
        <f>ROUND(E661*$D661*$E$604,0)</f>
        <v>0</v>
      </c>
      <c r="I661" s="369">
        <f>I642</f>
        <v>19.87</v>
      </c>
      <c r="J661" s="309"/>
      <c r="K661" s="306">
        <f>ROUND(I661*$D661*$E$604,0)</f>
        <v>0</v>
      </c>
    </row>
    <row r="662" spans="1:11">
      <c r="A662" s="294" t="s">
        <v>381</v>
      </c>
      <c r="B662" s="1"/>
      <c r="C662" s="304"/>
      <c r="D662" s="304"/>
      <c r="E662" s="369"/>
      <c r="F662" s="309"/>
      <c r="G662" s="306"/>
      <c r="H662" s="306"/>
      <c r="I662" s="369"/>
      <c r="J662" s="309"/>
      <c r="K662" s="306"/>
    </row>
    <row r="663" spans="1:11">
      <c r="A663" s="294" t="s">
        <v>442</v>
      </c>
      <c r="B663" s="1"/>
      <c r="C663" s="304">
        <v>0</v>
      </c>
      <c r="D663" s="304">
        <f>ROUND(($D$676/$C$676)*C663,0)</f>
        <v>0</v>
      </c>
      <c r="E663" s="369">
        <f>E644</f>
        <v>18.149999999999999</v>
      </c>
      <c r="F663" s="309"/>
      <c r="G663" s="306">
        <f>ROUND(E663*$C663*$E$604,0)</f>
        <v>0</v>
      </c>
      <c r="H663" s="306">
        <f>ROUND(E663*$D663*$E$604,0)</f>
        <v>0</v>
      </c>
      <c r="I663" s="369">
        <f>I644</f>
        <v>19.87</v>
      </c>
      <c r="J663" s="309"/>
      <c r="K663" s="306">
        <f>ROUND(I663*$D663*$E$604,0)</f>
        <v>0</v>
      </c>
    </row>
    <row r="664" spans="1:11">
      <c r="A664" s="294" t="s">
        <v>443</v>
      </c>
      <c r="B664" s="1"/>
      <c r="C664" s="304">
        <v>0</v>
      </c>
      <c r="D664" s="304">
        <f>ROUND(($D$676/$C$676)*C664,0)</f>
        <v>0</v>
      </c>
      <c r="E664" s="369">
        <f>E645</f>
        <v>12.4</v>
      </c>
      <c r="F664" s="309"/>
      <c r="G664" s="306">
        <f>ROUND(E664*$C664*$E$604,0)</f>
        <v>0</v>
      </c>
      <c r="H664" s="306">
        <f>ROUND(E664*$D664*$E$604,0)</f>
        <v>0</v>
      </c>
      <c r="I664" s="369">
        <f>I645</f>
        <v>13.64</v>
      </c>
      <c r="J664" s="309"/>
      <c r="K664" s="306">
        <f>ROUND(I664*$D664*$E$604,0)</f>
        <v>0</v>
      </c>
    </row>
    <row r="665" spans="1:11">
      <c r="A665" s="294" t="s">
        <v>444</v>
      </c>
      <c r="B665" s="1"/>
      <c r="C665" s="304">
        <v>0</v>
      </c>
      <c r="D665" s="304">
        <f>ROUND(($D$676/$C$676)*C665,0)</f>
        <v>0</v>
      </c>
      <c r="E665" s="369">
        <f>E646</f>
        <v>9.65</v>
      </c>
      <c r="F665" s="309"/>
      <c r="G665" s="306">
        <f>ROUND(E665*$C665*$E$604,0)</f>
        <v>0</v>
      </c>
      <c r="H665" s="306">
        <f>ROUND(E665*$D665*$E$604,0)</f>
        <v>0</v>
      </c>
      <c r="I665" s="369">
        <f>I646</f>
        <v>10.62</v>
      </c>
      <c r="J665" s="309"/>
      <c r="K665" s="306">
        <f>ROUND(I665*$D665*$E$604,0)</f>
        <v>0</v>
      </c>
    </row>
    <row r="666" spans="1:11">
      <c r="A666" s="294" t="s">
        <v>455</v>
      </c>
      <c r="B666" s="1"/>
      <c r="C666" s="304">
        <v>0</v>
      </c>
      <c r="D666" s="304">
        <v>0</v>
      </c>
      <c r="E666" s="338">
        <f>E647</f>
        <v>54.45</v>
      </c>
      <c r="F666" s="309"/>
      <c r="G666" s="306">
        <f>ROUND(E666*$C666*$E$604,0)</f>
        <v>0</v>
      </c>
      <c r="H666" s="306">
        <f>ROUND(E666*$D666*$E$604,0)</f>
        <v>0</v>
      </c>
      <c r="I666" s="338">
        <f>I647</f>
        <v>59.61</v>
      </c>
      <c r="J666" s="309"/>
      <c r="K666" s="306">
        <f>ROUND(I666*$D666*$E$604,0)</f>
        <v>0</v>
      </c>
    </row>
    <row r="667" spans="1:11">
      <c r="A667" s="294" t="s">
        <v>456</v>
      </c>
      <c r="B667" s="1"/>
      <c r="C667" s="304">
        <v>0</v>
      </c>
      <c r="D667" s="304">
        <v>0</v>
      </c>
      <c r="E667" s="338">
        <f>E648</f>
        <v>108.9</v>
      </c>
      <c r="F667" s="309"/>
      <c r="G667" s="306">
        <f>ROUND(E667*$C667*$E$604,0)</f>
        <v>0</v>
      </c>
      <c r="H667" s="306">
        <f>ROUND(E667*$D667*$E$604,0)</f>
        <v>0</v>
      </c>
      <c r="I667" s="338">
        <f>I648</f>
        <v>119.22</v>
      </c>
      <c r="J667" s="309"/>
      <c r="K667" s="306">
        <f>ROUND(I667*$D667*$E$604,0)</f>
        <v>0</v>
      </c>
    </row>
    <row r="668" spans="1:11">
      <c r="A668" s="294" t="s">
        <v>452</v>
      </c>
      <c r="B668" s="1"/>
      <c r="C668" s="304"/>
      <c r="D668" s="304"/>
      <c r="E668" s="322"/>
      <c r="F668" s="309"/>
      <c r="G668" s="306"/>
      <c r="H668" s="306"/>
      <c r="I668" s="322"/>
      <c r="J668" s="309"/>
      <c r="K668" s="306"/>
    </row>
    <row r="669" spans="1:11">
      <c r="A669" s="294" t="s">
        <v>447</v>
      </c>
      <c r="B669" s="1"/>
      <c r="C669" s="304">
        <v>0</v>
      </c>
      <c r="D669" s="304">
        <f>ROUND(($D$676/$C$676)*C669,0)</f>
        <v>0</v>
      </c>
      <c r="E669" s="348">
        <f>E650</f>
        <v>-18.149999999999999</v>
      </c>
      <c r="F669" s="309"/>
      <c r="G669" s="306">
        <f>ROUND(E669*$C669*$E$604,0)</f>
        <v>0</v>
      </c>
      <c r="H669" s="306">
        <f>ROUND(E669*$D669*$E$604,0)</f>
        <v>0</v>
      </c>
      <c r="I669" s="348">
        <f>I650</f>
        <v>-19.87</v>
      </c>
      <c r="J669" s="309"/>
      <c r="K669" s="306">
        <f>ROUND(I669*$D669*$E$604,0)</f>
        <v>0</v>
      </c>
    </row>
    <row r="670" spans="1:11">
      <c r="A670" s="294" t="s">
        <v>453</v>
      </c>
      <c r="B670" s="1"/>
      <c r="C670" s="304">
        <v>0</v>
      </c>
      <c r="D670" s="304">
        <f>ROUND(($D$676/$C$676)*C670,0)</f>
        <v>0</v>
      </c>
      <c r="E670" s="348">
        <f>E651</f>
        <v>-18.149999999999999</v>
      </c>
      <c r="F670" s="309"/>
      <c r="G670" s="306">
        <f>ROUND(E670*$C670*$E$604,0)</f>
        <v>0</v>
      </c>
      <c r="H670" s="306">
        <f>ROUND(E670*$D670*$E$604,0)</f>
        <v>0</v>
      </c>
      <c r="I670" s="348">
        <f>I651</f>
        <v>-19.87</v>
      </c>
      <c r="J670" s="309"/>
      <c r="K670" s="306">
        <f>ROUND(I670*$D670*$E$604,0)</f>
        <v>0</v>
      </c>
    </row>
    <row r="671" spans="1:11">
      <c r="A671" s="308" t="s">
        <v>416</v>
      </c>
      <c r="B671" s="1"/>
      <c r="C671" s="304"/>
      <c r="D671" s="304"/>
      <c r="E671" s="369"/>
      <c r="F671" s="306"/>
      <c r="G671" s="306"/>
      <c r="H671" s="306"/>
      <c r="I671" s="369"/>
      <c r="J671" s="306"/>
      <c r="K671" s="306"/>
    </row>
    <row r="672" spans="1:11">
      <c r="A672" s="294" t="s">
        <v>454</v>
      </c>
      <c r="B672" s="1"/>
      <c r="C672" s="304">
        <v>0</v>
      </c>
      <c r="D672" s="304">
        <f>ROUND(($D$676/$C$676)*C672,0)</f>
        <v>0</v>
      </c>
      <c r="E672" s="370">
        <f>E653</f>
        <v>4.9909999999999997</v>
      </c>
      <c r="F672" s="306" t="s">
        <v>364</v>
      </c>
      <c r="G672" s="306">
        <f>ROUND(E672/100*$C672*$E$604,0)</f>
        <v>0</v>
      </c>
      <c r="H672" s="306">
        <f>ROUND(E672/100*$D672*$E$604,0)</f>
        <v>0</v>
      </c>
      <c r="I672" s="370">
        <f>I653</f>
        <v>5.3710000000000004</v>
      </c>
      <c r="J672" s="306" t="s">
        <v>364</v>
      </c>
      <c r="K672" s="306">
        <f>ROUND(I672/100*$D672*$E$604,0)</f>
        <v>0</v>
      </c>
    </row>
    <row r="673" spans="1:15">
      <c r="A673" s="308" t="s">
        <v>390</v>
      </c>
      <c r="B673" s="1"/>
      <c r="C673" s="304">
        <v>0</v>
      </c>
      <c r="D673" s="304">
        <f>ROUND(($D$676/$C$676)*C673,0)</f>
        <v>0</v>
      </c>
      <c r="E673" s="360">
        <f>E654</f>
        <v>45</v>
      </c>
      <c r="F673" s="306" t="s">
        <v>364</v>
      </c>
      <c r="G673" s="306">
        <f>ROUND(E673/100*$C673*$E$604,0)</f>
        <v>0</v>
      </c>
      <c r="H673" s="306">
        <f>ROUND(E673/100*$D673*$E$604,0)</f>
        <v>0</v>
      </c>
      <c r="I673" s="360">
        <f>I654</f>
        <v>45</v>
      </c>
      <c r="J673" s="308" t="s">
        <v>364</v>
      </c>
      <c r="K673" s="306">
        <f>ROUND(I673/100*$D673*$E$604,0)</f>
        <v>0</v>
      </c>
    </row>
    <row r="674" spans="1:15">
      <c r="A674" s="308" t="s">
        <v>433</v>
      </c>
      <c r="B674" s="1"/>
      <c r="C674" s="304">
        <v>0</v>
      </c>
      <c r="D674" s="304">
        <v>0</v>
      </c>
      <c r="E674" s="283">
        <v>60</v>
      </c>
      <c r="F674" s="349" t="s">
        <v>31</v>
      </c>
      <c r="G674" s="306">
        <f>ROUND(E674*$C674,0)</f>
        <v>0</v>
      </c>
      <c r="H674" s="306">
        <f>ROUND(E674*$D674,0)</f>
        <v>0</v>
      </c>
      <c r="I674" s="283">
        <f>$I$623</f>
        <v>60</v>
      </c>
      <c r="J674" s="1"/>
      <c r="K674" s="306">
        <f>ROUND(I674*$D674,0)</f>
        <v>0</v>
      </c>
    </row>
    <row r="675" spans="1:15">
      <c r="A675" s="308" t="s">
        <v>434</v>
      </c>
      <c r="B675" s="1"/>
      <c r="C675" s="304">
        <v>0</v>
      </c>
      <c r="D675" s="304">
        <f>ROUND(($D$676/$C$676)*C675,0)</f>
        <v>0</v>
      </c>
      <c r="E675" s="324">
        <v>-30</v>
      </c>
      <c r="F675" s="306" t="s">
        <v>364</v>
      </c>
      <c r="G675" s="306">
        <f>ROUND(E675*$C675,0)</f>
        <v>0</v>
      </c>
      <c r="H675" s="306">
        <f>ROUND(E675*$D675,0)</f>
        <v>0</v>
      </c>
      <c r="I675" s="324">
        <f>$I$624</f>
        <v>-30</v>
      </c>
      <c r="J675" s="306" t="s">
        <v>364</v>
      </c>
      <c r="K675" s="306">
        <f>ROUND(I675*$D675,0)</f>
        <v>0</v>
      </c>
    </row>
    <row r="676" spans="1:15">
      <c r="A676" s="1" t="s">
        <v>371</v>
      </c>
      <c r="B676" s="1"/>
      <c r="C676" s="304">
        <f>SUM(C653:C653)</f>
        <v>145662763</v>
      </c>
      <c r="D676" s="304">
        <v>132402479.40697747</v>
      </c>
      <c r="E676" s="315"/>
      <c r="F676" s="2"/>
      <c r="G676" s="2">
        <f>SUM(G633:G675)</f>
        <v>8839304</v>
      </c>
      <c r="H676" s="2">
        <f>SUM(H633:H675)</f>
        <v>8044365</v>
      </c>
      <c r="I676" s="315"/>
      <c r="J676" s="308"/>
      <c r="K676" s="2">
        <f>SUM(K633:K675)</f>
        <v>8684736</v>
      </c>
    </row>
    <row r="677" spans="1:15">
      <c r="A677" s="1" t="s">
        <v>353</v>
      </c>
      <c r="B677" s="1"/>
      <c r="C677" s="334">
        <v>2620112.272300011</v>
      </c>
      <c r="D677" s="334">
        <v>0</v>
      </c>
      <c r="E677" s="294"/>
      <c r="F677" s="294"/>
      <c r="G677" s="295">
        <v>110373.78308932934</v>
      </c>
      <c r="H677" s="295">
        <v>0</v>
      </c>
      <c r="I677" s="294"/>
      <c r="J677" s="294"/>
      <c r="K677" s="295">
        <v>0</v>
      </c>
      <c r="M677" s="274"/>
      <c r="N677" s="274"/>
      <c r="O677" s="275"/>
    </row>
    <row r="678" spans="1:15" ht="16.5" thickBot="1">
      <c r="A678" s="1" t="s">
        <v>372</v>
      </c>
      <c r="B678" s="1"/>
      <c r="C678" s="351">
        <f>SUM(C676:C677)</f>
        <v>148282875.2723</v>
      </c>
      <c r="D678" s="351">
        <f>SUM(D676:D677)</f>
        <v>132402479.40697747</v>
      </c>
      <c r="E678" s="327"/>
      <c r="F678" s="328"/>
      <c r="G678" s="329">
        <f>G676+G677</f>
        <v>8949677.7830893286</v>
      </c>
      <c r="H678" s="329">
        <f>H676+H677</f>
        <v>8044365</v>
      </c>
      <c r="I678" s="327"/>
      <c r="J678" s="330"/>
      <c r="K678" s="329">
        <f>K676+K677</f>
        <v>8684736</v>
      </c>
      <c r="M678" s="276"/>
      <c r="N678" s="276"/>
      <c r="O678" s="277"/>
    </row>
    <row r="679" spans="1:15" ht="16.5" thickTop="1">
      <c r="A679" s="1"/>
      <c r="B679" s="1"/>
      <c r="C679" s="26"/>
      <c r="D679" s="26"/>
      <c r="E679" s="336"/>
      <c r="F679" s="337"/>
      <c r="G679" s="307"/>
      <c r="H679" s="307"/>
      <c r="I679" s="371" t="s">
        <v>31</v>
      </c>
      <c r="J679" s="23"/>
      <c r="K679" s="257" t="s">
        <v>31</v>
      </c>
    </row>
    <row r="680" spans="1:15">
      <c r="A680" s="278" t="s">
        <v>457</v>
      </c>
      <c r="B680" s="1"/>
      <c r="C680" s="21"/>
      <c r="D680" s="21"/>
      <c r="E680" s="322"/>
      <c r="F680" s="2"/>
      <c r="G680" s="2"/>
      <c r="H680" s="2"/>
      <c r="I680" s="322"/>
      <c r="J680" s="1"/>
      <c r="K680" s="2"/>
    </row>
    <row r="681" spans="1:15">
      <c r="A681" s="294" t="s">
        <v>458</v>
      </c>
      <c r="B681" s="1"/>
      <c r="C681" s="21"/>
      <c r="D681" s="21"/>
      <c r="E681" s="322"/>
      <c r="F681" s="2"/>
      <c r="G681" s="2"/>
      <c r="H681" s="2"/>
      <c r="I681" s="322"/>
      <c r="J681" s="1"/>
      <c r="K681" s="2"/>
    </row>
    <row r="682" spans="1:15">
      <c r="A682" s="308"/>
      <c r="B682" s="1"/>
      <c r="C682" s="21"/>
      <c r="D682" s="21"/>
      <c r="E682" s="322"/>
      <c r="F682" s="2"/>
      <c r="G682" s="365"/>
      <c r="H682" s="365"/>
      <c r="I682" s="322"/>
      <c r="J682" s="1"/>
      <c r="K682" s="366"/>
    </row>
    <row r="683" spans="1:15">
      <c r="A683" s="294" t="s">
        <v>439</v>
      </c>
      <c r="B683" s="1"/>
      <c r="C683" s="304"/>
      <c r="D683" s="304"/>
      <c r="E683" s="2" t="s">
        <v>31</v>
      </c>
      <c r="F683" s="2"/>
      <c r="G683" s="1"/>
      <c r="H683" s="1"/>
      <c r="I683" s="2" t="s">
        <v>31</v>
      </c>
      <c r="J683" s="1"/>
      <c r="K683" s="1"/>
    </row>
    <row r="684" spans="1:15">
      <c r="A684" s="294" t="s">
        <v>440</v>
      </c>
      <c r="B684" s="1"/>
      <c r="C684" s="304">
        <v>151</v>
      </c>
      <c r="D684" s="304">
        <v>161</v>
      </c>
      <c r="E684" s="322">
        <v>0</v>
      </c>
      <c r="F684" s="309"/>
      <c r="G684" s="306">
        <f>ROUND(E684*$C684,0)</f>
        <v>0</v>
      </c>
      <c r="H684" s="306">
        <f>ROUND(E684*$D684,0)</f>
        <v>0</v>
      </c>
      <c r="I684" s="322">
        <f>$I$582</f>
        <v>0</v>
      </c>
      <c r="J684" s="309"/>
      <c r="K684" s="306">
        <f>ROUND(I684*$D684,0)</f>
        <v>0</v>
      </c>
    </row>
    <row r="685" spans="1:15">
      <c r="A685" s="294" t="s">
        <v>441</v>
      </c>
      <c r="B685" s="1"/>
      <c r="C685" s="304"/>
      <c r="D685" s="304"/>
      <c r="E685" s="322"/>
      <c r="F685" s="309"/>
      <c r="G685" s="306"/>
      <c r="H685" s="306"/>
      <c r="I685" s="322"/>
      <c r="J685" s="309"/>
      <c r="K685" s="306"/>
    </row>
    <row r="686" spans="1:15">
      <c r="A686" s="294" t="s">
        <v>442</v>
      </c>
      <c r="B686" s="1"/>
      <c r="C686" s="304">
        <f>1+378</f>
        <v>379</v>
      </c>
      <c r="D686" s="304">
        <v>404</v>
      </c>
      <c r="E686" s="322">
        <v>0</v>
      </c>
      <c r="F686" s="309"/>
      <c r="G686" s="306">
        <f>ROUND(E686*$C686,0)</f>
        <v>0</v>
      </c>
      <c r="H686" s="306">
        <f>ROUND(E686*$D686,0)</f>
        <v>0</v>
      </c>
      <c r="I686" s="322">
        <f>$I$584</f>
        <v>0</v>
      </c>
      <c r="J686" s="309"/>
      <c r="K686" s="306">
        <f>ROUND(I686*$D686,0)</f>
        <v>0</v>
      </c>
    </row>
    <row r="687" spans="1:15">
      <c r="A687" s="294" t="s">
        <v>443</v>
      </c>
      <c r="B687" s="1"/>
      <c r="C687" s="304">
        <f>38</f>
        <v>38</v>
      </c>
      <c r="D687" s="304">
        <v>41</v>
      </c>
      <c r="E687" s="322">
        <v>275</v>
      </c>
      <c r="F687" s="309"/>
      <c r="G687" s="306">
        <f>ROUND(E687*$C687,0)</f>
        <v>10450</v>
      </c>
      <c r="H687" s="306">
        <f>ROUND(E687*$D687,0)</f>
        <v>11275</v>
      </c>
      <c r="I687" s="322">
        <f>$I$585</f>
        <v>301</v>
      </c>
      <c r="J687" s="309"/>
      <c r="K687" s="306">
        <f>ROUND(I687*$D687,0)</f>
        <v>12341</v>
      </c>
    </row>
    <row r="688" spans="1:15">
      <c r="A688" s="294" t="s">
        <v>444</v>
      </c>
      <c r="B688" s="1"/>
      <c r="C688" s="304">
        <f>3</f>
        <v>3</v>
      </c>
      <c r="D688" s="304">
        <v>3</v>
      </c>
      <c r="E688" s="322">
        <v>1110</v>
      </c>
      <c r="F688" s="309"/>
      <c r="G688" s="306">
        <f>ROUND(E688*$C688,0)</f>
        <v>3330</v>
      </c>
      <c r="H688" s="306">
        <f>ROUND(E688*$D688,0)</f>
        <v>3330</v>
      </c>
      <c r="I688" s="322">
        <f>$I$586</f>
        <v>1215</v>
      </c>
      <c r="J688" s="309"/>
      <c r="K688" s="306">
        <f>ROUND(I688*$D688,0)</f>
        <v>3645</v>
      </c>
    </row>
    <row r="689" spans="1:11">
      <c r="A689" s="294" t="s">
        <v>352</v>
      </c>
      <c r="B689" s="1"/>
      <c r="C689" s="304">
        <f>SUM(C684:C688)</f>
        <v>571</v>
      </c>
      <c r="D689" s="304">
        <v>608.93144040394361</v>
      </c>
      <c r="E689" s="322"/>
      <c r="F689" s="309"/>
      <c r="G689" s="306"/>
      <c r="H689" s="306"/>
      <c r="I689" s="322"/>
      <c r="J689" s="309"/>
      <c r="K689" s="306"/>
    </row>
    <row r="690" spans="1:11">
      <c r="A690" s="294" t="s">
        <v>445</v>
      </c>
      <c r="B690" s="1"/>
      <c r="C690" s="304">
        <f>5+7+1001+2657+283+20</f>
        <v>3973</v>
      </c>
      <c r="D690" s="304">
        <v>4237</v>
      </c>
      <c r="E690" s="322"/>
      <c r="F690" s="306"/>
      <c r="G690" s="306"/>
      <c r="H690" s="306"/>
      <c r="I690" s="322"/>
      <c r="J690" s="306"/>
      <c r="K690" s="306"/>
    </row>
    <row r="691" spans="1:11">
      <c r="A691" s="294" t="s">
        <v>104</v>
      </c>
      <c r="B691" s="1"/>
      <c r="C691" s="304">
        <f>1+1+167+421+39+3</f>
        <v>632</v>
      </c>
      <c r="D691" s="304">
        <v>674</v>
      </c>
      <c r="E691" s="322"/>
      <c r="F691" s="306"/>
      <c r="G691" s="306"/>
      <c r="H691" s="306"/>
      <c r="I691" s="322"/>
      <c r="J691" s="306"/>
      <c r="K691" s="306"/>
    </row>
    <row r="692" spans="1:11">
      <c r="A692" s="294" t="s">
        <v>446</v>
      </c>
      <c r="B692" s="1"/>
      <c r="C692" s="304"/>
      <c r="D692" s="304"/>
      <c r="E692" s="322"/>
      <c r="F692" s="309"/>
      <c r="G692" s="306"/>
      <c r="H692" s="306"/>
      <c r="I692" s="322"/>
      <c r="J692" s="309"/>
      <c r="K692" s="306"/>
    </row>
    <row r="693" spans="1:11">
      <c r="A693" s="294" t="s">
        <v>447</v>
      </c>
      <c r="B693" s="1"/>
      <c r="C693" s="304">
        <f>816</f>
        <v>816</v>
      </c>
      <c r="D693" s="304">
        <f>ROUND(($D$727/$C$727)*C693,0)</f>
        <v>787</v>
      </c>
      <c r="E693" s="322">
        <v>18.149999999999999</v>
      </c>
      <c r="F693" s="309"/>
      <c r="G693" s="306">
        <f>ROUND(E693*$C693,0)</f>
        <v>14810</v>
      </c>
      <c r="H693" s="306">
        <f>ROUND(E693*$D693,0)</f>
        <v>14284</v>
      </c>
      <c r="I693" s="322">
        <f>$I$591</f>
        <v>19.87</v>
      </c>
      <c r="J693" s="309"/>
      <c r="K693" s="306">
        <f>ROUND(I693*$D693,0)</f>
        <v>15638</v>
      </c>
    </row>
    <row r="694" spans="1:11">
      <c r="A694" s="294" t="s">
        <v>448</v>
      </c>
      <c r="B694" s="1"/>
      <c r="C694" s="304"/>
      <c r="D694" s="304"/>
      <c r="E694" s="322"/>
      <c r="F694" s="309"/>
      <c r="G694" s="306"/>
      <c r="H694" s="306"/>
      <c r="I694" s="322"/>
      <c r="J694" s="309"/>
      <c r="K694" s="306"/>
    </row>
    <row r="695" spans="1:11">
      <c r="A695" s="294" t="s">
        <v>442</v>
      </c>
      <c r="B695" s="1"/>
      <c r="C695" s="304">
        <f>6061+40</f>
        <v>6101</v>
      </c>
      <c r="D695" s="304">
        <f>ROUND(($D$727/$C$727)*C695,0)</f>
        <v>5884</v>
      </c>
      <c r="E695" s="322">
        <v>18.149999999999999</v>
      </c>
      <c r="F695" s="309"/>
      <c r="G695" s="306">
        <f>ROUND(E695*$C695,0)</f>
        <v>110733</v>
      </c>
      <c r="H695" s="306">
        <f>ROUND(E695*$D695,0)</f>
        <v>106795</v>
      </c>
      <c r="I695" s="322">
        <f>$I$593</f>
        <v>19.87</v>
      </c>
      <c r="J695" s="309"/>
      <c r="K695" s="306">
        <f>ROUND(I695*$D695,0)</f>
        <v>116915</v>
      </c>
    </row>
    <row r="696" spans="1:11">
      <c r="A696" s="294" t="s">
        <v>443</v>
      </c>
      <c r="B696" s="1"/>
      <c r="C696" s="304">
        <f>3661</f>
        <v>3661</v>
      </c>
      <c r="D696" s="304">
        <f>ROUND(($D$727/$C$727)*C696,0)</f>
        <v>3531</v>
      </c>
      <c r="E696" s="322">
        <v>12.4</v>
      </c>
      <c r="F696" s="309"/>
      <c r="G696" s="306">
        <f>ROUND(E696*$C696,0)</f>
        <v>45396</v>
      </c>
      <c r="H696" s="306">
        <f>ROUND(E696*$D696,0)</f>
        <v>43784</v>
      </c>
      <c r="I696" s="322">
        <f>$I$594</f>
        <v>13.64</v>
      </c>
      <c r="J696" s="309"/>
      <c r="K696" s="306">
        <f>ROUND(I696*$D696,0)</f>
        <v>48163</v>
      </c>
    </row>
    <row r="697" spans="1:11">
      <c r="A697" s="294" t="s">
        <v>444</v>
      </c>
      <c r="B697" s="1"/>
      <c r="C697" s="304">
        <f>1235</f>
        <v>1235</v>
      </c>
      <c r="D697" s="304">
        <f>ROUND(($D$727/$C$727)*C697,0)</f>
        <v>1191</v>
      </c>
      <c r="E697" s="322">
        <v>9.65</v>
      </c>
      <c r="F697" s="309"/>
      <c r="G697" s="306">
        <f>ROUND(E697*$C697,0)</f>
        <v>11918</v>
      </c>
      <c r="H697" s="306">
        <f>ROUND(E697*$D697,0)</f>
        <v>11493</v>
      </c>
      <c r="I697" s="322">
        <f>$I$595</f>
        <v>10.62</v>
      </c>
      <c r="J697" s="309"/>
      <c r="K697" s="306">
        <f>ROUND(I697*$D697,0)</f>
        <v>12648</v>
      </c>
    </row>
    <row r="698" spans="1:11">
      <c r="A698" s="294" t="s">
        <v>450</v>
      </c>
      <c r="B698" s="1"/>
      <c r="C698" s="304">
        <f>47</f>
        <v>47</v>
      </c>
      <c r="D698" s="304">
        <v>45</v>
      </c>
      <c r="E698" s="322">
        <v>54.45</v>
      </c>
      <c r="F698" s="309"/>
      <c r="G698" s="306">
        <f>ROUND(E698*$C698,0)</f>
        <v>2559</v>
      </c>
      <c r="H698" s="306">
        <f>ROUND(E698*$D698,0)</f>
        <v>2450</v>
      </c>
      <c r="I698" s="322">
        <f>$I$596</f>
        <v>59.61</v>
      </c>
      <c r="J698" s="309"/>
      <c r="K698" s="306">
        <f>ROUND(I698*$D698,0)</f>
        <v>2682</v>
      </c>
    </row>
    <row r="699" spans="1:11">
      <c r="A699" s="294" t="s">
        <v>451</v>
      </c>
      <c r="B699" s="1"/>
      <c r="C699" s="304">
        <f>73</f>
        <v>73</v>
      </c>
      <c r="D699" s="304">
        <v>70</v>
      </c>
      <c r="E699" s="322">
        <v>108.9</v>
      </c>
      <c r="F699" s="309"/>
      <c r="G699" s="306">
        <f>ROUND(E699*$C699,0)</f>
        <v>7950</v>
      </c>
      <c r="H699" s="306">
        <f>ROUND(E699*$D699,0)</f>
        <v>7623</v>
      </c>
      <c r="I699" s="322">
        <f>$I$597</f>
        <v>119.22</v>
      </c>
      <c r="J699" s="309"/>
      <c r="K699" s="306">
        <f>ROUND(I699*$D699,0)</f>
        <v>8345</v>
      </c>
    </row>
    <row r="700" spans="1:11">
      <c r="A700" s="294" t="s">
        <v>452</v>
      </c>
      <c r="B700" s="1"/>
      <c r="C700" s="304"/>
      <c r="D700" s="304"/>
      <c r="E700" s="322"/>
      <c r="F700" s="309"/>
      <c r="G700" s="306"/>
      <c r="H700" s="306"/>
      <c r="I700" s="322"/>
      <c r="J700" s="309"/>
      <c r="K700" s="306"/>
    </row>
    <row r="701" spans="1:11">
      <c r="A701" s="294" t="s">
        <v>447</v>
      </c>
      <c r="B701" s="1"/>
      <c r="C701" s="304">
        <f>56</f>
        <v>56</v>
      </c>
      <c r="D701" s="304">
        <f>ROUND(($D$727/$C$727)*C701,0)</f>
        <v>54</v>
      </c>
      <c r="E701" s="348">
        <f>-E693</f>
        <v>-18.149999999999999</v>
      </c>
      <c r="F701" s="309"/>
      <c r="G701" s="306">
        <f>ROUND(E701*$C701,0)</f>
        <v>-1016</v>
      </c>
      <c r="H701" s="306">
        <f>ROUND(E701*$D701,0)</f>
        <v>-980</v>
      </c>
      <c r="I701" s="348">
        <f>-I693</f>
        <v>-19.87</v>
      </c>
      <c r="J701" s="309"/>
      <c r="K701" s="306">
        <f>ROUND(I701*$D701,0)</f>
        <v>-1073</v>
      </c>
    </row>
    <row r="702" spans="1:11">
      <c r="A702" s="294" t="s">
        <v>453</v>
      </c>
      <c r="B702" s="1"/>
      <c r="C702" s="304">
        <f>171</f>
        <v>171</v>
      </c>
      <c r="D702" s="304">
        <f>ROUND(($D$727/$C$727)*C702,0)</f>
        <v>165</v>
      </c>
      <c r="E702" s="348">
        <f>-E695</f>
        <v>-18.149999999999999</v>
      </c>
      <c r="F702" s="309"/>
      <c r="G702" s="306">
        <f>ROUND(E702*$C702,0)</f>
        <v>-3104</v>
      </c>
      <c r="H702" s="306">
        <f>ROUND(E702*$D702,0)</f>
        <v>-2995</v>
      </c>
      <c r="I702" s="348">
        <f>-I695</f>
        <v>-19.87</v>
      </c>
      <c r="J702" s="309"/>
      <c r="K702" s="306">
        <f>ROUND(I702*$D702,0)</f>
        <v>-3279</v>
      </c>
    </row>
    <row r="703" spans="1:11">
      <c r="A703" s="308" t="s">
        <v>416</v>
      </c>
      <c r="B703" s="1"/>
      <c r="C703" s="304"/>
      <c r="D703" s="304"/>
      <c r="E703" s="322"/>
      <c r="F703" s="306"/>
      <c r="G703" s="306"/>
      <c r="H703" s="306"/>
      <c r="I703" s="322"/>
      <c r="J703" s="306"/>
      <c r="K703" s="306"/>
    </row>
    <row r="704" spans="1:11">
      <c r="A704" s="294" t="s">
        <v>454</v>
      </c>
      <c r="B704" s="1"/>
      <c r="C704" s="304">
        <f>38079+1034717+10521120+5534245+2275120</f>
        <v>19403281</v>
      </c>
      <c r="D704" s="304">
        <f>ROUND(($D$727/$C$727)*C704,0)</f>
        <v>18714383</v>
      </c>
      <c r="E704" s="367">
        <v>4.9909999999999997</v>
      </c>
      <c r="F704" s="306" t="s">
        <v>364</v>
      </c>
      <c r="G704" s="306">
        <f>ROUND(E704/100*$C704,0)</f>
        <v>968418</v>
      </c>
      <c r="H704" s="306">
        <f>ROUND(E704/100*$D704,0)</f>
        <v>934035</v>
      </c>
      <c r="I704" s="367">
        <f>$I$602</f>
        <v>5.3710000000000004</v>
      </c>
      <c r="J704" s="306" t="s">
        <v>364</v>
      </c>
      <c r="K704" s="306">
        <f>ROUND(I704/100*$D704,0)</f>
        <v>1005150</v>
      </c>
    </row>
    <row r="705" spans="1:11">
      <c r="A705" s="308" t="s">
        <v>390</v>
      </c>
      <c r="B705" s="1"/>
      <c r="C705" s="304">
        <f>52+1904+219</f>
        <v>2175</v>
      </c>
      <c r="D705" s="304">
        <f>ROUND(($D$727/$C$727)*C705,0)</f>
        <v>2098</v>
      </c>
      <c r="E705" s="324">
        <v>45</v>
      </c>
      <c r="F705" s="308" t="s">
        <v>364</v>
      </c>
      <c r="G705" s="306">
        <f>ROUND(E705*$C705/100,0)</f>
        <v>979</v>
      </c>
      <c r="H705" s="306">
        <f>ROUND(E705*$D705/100,0)</f>
        <v>944</v>
      </c>
      <c r="I705" s="324">
        <f>$I$603</f>
        <v>45</v>
      </c>
      <c r="J705" s="308" t="s">
        <v>364</v>
      </c>
      <c r="K705" s="306">
        <f>ROUND(I705*$D705/100,0)</f>
        <v>944</v>
      </c>
    </row>
    <row r="706" spans="1:11">
      <c r="A706" s="345" t="s">
        <v>391</v>
      </c>
      <c r="B706" s="1"/>
      <c r="C706" s="304"/>
      <c r="D706" s="304"/>
      <c r="E706" s="317">
        <v>-0.01</v>
      </c>
      <c r="F706" s="2"/>
      <c r="G706" s="306"/>
      <c r="H706" s="306"/>
      <c r="I706" s="317">
        <f>$I$604</f>
        <v>-0.01</v>
      </c>
      <c r="J706" s="1"/>
      <c r="K706" s="306"/>
    </row>
    <row r="707" spans="1:11">
      <c r="A707" s="294" t="s">
        <v>380</v>
      </c>
      <c r="B707" s="1"/>
      <c r="C707" s="304">
        <v>0</v>
      </c>
      <c r="D707" s="304">
        <v>0</v>
      </c>
      <c r="E707" s="369">
        <f>E684</f>
        <v>0</v>
      </c>
      <c r="F707" s="309"/>
      <c r="G707" s="306">
        <f>ROUND(E707*$C707*$E$604,0)</f>
        <v>0</v>
      </c>
      <c r="H707" s="306">
        <f>ROUND(E707*$D707*$E$604,0)</f>
        <v>0</v>
      </c>
      <c r="I707" s="369">
        <f>I684</f>
        <v>0</v>
      </c>
      <c r="J707" s="309"/>
      <c r="K707" s="306">
        <f>ROUND(I707*$D707*$E$604,0)</f>
        <v>0</v>
      </c>
    </row>
    <row r="708" spans="1:11">
      <c r="A708" s="294" t="s">
        <v>381</v>
      </c>
      <c r="B708" s="1"/>
      <c r="C708" s="304"/>
      <c r="D708" s="304"/>
      <c r="E708" s="369"/>
      <c r="F708" s="309"/>
      <c r="G708" s="306"/>
      <c r="H708" s="306"/>
      <c r="I708" s="369"/>
      <c r="J708" s="309"/>
      <c r="K708" s="306"/>
    </row>
    <row r="709" spans="1:11">
      <c r="A709" s="294" t="s">
        <v>442</v>
      </c>
      <c r="B709" s="1"/>
      <c r="C709" s="304">
        <v>1</v>
      </c>
      <c r="D709" s="304">
        <v>1</v>
      </c>
      <c r="E709" s="369">
        <f>E686</f>
        <v>0</v>
      </c>
      <c r="F709" s="309"/>
      <c r="G709" s="306">
        <f>ROUND(E709*$C709*$E$604,0)</f>
        <v>0</v>
      </c>
      <c r="H709" s="306">
        <f>ROUND(E709*$D709*$E$604,0)</f>
        <v>0</v>
      </c>
      <c r="I709" s="369">
        <f>I686</f>
        <v>0</v>
      </c>
      <c r="J709" s="309"/>
      <c r="K709" s="306">
        <f>ROUND(I709*$D709*$E$604,0)</f>
        <v>0</v>
      </c>
    </row>
    <row r="710" spans="1:11">
      <c r="A710" s="294" t="s">
        <v>443</v>
      </c>
      <c r="B710" s="1"/>
      <c r="C710" s="304">
        <v>0</v>
      </c>
      <c r="D710" s="304">
        <v>0</v>
      </c>
      <c r="E710" s="369">
        <f>E687</f>
        <v>275</v>
      </c>
      <c r="F710" s="309"/>
      <c r="G710" s="306">
        <f>ROUND(E710*$C710*$E$604,0)</f>
        <v>0</v>
      </c>
      <c r="H710" s="306">
        <f>ROUND(E710*$D710*$E$604,0)</f>
        <v>0</v>
      </c>
      <c r="I710" s="369">
        <f>I687</f>
        <v>301</v>
      </c>
      <c r="J710" s="309"/>
      <c r="K710" s="306">
        <f>ROUND(I710*$D710*$E$604,0)</f>
        <v>0</v>
      </c>
    </row>
    <row r="711" spans="1:11">
      <c r="A711" s="294" t="s">
        <v>444</v>
      </c>
      <c r="B711" s="1"/>
      <c r="C711" s="304">
        <v>0</v>
      </c>
      <c r="D711" s="304">
        <v>0</v>
      </c>
      <c r="E711" s="369">
        <f>E688</f>
        <v>1110</v>
      </c>
      <c r="F711" s="309"/>
      <c r="G711" s="306">
        <f>ROUND(E711*$C711*$E$604,0)</f>
        <v>0</v>
      </c>
      <c r="H711" s="306">
        <f>ROUND(E711*$D711*$E$604,0)</f>
        <v>0</v>
      </c>
      <c r="I711" s="369">
        <f>I688</f>
        <v>1215</v>
      </c>
      <c r="J711" s="309"/>
      <c r="K711" s="306">
        <f>ROUND(I711*$D711*$E$604,0)</f>
        <v>0</v>
      </c>
    </row>
    <row r="712" spans="1:11">
      <c r="A712" s="294" t="s">
        <v>380</v>
      </c>
      <c r="B712" s="1"/>
      <c r="C712" s="304">
        <v>0</v>
      </c>
      <c r="D712" s="304">
        <f>ROUND(($D$727/$C$727)*C712,0)</f>
        <v>0</v>
      </c>
      <c r="E712" s="369">
        <f>E693</f>
        <v>18.149999999999999</v>
      </c>
      <c r="F712" s="309"/>
      <c r="G712" s="306">
        <f>ROUND(E712*$C712*$E$604,0)</f>
        <v>0</v>
      </c>
      <c r="H712" s="306">
        <f>ROUND(E712*$D712*$E$604,0)</f>
        <v>0</v>
      </c>
      <c r="I712" s="369">
        <f>I693</f>
        <v>19.87</v>
      </c>
      <c r="J712" s="309"/>
      <c r="K712" s="306">
        <f>ROUND(I712*$D712*$E$604,0)</f>
        <v>0</v>
      </c>
    </row>
    <row r="713" spans="1:11">
      <c r="A713" s="294" t="s">
        <v>381</v>
      </c>
      <c r="B713" s="1"/>
      <c r="C713" s="304"/>
      <c r="D713" s="304"/>
      <c r="E713" s="369"/>
      <c r="F713" s="309"/>
      <c r="G713" s="306"/>
      <c r="H713" s="306"/>
      <c r="I713" s="369"/>
      <c r="J713" s="309"/>
      <c r="K713" s="306"/>
    </row>
    <row r="714" spans="1:11">
      <c r="A714" s="294" t="s">
        <v>442</v>
      </c>
      <c r="B714" s="1"/>
      <c r="C714" s="304">
        <v>40</v>
      </c>
      <c r="D714" s="304">
        <f>ROUND(($D$727/$C$727)*C714,0)</f>
        <v>39</v>
      </c>
      <c r="E714" s="369">
        <f>E695</f>
        <v>18.149999999999999</v>
      </c>
      <c r="F714" s="309"/>
      <c r="G714" s="306">
        <f>ROUND(E714*$C714*$E$604,0)</f>
        <v>-7</v>
      </c>
      <c r="H714" s="306">
        <f>ROUND(E714*$D714*$E$604,0)</f>
        <v>-7</v>
      </c>
      <c r="I714" s="369">
        <f>I695</f>
        <v>19.87</v>
      </c>
      <c r="J714" s="309"/>
      <c r="K714" s="306">
        <f>ROUND(I714*$D714*$E$604,0)</f>
        <v>-8</v>
      </c>
    </row>
    <row r="715" spans="1:11">
      <c r="A715" s="294" t="s">
        <v>443</v>
      </c>
      <c r="B715" s="1"/>
      <c r="C715" s="304">
        <v>0</v>
      </c>
      <c r="D715" s="304">
        <f>ROUND(($D$727/$C$727)*C715,0)</f>
        <v>0</v>
      </c>
      <c r="E715" s="369">
        <f>E696</f>
        <v>12.4</v>
      </c>
      <c r="F715" s="309"/>
      <c r="G715" s="306">
        <f>ROUND(E715*$C715*$E$604,0)</f>
        <v>0</v>
      </c>
      <c r="H715" s="306">
        <f>ROUND(E715*$D715*$E$604,0)</f>
        <v>0</v>
      </c>
      <c r="I715" s="369">
        <f>I696</f>
        <v>13.64</v>
      </c>
      <c r="J715" s="309"/>
      <c r="K715" s="306">
        <f>ROUND(I715*$D715*$E$604,0)</f>
        <v>0</v>
      </c>
    </row>
    <row r="716" spans="1:11">
      <c r="A716" s="294" t="s">
        <v>444</v>
      </c>
      <c r="B716" s="1"/>
      <c r="C716" s="304">
        <v>0</v>
      </c>
      <c r="D716" s="304">
        <f>ROUND(($D$727/$C$727)*C716,0)</f>
        <v>0</v>
      </c>
      <c r="E716" s="369">
        <f>E697</f>
        <v>9.65</v>
      </c>
      <c r="F716" s="309"/>
      <c r="G716" s="306">
        <f>ROUND(E716*$C716*$E$604,0)</f>
        <v>0</v>
      </c>
      <c r="H716" s="306">
        <f>ROUND(E716*$D716*$E$604,0)</f>
        <v>0</v>
      </c>
      <c r="I716" s="369">
        <f>I697</f>
        <v>10.62</v>
      </c>
      <c r="J716" s="309"/>
      <c r="K716" s="306">
        <f>ROUND(I716*$D716*$E$604,0)</f>
        <v>0</v>
      </c>
    </row>
    <row r="717" spans="1:11">
      <c r="A717" s="294" t="s">
        <v>455</v>
      </c>
      <c r="B717" s="1"/>
      <c r="C717" s="304">
        <v>0</v>
      </c>
      <c r="D717" s="304">
        <v>0</v>
      </c>
      <c r="E717" s="338">
        <f>E698</f>
        <v>54.45</v>
      </c>
      <c r="F717" s="309"/>
      <c r="G717" s="306">
        <f>ROUND(E717*$C717*$E$604,0)</f>
        <v>0</v>
      </c>
      <c r="H717" s="306">
        <f>ROUND(E717*$D717*$E$604,0)</f>
        <v>0</v>
      </c>
      <c r="I717" s="338">
        <f>I698</f>
        <v>59.61</v>
      </c>
      <c r="J717" s="309"/>
      <c r="K717" s="306">
        <f>ROUND(I717*$D717*$E$604,0)</f>
        <v>0</v>
      </c>
    </row>
    <row r="718" spans="1:11">
      <c r="A718" s="294" t="s">
        <v>456</v>
      </c>
      <c r="B718" s="1"/>
      <c r="C718" s="304">
        <v>0</v>
      </c>
      <c r="D718" s="304">
        <v>0</v>
      </c>
      <c r="E718" s="338">
        <f>E699</f>
        <v>108.9</v>
      </c>
      <c r="F718" s="309"/>
      <c r="G718" s="306">
        <f>ROUND(E718*$C718*$E$604,0)</f>
        <v>0</v>
      </c>
      <c r="H718" s="306">
        <f>ROUND(E718*$D718*$E$604,0)</f>
        <v>0</v>
      </c>
      <c r="I718" s="338">
        <f>I699</f>
        <v>119.22</v>
      </c>
      <c r="J718" s="309"/>
      <c r="K718" s="306">
        <f>ROUND(I718*$D718*$E$604,0)</f>
        <v>0</v>
      </c>
    </row>
    <row r="719" spans="1:11">
      <c r="A719" s="294" t="s">
        <v>452</v>
      </c>
      <c r="B719" s="1"/>
      <c r="C719" s="304"/>
      <c r="D719" s="304"/>
      <c r="E719" s="322"/>
      <c r="F719" s="309"/>
      <c r="G719" s="306"/>
      <c r="H719" s="306"/>
      <c r="I719" s="322"/>
      <c r="J719" s="309"/>
      <c r="K719" s="306"/>
    </row>
    <row r="720" spans="1:11">
      <c r="A720" s="294" t="s">
        <v>447</v>
      </c>
      <c r="B720" s="1"/>
      <c r="C720" s="304">
        <v>0</v>
      </c>
      <c r="D720" s="304">
        <f>ROUND(($D$727/$C$727)*C720,0)</f>
        <v>0</v>
      </c>
      <c r="E720" s="348">
        <f>E701</f>
        <v>-18.149999999999999</v>
      </c>
      <c r="F720" s="309"/>
      <c r="G720" s="306">
        <f>ROUND(E720*$C720*$E$604,0)</f>
        <v>0</v>
      </c>
      <c r="H720" s="306">
        <f>ROUND(E720*$D720*$E$604,0)</f>
        <v>0</v>
      </c>
      <c r="I720" s="348">
        <f>I701</f>
        <v>-19.87</v>
      </c>
      <c r="J720" s="309"/>
      <c r="K720" s="306">
        <f>ROUND(I720*$D720*$E$604,0)</f>
        <v>0</v>
      </c>
    </row>
    <row r="721" spans="1:15">
      <c r="A721" s="294" t="s">
        <v>453</v>
      </c>
      <c r="B721" s="1"/>
      <c r="C721" s="304">
        <v>0</v>
      </c>
      <c r="D721" s="304">
        <f>ROUND(($D$727/$C$727)*C721,0)</f>
        <v>0</v>
      </c>
      <c r="E721" s="348">
        <f>E702</f>
        <v>-18.149999999999999</v>
      </c>
      <c r="F721" s="309"/>
      <c r="G721" s="306">
        <f>ROUND(E721*$C721*$E$604,0)</f>
        <v>0</v>
      </c>
      <c r="H721" s="306">
        <f>ROUND(E721*$D721*$E$604,0)</f>
        <v>0</v>
      </c>
      <c r="I721" s="348">
        <f>I702</f>
        <v>-19.87</v>
      </c>
      <c r="J721" s="309"/>
      <c r="K721" s="306">
        <f>ROUND(I721*$D721*$E$604,0)</f>
        <v>0</v>
      </c>
    </row>
    <row r="722" spans="1:15">
      <c r="A722" s="308" t="s">
        <v>416</v>
      </c>
      <c r="B722" s="1"/>
      <c r="C722" s="304"/>
      <c r="D722" s="304"/>
      <c r="E722" s="369"/>
      <c r="F722" s="306"/>
      <c r="G722" s="306"/>
      <c r="H722" s="306"/>
      <c r="I722" s="369"/>
      <c r="J722" s="306"/>
      <c r="K722" s="306"/>
    </row>
    <row r="723" spans="1:15">
      <c r="A723" s="294" t="s">
        <v>454</v>
      </c>
      <c r="B723" s="1"/>
      <c r="C723" s="304">
        <f>38079</f>
        <v>38079</v>
      </c>
      <c r="D723" s="304">
        <f>ROUND(($D$727/$C$727)*C723,0)</f>
        <v>36727</v>
      </c>
      <c r="E723" s="370">
        <f>E704</f>
        <v>4.9909999999999997</v>
      </c>
      <c r="F723" s="306" t="s">
        <v>364</v>
      </c>
      <c r="G723" s="306">
        <f>ROUND(E723/100*$C723*$E$604,0)</f>
        <v>-19</v>
      </c>
      <c r="H723" s="306">
        <f>ROUND(E723/100*$D723*$E$604,0)</f>
        <v>-18</v>
      </c>
      <c r="I723" s="370">
        <f>I704</f>
        <v>5.3710000000000004</v>
      </c>
      <c r="J723" s="306" t="s">
        <v>364</v>
      </c>
      <c r="K723" s="306">
        <f>ROUND(I723/100*$D723*$E$604,0)</f>
        <v>-20</v>
      </c>
    </row>
    <row r="724" spans="1:15">
      <c r="A724" s="308" t="s">
        <v>390</v>
      </c>
      <c r="B724" s="1"/>
      <c r="C724" s="304">
        <v>0</v>
      </c>
      <c r="D724" s="304">
        <f>ROUND(($D$727/$C$727)*C724,0)</f>
        <v>0</v>
      </c>
      <c r="E724" s="360">
        <f>E705</f>
        <v>45</v>
      </c>
      <c r="F724" s="306" t="s">
        <v>364</v>
      </c>
      <c r="G724" s="306">
        <f>ROUND(E724/100*$C724*$E$604,0)</f>
        <v>0</v>
      </c>
      <c r="H724" s="306">
        <f>ROUND(E724/100*$D724*$E$604,0)</f>
        <v>0</v>
      </c>
      <c r="I724" s="360">
        <f>I705</f>
        <v>45</v>
      </c>
      <c r="J724" s="308" t="s">
        <v>364</v>
      </c>
      <c r="K724" s="306">
        <f>ROUND(I724/100*$D724*$E$604,0)</f>
        <v>0</v>
      </c>
    </row>
    <row r="725" spans="1:15">
      <c r="A725" s="308" t="s">
        <v>433</v>
      </c>
      <c r="B725" s="1"/>
      <c r="C725" s="304">
        <f>5+7</f>
        <v>12</v>
      </c>
      <c r="D725" s="304">
        <v>13</v>
      </c>
      <c r="E725" s="283">
        <v>60</v>
      </c>
      <c r="F725" s="349" t="s">
        <v>31</v>
      </c>
      <c r="G725" s="306">
        <f>ROUND(E725*$C725,0)</f>
        <v>720</v>
      </c>
      <c r="H725" s="306">
        <f>ROUND(E725*$D725,0)</f>
        <v>780</v>
      </c>
      <c r="I725" s="283">
        <f>$I$623</f>
        <v>60</v>
      </c>
      <c r="J725" s="1"/>
      <c r="K725" s="306">
        <f>ROUND(I725*$D725,0)</f>
        <v>780</v>
      </c>
    </row>
    <row r="726" spans="1:15">
      <c r="A726" s="308" t="s">
        <v>434</v>
      </c>
      <c r="B726" s="1"/>
      <c r="C726" s="304">
        <f>7*C714</f>
        <v>280</v>
      </c>
      <c r="D726" s="304">
        <f>ROUND(($D$727/$C$727)*C726,0)</f>
        <v>270</v>
      </c>
      <c r="E726" s="324">
        <v>-30</v>
      </c>
      <c r="F726" s="306" t="s">
        <v>364</v>
      </c>
      <c r="G726" s="306">
        <f>ROUND(E726*$C726/100,0)</f>
        <v>-84</v>
      </c>
      <c r="H726" s="306">
        <f>ROUND(E726*$D726/100,0)</f>
        <v>-81</v>
      </c>
      <c r="I726" s="324">
        <f>$I$624</f>
        <v>-30</v>
      </c>
      <c r="J726" s="306" t="s">
        <v>364</v>
      </c>
      <c r="K726" s="306">
        <f>ROUND(I726*$D726/100,0)</f>
        <v>-81</v>
      </c>
    </row>
    <row r="727" spans="1:15">
      <c r="A727" s="1" t="s">
        <v>371</v>
      </c>
      <c r="B727" s="1"/>
      <c r="C727" s="304">
        <f>SUM(C704:C704)</f>
        <v>19403281</v>
      </c>
      <c r="D727" s="304">
        <v>18714383.130874861</v>
      </c>
      <c r="E727" s="315"/>
      <c r="F727" s="2"/>
      <c r="G727" s="2">
        <f>SUM(G684:G726)</f>
        <v>1173033</v>
      </c>
      <c r="H727" s="2">
        <f>SUM(H684:H726)</f>
        <v>1132712</v>
      </c>
      <c r="I727" s="315"/>
      <c r="J727" s="308"/>
      <c r="K727" s="2">
        <f>SUM(K684:K726)</f>
        <v>1222790</v>
      </c>
    </row>
    <row r="728" spans="1:15">
      <c r="A728" s="1" t="s">
        <v>353</v>
      </c>
      <c r="B728" s="1"/>
      <c r="C728" s="334">
        <v>346887.72769998875</v>
      </c>
      <c r="D728" s="334">
        <v>0</v>
      </c>
      <c r="E728" s="294"/>
      <c r="F728" s="294"/>
      <c r="G728" s="295">
        <v>17626.216910670679</v>
      </c>
      <c r="H728" s="295">
        <v>0</v>
      </c>
      <c r="I728" s="294"/>
      <c r="J728" s="294"/>
      <c r="K728" s="295">
        <v>0</v>
      </c>
      <c r="M728" s="274"/>
      <c r="N728" s="274"/>
      <c r="O728" s="275"/>
    </row>
    <row r="729" spans="1:15" ht="16.5" thickBot="1">
      <c r="A729" s="1" t="s">
        <v>372</v>
      </c>
      <c r="B729" s="1"/>
      <c r="C729" s="351">
        <f>SUM(C727:C728)</f>
        <v>19750168.727699988</v>
      </c>
      <c r="D729" s="351">
        <f>SUM(D727:D728)</f>
        <v>18714383.130874861</v>
      </c>
      <c r="E729" s="327"/>
      <c r="F729" s="328"/>
      <c r="G729" s="329">
        <f>G727+G728</f>
        <v>1190659.2169106707</v>
      </c>
      <c r="H729" s="329">
        <f>H727+H728</f>
        <v>1132712</v>
      </c>
      <c r="I729" s="327"/>
      <c r="J729" s="330"/>
      <c r="K729" s="329">
        <f>K727+K728</f>
        <v>1222790</v>
      </c>
      <c r="M729" s="276"/>
      <c r="N729" s="276"/>
      <c r="O729" s="277"/>
    </row>
    <row r="730" spans="1:15" ht="16.5" thickTop="1">
      <c r="A730" s="288"/>
      <c r="B730" s="363"/>
      <c r="C730" s="288"/>
      <c r="D730" s="288"/>
      <c r="E730" s="21"/>
      <c r="F730" s="21"/>
      <c r="G730" s="364"/>
      <c r="H730" s="364"/>
      <c r="I730" s="288"/>
      <c r="J730" s="288"/>
      <c r="K730" s="288"/>
    </row>
    <row r="731" spans="1:15">
      <c r="A731" s="278" t="s">
        <v>459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294" t="s">
        <v>460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308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308" t="s">
        <v>383</v>
      </c>
      <c r="B734" s="1"/>
      <c r="C734" s="304"/>
      <c r="D734" s="304"/>
      <c r="E734" s="2"/>
      <c r="F734" s="2"/>
      <c r="G734" s="1"/>
      <c r="H734" s="1"/>
      <c r="I734" s="2"/>
      <c r="J734" s="1"/>
      <c r="K734" s="1"/>
    </row>
    <row r="735" spans="1:15">
      <c r="A735" s="308" t="s">
        <v>461</v>
      </c>
      <c r="B735" s="1"/>
      <c r="C735" s="304">
        <v>13</v>
      </c>
      <c r="D735" s="304">
        <v>12</v>
      </c>
      <c r="E735" s="369">
        <f t="shared" ref="E735:E740" si="60">E794</f>
        <v>1100</v>
      </c>
      <c r="F735" s="322"/>
      <c r="G735" s="2">
        <f>ROUND(E735*$C735,0)</f>
        <v>14300</v>
      </c>
      <c r="H735" s="2">
        <f>ROUND(E735*$D735,0)</f>
        <v>13200</v>
      </c>
      <c r="I735" s="369">
        <f t="shared" ref="I735:I740" si="61">I794</f>
        <v>1205</v>
      </c>
      <c r="J735" s="306"/>
      <c r="K735" s="2">
        <f>ROUND(I735*$D735,0)</f>
        <v>14460</v>
      </c>
      <c r="M735" s="84">
        <f>I735*D735</f>
        <v>14460</v>
      </c>
      <c r="O735" s="14"/>
    </row>
    <row r="736" spans="1:15">
      <c r="A736" s="308" t="s">
        <v>462</v>
      </c>
      <c r="B736" s="1"/>
      <c r="C736" s="304">
        <v>0</v>
      </c>
      <c r="D736" s="304">
        <v>0</v>
      </c>
      <c r="E736" s="369">
        <f t="shared" si="60"/>
        <v>1325</v>
      </c>
      <c r="F736" s="322"/>
      <c r="G736" s="2">
        <f>ROUND(E736*$C736,0)</f>
        <v>0</v>
      </c>
      <c r="H736" s="2">
        <f>ROUND(E736*$D736,0)</f>
        <v>0</v>
      </c>
      <c r="I736" s="369">
        <f t="shared" si="61"/>
        <v>1450</v>
      </c>
      <c r="J736" s="309"/>
      <c r="K736" s="2">
        <f>ROUND(I736*$D736,0)</f>
        <v>0</v>
      </c>
      <c r="M736" s="84">
        <f>I736*D736</f>
        <v>0</v>
      </c>
      <c r="O736" s="14"/>
    </row>
    <row r="737" spans="1:15">
      <c r="A737" s="308" t="s">
        <v>384</v>
      </c>
      <c r="B737" s="1"/>
      <c r="C737" s="304">
        <f>SUM(C735:C736)</f>
        <v>13</v>
      </c>
      <c r="D737" s="304">
        <f>SUM(D735:D736)</f>
        <v>12</v>
      </c>
      <c r="E737" s="369" t="str">
        <f t="shared" si="60"/>
        <v xml:space="preserve"> </v>
      </c>
      <c r="F737" s="322"/>
      <c r="G737" s="2" t="s">
        <v>31</v>
      </c>
      <c r="H737" s="2" t="s">
        <v>31</v>
      </c>
      <c r="I737" s="369" t="str">
        <f t="shared" si="61"/>
        <v xml:space="preserve"> </v>
      </c>
      <c r="J737" s="306"/>
      <c r="K737" s="2" t="s">
        <v>31</v>
      </c>
    </row>
    <row r="738" spans="1:15">
      <c r="A738" s="308" t="s">
        <v>463</v>
      </c>
      <c r="B738" s="1"/>
      <c r="C738" s="304">
        <f>16660</f>
        <v>16660</v>
      </c>
      <c r="D738" s="304">
        <f>ROUND(($D$758/$C$758)*C738,0)</f>
        <v>22366</v>
      </c>
      <c r="E738" s="369">
        <f t="shared" si="60"/>
        <v>0.83</v>
      </c>
      <c r="F738" s="322"/>
      <c r="G738" s="2">
        <f>ROUND(E738*$C738,0)</f>
        <v>13828</v>
      </c>
      <c r="H738" s="2">
        <f>ROUND(E738*$D738,0)</f>
        <v>18564</v>
      </c>
      <c r="I738" s="369">
        <f t="shared" si="61"/>
        <v>0.91</v>
      </c>
      <c r="J738" s="306"/>
      <c r="K738" s="2">
        <f>ROUND(I738*$D738,0)</f>
        <v>20353</v>
      </c>
      <c r="M738" s="84">
        <f>I738*D738</f>
        <v>20353.060000000001</v>
      </c>
      <c r="O738" s="14"/>
    </row>
    <row r="739" spans="1:15">
      <c r="A739" s="308" t="s">
        <v>464</v>
      </c>
      <c r="B739" s="1"/>
      <c r="C739" s="304">
        <v>0</v>
      </c>
      <c r="D739" s="304">
        <v>0</v>
      </c>
      <c r="E739" s="369">
        <f t="shared" si="60"/>
        <v>0.76</v>
      </c>
      <c r="F739" s="322"/>
      <c r="G739" s="2">
        <f>ROUND(E739*$C739,0)</f>
        <v>0</v>
      </c>
      <c r="H739" s="2">
        <f>ROUND(E739*$D739,0)</f>
        <v>0</v>
      </c>
      <c r="I739" s="369">
        <f t="shared" si="61"/>
        <v>0.83</v>
      </c>
      <c r="J739" s="306"/>
      <c r="K739" s="2">
        <f>ROUND(I739*$D739,0)</f>
        <v>0</v>
      </c>
      <c r="M739" s="84">
        <f>I739*D739</f>
        <v>0</v>
      </c>
    </row>
    <row r="740" spans="1:15">
      <c r="A740" s="294" t="s">
        <v>393</v>
      </c>
      <c r="B740" s="1"/>
      <c r="C740" s="304">
        <f>11800</f>
        <v>11800</v>
      </c>
      <c r="D740" s="304">
        <f>ROUND(($D$758/$C$758)*C740,0)</f>
        <v>15841</v>
      </c>
      <c r="E740" s="369">
        <f t="shared" si="60"/>
        <v>5.52</v>
      </c>
      <c r="F740" s="322"/>
      <c r="G740" s="2">
        <f>ROUND(E740*$C740,0)</f>
        <v>65136</v>
      </c>
      <c r="H740" s="2">
        <f>ROUND(E740*$D740,0)</f>
        <v>87442</v>
      </c>
      <c r="I740" s="369">
        <f t="shared" si="61"/>
        <v>6.03</v>
      </c>
      <c r="J740" s="306"/>
      <c r="K740" s="2">
        <f>ROUND(I740*$D740,0)</f>
        <v>95521</v>
      </c>
      <c r="M740" s="84">
        <f>I740*D740</f>
        <v>95521.23000000001</v>
      </c>
    </row>
    <row r="741" spans="1:15">
      <c r="A741" s="308" t="s">
        <v>416</v>
      </c>
      <c r="B741" s="1"/>
      <c r="C741" s="304"/>
      <c r="D741" s="304"/>
      <c r="E741" s="369"/>
      <c r="F741" s="322"/>
      <c r="G741" s="2"/>
      <c r="H741" s="2"/>
      <c r="I741" s="369"/>
      <c r="J741" s="306"/>
      <c r="K741" s="2"/>
    </row>
    <row r="742" spans="1:15">
      <c r="A742" s="308" t="s">
        <v>454</v>
      </c>
      <c r="B742" s="1"/>
      <c r="C742" s="304">
        <f>1815160</f>
        <v>1815160</v>
      </c>
      <c r="D742" s="304">
        <f>ROUND(($D$758/$C$758)*C742,0)</f>
        <v>2436796</v>
      </c>
      <c r="E742" s="372">
        <f>E801</f>
        <v>3.2050000000000001</v>
      </c>
      <c r="F742" s="306" t="s">
        <v>364</v>
      </c>
      <c r="G742" s="2">
        <f>ROUND(E742/100*$C742,0)</f>
        <v>58176</v>
      </c>
      <c r="H742" s="2">
        <f>ROUND(E742/100*$D742,0)</f>
        <v>78099</v>
      </c>
      <c r="I742" s="372">
        <f>I801</f>
        <v>3.4990000000000001</v>
      </c>
      <c r="J742" s="306" t="s">
        <v>364</v>
      </c>
      <c r="K742" s="2">
        <f>ROUND(I742/100*$D742,0)</f>
        <v>85263</v>
      </c>
      <c r="M742" s="84">
        <f>(I742/100)*D742</f>
        <v>85263.492039999997</v>
      </c>
    </row>
    <row r="743" spans="1:15">
      <c r="A743" s="308" t="s">
        <v>390</v>
      </c>
      <c r="B743" s="1"/>
      <c r="C743" s="304">
        <f>52276</f>
        <v>52276</v>
      </c>
      <c r="D743" s="304">
        <f>ROUND(($D$758/$C$758)*C743,0)</f>
        <v>70179</v>
      </c>
      <c r="E743" s="369">
        <f>E802</f>
        <v>0.45</v>
      </c>
      <c r="F743" s="306"/>
      <c r="G743" s="2">
        <f>ROUND(E743*$C743,0)</f>
        <v>23524</v>
      </c>
      <c r="H743" s="2">
        <f>ROUND(E743*$D743,0)</f>
        <v>31581</v>
      </c>
      <c r="I743" s="369">
        <f>I802</f>
        <v>0.45</v>
      </c>
      <c r="J743" s="306"/>
      <c r="K743" s="2">
        <f>ROUND(I743*$D743,0)</f>
        <v>31581</v>
      </c>
      <c r="M743" s="84">
        <f>I743*D743</f>
        <v>31580.55</v>
      </c>
      <c r="N743" s="304"/>
    </row>
    <row r="744" spans="1:15">
      <c r="A744" s="294" t="s">
        <v>418</v>
      </c>
      <c r="B744" s="1"/>
      <c r="C744" s="304">
        <v>0</v>
      </c>
      <c r="D744" s="304">
        <v>0</v>
      </c>
      <c r="E744" s="373">
        <v>5.9999999999999995E-4</v>
      </c>
      <c r="F744" s="306"/>
      <c r="G744" s="2">
        <f>ROUND(E744*$C744,0)</f>
        <v>0</v>
      </c>
      <c r="H744" s="2">
        <f>ROUND(E744*$D744,0)</f>
        <v>0</v>
      </c>
      <c r="I744" s="373">
        <v>5.9999999999999995E-4</v>
      </c>
      <c r="J744" s="306"/>
      <c r="K744" s="2">
        <f>ROUND(I744*$D744,0)</f>
        <v>0</v>
      </c>
      <c r="M744" s="84">
        <f>I744*D744</f>
        <v>0</v>
      </c>
      <c r="N744" s="304"/>
    </row>
    <row r="745" spans="1:15">
      <c r="A745" s="345" t="s">
        <v>391</v>
      </c>
      <c r="B745" s="1"/>
      <c r="C745" s="304"/>
      <c r="D745" s="304"/>
      <c r="E745" s="374">
        <f>E803</f>
        <v>-0.01</v>
      </c>
      <c r="F745" s="317"/>
      <c r="G745" s="2"/>
      <c r="H745" s="2"/>
      <c r="I745" s="374">
        <f>I803</f>
        <v>-0.01</v>
      </c>
      <c r="J745" s="346"/>
      <c r="K745" s="2"/>
    </row>
    <row r="746" spans="1:15">
      <c r="A746" s="308" t="s">
        <v>461</v>
      </c>
      <c r="B746" s="1"/>
      <c r="C746" s="304">
        <v>0</v>
      </c>
      <c r="D746" s="304">
        <v>0</v>
      </c>
      <c r="E746" s="369">
        <f>E735</f>
        <v>1100</v>
      </c>
      <c r="F746" s="319"/>
      <c r="G746" s="306">
        <f>ROUND(E746*$C746*$E$803,0)</f>
        <v>0</v>
      </c>
      <c r="H746" s="306">
        <f>ROUND(E746*$D746*$E$803,0)</f>
        <v>0</v>
      </c>
      <c r="I746" s="369">
        <f>I735</f>
        <v>1205</v>
      </c>
      <c r="J746" s="306"/>
      <c r="K746" s="306">
        <f>ROUND(I746*$D746*$E$803,0)</f>
        <v>0</v>
      </c>
      <c r="M746" s="84">
        <f>-(I746*D746)/100</f>
        <v>0</v>
      </c>
    </row>
    <row r="747" spans="1:15">
      <c r="A747" s="308" t="s">
        <v>462</v>
      </c>
      <c r="B747" s="1"/>
      <c r="C747" s="304">
        <f>C736</f>
        <v>0</v>
      </c>
      <c r="D747" s="304">
        <v>0</v>
      </c>
      <c r="E747" s="369">
        <f>E736</f>
        <v>1325</v>
      </c>
      <c r="F747" s="319"/>
      <c r="G747" s="306">
        <f>ROUND(E747*$C747*$E$803,0)</f>
        <v>0</v>
      </c>
      <c r="H747" s="306">
        <f>ROUND(E747*$D747*$E$803,0)</f>
        <v>0</v>
      </c>
      <c r="I747" s="369">
        <f>I736</f>
        <v>1450</v>
      </c>
      <c r="J747" s="306"/>
      <c r="K747" s="306">
        <f>ROUND(I747*$D747*$E$803,0)</f>
        <v>0</v>
      </c>
      <c r="M747" s="84">
        <f>-(I747*D747)/100</f>
        <v>0</v>
      </c>
    </row>
    <row r="748" spans="1:15">
      <c r="A748" s="308" t="s">
        <v>463</v>
      </c>
      <c r="B748" s="1"/>
      <c r="C748" s="304">
        <v>0</v>
      </c>
      <c r="D748" s="304">
        <v>0</v>
      </c>
      <c r="E748" s="369">
        <f>E738</f>
        <v>0.83</v>
      </c>
      <c r="F748" s="319"/>
      <c r="G748" s="306">
        <f>ROUND(E748*$C748*$E$803,0)</f>
        <v>0</v>
      </c>
      <c r="H748" s="306">
        <f>ROUND(E748*$D748*$E$803,0)</f>
        <v>0</v>
      </c>
      <c r="I748" s="369">
        <f>I738</f>
        <v>0.91</v>
      </c>
      <c r="J748" s="306"/>
      <c r="K748" s="306">
        <f>ROUND(I748*$D748*$E$803,0)</f>
        <v>0</v>
      </c>
      <c r="M748" s="84">
        <f>-(I748*D748)/100</f>
        <v>0</v>
      </c>
    </row>
    <row r="749" spans="1:15">
      <c r="A749" s="308" t="s">
        <v>464</v>
      </c>
      <c r="B749" s="1"/>
      <c r="C749" s="304">
        <f>C739</f>
        <v>0</v>
      </c>
      <c r="D749" s="304">
        <v>0</v>
      </c>
      <c r="E749" s="369">
        <f>E739</f>
        <v>0.76</v>
      </c>
      <c r="F749" s="319"/>
      <c r="G749" s="306">
        <f>ROUND(E749*$C749*$E$803,0)</f>
        <v>0</v>
      </c>
      <c r="H749" s="306">
        <f>ROUND(E749*$D749*$E$803,0)</f>
        <v>0</v>
      </c>
      <c r="I749" s="369">
        <f>I739</f>
        <v>0.83</v>
      </c>
      <c r="J749" s="306"/>
      <c r="K749" s="306">
        <f>ROUND(I749*$D749*$E$803,0)</f>
        <v>0</v>
      </c>
      <c r="M749" s="84">
        <f>-(I749*D749)/100</f>
        <v>0</v>
      </c>
    </row>
    <row r="750" spans="1:15">
      <c r="A750" s="294" t="s">
        <v>393</v>
      </c>
      <c r="B750" s="365"/>
      <c r="C750" s="304">
        <v>0</v>
      </c>
      <c r="D750" s="304">
        <v>0</v>
      </c>
      <c r="E750" s="369">
        <f>E740</f>
        <v>5.52</v>
      </c>
      <c r="F750" s="322"/>
      <c r="G750" s="306">
        <f>ROUND(E750*$C750*$E$803,0)</f>
        <v>0</v>
      </c>
      <c r="H750" s="306">
        <f>ROUND(E750*$D750*$E$803,0)</f>
        <v>0</v>
      </c>
      <c r="I750" s="369">
        <f>I740</f>
        <v>6.03</v>
      </c>
      <c r="J750" s="306"/>
      <c r="K750" s="306">
        <f>ROUND(I750*$D750*$E$803,0)</f>
        <v>0</v>
      </c>
      <c r="M750" s="84">
        <f>-(I750*D750)/100</f>
        <v>0</v>
      </c>
    </row>
    <row r="751" spans="1:15">
      <c r="A751" s="308" t="s">
        <v>454</v>
      </c>
      <c r="B751" s="1"/>
      <c r="C751" s="304">
        <v>0</v>
      </c>
      <c r="D751" s="304">
        <v>0</v>
      </c>
      <c r="E751" s="375">
        <f>E742</f>
        <v>3.2050000000000001</v>
      </c>
      <c r="F751" s="306" t="s">
        <v>364</v>
      </c>
      <c r="G751" s="306">
        <f>ROUND(E751/100*$C751*$E$803,0)</f>
        <v>0</v>
      </c>
      <c r="H751" s="306">
        <f>ROUND(E751/100*$D751*$E$803,0)</f>
        <v>0</v>
      </c>
      <c r="I751" s="375">
        <f>I742</f>
        <v>3.4990000000000001</v>
      </c>
      <c r="J751" s="306" t="s">
        <v>364</v>
      </c>
      <c r="K751" s="306">
        <f>ROUND(I751/100*$D751*$E$803,0)</f>
        <v>0</v>
      </c>
      <c r="M751" s="84">
        <f>-((I751*D751)/100)/100</f>
        <v>0</v>
      </c>
    </row>
    <row r="752" spans="1:15">
      <c r="A752" s="308" t="s">
        <v>390</v>
      </c>
      <c r="B752" s="1"/>
      <c r="C752" s="304">
        <v>0</v>
      </c>
      <c r="D752" s="304">
        <v>0</v>
      </c>
      <c r="E752" s="369">
        <f>E743</f>
        <v>0.45</v>
      </c>
      <c r="F752" s="306"/>
      <c r="G752" s="306">
        <f>ROUND(E752*$C752*$E$803,0)</f>
        <v>0</v>
      </c>
      <c r="H752" s="306">
        <f>ROUND(E752*$D752*$E$803,0)</f>
        <v>0</v>
      </c>
      <c r="I752" s="369">
        <f>I743</f>
        <v>0.45</v>
      </c>
      <c r="J752" s="306"/>
      <c r="K752" s="306">
        <f>ROUND(I752*$D752*$E$803,0)</f>
        <v>0</v>
      </c>
      <c r="M752" s="84">
        <f>-(I752*D752)/100</f>
        <v>0</v>
      </c>
    </row>
    <row r="753" spans="1:19">
      <c r="A753" s="294" t="s">
        <v>465</v>
      </c>
      <c r="B753" s="1"/>
      <c r="C753" s="304">
        <v>0</v>
      </c>
      <c r="D753" s="304">
        <v>0</v>
      </c>
      <c r="E753" s="369">
        <f>E811</f>
        <v>60</v>
      </c>
      <c r="F753" s="322"/>
      <c r="G753" s="306">
        <f>ROUND(E753*$C753,0)</f>
        <v>0</v>
      </c>
      <c r="H753" s="306">
        <f>ROUND(E753*$D753,0)</f>
        <v>0</v>
      </c>
      <c r="I753" s="369">
        <f>I811</f>
        <v>60</v>
      </c>
      <c r="J753" s="306"/>
      <c r="K753" s="306">
        <f>ROUND(I753*$D753,0)</f>
        <v>0</v>
      </c>
      <c r="M753" s="84">
        <f>-(I753*D753)/100</f>
        <v>0</v>
      </c>
    </row>
    <row r="754" spans="1:19">
      <c r="A754" s="294" t="s">
        <v>434</v>
      </c>
      <c r="B754" s="1"/>
      <c r="C754" s="304">
        <v>0</v>
      </c>
      <c r="D754" s="304">
        <v>0</v>
      </c>
      <c r="E754" s="369">
        <f>E812</f>
        <v>-0.3</v>
      </c>
      <c r="F754" s="306"/>
      <c r="G754" s="306">
        <f>ROUND(E754*$C754,0)</f>
        <v>0</v>
      </c>
      <c r="H754" s="306">
        <f>ROUND(E754*$D754,0)</f>
        <v>0</v>
      </c>
      <c r="I754" s="369">
        <f>I812</f>
        <v>-0.75</v>
      </c>
      <c r="J754" s="306"/>
      <c r="K754" s="306">
        <f>ROUND(I754*$D754,0)</f>
        <v>0</v>
      </c>
      <c r="M754" s="84">
        <f>-(I754*D754)/100</f>
        <v>0</v>
      </c>
    </row>
    <row r="755" spans="1:19">
      <c r="A755" s="294" t="s">
        <v>423</v>
      </c>
      <c r="B755" s="1"/>
      <c r="C755" s="304">
        <f>200</f>
        <v>200</v>
      </c>
      <c r="D755" s="304">
        <f>ROUND(($D$758/$C$758)*C755,0)</f>
        <v>268</v>
      </c>
      <c r="E755" s="376">
        <f>ROUND(E740/2,3)</f>
        <v>2.76</v>
      </c>
      <c r="F755" s="306"/>
      <c r="G755" s="306">
        <f>ROUND(E755*$C755,0)</f>
        <v>552</v>
      </c>
      <c r="H755" s="306">
        <f>ROUND(E755*$D755,0)</f>
        <v>740</v>
      </c>
      <c r="I755" s="376">
        <f>ROUND(I740/2,3)</f>
        <v>3.0150000000000001</v>
      </c>
      <c r="J755" s="306"/>
      <c r="K755" s="306">
        <f>ROUND($D755*I755,0)</f>
        <v>808</v>
      </c>
      <c r="M755" s="84">
        <f>I755*D755</f>
        <v>808.02</v>
      </c>
    </row>
    <row r="756" spans="1:19">
      <c r="A756" s="294" t="s">
        <v>424</v>
      </c>
      <c r="B756" s="1"/>
      <c r="C756" s="304">
        <v>240</v>
      </c>
      <c r="D756" s="304">
        <f>ROUND(($D$758/$C$758)*C756,0)</f>
        <v>322</v>
      </c>
      <c r="E756" s="319">
        <f>E740*4</f>
        <v>22.08</v>
      </c>
      <c r="F756" s="306"/>
      <c r="G756" s="306">
        <f>ROUND(E756*$C756,0)</f>
        <v>5299</v>
      </c>
      <c r="H756" s="306">
        <f>ROUND(E756*$D756,0)</f>
        <v>7110</v>
      </c>
      <c r="I756" s="319">
        <f>I740*4</f>
        <v>24.12</v>
      </c>
      <c r="J756" s="306"/>
      <c r="K756" s="306">
        <f>ROUND($D756*I756,0)</f>
        <v>7767</v>
      </c>
      <c r="M756" s="84">
        <f>I756*D756</f>
        <v>7766.64</v>
      </c>
    </row>
    <row r="757" spans="1:19">
      <c r="A757" s="3" t="s">
        <v>425</v>
      </c>
      <c r="B757" s="288"/>
      <c r="C757" s="304">
        <v>4840</v>
      </c>
      <c r="D757" s="304">
        <f>ROUND(($D$758/$C$758)*C757,0)</f>
        <v>6498</v>
      </c>
      <c r="E757" s="377">
        <f>E742*4</f>
        <v>12.82</v>
      </c>
      <c r="F757" s="306" t="s">
        <v>364</v>
      </c>
      <c r="G757" s="306">
        <f>ROUND($C757*E757/100,0)</f>
        <v>620</v>
      </c>
      <c r="H757" s="306">
        <f>ROUND($D757*E757/100,0)</f>
        <v>833</v>
      </c>
      <c r="I757" s="377">
        <f>I742*4</f>
        <v>13.996</v>
      </c>
      <c r="J757" s="306" t="s">
        <v>364</v>
      </c>
      <c r="K757" s="306">
        <f>ROUND($D757*I757/100,0)</f>
        <v>909</v>
      </c>
      <c r="M757" s="84">
        <f>(I757/100)*D757</f>
        <v>909.46008000000006</v>
      </c>
    </row>
    <row r="758" spans="1:19">
      <c r="A758" s="1" t="s">
        <v>371</v>
      </c>
      <c r="B758" s="1"/>
      <c r="C758" s="304">
        <f>C742</f>
        <v>1815160</v>
      </c>
      <c r="D758" s="304">
        <v>2436796.4482688801</v>
      </c>
      <c r="E758" s="315"/>
      <c r="F758" s="2"/>
      <c r="G758" s="2">
        <f>SUM(G735:G757)</f>
        <v>181435</v>
      </c>
      <c r="H758" s="2">
        <f>SUM(H735:H757)</f>
        <v>237569</v>
      </c>
      <c r="I758" s="315"/>
      <c r="J758" s="1"/>
      <c r="K758" s="2">
        <f>SUM(K735:K757)</f>
        <v>256662</v>
      </c>
      <c r="M758" s="84">
        <f>SUM(M735:M757)</f>
        <v>256662.45212</v>
      </c>
    </row>
    <row r="759" spans="1:19">
      <c r="A759" s="1" t="s">
        <v>353</v>
      </c>
      <c r="B759" s="1"/>
      <c r="C759" s="304">
        <v>-198469.54929823201</v>
      </c>
      <c r="D759" s="304">
        <v>0</v>
      </c>
      <c r="E759" s="294"/>
      <c r="F759" s="294"/>
      <c r="G759" s="326">
        <v>-15809.382749483628</v>
      </c>
      <c r="H759" s="326">
        <v>0</v>
      </c>
      <c r="I759" s="294"/>
      <c r="J759" s="294"/>
      <c r="K759" s="326">
        <v>0</v>
      </c>
    </row>
    <row r="760" spans="1:19" ht="16.5" thickBot="1">
      <c r="A760" s="1" t="s">
        <v>372</v>
      </c>
      <c r="B760" s="1"/>
      <c r="C760" s="378">
        <f>SUM(C758)+C759</f>
        <v>1616690.450701768</v>
      </c>
      <c r="D760" s="378">
        <f>SUM(D742)+D759</f>
        <v>2436796</v>
      </c>
      <c r="E760" s="327"/>
      <c r="F760" s="328"/>
      <c r="G760" s="329">
        <f>G758+G759</f>
        <v>165625.61725051637</v>
      </c>
      <c r="H760" s="329">
        <f>H758+H759</f>
        <v>237569</v>
      </c>
      <c r="I760" s="327"/>
      <c r="J760" s="330"/>
      <c r="K760" s="329">
        <f>K758+K759</f>
        <v>256662</v>
      </c>
      <c r="N760" s="3" t="s">
        <v>354</v>
      </c>
      <c r="O760" s="69" t="e">
        <f>#REF!*1000</f>
        <v>#REF!</v>
      </c>
    </row>
    <row r="761" spans="1:19" ht="16.5" thickTop="1">
      <c r="A761" s="1"/>
      <c r="B761" s="1"/>
      <c r="C761" s="21"/>
      <c r="D761" s="21"/>
      <c r="E761" s="322"/>
      <c r="F761" s="2"/>
      <c r="G761" s="2"/>
      <c r="H761" s="2"/>
      <c r="I761" s="322"/>
      <c r="J761" s="1"/>
      <c r="K761" s="365"/>
      <c r="N761" s="3" t="s">
        <v>257</v>
      </c>
      <c r="O761" s="69" t="e">
        <f>O760-K760</f>
        <v>#REF!</v>
      </c>
      <c r="P761" s="14" t="e">
        <f>(O760-K760)/K760</f>
        <v>#REF!</v>
      </c>
    </row>
    <row r="762" spans="1:19">
      <c r="A762" s="278" t="s">
        <v>466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294" t="s">
        <v>467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308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308" t="s">
        <v>383</v>
      </c>
      <c r="B765" s="1"/>
      <c r="C765" s="304"/>
      <c r="D765" s="304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308" t="s">
        <v>461</v>
      </c>
      <c r="B766" s="1"/>
      <c r="C766" s="304">
        <f>C794+C877</f>
        <v>690</v>
      </c>
      <c r="D766" s="304">
        <f>D794+D877</f>
        <v>680</v>
      </c>
      <c r="E766" s="322">
        <v>1100</v>
      </c>
      <c r="F766" s="322"/>
      <c r="G766" s="2">
        <f>G794+G877</f>
        <v>759000</v>
      </c>
      <c r="H766" s="2">
        <f>H794+H877</f>
        <v>748000</v>
      </c>
      <c r="I766" s="322">
        <v>1205</v>
      </c>
      <c r="J766" s="306"/>
      <c r="K766" s="2">
        <f>K794+K877</f>
        <v>819400</v>
      </c>
      <c r="M766" s="84">
        <f>I766*D766</f>
        <v>819400</v>
      </c>
      <c r="O766" s="14">
        <f>(I766-E766)/E766</f>
        <v>9.5454545454545459E-2</v>
      </c>
      <c r="P766" s="14">
        <f>SUM(K766:K770)/SUM(H766:H770)-1</f>
        <v>9.4617608552899801E-2</v>
      </c>
      <c r="Q766" s="3" t="s">
        <v>361</v>
      </c>
      <c r="R766" s="314">
        <f>E766+(E769*3000)</f>
        <v>3590</v>
      </c>
      <c r="S766" s="314">
        <f>E767+(E770*3001)</f>
        <v>3605.76</v>
      </c>
    </row>
    <row r="767" spans="1:19">
      <c r="A767" s="308" t="s">
        <v>462</v>
      </c>
      <c r="B767" s="1"/>
      <c r="C767" s="304">
        <f>C795+C878</f>
        <v>74</v>
      </c>
      <c r="D767" s="304">
        <f>D795+D878</f>
        <v>74</v>
      </c>
      <c r="E767" s="322">
        <v>1325</v>
      </c>
      <c r="F767" s="322"/>
      <c r="G767" s="2">
        <f>G795+G878</f>
        <v>98050</v>
      </c>
      <c r="H767" s="2">
        <f>H795+H878</f>
        <v>98050</v>
      </c>
      <c r="I767" s="322">
        <v>1450</v>
      </c>
      <c r="J767" s="309"/>
      <c r="K767" s="2">
        <f>K795+K878</f>
        <v>107300</v>
      </c>
      <c r="M767" s="84">
        <f>I767*D767</f>
        <v>107300</v>
      </c>
      <c r="O767" s="14">
        <f>(I767-E767)/E767</f>
        <v>9.4339622641509441E-2</v>
      </c>
      <c r="Q767" s="3" t="s">
        <v>296</v>
      </c>
      <c r="R767" s="314">
        <f>I766+(I769*3000)</f>
        <v>3935</v>
      </c>
      <c r="S767" s="314">
        <f>I767+(I770*3001)</f>
        <v>3940.83</v>
      </c>
    </row>
    <row r="768" spans="1:19">
      <c r="A768" s="308" t="s">
        <v>384</v>
      </c>
      <c r="B768" s="1"/>
      <c r="C768" s="304">
        <f>SUM(C766:C767)</f>
        <v>764</v>
      </c>
      <c r="D768" s="304">
        <f>SUM(D766:D767)</f>
        <v>754</v>
      </c>
      <c r="E768" s="322" t="s">
        <v>31</v>
      </c>
      <c r="F768" s="322"/>
      <c r="G768" s="2"/>
      <c r="H768" s="2"/>
      <c r="I768" s="322" t="s">
        <v>31</v>
      </c>
      <c r="J768" s="306"/>
      <c r="K768" s="2"/>
      <c r="O768" s="305"/>
    </row>
    <row r="769" spans="1:21">
      <c r="A769" s="308" t="s">
        <v>463</v>
      </c>
      <c r="B769" s="1"/>
      <c r="C769" s="304">
        <f t="shared" ref="C769:D771" si="62">C797+C880</f>
        <v>928030</v>
      </c>
      <c r="D769" s="304">
        <f t="shared" si="62"/>
        <v>950060</v>
      </c>
      <c r="E769" s="322">
        <v>0.83</v>
      </c>
      <c r="F769" s="322"/>
      <c r="G769" s="2">
        <f t="shared" ref="G769:H771" si="63">G797+G880</f>
        <v>770265</v>
      </c>
      <c r="H769" s="2">
        <f t="shared" si="63"/>
        <v>788550</v>
      </c>
      <c r="I769" s="322">
        <v>0.91</v>
      </c>
      <c r="J769" s="306"/>
      <c r="K769" s="2">
        <f>K797+K880</f>
        <v>864554</v>
      </c>
      <c r="M769" s="84">
        <f>I769*D769</f>
        <v>864554.6</v>
      </c>
      <c r="O769" s="14">
        <f>(I769-E769)/E769</f>
        <v>9.6385542168674787E-2</v>
      </c>
      <c r="S769" s="314">
        <f>S767-R767</f>
        <v>5.8299999999999272</v>
      </c>
    </row>
    <row r="770" spans="1:21">
      <c r="A770" s="308" t="s">
        <v>464</v>
      </c>
      <c r="B770" s="1"/>
      <c r="C770" s="304">
        <f t="shared" si="62"/>
        <v>1074005</v>
      </c>
      <c r="D770" s="304">
        <f t="shared" si="62"/>
        <v>1043203</v>
      </c>
      <c r="E770" s="322">
        <v>0.76</v>
      </c>
      <c r="F770" s="322"/>
      <c r="G770" s="2">
        <f t="shared" si="63"/>
        <v>816243</v>
      </c>
      <c r="H770" s="2">
        <f t="shared" si="63"/>
        <v>792834</v>
      </c>
      <c r="I770" s="322">
        <v>0.83</v>
      </c>
      <c r="J770" s="306"/>
      <c r="K770" s="2">
        <f>K798+K881</f>
        <v>865858</v>
      </c>
      <c r="M770" s="84">
        <f>I770*D770</f>
        <v>865858.49</v>
      </c>
      <c r="O770" s="14">
        <f>(I770-E770)/E770</f>
        <v>9.2105263157894676E-2</v>
      </c>
      <c r="S770" s="314">
        <f>I770</f>
        <v>0.83</v>
      </c>
    </row>
    <row r="771" spans="1:21">
      <c r="A771" s="294" t="s">
        <v>393</v>
      </c>
      <c r="B771" s="1"/>
      <c r="C771" s="304">
        <f t="shared" si="62"/>
        <v>1739771</v>
      </c>
      <c r="D771" s="304">
        <f t="shared" si="62"/>
        <v>1745147</v>
      </c>
      <c r="E771" s="322">
        <v>5.52</v>
      </c>
      <c r="F771" s="322"/>
      <c r="G771" s="2">
        <f t="shared" si="63"/>
        <v>9603536</v>
      </c>
      <c r="H771" s="2">
        <f t="shared" si="63"/>
        <v>9633212</v>
      </c>
      <c r="I771" s="322">
        <v>6.03</v>
      </c>
      <c r="J771" s="306"/>
      <c r="K771" s="2">
        <f>K799+K882</f>
        <v>10523236</v>
      </c>
      <c r="M771" s="84">
        <f>I771*D771</f>
        <v>10523236.41</v>
      </c>
      <c r="O771" s="14">
        <f>(I771-E771)/E771</f>
        <v>9.239130434782622E-2</v>
      </c>
    </row>
    <row r="772" spans="1:21">
      <c r="A772" s="308" t="s">
        <v>416</v>
      </c>
      <c r="B772" s="1"/>
      <c r="C772" s="304"/>
      <c r="D772" s="304"/>
      <c r="E772" s="322" t="s">
        <v>31</v>
      </c>
      <c r="F772" s="322"/>
      <c r="G772" s="2"/>
      <c r="H772" s="2"/>
      <c r="I772" s="322" t="s">
        <v>31</v>
      </c>
      <c r="J772" s="306"/>
      <c r="K772" s="2"/>
      <c r="O772" s="379"/>
    </row>
    <row r="773" spans="1:21">
      <c r="A773" s="308" t="s">
        <v>454</v>
      </c>
      <c r="B773" s="1"/>
      <c r="C773" s="304">
        <f>C801+C884</f>
        <v>871959257</v>
      </c>
      <c r="D773" s="304">
        <f>D801+D884</f>
        <v>892786384</v>
      </c>
      <c r="E773" s="380">
        <v>3.2050000000000001</v>
      </c>
      <c r="F773" s="306" t="s">
        <v>364</v>
      </c>
      <c r="G773" s="2">
        <f>G801+G884</f>
        <v>27946294</v>
      </c>
      <c r="H773" s="2">
        <f>H801+H884</f>
        <v>28613803</v>
      </c>
      <c r="I773" s="368">
        <v>3.4990000000000001</v>
      </c>
      <c r="J773" s="306" t="s">
        <v>364</v>
      </c>
      <c r="K773" s="2">
        <f>K801+K884</f>
        <v>31238595</v>
      </c>
      <c r="M773" s="84">
        <f>(I773/100)*D773</f>
        <v>31238595.576159999</v>
      </c>
      <c r="O773" s="14">
        <f>(I773-E773)/E773</f>
        <v>9.1731669266770677E-2</v>
      </c>
    </row>
    <row r="774" spans="1:21">
      <c r="A774" s="308" t="s">
        <v>390</v>
      </c>
      <c r="B774" s="1"/>
      <c r="C774" s="304">
        <f>C802+C885</f>
        <v>412832</v>
      </c>
      <c r="D774" s="304">
        <f>D802+D885</f>
        <v>423788</v>
      </c>
      <c r="E774" s="322">
        <v>0.45</v>
      </c>
      <c r="F774" s="306"/>
      <c r="G774" s="2">
        <f>G802+G885</f>
        <v>185774</v>
      </c>
      <c r="H774" s="2">
        <f>H802+H885</f>
        <v>190705</v>
      </c>
      <c r="I774" s="322">
        <v>0.45</v>
      </c>
      <c r="J774" s="306"/>
      <c r="K774" s="2">
        <f>K802+K885</f>
        <v>190705</v>
      </c>
      <c r="M774" s="84">
        <f>I774*D774</f>
        <v>190704.6</v>
      </c>
      <c r="N774" s="305"/>
      <c r="O774" s="14">
        <f>(I774-E774)/E774</f>
        <v>0</v>
      </c>
      <c r="R774" s="3" t="s">
        <v>361</v>
      </c>
      <c r="S774" s="3" t="s">
        <v>296</v>
      </c>
      <c r="T774" s="3" t="s">
        <v>362</v>
      </c>
      <c r="U774" s="3" t="s">
        <v>305</v>
      </c>
    </row>
    <row r="775" spans="1:21">
      <c r="A775" s="345" t="s">
        <v>391</v>
      </c>
      <c r="B775" s="1"/>
      <c r="C775" s="304"/>
      <c r="D775" s="304"/>
      <c r="E775" s="317">
        <v>-0.01</v>
      </c>
      <c r="F775" s="317"/>
      <c r="G775" s="2"/>
      <c r="H775" s="2"/>
      <c r="I775" s="317">
        <v>-0.01</v>
      </c>
      <c r="J775" s="346"/>
      <c r="K775" s="2"/>
      <c r="Q775" s="3" t="s">
        <v>432</v>
      </c>
      <c r="R775" s="106">
        <f>SUM(H766:H770)+SUM(H735:H739)</f>
        <v>2459198</v>
      </c>
      <c r="S775" s="106">
        <f>SUM(K766:K770)+SUM(K735:K739)</f>
        <v>2691925</v>
      </c>
      <c r="T775" s="106">
        <v>3831772.5730205807</v>
      </c>
      <c r="U775" s="222">
        <f>S775/T775</f>
        <v>0.70252734177225962</v>
      </c>
    </row>
    <row r="776" spans="1:21">
      <c r="A776" s="308" t="s">
        <v>461</v>
      </c>
      <c r="B776" s="1"/>
      <c r="C776" s="304">
        <f t="shared" ref="C776:D786" si="64">C804+C887</f>
        <v>155</v>
      </c>
      <c r="D776" s="304">
        <f t="shared" si="64"/>
        <v>152</v>
      </c>
      <c r="E776" s="319">
        <f>E766</f>
        <v>1100</v>
      </c>
      <c r="F776" s="319"/>
      <c r="G776" s="306">
        <f t="shared" ref="G776:H786" si="65">G804+G887</f>
        <v>-1705</v>
      </c>
      <c r="H776" s="306">
        <f t="shared" si="65"/>
        <v>-1672</v>
      </c>
      <c r="I776" s="319">
        <f>I766</f>
        <v>1205</v>
      </c>
      <c r="J776" s="306"/>
      <c r="K776" s="306">
        <f t="shared" ref="K776:K786" si="66">K804+K887</f>
        <v>-1832</v>
      </c>
      <c r="M776" s="84">
        <f>-(I776/100)*D776</f>
        <v>-1831.6000000000001</v>
      </c>
      <c r="Q776" s="3" t="s">
        <v>396</v>
      </c>
      <c r="R776" s="106">
        <f>H771</f>
        <v>9633212</v>
      </c>
      <c r="S776" s="106">
        <f>K771</f>
        <v>10523236</v>
      </c>
      <c r="T776" s="106">
        <v>5205301.8106998745</v>
      </c>
      <c r="U776" s="222">
        <f>S776/T776</f>
        <v>2.0216380111463907</v>
      </c>
    </row>
    <row r="777" spans="1:21">
      <c r="A777" s="308" t="s">
        <v>462</v>
      </c>
      <c r="B777" s="1"/>
      <c r="C777" s="304">
        <f t="shared" si="64"/>
        <v>49</v>
      </c>
      <c r="D777" s="304">
        <f t="shared" si="64"/>
        <v>49</v>
      </c>
      <c r="E777" s="319">
        <f>E767</f>
        <v>1325</v>
      </c>
      <c r="F777" s="319"/>
      <c r="G777" s="306">
        <f t="shared" si="65"/>
        <v>-650</v>
      </c>
      <c r="H777" s="306">
        <f t="shared" si="65"/>
        <v>-650</v>
      </c>
      <c r="I777" s="319">
        <f>I767</f>
        <v>1450</v>
      </c>
      <c r="J777" s="306"/>
      <c r="K777" s="306">
        <f t="shared" si="66"/>
        <v>-711</v>
      </c>
      <c r="M777" s="84">
        <f>-(I777/100)*D777</f>
        <v>-710.5</v>
      </c>
      <c r="Q777" s="3" t="s">
        <v>366</v>
      </c>
      <c r="R777" s="106">
        <f>H773</f>
        <v>28613803</v>
      </c>
      <c r="S777" s="106">
        <f>K773</f>
        <v>31238595</v>
      </c>
      <c r="T777" s="106">
        <v>38185452.241358206</v>
      </c>
      <c r="U777" s="222">
        <f>S777/T777</f>
        <v>0.81807581595605283</v>
      </c>
    </row>
    <row r="778" spans="1:21">
      <c r="A778" s="308" t="s">
        <v>463</v>
      </c>
      <c r="B778" s="1"/>
      <c r="C778" s="304">
        <f t="shared" si="64"/>
        <v>215573</v>
      </c>
      <c r="D778" s="304">
        <f t="shared" si="64"/>
        <v>213423</v>
      </c>
      <c r="E778" s="319">
        <f>E769</f>
        <v>0.83</v>
      </c>
      <c r="F778" s="319"/>
      <c r="G778" s="306">
        <f t="shared" si="65"/>
        <v>-1789</v>
      </c>
      <c r="H778" s="306">
        <f t="shared" si="65"/>
        <v>-1771</v>
      </c>
      <c r="I778" s="319">
        <f>I769</f>
        <v>0.91</v>
      </c>
      <c r="J778" s="306"/>
      <c r="K778" s="306">
        <f t="shared" si="66"/>
        <v>-1942</v>
      </c>
      <c r="M778" s="84">
        <f>-(I778/100)*D778</f>
        <v>-1942.1493</v>
      </c>
    </row>
    <row r="779" spans="1:21">
      <c r="A779" s="308" t="s">
        <v>464</v>
      </c>
      <c r="B779" s="1"/>
      <c r="C779" s="304">
        <f t="shared" si="64"/>
        <v>972802</v>
      </c>
      <c r="D779" s="304">
        <f t="shared" si="64"/>
        <v>935824</v>
      </c>
      <c r="E779" s="319">
        <f>E770</f>
        <v>0.76</v>
      </c>
      <c r="F779" s="319"/>
      <c r="G779" s="306">
        <f t="shared" si="65"/>
        <v>-7393</v>
      </c>
      <c r="H779" s="306">
        <f t="shared" si="65"/>
        <v>-7112</v>
      </c>
      <c r="I779" s="319">
        <f>I770</f>
        <v>0.83</v>
      </c>
      <c r="J779" s="306"/>
      <c r="K779" s="306">
        <f t="shared" si="66"/>
        <v>-7767</v>
      </c>
      <c r="M779" s="84">
        <f>-(I779/100)*D779</f>
        <v>-7767.3392000000003</v>
      </c>
    </row>
    <row r="780" spans="1:21">
      <c r="A780" s="294" t="s">
        <v>393</v>
      </c>
      <c r="B780" s="365"/>
      <c r="C780" s="304">
        <f t="shared" si="64"/>
        <v>1070224</v>
      </c>
      <c r="D780" s="304">
        <f t="shared" si="64"/>
        <v>1048404</v>
      </c>
      <c r="E780" s="319">
        <f>E771</f>
        <v>5.52</v>
      </c>
      <c r="F780" s="322"/>
      <c r="G780" s="306">
        <f t="shared" si="65"/>
        <v>-59076</v>
      </c>
      <c r="H780" s="306">
        <f t="shared" si="65"/>
        <v>-57872</v>
      </c>
      <c r="I780" s="319">
        <f>I771</f>
        <v>6.03</v>
      </c>
      <c r="J780" s="306"/>
      <c r="K780" s="306">
        <f t="shared" si="66"/>
        <v>-63218</v>
      </c>
      <c r="M780" s="84">
        <f>-(I780/100)*D780</f>
        <v>-63218.761200000001</v>
      </c>
    </row>
    <row r="781" spans="1:21">
      <c r="A781" s="308" t="s">
        <v>454</v>
      </c>
      <c r="B781" s="1"/>
      <c r="C781" s="304">
        <f t="shared" si="64"/>
        <v>570875201</v>
      </c>
      <c r="D781" s="304">
        <f t="shared" si="64"/>
        <v>579479682</v>
      </c>
      <c r="E781" s="320">
        <f>E773</f>
        <v>3.2050000000000001</v>
      </c>
      <c r="F781" s="306" t="s">
        <v>364</v>
      </c>
      <c r="G781" s="306">
        <f t="shared" si="65"/>
        <v>-182966</v>
      </c>
      <c r="H781" s="306">
        <f t="shared" si="65"/>
        <v>-185723</v>
      </c>
      <c r="I781" s="320">
        <f>I773</f>
        <v>3.4990000000000001</v>
      </c>
      <c r="J781" s="306" t="s">
        <v>364</v>
      </c>
      <c r="K781" s="306">
        <f t="shared" si="66"/>
        <v>-202760</v>
      </c>
      <c r="M781" s="84">
        <f>-((I781/100)*D781)/100</f>
        <v>-202759.94073180002</v>
      </c>
    </row>
    <row r="782" spans="1:21">
      <c r="A782" s="308" t="s">
        <v>390</v>
      </c>
      <c r="B782" s="1"/>
      <c r="C782" s="304">
        <f t="shared" si="64"/>
        <v>220790</v>
      </c>
      <c r="D782" s="304">
        <f t="shared" si="64"/>
        <v>222465</v>
      </c>
      <c r="E782" s="369">
        <f>E774</f>
        <v>0.45</v>
      </c>
      <c r="F782" s="306"/>
      <c r="G782" s="306">
        <f t="shared" si="65"/>
        <v>-993</v>
      </c>
      <c r="H782" s="306">
        <f t="shared" si="65"/>
        <v>-1001</v>
      </c>
      <c r="I782" s="369">
        <f>I774</f>
        <v>0.45</v>
      </c>
      <c r="J782" s="306"/>
      <c r="K782" s="306">
        <f t="shared" si="66"/>
        <v>-1001</v>
      </c>
      <c r="M782" s="84">
        <f>-(I782/100)*D782</f>
        <v>-1001.0925000000001</v>
      </c>
    </row>
    <row r="783" spans="1:21">
      <c r="A783" s="294" t="s">
        <v>465</v>
      </c>
      <c r="B783" s="1"/>
      <c r="C783" s="304">
        <f t="shared" si="64"/>
        <v>204</v>
      </c>
      <c r="D783" s="304">
        <f t="shared" si="64"/>
        <v>201</v>
      </c>
      <c r="E783" s="322">
        <v>60</v>
      </c>
      <c r="F783" s="322"/>
      <c r="G783" s="306">
        <f t="shared" si="65"/>
        <v>12240</v>
      </c>
      <c r="H783" s="306">
        <f t="shared" si="65"/>
        <v>12060</v>
      </c>
      <c r="I783" s="322">
        <v>60</v>
      </c>
      <c r="J783" s="306"/>
      <c r="K783" s="306">
        <f t="shared" si="66"/>
        <v>12060</v>
      </c>
      <c r="M783" s="84">
        <f>I783*D783</f>
        <v>12060</v>
      </c>
      <c r="O783" s="14">
        <f>(I783-E783)/E783</f>
        <v>0</v>
      </c>
    </row>
    <row r="784" spans="1:21">
      <c r="A784" s="294" t="s">
        <v>434</v>
      </c>
      <c r="B784" s="1"/>
      <c r="C784" s="304">
        <f t="shared" si="64"/>
        <v>1188375</v>
      </c>
      <c r="D784" s="304">
        <f t="shared" si="64"/>
        <v>1149247</v>
      </c>
      <c r="E784" s="322">
        <v>-0.3</v>
      </c>
      <c r="F784" s="306"/>
      <c r="G784" s="306">
        <f t="shared" si="65"/>
        <v>-356513</v>
      </c>
      <c r="H784" s="306">
        <f t="shared" si="65"/>
        <v>-344774</v>
      </c>
      <c r="I784" s="322">
        <v>-0.75</v>
      </c>
      <c r="J784" s="306"/>
      <c r="K784" s="306">
        <f t="shared" si="66"/>
        <v>-861936</v>
      </c>
      <c r="M784" s="84">
        <f>I784*D784</f>
        <v>-861935.25</v>
      </c>
      <c r="O784" s="222">
        <v>1.0864172229701943</v>
      </c>
    </row>
    <row r="785" spans="1:17">
      <c r="A785" s="1" t="s">
        <v>371</v>
      </c>
      <c r="B785" s="1"/>
      <c r="C785" s="304">
        <f t="shared" si="64"/>
        <v>871959257</v>
      </c>
      <c r="D785" s="304">
        <f t="shared" si="64"/>
        <v>892786385.17848599</v>
      </c>
      <c r="E785" s="315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84">
        <f>SUM(M766:M784)</f>
        <v>43480543.043228194</v>
      </c>
    </row>
    <row r="786" spans="1:17">
      <c r="A786" s="1" t="s">
        <v>353</v>
      </c>
      <c r="B786" s="1"/>
      <c r="C786" s="304">
        <f t="shared" si="64"/>
        <v>-15462158.225744508</v>
      </c>
      <c r="D786" s="304">
        <f t="shared" si="64"/>
        <v>0</v>
      </c>
      <c r="E786" s="294"/>
      <c r="F786" s="294"/>
      <c r="G786" s="326">
        <f t="shared" si="65"/>
        <v>-584107.65036853903</v>
      </c>
      <c r="H786" s="326">
        <f t="shared" si="65"/>
        <v>0</v>
      </c>
      <c r="I786" s="294"/>
      <c r="J786" s="294"/>
      <c r="K786" s="326">
        <f t="shared" si="66"/>
        <v>0</v>
      </c>
      <c r="Q786" s="261"/>
    </row>
    <row r="787" spans="1:17" ht="16.5" thickBot="1">
      <c r="A787" s="1" t="s">
        <v>372</v>
      </c>
      <c r="B787" s="1"/>
      <c r="C787" s="378">
        <f>SUM(C785)+C786</f>
        <v>856497098.77425551</v>
      </c>
      <c r="D787" s="378">
        <f>SUM(D773)+D786</f>
        <v>892786384</v>
      </c>
      <c r="E787" s="327"/>
      <c r="F787" s="328"/>
      <c r="G787" s="329">
        <f>G785+G786</f>
        <v>38996209.349631459</v>
      </c>
      <c r="H787" s="329">
        <f>H785+H786</f>
        <v>40276639</v>
      </c>
      <c r="I787" s="327"/>
      <c r="J787" s="330"/>
      <c r="K787" s="329">
        <f>K785+K786</f>
        <v>43480541</v>
      </c>
      <c r="N787" s="3" t="s">
        <v>354</v>
      </c>
      <c r="O787" s="69" t="e">
        <f>#REF!*1000</f>
        <v>#REF!</v>
      </c>
    </row>
    <row r="788" spans="1:17" ht="16.5" thickTop="1">
      <c r="A788" s="1"/>
      <c r="B788" s="1"/>
      <c r="C788" s="21"/>
      <c r="D788" s="21"/>
      <c r="E788" s="322"/>
      <c r="F788" s="2"/>
      <c r="G788" s="2"/>
      <c r="H788" s="2"/>
      <c r="I788" s="338" t="s">
        <v>31</v>
      </c>
      <c r="J788" s="1"/>
      <c r="K788" s="2" t="s">
        <v>31</v>
      </c>
      <c r="N788" s="3" t="s">
        <v>257</v>
      </c>
      <c r="O788" s="69" t="e">
        <f>O787-K787</f>
        <v>#REF!</v>
      </c>
      <c r="P788" s="261" t="e">
        <f>(O787-K787)/K787</f>
        <v>#REF!</v>
      </c>
    </row>
    <row r="789" spans="1:17">
      <c r="A789" s="1"/>
      <c r="B789" s="1"/>
      <c r="C789" s="21"/>
      <c r="D789" s="21"/>
      <c r="E789" s="322"/>
      <c r="F789" s="2"/>
      <c r="G789" s="2"/>
      <c r="H789" s="2"/>
      <c r="I789" s="322"/>
      <c r="J789" s="1"/>
      <c r="K789" s="365"/>
    </row>
    <row r="790" spans="1:17">
      <c r="A790" s="278" t="s">
        <v>466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22"/>
      <c r="N790" s="84"/>
      <c r="O790" s="381" t="e">
        <f>O788+O761</f>
        <v>#REF!</v>
      </c>
    </row>
    <row r="791" spans="1:17">
      <c r="A791" s="294" t="s">
        <v>468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308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308" t="s">
        <v>383</v>
      </c>
      <c r="B793" s="1"/>
      <c r="C793" s="304"/>
      <c r="D793" s="304"/>
      <c r="E793" s="2"/>
      <c r="F793" s="2"/>
      <c r="G793" s="1"/>
      <c r="H793" s="1"/>
      <c r="I793" s="2"/>
      <c r="J793" s="1"/>
      <c r="K793" s="1"/>
    </row>
    <row r="794" spans="1:17">
      <c r="A794" s="308" t="s">
        <v>461</v>
      </c>
      <c r="B794" s="1"/>
      <c r="C794" s="304">
        <f>C822+C850</f>
        <v>690</v>
      </c>
      <c r="D794" s="304">
        <f>D822+D850</f>
        <v>680</v>
      </c>
      <c r="E794" s="322">
        <v>1100</v>
      </c>
      <c r="F794" s="322"/>
      <c r="G794" s="2">
        <f>G822+G850</f>
        <v>759000</v>
      </c>
      <c r="H794" s="2">
        <f>H822+H850</f>
        <v>748000</v>
      </c>
      <c r="I794" s="322">
        <f>$I$766</f>
        <v>1205</v>
      </c>
      <c r="J794" s="306"/>
      <c r="K794" s="2">
        <f>K822+K850</f>
        <v>819400</v>
      </c>
    </row>
    <row r="795" spans="1:17">
      <c r="A795" s="308" t="s">
        <v>462</v>
      </c>
      <c r="B795" s="1"/>
      <c r="C795" s="304">
        <f>C823+C851</f>
        <v>62</v>
      </c>
      <c r="D795" s="304">
        <f>D823+D851</f>
        <v>62</v>
      </c>
      <c r="E795" s="322">
        <v>1325</v>
      </c>
      <c r="F795" s="322"/>
      <c r="G795" s="2">
        <f>G823+G851</f>
        <v>82150</v>
      </c>
      <c r="H795" s="2">
        <f>H823+H851</f>
        <v>82150</v>
      </c>
      <c r="I795" s="322">
        <f>$I$767</f>
        <v>1450</v>
      </c>
      <c r="J795" s="309"/>
      <c r="K795" s="2">
        <f>K823+K851</f>
        <v>89900</v>
      </c>
    </row>
    <row r="796" spans="1:17">
      <c r="A796" s="308" t="s">
        <v>384</v>
      </c>
      <c r="B796" s="1"/>
      <c r="C796" s="304">
        <f>SUM(C794:C795)</f>
        <v>752</v>
      </c>
      <c r="D796" s="304">
        <f>SUM(D794:D795)</f>
        <v>742</v>
      </c>
      <c r="E796" s="322" t="s">
        <v>31</v>
      </c>
      <c r="F796" s="322"/>
      <c r="G796" s="2"/>
      <c r="H796" s="2"/>
      <c r="I796" s="322" t="s">
        <v>31</v>
      </c>
      <c r="J796" s="306"/>
      <c r="K796" s="2"/>
    </row>
    <row r="797" spans="1:17">
      <c r="A797" s="308" t="s">
        <v>463</v>
      </c>
      <c r="B797" s="1"/>
      <c r="C797" s="304">
        <f t="shared" ref="C797:D799" si="67">C825+C853</f>
        <v>928030</v>
      </c>
      <c r="D797" s="304">
        <f t="shared" si="67"/>
        <v>950060</v>
      </c>
      <c r="E797" s="322">
        <v>0.83</v>
      </c>
      <c r="F797" s="322"/>
      <c r="G797" s="2">
        <f t="shared" ref="G797:H799" si="68">G825+G853</f>
        <v>770265</v>
      </c>
      <c r="H797" s="2">
        <f t="shared" si="68"/>
        <v>788550</v>
      </c>
      <c r="I797" s="322">
        <f>$I$769</f>
        <v>0.91</v>
      </c>
      <c r="J797" s="306"/>
      <c r="K797" s="2">
        <f>K825+K853</f>
        <v>864554</v>
      </c>
    </row>
    <row r="798" spans="1:17">
      <c r="A798" s="308" t="s">
        <v>464</v>
      </c>
      <c r="B798" s="1"/>
      <c r="C798" s="304">
        <f t="shared" si="67"/>
        <v>868981</v>
      </c>
      <c r="D798" s="304">
        <f t="shared" si="67"/>
        <v>918946</v>
      </c>
      <c r="E798" s="322">
        <v>0.76</v>
      </c>
      <c r="F798" s="322"/>
      <c r="G798" s="2">
        <f t="shared" si="68"/>
        <v>660425</v>
      </c>
      <c r="H798" s="2">
        <f t="shared" si="68"/>
        <v>698399</v>
      </c>
      <c r="I798" s="322">
        <f>$I$770</f>
        <v>0.83</v>
      </c>
      <c r="J798" s="306"/>
      <c r="K798" s="2">
        <f>K826+K854</f>
        <v>762725</v>
      </c>
    </row>
    <row r="799" spans="1:17">
      <c r="A799" s="294" t="s">
        <v>393</v>
      </c>
      <c r="B799" s="1"/>
      <c r="C799" s="304">
        <f t="shared" si="67"/>
        <v>1581133</v>
      </c>
      <c r="D799" s="304">
        <f t="shared" si="67"/>
        <v>1649003</v>
      </c>
      <c r="E799" s="322">
        <v>5.52</v>
      </c>
      <c r="F799" s="322"/>
      <c r="G799" s="2">
        <f t="shared" si="68"/>
        <v>8727854</v>
      </c>
      <c r="H799" s="2">
        <f t="shared" si="68"/>
        <v>9102497</v>
      </c>
      <c r="I799" s="322">
        <f>$I$771</f>
        <v>6.03</v>
      </c>
      <c r="J799" s="306"/>
      <c r="K799" s="2">
        <f>K827+K855</f>
        <v>9943488</v>
      </c>
    </row>
    <row r="800" spans="1:17">
      <c r="A800" s="308" t="s">
        <v>416</v>
      </c>
      <c r="B800" s="1"/>
      <c r="C800" s="304"/>
      <c r="D800" s="304"/>
      <c r="E800" s="322" t="s">
        <v>31</v>
      </c>
      <c r="F800" s="322"/>
      <c r="G800" s="2"/>
      <c r="H800" s="2"/>
      <c r="I800" s="322" t="s">
        <v>31</v>
      </c>
      <c r="J800" s="306"/>
      <c r="K800" s="2"/>
    </row>
    <row r="801" spans="1:15">
      <c r="A801" s="308" t="s">
        <v>454</v>
      </c>
      <c r="B801" s="1"/>
      <c r="C801" s="304">
        <f>C829+C857</f>
        <v>828270257</v>
      </c>
      <c r="D801" s="304">
        <f>D829+D857</f>
        <v>866308148</v>
      </c>
      <c r="E801" s="380">
        <v>3.2050000000000001</v>
      </c>
      <c r="F801" s="306" t="s">
        <v>364</v>
      </c>
      <c r="G801" s="2">
        <f>G829+G857</f>
        <v>26546062</v>
      </c>
      <c r="H801" s="2">
        <f>H829+H857</f>
        <v>27765176</v>
      </c>
      <c r="I801" s="380">
        <f>$I$773</f>
        <v>3.4990000000000001</v>
      </c>
      <c r="J801" s="306" t="s">
        <v>364</v>
      </c>
      <c r="K801" s="2">
        <f>K829+K857</f>
        <v>30312122</v>
      </c>
    </row>
    <row r="802" spans="1:15">
      <c r="A802" s="308" t="s">
        <v>390</v>
      </c>
      <c r="B802" s="1"/>
      <c r="C802" s="304">
        <f>C830+C858</f>
        <v>389844</v>
      </c>
      <c r="D802" s="304">
        <f>D830+D858</f>
        <v>409856</v>
      </c>
      <c r="E802" s="322">
        <v>0.45</v>
      </c>
      <c r="F802" s="306"/>
      <c r="G802" s="2">
        <f>G830+G858</f>
        <v>175429</v>
      </c>
      <c r="H802" s="2">
        <f>H830+H858</f>
        <v>184436</v>
      </c>
      <c r="I802" s="322">
        <f>$I$774</f>
        <v>0.45</v>
      </c>
      <c r="J802" s="306"/>
      <c r="K802" s="2">
        <f>K830+K858</f>
        <v>184436</v>
      </c>
    </row>
    <row r="803" spans="1:15">
      <c r="A803" s="345" t="s">
        <v>391</v>
      </c>
      <c r="B803" s="1"/>
      <c r="C803" s="304"/>
      <c r="D803" s="304"/>
      <c r="E803" s="317">
        <v>-0.01</v>
      </c>
      <c r="F803" s="317"/>
      <c r="G803" s="2"/>
      <c r="H803" s="2"/>
      <c r="I803" s="317">
        <f>$I$775</f>
        <v>-0.01</v>
      </c>
      <c r="J803" s="346"/>
      <c r="K803" s="2"/>
    </row>
    <row r="804" spans="1:15">
      <c r="A804" s="308" t="s">
        <v>461</v>
      </c>
      <c r="B804" s="1"/>
      <c r="C804" s="304">
        <f t="shared" ref="C804:D814" si="69">C832+C860</f>
        <v>155</v>
      </c>
      <c r="D804" s="304">
        <f t="shared" si="69"/>
        <v>152</v>
      </c>
      <c r="E804" s="319">
        <f>E794</f>
        <v>1100</v>
      </c>
      <c r="F804" s="319"/>
      <c r="G804" s="306">
        <f t="shared" ref="G804:H814" si="70">G832+G860</f>
        <v>-1705</v>
      </c>
      <c r="H804" s="306">
        <f t="shared" si="70"/>
        <v>-1672</v>
      </c>
      <c r="I804" s="319">
        <f>I794</f>
        <v>1205</v>
      </c>
      <c r="J804" s="306"/>
      <c r="K804" s="306">
        <f t="shared" ref="K804:K814" si="71">K832+K860</f>
        <v>-1832</v>
      </c>
    </row>
    <row r="805" spans="1:15">
      <c r="A805" s="308" t="s">
        <v>462</v>
      </c>
      <c r="B805" s="1"/>
      <c r="C805" s="304">
        <f t="shared" si="69"/>
        <v>37</v>
      </c>
      <c r="D805" s="304">
        <f t="shared" si="69"/>
        <v>37</v>
      </c>
      <c r="E805" s="319">
        <f>E795</f>
        <v>1325</v>
      </c>
      <c r="F805" s="319"/>
      <c r="G805" s="306">
        <f t="shared" si="70"/>
        <v>-491</v>
      </c>
      <c r="H805" s="306">
        <f t="shared" si="70"/>
        <v>-491</v>
      </c>
      <c r="I805" s="319">
        <f>I795</f>
        <v>1450</v>
      </c>
      <c r="J805" s="306"/>
      <c r="K805" s="306">
        <f t="shared" si="71"/>
        <v>-537</v>
      </c>
    </row>
    <row r="806" spans="1:15">
      <c r="A806" s="308" t="s">
        <v>463</v>
      </c>
      <c r="B806" s="1"/>
      <c r="C806" s="304">
        <f t="shared" si="69"/>
        <v>215573</v>
      </c>
      <c r="D806" s="304">
        <f t="shared" si="69"/>
        <v>213423</v>
      </c>
      <c r="E806" s="319">
        <f>E797</f>
        <v>0.83</v>
      </c>
      <c r="F806" s="319"/>
      <c r="G806" s="306">
        <f t="shared" si="70"/>
        <v>-1789</v>
      </c>
      <c r="H806" s="306">
        <f t="shared" si="70"/>
        <v>-1771</v>
      </c>
      <c r="I806" s="319">
        <f>I797</f>
        <v>0.91</v>
      </c>
      <c r="J806" s="306"/>
      <c r="K806" s="306">
        <f t="shared" si="71"/>
        <v>-1942</v>
      </c>
    </row>
    <row r="807" spans="1:15">
      <c r="A807" s="308" t="s">
        <v>464</v>
      </c>
      <c r="B807" s="1"/>
      <c r="C807" s="304">
        <f t="shared" si="69"/>
        <v>767778</v>
      </c>
      <c r="D807" s="304">
        <f t="shared" si="69"/>
        <v>811567</v>
      </c>
      <c r="E807" s="319">
        <f>E798</f>
        <v>0.76</v>
      </c>
      <c r="F807" s="319"/>
      <c r="G807" s="306">
        <f t="shared" si="70"/>
        <v>-5835</v>
      </c>
      <c r="H807" s="306">
        <f t="shared" si="70"/>
        <v>-6168</v>
      </c>
      <c r="I807" s="319">
        <f>I798</f>
        <v>0.83</v>
      </c>
      <c r="J807" s="306"/>
      <c r="K807" s="306">
        <f t="shared" si="71"/>
        <v>-6736</v>
      </c>
    </row>
    <row r="808" spans="1:15">
      <c r="A808" s="294" t="s">
        <v>393</v>
      </c>
      <c r="B808" s="365"/>
      <c r="C808" s="304">
        <f t="shared" si="69"/>
        <v>911586</v>
      </c>
      <c r="D808" s="304">
        <f t="shared" si="69"/>
        <v>952260</v>
      </c>
      <c r="E808" s="319">
        <f>E799</f>
        <v>5.52</v>
      </c>
      <c r="F808" s="322"/>
      <c r="G808" s="306">
        <f t="shared" si="70"/>
        <v>-50319</v>
      </c>
      <c r="H808" s="306">
        <f t="shared" si="70"/>
        <v>-52565</v>
      </c>
      <c r="I808" s="319">
        <f>I799</f>
        <v>6.03</v>
      </c>
      <c r="J808" s="306"/>
      <c r="K808" s="306">
        <f t="shared" si="71"/>
        <v>-57421</v>
      </c>
    </row>
    <row r="809" spans="1:15">
      <c r="A809" s="308" t="s">
        <v>454</v>
      </c>
      <c r="B809" s="1"/>
      <c r="C809" s="304">
        <f t="shared" si="69"/>
        <v>527186201</v>
      </c>
      <c r="D809" s="304">
        <f t="shared" si="69"/>
        <v>553001446</v>
      </c>
      <c r="E809" s="320">
        <f>E801</f>
        <v>3.2050000000000001</v>
      </c>
      <c r="F809" s="306" t="s">
        <v>364</v>
      </c>
      <c r="G809" s="306">
        <f t="shared" si="70"/>
        <v>-168964</v>
      </c>
      <c r="H809" s="306">
        <f t="shared" si="70"/>
        <v>-177237</v>
      </c>
      <c r="I809" s="320">
        <f>I801</f>
        <v>3.4990000000000001</v>
      </c>
      <c r="J809" s="306" t="s">
        <v>364</v>
      </c>
      <c r="K809" s="306">
        <f t="shared" si="71"/>
        <v>-193495</v>
      </c>
    </row>
    <row r="810" spans="1:15">
      <c r="A810" s="308" t="s">
        <v>390</v>
      </c>
      <c r="B810" s="1"/>
      <c r="C810" s="304">
        <f t="shared" si="69"/>
        <v>197802</v>
      </c>
      <c r="D810" s="304">
        <f t="shared" si="69"/>
        <v>208533</v>
      </c>
      <c r="E810" s="369">
        <f>E802</f>
        <v>0.45</v>
      </c>
      <c r="F810" s="306"/>
      <c r="G810" s="306">
        <f t="shared" si="70"/>
        <v>-890</v>
      </c>
      <c r="H810" s="306">
        <f t="shared" si="70"/>
        <v>-938</v>
      </c>
      <c r="I810" s="369">
        <f>I802</f>
        <v>0.45</v>
      </c>
      <c r="J810" s="306"/>
      <c r="K810" s="306">
        <f t="shared" si="71"/>
        <v>-938</v>
      </c>
    </row>
    <row r="811" spans="1:15">
      <c r="A811" s="294" t="s">
        <v>465</v>
      </c>
      <c r="B811" s="1"/>
      <c r="C811" s="304">
        <f t="shared" si="69"/>
        <v>192</v>
      </c>
      <c r="D811" s="304">
        <f t="shared" si="69"/>
        <v>189</v>
      </c>
      <c r="E811" s="322">
        <v>60</v>
      </c>
      <c r="F811" s="322"/>
      <c r="G811" s="306">
        <f t="shared" si="70"/>
        <v>11520</v>
      </c>
      <c r="H811" s="306">
        <f t="shared" si="70"/>
        <v>11340</v>
      </c>
      <c r="I811" s="322">
        <f>$I$783</f>
        <v>60</v>
      </c>
      <c r="J811" s="306"/>
      <c r="K811" s="306">
        <f t="shared" si="71"/>
        <v>11340</v>
      </c>
    </row>
    <row r="812" spans="1:15">
      <c r="A812" s="294" t="s">
        <v>434</v>
      </c>
      <c r="B812" s="1"/>
      <c r="C812" s="304">
        <f t="shared" si="69"/>
        <v>983351</v>
      </c>
      <c r="D812" s="304">
        <f t="shared" si="69"/>
        <v>1024990</v>
      </c>
      <c r="E812" s="322">
        <v>-0.3</v>
      </c>
      <c r="F812" s="306"/>
      <c r="G812" s="306">
        <f t="shared" si="70"/>
        <v>-295006</v>
      </c>
      <c r="H812" s="306">
        <f t="shared" si="70"/>
        <v>-307497</v>
      </c>
      <c r="I812" s="322">
        <f>$I$784</f>
        <v>-0.75</v>
      </c>
      <c r="J812" s="306"/>
      <c r="K812" s="306">
        <f t="shared" si="71"/>
        <v>-768743</v>
      </c>
    </row>
    <row r="813" spans="1:15">
      <c r="A813" s="1" t="s">
        <v>371</v>
      </c>
      <c r="B813" s="1"/>
      <c r="C813" s="304">
        <f t="shared" si="69"/>
        <v>828270257</v>
      </c>
      <c r="D813" s="304">
        <f t="shared" si="69"/>
        <v>866308148.72444463</v>
      </c>
      <c r="E813" s="315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353</v>
      </c>
      <c r="B814" s="1"/>
      <c r="C814" s="304">
        <f t="shared" si="69"/>
        <v>-14477401.998794576</v>
      </c>
      <c r="D814" s="304">
        <f t="shared" si="69"/>
        <v>0</v>
      </c>
      <c r="E814" s="294"/>
      <c r="F814" s="294"/>
      <c r="G814" s="326">
        <f t="shared" si="70"/>
        <v>-539028.47841944266</v>
      </c>
      <c r="H814" s="326">
        <f t="shared" si="70"/>
        <v>0</v>
      </c>
      <c r="I814" s="294"/>
      <c r="J814" s="294"/>
      <c r="K814" s="326">
        <f t="shared" si="71"/>
        <v>0</v>
      </c>
      <c r="M814" s="274"/>
      <c r="N814" s="274"/>
      <c r="O814" s="275"/>
    </row>
    <row r="815" spans="1:15" ht="16.5" thickBot="1">
      <c r="A815" s="1" t="s">
        <v>372</v>
      </c>
      <c r="B815" s="1"/>
      <c r="C815" s="378">
        <f>SUM(C813)+C814</f>
        <v>813792855.00120544</v>
      </c>
      <c r="D815" s="378">
        <f>SUM(D801)+D814</f>
        <v>866308148</v>
      </c>
      <c r="E815" s="327"/>
      <c r="F815" s="328"/>
      <c r="G815" s="329">
        <f>G813+G814</f>
        <v>36668677.521580555</v>
      </c>
      <c r="H815" s="329">
        <f>H813+H814</f>
        <v>38832209</v>
      </c>
      <c r="I815" s="327"/>
      <c r="J815" s="330"/>
      <c r="K815" s="329">
        <f>K813+K814</f>
        <v>41956321</v>
      </c>
      <c r="M815" s="276"/>
      <c r="N815" s="276"/>
      <c r="O815" s="277"/>
    </row>
    <row r="816" spans="1:15" ht="16.5" thickTop="1">
      <c r="A816" s="1"/>
      <c r="B816" s="1"/>
      <c r="C816" s="21"/>
      <c r="D816" s="21"/>
      <c r="E816" s="322"/>
      <c r="F816" s="2"/>
      <c r="G816" s="2"/>
      <c r="H816" s="2"/>
      <c r="I816" s="338" t="s">
        <v>31</v>
      </c>
      <c r="J816" s="1"/>
      <c r="K816" s="2" t="s">
        <v>31</v>
      </c>
    </row>
    <row r="817" spans="1:11">
      <c r="A817" s="1"/>
      <c r="B817" s="1"/>
      <c r="C817" s="21"/>
      <c r="D817" s="21"/>
      <c r="E817" s="322"/>
      <c r="F817" s="2"/>
      <c r="G817" s="2"/>
      <c r="H817" s="2"/>
      <c r="I817" s="322"/>
      <c r="J817" s="1"/>
      <c r="K817" s="365"/>
    </row>
    <row r="818" spans="1:11">
      <c r="A818" s="278" t="s">
        <v>466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294" t="s">
        <v>469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308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308" t="s">
        <v>383</v>
      </c>
      <c r="B821" s="1"/>
      <c r="C821" s="304"/>
      <c r="D821" s="304"/>
      <c r="E821" s="2"/>
      <c r="F821" s="2"/>
      <c r="G821" s="1"/>
      <c r="H821" s="1"/>
      <c r="I821" s="2"/>
      <c r="J821" s="1"/>
      <c r="K821" s="1"/>
    </row>
    <row r="822" spans="1:11">
      <c r="A822" s="308" t="s">
        <v>461</v>
      </c>
      <c r="B822" s="1"/>
      <c r="C822" s="304">
        <f>133+193</f>
        <v>326</v>
      </c>
      <c r="D822" s="304">
        <v>318</v>
      </c>
      <c r="E822" s="322">
        <v>1100</v>
      </c>
      <c r="F822" s="322"/>
      <c r="G822" s="2">
        <f>ROUND(E822*$C822,0)</f>
        <v>358600</v>
      </c>
      <c r="H822" s="2">
        <f>ROUND(E822*$D822,0)</f>
        <v>349800</v>
      </c>
      <c r="I822" s="322">
        <f>$I$766</f>
        <v>1205</v>
      </c>
      <c r="J822" s="306"/>
      <c r="K822" s="2">
        <f>ROUND(I822*$D822,0)</f>
        <v>383190</v>
      </c>
    </row>
    <row r="823" spans="1:11">
      <c r="A823" s="308" t="s">
        <v>462</v>
      </c>
      <c r="B823" s="1"/>
      <c r="C823" s="304">
        <v>11</v>
      </c>
      <c r="D823" s="304">
        <v>11</v>
      </c>
      <c r="E823" s="322">
        <v>1325</v>
      </c>
      <c r="F823" s="322"/>
      <c r="G823" s="2">
        <f>ROUND(E823*$C823,0)</f>
        <v>14575</v>
      </c>
      <c r="H823" s="2">
        <f>ROUND(E823*$D823,0)</f>
        <v>14575</v>
      </c>
      <c r="I823" s="322">
        <f>$I$767</f>
        <v>1450</v>
      </c>
      <c r="J823" s="309"/>
      <c r="K823" s="2">
        <f>ROUND(I823*$D823,0)</f>
        <v>15950</v>
      </c>
    </row>
    <row r="824" spans="1:11">
      <c r="A824" s="308" t="s">
        <v>384</v>
      </c>
      <c r="B824" s="1"/>
      <c r="C824" s="304">
        <f>SUM(C822:C823)</f>
        <v>337</v>
      </c>
      <c r="D824" s="304">
        <f>SUM(D822:D823)</f>
        <v>329</v>
      </c>
      <c r="E824" s="322" t="s">
        <v>31</v>
      </c>
      <c r="F824" s="322"/>
      <c r="G824" s="2" t="s">
        <v>31</v>
      </c>
      <c r="H824" s="2" t="s">
        <v>31</v>
      </c>
      <c r="I824" s="322" t="s">
        <v>31</v>
      </c>
      <c r="J824" s="306"/>
      <c r="K824" s="2" t="s">
        <v>31</v>
      </c>
    </row>
    <row r="825" spans="1:11">
      <c r="A825" s="308" t="s">
        <v>463</v>
      </c>
      <c r="B825" s="1"/>
      <c r="C825" s="304">
        <f>192047+242158</f>
        <v>434205</v>
      </c>
      <c r="D825" s="304">
        <f>ROUND((C825/$C$841)*$D$841,0)</f>
        <v>426097</v>
      </c>
      <c r="E825" s="322">
        <v>0.83</v>
      </c>
      <c r="F825" s="322"/>
      <c r="G825" s="2">
        <f>ROUND(E825*$C825,0)</f>
        <v>360390</v>
      </c>
      <c r="H825" s="2">
        <f>ROUND(E825*$D825,0)</f>
        <v>353661</v>
      </c>
      <c r="I825" s="322">
        <f>$I$769</f>
        <v>0.91</v>
      </c>
      <c r="J825" s="306"/>
      <c r="K825" s="2">
        <f>ROUND(I825*$D825,0)</f>
        <v>387748</v>
      </c>
    </row>
    <row r="826" spans="1:11">
      <c r="A826" s="308" t="s">
        <v>464</v>
      </c>
      <c r="B826" s="1"/>
      <c r="C826" s="304">
        <f>38508</f>
        <v>38508</v>
      </c>
      <c r="D826" s="304">
        <f>ROUND((C826/$C$841)*$D$841,0)</f>
        <v>37789</v>
      </c>
      <c r="E826" s="322">
        <v>0.76</v>
      </c>
      <c r="F826" s="322"/>
      <c r="G826" s="2">
        <f>ROUND(E826*$C826,0)</f>
        <v>29266</v>
      </c>
      <c r="H826" s="2">
        <f>ROUND(E826*$D826,0)</f>
        <v>28720</v>
      </c>
      <c r="I826" s="322">
        <f>$I$770</f>
        <v>0.83</v>
      </c>
      <c r="J826" s="306"/>
      <c r="K826" s="2">
        <f>ROUND(I826*$D826,0)</f>
        <v>31365</v>
      </c>
    </row>
    <row r="827" spans="1:11">
      <c r="A827" s="294" t="s">
        <v>393</v>
      </c>
      <c r="B827" s="1"/>
      <c r="C827" s="304">
        <f>152840+171467+34863</f>
        <v>359170</v>
      </c>
      <c r="D827" s="304">
        <f>ROUND((C827/$C$841)*$D$841,0)</f>
        <v>352463</v>
      </c>
      <c r="E827" s="322">
        <v>5.52</v>
      </c>
      <c r="F827" s="322"/>
      <c r="G827" s="2">
        <f>ROUND(E827*$C827,0)</f>
        <v>1982618</v>
      </c>
      <c r="H827" s="2">
        <f>ROUND(E827*$D827,0)</f>
        <v>1945596</v>
      </c>
      <c r="I827" s="322">
        <f>$I$771</f>
        <v>6.03</v>
      </c>
      <c r="J827" s="306"/>
      <c r="K827" s="2">
        <f>ROUND(I827*$D827,0)</f>
        <v>2125352</v>
      </c>
    </row>
    <row r="828" spans="1:11">
      <c r="A828" s="308" t="s">
        <v>416</v>
      </c>
      <c r="B828" s="1"/>
      <c r="C828" s="304"/>
      <c r="D828" s="304"/>
      <c r="E828" s="322" t="s">
        <v>31</v>
      </c>
      <c r="F828" s="322"/>
      <c r="G828" s="2"/>
      <c r="H828" s="2"/>
      <c r="I828" s="322" t="s">
        <v>31</v>
      </c>
      <c r="J828" s="306"/>
      <c r="K828" s="2"/>
    </row>
    <row r="829" spans="1:11">
      <c r="A829" s="308" t="s">
        <v>454</v>
      </c>
      <c r="B829" s="1"/>
      <c r="C829" s="304">
        <f>61181500+18604800+77195004</f>
        <v>156981304</v>
      </c>
      <c r="D829" s="304">
        <f>ROUND((C829/$C$841)*$D$841,0)</f>
        <v>154050076</v>
      </c>
      <c r="E829" s="380">
        <v>3.2050000000000001</v>
      </c>
      <c r="F829" s="306" t="s">
        <v>364</v>
      </c>
      <c r="G829" s="2">
        <f>ROUND(E829/100*$C829,0)</f>
        <v>5031251</v>
      </c>
      <c r="H829" s="2">
        <f>ROUND(E829/100*$D829,0)</f>
        <v>4937305</v>
      </c>
      <c r="I829" s="380">
        <f>$I$773</f>
        <v>3.4990000000000001</v>
      </c>
      <c r="J829" s="306" t="s">
        <v>364</v>
      </c>
      <c r="K829" s="2">
        <f>ROUND(I829/100*$D829,0)</f>
        <v>5390212</v>
      </c>
    </row>
    <row r="830" spans="1:11">
      <c r="A830" s="308" t="s">
        <v>390</v>
      </c>
      <c r="B830" s="1"/>
      <c r="C830" s="304">
        <f>13550+3280+30593</f>
        <v>47423</v>
      </c>
      <c r="D830" s="304">
        <f>ROUND((C830/$C$841)*$D$841,0)</f>
        <v>46537</v>
      </c>
      <c r="E830" s="322">
        <v>0.45</v>
      </c>
      <c r="F830" s="306"/>
      <c r="G830" s="2">
        <f>ROUND(E830*$C830,0)</f>
        <v>21340</v>
      </c>
      <c r="H830" s="2">
        <f>ROUND(E830*$D830,0)</f>
        <v>20942</v>
      </c>
      <c r="I830" s="322">
        <f>$I$774</f>
        <v>0.45</v>
      </c>
      <c r="J830" s="306"/>
      <c r="K830" s="2">
        <f>ROUND(I830*$D830,0)</f>
        <v>20942</v>
      </c>
    </row>
    <row r="831" spans="1:11">
      <c r="A831" s="345" t="s">
        <v>391</v>
      </c>
      <c r="B831" s="1"/>
      <c r="C831" s="304"/>
      <c r="D831" s="304"/>
      <c r="E831" s="317">
        <v>-0.01</v>
      </c>
      <c r="F831" s="317"/>
      <c r="G831" s="2"/>
      <c r="H831" s="2"/>
      <c r="I831" s="317">
        <f>$I$775</f>
        <v>-0.01</v>
      </c>
      <c r="J831" s="346"/>
      <c r="K831" s="2"/>
    </row>
    <row r="832" spans="1:11">
      <c r="A832" s="308" t="s">
        <v>461</v>
      </c>
      <c r="B832" s="1"/>
      <c r="C832" s="304">
        <v>133</v>
      </c>
      <c r="D832" s="304">
        <v>130</v>
      </c>
      <c r="E832" s="319">
        <f>E822</f>
        <v>1100</v>
      </c>
      <c r="F832" s="319"/>
      <c r="G832" s="306">
        <f>ROUND(E832*$C832*$E$803,0)</f>
        <v>-1463</v>
      </c>
      <c r="H832" s="306">
        <f>ROUND(E832*$D832*$E$803,0)</f>
        <v>-1430</v>
      </c>
      <c r="I832" s="319">
        <f>I822</f>
        <v>1205</v>
      </c>
      <c r="J832" s="306"/>
      <c r="K832" s="306">
        <f>ROUND(I832*$D832*$E$803,0)</f>
        <v>-1567</v>
      </c>
    </row>
    <row r="833" spans="1:15">
      <c r="A833" s="308" t="s">
        <v>462</v>
      </c>
      <c r="B833" s="1"/>
      <c r="C833" s="304">
        <v>11</v>
      </c>
      <c r="D833" s="304">
        <v>11</v>
      </c>
      <c r="E833" s="319">
        <f>E823</f>
        <v>1325</v>
      </c>
      <c r="F833" s="319"/>
      <c r="G833" s="306">
        <f>ROUND(E833*$C833*$E$803,0)</f>
        <v>-146</v>
      </c>
      <c r="H833" s="306">
        <f>ROUND(E833*$D833*$E$803,0)</f>
        <v>-146</v>
      </c>
      <c r="I833" s="319">
        <f>I823</f>
        <v>1450</v>
      </c>
      <c r="J833" s="306"/>
      <c r="K833" s="306">
        <f>ROUND(I833*$D833*$E$803,0)</f>
        <v>-160</v>
      </c>
    </row>
    <row r="834" spans="1:15">
      <c r="A834" s="308" t="s">
        <v>463</v>
      </c>
      <c r="B834" s="1"/>
      <c r="C834" s="304">
        <v>192047</v>
      </c>
      <c r="D834" s="304">
        <f>ROUND((C834/$C$841)*$D$841,0)</f>
        <v>188461</v>
      </c>
      <c r="E834" s="319">
        <f>E825</f>
        <v>0.83</v>
      </c>
      <c r="F834" s="319"/>
      <c r="G834" s="306">
        <f>ROUND(E834*$C834*$E$803,0)</f>
        <v>-1594</v>
      </c>
      <c r="H834" s="306">
        <f>ROUND(E834*$D834*$E$803,0)</f>
        <v>-1564</v>
      </c>
      <c r="I834" s="319">
        <f>I825</f>
        <v>0.91</v>
      </c>
      <c r="J834" s="306"/>
      <c r="K834" s="306">
        <f>ROUND(I834*$D834*$E$803,0)</f>
        <v>-1715</v>
      </c>
    </row>
    <row r="835" spans="1:15">
      <c r="A835" s="308" t="s">
        <v>464</v>
      </c>
      <c r="B835" s="1"/>
      <c r="C835" s="304">
        <v>38508</v>
      </c>
      <c r="D835" s="304">
        <f>ROUND((C835/$C$841)*$D$841,0)</f>
        <v>37789</v>
      </c>
      <c r="E835" s="319">
        <f>E826</f>
        <v>0.76</v>
      </c>
      <c r="F835" s="319"/>
      <c r="G835" s="306">
        <f>ROUND(E835*$C835*$E$803,0)</f>
        <v>-293</v>
      </c>
      <c r="H835" s="306">
        <f>ROUND(E835*$D835*$E$803,0)</f>
        <v>-287</v>
      </c>
      <c r="I835" s="319">
        <f>I826</f>
        <v>0.83</v>
      </c>
      <c r="J835" s="306"/>
      <c r="K835" s="306">
        <f>ROUND(I835*$D835*$E$803,0)</f>
        <v>-314</v>
      </c>
    </row>
    <row r="836" spans="1:15">
      <c r="A836" s="294" t="s">
        <v>393</v>
      </c>
      <c r="B836" s="365"/>
      <c r="C836" s="304">
        <f>152840+34863</f>
        <v>187703</v>
      </c>
      <c r="D836" s="304">
        <f>ROUND((C836/$C$841)*$D$841,0)</f>
        <v>184198</v>
      </c>
      <c r="E836" s="319">
        <f>E827</f>
        <v>5.52</v>
      </c>
      <c r="F836" s="322"/>
      <c r="G836" s="306">
        <f>ROUND(E836*$C836*$E$803,0)</f>
        <v>-10361</v>
      </c>
      <c r="H836" s="306">
        <f>ROUND(E836*$D836*$E$803,0)</f>
        <v>-10168</v>
      </c>
      <c r="I836" s="319">
        <f>I827</f>
        <v>6.03</v>
      </c>
      <c r="J836" s="306"/>
      <c r="K836" s="306">
        <f>ROUND(I836*$D836*$E$803,0)</f>
        <v>-11107</v>
      </c>
    </row>
    <row r="837" spans="1:15">
      <c r="A837" s="308" t="s">
        <v>454</v>
      </c>
      <c r="B837" s="1"/>
      <c r="C837" s="304">
        <f>61181500+18604800</f>
        <v>79786300</v>
      </c>
      <c r="D837" s="304">
        <f>ROUND((C837/$C$841)*$D$841,0)</f>
        <v>78296493</v>
      </c>
      <c r="E837" s="320">
        <f>E829</f>
        <v>3.2050000000000001</v>
      </c>
      <c r="F837" s="306" t="s">
        <v>364</v>
      </c>
      <c r="G837" s="306">
        <f>ROUND(E837/100*$C837*$E$803,0)</f>
        <v>-25572</v>
      </c>
      <c r="H837" s="306">
        <f>ROUND(E837/100*$D837*$E$803,0)</f>
        <v>-25094</v>
      </c>
      <c r="I837" s="320">
        <f>I829</f>
        <v>3.4990000000000001</v>
      </c>
      <c r="J837" s="306" t="s">
        <v>364</v>
      </c>
      <c r="K837" s="306">
        <f>ROUND(I837/100*$D837*$E$803,0)</f>
        <v>-27396</v>
      </c>
    </row>
    <row r="838" spans="1:15">
      <c r="A838" s="308" t="s">
        <v>390</v>
      </c>
      <c r="B838" s="1"/>
      <c r="C838" s="304">
        <f>13550+3280</f>
        <v>16830</v>
      </c>
      <c r="D838" s="304">
        <f>ROUND((C838/$C$841)*$D$841,0)</f>
        <v>16516</v>
      </c>
      <c r="E838" s="369">
        <f>E830</f>
        <v>0.45</v>
      </c>
      <c r="F838" s="306"/>
      <c r="G838" s="306">
        <f>ROUND(E838*$C838*$E$803,0)</f>
        <v>-76</v>
      </c>
      <c r="H838" s="306">
        <f>ROUND(E838*$D838*$E$803,0)</f>
        <v>-74</v>
      </c>
      <c r="I838" s="369">
        <f>I830</f>
        <v>0.45</v>
      </c>
      <c r="J838" s="306"/>
      <c r="K838" s="306">
        <f>ROUND(I838*$D838*$E$803,0)</f>
        <v>-74</v>
      </c>
    </row>
    <row r="839" spans="1:15">
      <c r="A839" s="294" t="s">
        <v>465</v>
      </c>
      <c r="B839" s="1"/>
      <c r="C839" s="304">
        <f>133+11</f>
        <v>144</v>
      </c>
      <c r="D839" s="304">
        <v>141</v>
      </c>
      <c r="E839" s="322">
        <v>60</v>
      </c>
      <c r="F839" s="322"/>
      <c r="G839" s="306">
        <f>ROUND(E839*$C839,0)</f>
        <v>8640</v>
      </c>
      <c r="H839" s="306">
        <f>ROUND(E839*$D839,0)</f>
        <v>8460</v>
      </c>
      <c r="I839" s="322">
        <f>$I$783</f>
        <v>60</v>
      </c>
      <c r="J839" s="306"/>
      <c r="K839" s="306">
        <f>ROUND(I839*$D839,0)</f>
        <v>8460</v>
      </c>
    </row>
    <row r="840" spans="1:15">
      <c r="A840" s="294" t="s">
        <v>434</v>
      </c>
      <c r="B840" s="1"/>
      <c r="C840" s="304">
        <f>192047+38508</f>
        <v>230555</v>
      </c>
      <c r="D840" s="304">
        <f>ROUND((C840/$C$841)*$D$841,0)</f>
        <v>226250</v>
      </c>
      <c r="E840" s="322">
        <v>-0.3</v>
      </c>
      <c r="F840" s="306"/>
      <c r="G840" s="306">
        <f>ROUND(E840*$C840,0)</f>
        <v>-69167</v>
      </c>
      <c r="H840" s="306">
        <f>ROUND(E840*$D840,0)</f>
        <v>-67875</v>
      </c>
      <c r="I840" s="322">
        <f>$I$784</f>
        <v>-0.75</v>
      </c>
      <c r="J840" s="306"/>
      <c r="K840" s="306">
        <f>ROUND(I840*$D840,0)</f>
        <v>-169688</v>
      </c>
    </row>
    <row r="841" spans="1:15">
      <c r="A841" s="1" t="s">
        <v>371</v>
      </c>
      <c r="B841" s="1"/>
      <c r="C841" s="304">
        <f>C829</f>
        <v>156981304</v>
      </c>
      <c r="D841" s="304">
        <v>154050076.39425009</v>
      </c>
      <c r="E841" s="315"/>
      <c r="F841" s="2"/>
      <c r="G841" s="2">
        <f>SUM(G822:G840)</f>
        <v>7698008</v>
      </c>
      <c r="H841" s="2">
        <f>SUM(H822:H840)</f>
        <v>7552421</v>
      </c>
      <c r="I841" s="315"/>
      <c r="J841" s="1"/>
      <c r="K841" s="2">
        <f>SUM(K822:K840)</f>
        <v>8151198</v>
      </c>
    </row>
    <row r="842" spans="1:15">
      <c r="A842" s="1" t="s">
        <v>353</v>
      </c>
      <c r="B842" s="1"/>
      <c r="C842" s="304">
        <v>687227.4909941873</v>
      </c>
      <c r="D842" s="304">
        <v>0</v>
      </c>
      <c r="E842" s="294"/>
      <c r="F842" s="294"/>
      <c r="G842" s="326">
        <v>28763.430775107623</v>
      </c>
      <c r="H842" s="326">
        <v>0</v>
      </c>
      <c r="I842" s="294"/>
      <c r="J842" s="294"/>
      <c r="K842" s="326">
        <v>0</v>
      </c>
      <c r="M842" s="274"/>
      <c r="N842" s="274"/>
      <c r="O842" s="275"/>
    </row>
    <row r="843" spans="1:15" ht="16.5" thickBot="1">
      <c r="A843" s="1" t="s">
        <v>372</v>
      </c>
      <c r="B843" s="1"/>
      <c r="C843" s="378">
        <f>SUM(C841)+C842</f>
        <v>157668531.49099419</v>
      </c>
      <c r="D843" s="378">
        <f>SUM(D829)+D842</f>
        <v>154050076</v>
      </c>
      <c r="E843" s="327"/>
      <c r="F843" s="328"/>
      <c r="G843" s="329">
        <f>G841+G842</f>
        <v>7726771.4307751078</v>
      </c>
      <c r="H843" s="329">
        <f>H841+H842</f>
        <v>7552421</v>
      </c>
      <c r="I843" s="327"/>
      <c r="J843" s="330"/>
      <c r="K843" s="329">
        <f>K841+K842</f>
        <v>8151198</v>
      </c>
      <c r="M843" s="276"/>
      <c r="N843" s="276"/>
      <c r="O843" s="277"/>
    </row>
    <row r="844" spans="1:15" ht="16.5" thickTop="1">
      <c r="A844" s="1"/>
      <c r="B844" s="1"/>
      <c r="C844" s="21"/>
      <c r="D844" s="21"/>
      <c r="E844" s="322"/>
      <c r="F844" s="2"/>
      <c r="G844" s="2"/>
      <c r="H844" s="2"/>
      <c r="I844" s="338" t="s">
        <v>31</v>
      </c>
      <c r="J844" s="1"/>
      <c r="K844" s="2" t="s">
        <v>31</v>
      </c>
    </row>
    <row r="845" spans="1:15">
      <c r="A845" s="1"/>
      <c r="B845" s="1"/>
      <c r="C845" s="21"/>
      <c r="D845" s="21"/>
      <c r="E845" s="322"/>
      <c r="F845" s="2"/>
      <c r="G845" s="2"/>
      <c r="H845" s="2"/>
      <c r="I845" s="322"/>
      <c r="J845" s="1"/>
      <c r="K845" s="365"/>
    </row>
    <row r="846" spans="1:15">
      <c r="A846" s="278" t="s">
        <v>466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294" t="s">
        <v>470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308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308" t="s">
        <v>383</v>
      </c>
      <c r="B849" s="1"/>
      <c r="C849" s="304"/>
      <c r="D849" s="304"/>
      <c r="E849" s="2"/>
      <c r="F849" s="2"/>
      <c r="G849" s="1"/>
      <c r="H849" s="1"/>
      <c r="I849" s="2"/>
      <c r="J849" s="1"/>
      <c r="K849" s="1"/>
    </row>
    <row r="850" spans="1:11">
      <c r="A850" s="308" t="s">
        <v>461</v>
      </c>
      <c r="B850" s="1"/>
      <c r="C850" s="304">
        <f>22+336+6</f>
        <v>364</v>
      </c>
      <c r="D850" s="304">
        <v>362</v>
      </c>
      <c r="E850" s="322">
        <v>1100</v>
      </c>
      <c r="F850" s="322"/>
      <c r="G850" s="2">
        <f>ROUND(E850*$C850,0)</f>
        <v>400400</v>
      </c>
      <c r="H850" s="2">
        <f>ROUND(E850*$D850,0)</f>
        <v>398200</v>
      </c>
      <c r="I850" s="322">
        <f>$I$766</f>
        <v>1205</v>
      </c>
      <c r="J850" s="306"/>
      <c r="K850" s="2">
        <f>ROUND(I850*$D850,0)</f>
        <v>436210</v>
      </c>
    </row>
    <row r="851" spans="1:11">
      <c r="A851" s="308" t="s">
        <v>462</v>
      </c>
      <c r="B851" s="1"/>
      <c r="C851" s="304">
        <f>26+25</f>
        <v>51</v>
      </c>
      <c r="D851" s="304">
        <v>51</v>
      </c>
      <c r="E851" s="322">
        <v>1325</v>
      </c>
      <c r="F851" s="322"/>
      <c r="G851" s="2">
        <f>ROUND(E851*$C851,0)</f>
        <v>67575</v>
      </c>
      <c r="H851" s="2">
        <f>ROUND(E851*$D851,0)</f>
        <v>67575</v>
      </c>
      <c r="I851" s="322">
        <f>$I$767</f>
        <v>1450</v>
      </c>
      <c r="J851" s="309"/>
      <c r="K851" s="2">
        <f>ROUND(I851*$D851,0)</f>
        <v>73950</v>
      </c>
    </row>
    <row r="852" spans="1:11">
      <c r="A852" s="308" t="s">
        <v>384</v>
      </c>
      <c r="B852" s="1"/>
      <c r="C852" s="304">
        <f>SUM(C850:C851)</f>
        <v>415</v>
      </c>
      <c r="D852" s="304">
        <f>SUM(D850:D851)</f>
        <v>413</v>
      </c>
      <c r="E852" s="322" t="s">
        <v>31</v>
      </c>
      <c r="F852" s="322"/>
      <c r="G852" s="2" t="s">
        <v>31</v>
      </c>
      <c r="H852" s="2" t="s">
        <v>31</v>
      </c>
      <c r="I852" s="322" t="s">
        <v>31</v>
      </c>
      <c r="J852" s="306"/>
      <c r="K852" s="2" t="s">
        <v>31</v>
      </c>
    </row>
    <row r="853" spans="1:11">
      <c r="A853" s="308" t="s">
        <v>463</v>
      </c>
      <c r="B853" s="1"/>
      <c r="C853" s="304">
        <f>23526+462664+7635</f>
        <v>493825</v>
      </c>
      <c r="D853" s="304">
        <f>ROUND(($D$869/$C$869)*C853,0)</f>
        <v>523963</v>
      </c>
      <c r="E853" s="322">
        <v>0.83</v>
      </c>
      <c r="F853" s="322"/>
      <c r="G853" s="2">
        <f>ROUND(E853*$C853,0)</f>
        <v>409875</v>
      </c>
      <c r="H853" s="2">
        <f>ROUND(E853*$D853,0)</f>
        <v>434889</v>
      </c>
      <c r="I853" s="322">
        <f>$I$769</f>
        <v>0.91</v>
      </c>
      <c r="J853" s="306"/>
      <c r="K853" s="2">
        <f>ROUND(I853*$D853,0)</f>
        <v>476806</v>
      </c>
    </row>
    <row r="854" spans="1:11">
      <c r="A854" s="308" t="s">
        <v>464</v>
      </c>
      <c r="B854" s="1"/>
      <c r="C854" s="304">
        <f>729270+101203</f>
        <v>830473</v>
      </c>
      <c r="D854" s="304">
        <f>ROUND(($D$869/$C$869)*C854,0)</f>
        <v>881157</v>
      </c>
      <c r="E854" s="322">
        <v>0.76</v>
      </c>
      <c r="F854" s="322"/>
      <c r="G854" s="2">
        <f>ROUND(E854*$C854,0)</f>
        <v>631159</v>
      </c>
      <c r="H854" s="2">
        <f>ROUND(E854*$D854,0)</f>
        <v>669679</v>
      </c>
      <c r="I854" s="322">
        <f>$I$770</f>
        <v>0.83</v>
      </c>
      <c r="J854" s="306"/>
      <c r="K854" s="2">
        <f>ROUND(I854*$D854,0)</f>
        <v>731360</v>
      </c>
    </row>
    <row r="855" spans="1:11">
      <c r="A855" s="294" t="s">
        <v>393</v>
      </c>
      <c r="B855" s="1"/>
      <c r="C855" s="304">
        <f>21282+702601+399599+90949+7532</f>
        <v>1221963</v>
      </c>
      <c r="D855" s="304">
        <f>ROUND(($D$869/$C$869)*C855,0)</f>
        <v>1296540</v>
      </c>
      <c r="E855" s="322">
        <v>5.52</v>
      </c>
      <c r="F855" s="322"/>
      <c r="G855" s="2">
        <f>ROUND(E855*$C855,0)</f>
        <v>6745236</v>
      </c>
      <c r="H855" s="2">
        <f>ROUND(E855*$D855,0)</f>
        <v>7156901</v>
      </c>
      <c r="I855" s="322">
        <f>$I$771</f>
        <v>6.03</v>
      </c>
      <c r="J855" s="306"/>
      <c r="K855" s="2">
        <f>ROUND(I855*$D855,0)</f>
        <v>7818136</v>
      </c>
    </row>
    <row r="856" spans="1:11">
      <c r="A856" s="308" t="s">
        <v>416</v>
      </c>
      <c r="B856" s="1"/>
      <c r="C856" s="304"/>
      <c r="D856" s="304"/>
      <c r="E856" s="322" t="s">
        <v>31</v>
      </c>
      <c r="F856" s="322"/>
      <c r="G856" s="2"/>
      <c r="H856" s="2"/>
      <c r="I856" s="322" t="s">
        <v>31</v>
      </c>
      <c r="J856" s="306"/>
      <c r="K856" s="2"/>
    </row>
    <row r="857" spans="1:11">
      <c r="A857" s="308" t="s">
        <v>454</v>
      </c>
      <c r="B857" s="1"/>
      <c r="C857" s="304">
        <f>6333900+441066001+175276602+45716850+2895600</f>
        <v>671288953</v>
      </c>
      <c r="D857" s="304">
        <f>ROUND(($D$869/$C$869)*C857,0)</f>
        <v>712258072</v>
      </c>
      <c r="E857" s="380">
        <v>3.2050000000000001</v>
      </c>
      <c r="F857" s="306" t="s">
        <v>364</v>
      </c>
      <c r="G857" s="2">
        <f>ROUND(E857/100*$C857,0)</f>
        <v>21514811</v>
      </c>
      <c r="H857" s="2">
        <f>ROUND(E857/100*$D857,0)</f>
        <v>22827871</v>
      </c>
      <c r="I857" s="380">
        <f>$I$773</f>
        <v>3.4990000000000001</v>
      </c>
      <c r="J857" s="306" t="s">
        <v>364</v>
      </c>
      <c r="K857" s="2">
        <f>ROUND(I857/100*$D857,0)</f>
        <v>24921910</v>
      </c>
    </row>
    <row r="858" spans="1:11">
      <c r="A858" s="308" t="s">
        <v>390</v>
      </c>
      <c r="B858" s="1"/>
      <c r="C858" s="304">
        <f>6818+174154+133859+26014+1576</f>
        <v>342421</v>
      </c>
      <c r="D858" s="304">
        <f>ROUND(($D$869/$C$869)*C858,0)</f>
        <v>363319</v>
      </c>
      <c r="E858" s="322">
        <v>0.45</v>
      </c>
      <c r="F858" s="306"/>
      <c r="G858" s="2">
        <f>ROUND(E858*$C858,0)</f>
        <v>154089</v>
      </c>
      <c r="H858" s="2">
        <f>ROUND(E858*$D858,0)</f>
        <v>163494</v>
      </c>
      <c r="I858" s="322">
        <f>$I$774</f>
        <v>0.45</v>
      </c>
      <c r="J858" s="306"/>
      <c r="K858" s="2">
        <f>ROUND(I858*$D858,0)</f>
        <v>163494</v>
      </c>
    </row>
    <row r="859" spans="1:11">
      <c r="A859" s="345" t="s">
        <v>391</v>
      </c>
      <c r="B859" s="1"/>
      <c r="C859" s="304"/>
      <c r="D859" s="304"/>
      <c r="E859" s="317">
        <v>-0.01</v>
      </c>
      <c r="F859" s="317"/>
      <c r="G859" s="2"/>
      <c r="H859" s="2"/>
      <c r="I859" s="317">
        <f>$I$775</f>
        <v>-0.01</v>
      </c>
      <c r="J859" s="346"/>
      <c r="K859" s="2"/>
    </row>
    <row r="860" spans="1:11">
      <c r="A860" s="308" t="s">
        <v>461</v>
      </c>
      <c r="B860" s="1"/>
      <c r="C860" s="304">
        <v>22</v>
      </c>
      <c r="D860" s="304">
        <v>22</v>
      </c>
      <c r="E860" s="319">
        <f>E850</f>
        <v>1100</v>
      </c>
      <c r="F860" s="319"/>
      <c r="G860" s="306">
        <f>ROUND(E860*$C860*$E$803,0)</f>
        <v>-242</v>
      </c>
      <c r="H860" s="306">
        <f>ROUND(E860*$D860*$E$803,0)</f>
        <v>-242</v>
      </c>
      <c r="I860" s="319">
        <f>I850</f>
        <v>1205</v>
      </c>
      <c r="J860" s="306"/>
      <c r="K860" s="306">
        <f>ROUND(I860*$D860*$E$803,0)</f>
        <v>-265</v>
      </c>
    </row>
    <row r="861" spans="1:11">
      <c r="A861" s="308" t="s">
        <v>462</v>
      </c>
      <c r="B861" s="1"/>
      <c r="C861" s="304">
        <v>26</v>
      </c>
      <c r="D861" s="304">
        <v>26</v>
      </c>
      <c r="E861" s="319">
        <f>E851</f>
        <v>1325</v>
      </c>
      <c r="F861" s="319"/>
      <c r="G861" s="306">
        <f>ROUND(E861*$C861*$E$803,0)</f>
        <v>-345</v>
      </c>
      <c r="H861" s="306">
        <f>ROUND(E861*$D861*$E$803,0)</f>
        <v>-345</v>
      </c>
      <c r="I861" s="319">
        <f>I851</f>
        <v>1450</v>
      </c>
      <c r="J861" s="306"/>
      <c r="K861" s="306">
        <f>ROUND(I861*$D861*$E$803,0)</f>
        <v>-377</v>
      </c>
    </row>
    <row r="862" spans="1:11">
      <c r="A862" s="308" t="s">
        <v>463</v>
      </c>
      <c r="B862" s="1"/>
      <c r="C862" s="304">
        <v>23526</v>
      </c>
      <c r="D862" s="304">
        <f>ROUND(($D$869/$C$869)*C862,0)</f>
        <v>24962</v>
      </c>
      <c r="E862" s="319">
        <f>E853</f>
        <v>0.83</v>
      </c>
      <c r="F862" s="319"/>
      <c r="G862" s="306">
        <f>ROUND(E862*$C862*$E$803,0)</f>
        <v>-195</v>
      </c>
      <c r="H862" s="306">
        <f>ROUND(E862*$D862*$E$803,0)</f>
        <v>-207</v>
      </c>
      <c r="I862" s="319">
        <f>I853</f>
        <v>0.91</v>
      </c>
      <c r="J862" s="306"/>
      <c r="K862" s="306">
        <f>ROUND(I862*$D862*$E$803,0)</f>
        <v>-227</v>
      </c>
    </row>
    <row r="863" spans="1:11">
      <c r="A863" s="308" t="s">
        <v>464</v>
      </c>
      <c r="B863" s="1"/>
      <c r="C863" s="304">
        <f>729270</f>
        <v>729270</v>
      </c>
      <c r="D863" s="304">
        <f>ROUND(($D$869/$C$869)*C863,0)</f>
        <v>773778</v>
      </c>
      <c r="E863" s="319">
        <f>E854</f>
        <v>0.76</v>
      </c>
      <c r="F863" s="319"/>
      <c r="G863" s="306">
        <f>ROUND(E863*$C863*$E$803,0)</f>
        <v>-5542</v>
      </c>
      <c r="H863" s="306">
        <f>ROUND(E863*$D863*$E$803,0)</f>
        <v>-5881</v>
      </c>
      <c r="I863" s="319">
        <f>I854</f>
        <v>0.83</v>
      </c>
      <c r="J863" s="306"/>
      <c r="K863" s="306">
        <f>ROUND(I863*$D863*$E$803,0)</f>
        <v>-6422</v>
      </c>
    </row>
    <row r="864" spans="1:11">
      <c r="A864" s="294" t="s">
        <v>393</v>
      </c>
      <c r="B864" s="365"/>
      <c r="C864" s="304">
        <f>21282+702601</f>
        <v>723883</v>
      </c>
      <c r="D864" s="304">
        <f>ROUND(($D$869/$C$869)*C864,0)</f>
        <v>768062</v>
      </c>
      <c r="E864" s="319">
        <f>E855</f>
        <v>5.52</v>
      </c>
      <c r="F864" s="322"/>
      <c r="G864" s="306">
        <f>ROUND(E864*$C864*$E$803,0)</f>
        <v>-39958</v>
      </c>
      <c r="H864" s="306">
        <f>ROUND(E864*$D864*$E$803,0)</f>
        <v>-42397</v>
      </c>
      <c r="I864" s="319">
        <f>I855</f>
        <v>6.03</v>
      </c>
      <c r="J864" s="306"/>
      <c r="K864" s="306">
        <f>ROUND(I864*$D864*$E$803,0)</f>
        <v>-46314</v>
      </c>
    </row>
    <row r="865" spans="1:15">
      <c r="A865" s="308" t="s">
        <v>454</v>
      </c>
      <c r="B865" s="1"/>
      <c r="C865" s="304">
        <f>6333900+441066001</f>
        <v>447399901</v>
      </c>
      <c r="D865" s="304">
        <f>ROUND(($D$869/$C$869)*C865,0)</f>
        <v>474704953</v>
      </c>
      <c r="E865" s="320">
        <f>E857</f>
        <v>3.2050000000000001</v>
      </c>
      <c r="F865" s="306" t="s">
        <v>364</v>
      </c>
      <c r="G865" s="306">
        <f>ROUND(E865/100*$C865*$E$803,0)</f>
        <v>-143392</v>
      </c>
      <c r="H865" s="306">
        <f>ROUND(E865/100*$D865*$E$803,0)</f>
        <v>-152143</v>
      </c>
      <c r="I865" s="320">
        <f>I857</f>
        <v>3.4990000000000001</v>
      </c>
      <c r="J865" s="306" t="s">
        <v>364</v>
      </c>
      <c r="K865" s="306">
        <f>ROUND(I865/100*$D865*$E$803,0)</f>
        <v>-166099</v>
      </c>
    </row>
    <row r="866" spans="1:15">
      <c r="A866" s="308" t="s">
        <v>390</v>
      </c>
      <c r="B866" s="1"/>
      <c r="C866" s="304">
        <f>6818+174154</f>
        <v>180972</v>
      </c>
      <c r="D866" s="304">
        <f>ROUND(($D$869/$C$869)*C866,0)</f>
        <v>192017</v>
      </c>
      <c r="E866" s="369">
        <f>E858</f>
        <v>0.45</v>
      </c>
      <c r="F866" s="306"/>
      <c r="G866" s="306">
        <f>ROUND(E866*$C866*$E$803,0)</f>
        <v>-814</v>
      </c>
      <c r="H866" s="306">
        <f>ROUND(E866*$D866*$E$803,0)</f>
        <v>-864</v>
      </c>
      <c r="I866" s="369">
        <f>I858</f>
        <v>0.45</v>
      </c>
      <c r="J866" s="306"/>
      <c r="K866" s="306">
        <f>ROUND(I866*$D866*$E$803,0)</f>
        <v>-864</v>
      </c>
    </row>
    <row r="867" spans="1:15">
      <c r="A867" s="294" t="s">
        <v>465</v>
      </c>
      <c r="B867" s="1"/>
      <c r="C867" s="304">
        <f>22+26</f>
        <v>48</v>
      </c>
      <c r="D867" s="304">
        <v>48</v>
      </c>
      <c r="E867" s="322">
        <v>60</v>
      </c>
      <c r="F867" s="322"/>
      <c r="G867" s="306">
        <f>ROUND(E867*$C867,0)</f>
        <v>2880</v>
      </c>
      <c r="H867" s="306">
        <f>ROUND(E867*$D867,0)</f>
        <v>2880</v>
      </c>
      <c r="I867" s="322">
        <f>$I$783</f>
        <v>60</v>
      </c>
      <c r="J867" s="306"/>
      <c r="K867" s="306">
        <f>ROUND(I867*$D867,0)</f>
        <v>2880</v>
      </c>
    </row>
    <row r="868" spans="1:15">
      <c r="A868" s="294" t="s">
        <v>434</v>
      </c>
      <c r="B868" s="1"/>
      <c r="C868" s="304">
        <f>23526+729270</f>
        <v>752796</v>
      </c>
      <c r="D868" s="304">
        <f>ROUND(($D$869/$C$869)*C868,0)</f>
        <v>798740</v>
      </c>
      <c r="E868" s="322">
        <v>-0.3</v>
      </c>
      <c r="F868" s="306"/>
      <c r="G868" s="306">
        <f>ROUND(E868*$C868,0)</f>
        <v>-225839</v>
      </c>
      <c r="H868" s="306">
        <f>ROUND(E868*$D868,0)</f>
        <v>-239622</v>
      </c>
      <c r="I868" s="322">
        <f>$I$784</f>
        <v>-0.75</v>
      </c>
      <c r="J868" s="306"/>
      <c r="K868" s="306">
        <f>ROUND(I868*$D868,0)</f>
        <v>-599055</v>
      </c>
    </row>
    <row r="869" spans="1:15">
      <c r="A869" s="1" t="s">
        <v>371</v>
      </c>
      <c r="B869" s="1"/>
      <c r="C869" s="304">
        <f>C857</f>
        <v>671288953</v>
      </c>
      <c r="D869" s="304">
        <v>712258072.33019459</v>
      </c>
      <c r="E869" s="315"/>
      <c r="F869" s="2"/>
      <c r="G869" s="2">
        <f>SUM(G850:G868)</f>
        <v>29509698</v>
      </c>
      <c r="H869" s="2">
        <f>SUM(H850:H868)</f>
        <v>31279788</v>
      </c>
      <c r="I869" s="315"/>
      <c r="J869" s="1"/>
      <c r="K869" s="2">
        <f>SUM(K850:K868)</f>
        <v>33805123</v>
      </c>
    </row>
    <row r="870" spans="1:15">
      <c r="A870" s="1" t="s">
        <v>353</v>
      </c>
      <c r="B870" s="1"/>
      <c r="C870" s="304">
        <v>-15164629.489788763</v>
      </c>
      <c r="D870" s="304">
        <v>0</v>
      </c>
      <c r="E870" s="294"/>
      <c r="F870" s="294"/>
      <c r="G870" s="326">
        <v>-567791.90919455024</v>
      </c>
      <c r="H870" s="326">
        <v>0</v>
      </c>
      <c r="I870" s="294"/>
      <c r="J870" s="294"/>
      <c r="K870" s="326">
        <v>0</v>
      </c>
      <c r="M870" s="274"/>
      <c r="N870" s="274"/>
      <c r="O870" s="275"/>
    </row>
    <row r="871" spans="1:15" ht="16.5" thickBot="1">
      <c r="A871" s="1" t="s">
        <v>372</v>
      </c>
      <c r="B871" s="1"/>
      <c r="C871" s="378">
        <f>SUM(C869)+C870</f>
        <v>656124323.51021123</v>
      </c>
      <c r="D871" s="378">
        <f>SUM(D857)+D870</f>
        <v>712258072</v>
      </c>
      <c r="E871" s="327"/>
      <c r="F871" s="328"/>
      <c r="G871" s="329">
        <f>G869+G870</f>
        <v>28941906.090805449</v>
      </c>
      <c r="H871" s="329">
        <f>H869+H870</f>
        <v>31279788</v>
      </c>
      <c r="I871" s="327"/>
      <c r="J871" s="330"/>
      <c r="K871" s="329">
        <f>K869+K870</f>
        <v>33805123</v>
      </c>
      <c r="M871" s="276"/>
      <c r="N871" s="276"/>
      <c r="O871" s="277"/>
    </row>
    <row r="872" spans="1:15" ht="16.5" thickTop="1">
      <c r="A872" s="1"/>
      <c r="B872" s="1"/>
      <c r="C872" s="21"/>
      <c r="D872" s="21"/>
      <c r="E872" s="322"/>
      <c r="F872" s="2"/>
      <c r="G872" s="2"/>
      <c r="H872" s="2"/>
      <c r="I872" s="338" t="s">
        <v>31</v>
      </c>
      <c r="J872" s="1"/>
      <c r="K872" s="2" t="s">
        <v>31</v>
      </c>
    </row>
    <row r="873" spans="1:15">
      <c r="A873" s="278" t="s">
        <v>471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294" t="s">
        <v>470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308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308" t="s">
        <v>383</v>
      </c>
      <c r="B876" s="1"/>
      <c r="C876" s="304"/>
      <c r="D876" s="304"/>
      <c r="E876" s="2"/>
      <c r="F876" s="2"/>
      <c r="G876" s="1"/>
      <c r="H876" s="1"/>
      <c r="I876" s="2"/>
      <c r="J876" s="1"/>
      <c r="K876" s="1"/>
    </row>
    <row r="877" spans="1:15">
      <c r="A877" s="308" t="s">
        <v>461</v>
      </c>
      <c r="B877" s="1"/>
      <c r="C877" s="304">
        <v>0</v>
      </c>
      <c r="D877" s="304">
        <v>0</v>
      </c>
      <c r="E877" s="322">
        <v>1100</v>
      </c>
      <c r="F877" s="322"/>
      <c r="G877" s="2">
        <f>ROUND(E877*$C877,0)</f>
        <v>0</v>
      </c>
      <c r="H877" s="2">
        <f>ROUND(E877*$D877,0)</f>
        <v>0</v>
      </c>
      <c r="I877" s="322">
        <f>$I$766</f>
        <v>1205</v>
      </c>
      <c r="J877" s="306"/>
      <c r="K877" s="2">
        <f>ROUND(I877*$D877,0)</f>
        <v>0</v>
      </c>
    </row>
    <row r="878" spans="1:15">
      <c r="A878" s="308" t="s">
        <v>462</v>
      </c>
      <c r="B878" s="1"/>
      <c r="C878" s="304">
        <v>12</v>
      </c>
      <c r="D878" s="304">
        <v>12</v>
      </c>
      <c r="E878" s="322">
        <v>1325</v>
      </c>
      <c r="F878" s="322"/>
      <c r="G878" s="2">
        <f>ROUND(E878*$C878,0)</f>
        <v>15900</v>
      </c>
      <c r="H878" s="2">
        <f>ROUND(E878*$D878,0)</f>
        <v>15900</v>
      </c>
      <c r="I878" s="322">
        <f>$I$767</f>
        <v>1450</v>
      </c>
      <c r="J878" s="309"/>
      <c r="K878" s="2">
        <f>ROUND(I878*$D878,0)</f>
        <v>17400</v>
      </c>
    </row>
    <row r="879" spans="1:15">
      <c r="A879" s="308" t="s">
        <v>384</v>
      </c>
      <c r="B879" s="1"/>
      <c r="C879" s="304">
        <f>SUM(C877:C878)</f>
        <v>12</v>
      </c>
      <c r="D879" s="304">
        <v>12</v>
      </c>
      <c r="E879" s="322" t="s">
        <v>31</v>
      </c>
      <c r="F879" s="322"/>
      <c r="G879" s="2" t="s">
        <v>31</v>
      </c>
      <c r="H879" s="2" t="s">
        <v>31</v>
      </c>
      <c r="I879" s="322" t="s">
        <v>31</v>
      </c>
      <c r="J879" s="306"/>
      <c r="K879" s="2" t="s">
        <v>31</v>
      </c>
    </row>
    <row r="880" spans="1:15">
      <c r="A880" s="308" t="s">
        <v>463</v>
      </c>
      <c r="B880" s="1"/>
      <c r="C880" s="304">
        <v>0</v>
      </c>
      <c r="D880" s="304">
        <v>0</v>
      </c>
      <c r="E880" s="322">
        <v>0.83</v>
      </c>
      <c r="F880" s="322"/>
      <c r="G880" s="2">
        <f>ROUND(E880*$C880,0)</f>
        <v>0</v>
      </c>
      <c r="H880" s="2">
        <f>ROUND(E880*$D880,0)</f>
        <v>0</v>
      </c>
      <c r="I880" s="322">
        <f>$I$769</f>
        <v>0.91</v>
      </c>
      <c r="J880" s="306"/>
      <c r="K880" s="2">
        <f>ROUND(I880*$D880,0)</f>
        <v>0</v>
      </c>
    </row>
    <row r="881" spans="1:11">
      <c r="A881" s="308" t="s">
        <v>464</v>
      </c>
      <c r="B881" s="1"/>
      <c r="C881" s="304">
        <v>205024</v>
      </c>
      <c r="D881" s="304">
        <f>ROUND(($D$896/$C$896)*C881,0)</f>
        <v>124257</v>
      </c>
      <c r="E881" s="322">
        <v>0.76</v>
      </c>
      <c r="F881" s="322"/>
      <c r="G881" s="2">
        <f>ROUND(E881*$C881,0)</f>
        <v>155818</v>
      </c>
      <c r="H881" s="2">
        <f>ROUND(E881*$D881,0)</f>
        <v>94435</v>
      </c>
      <c r="I881" s="322">
        <f>$I$770</f>
        <v>0.83</v>
      </c>
      <c r="J881" s="306"/>
      <c r="K881" s="2">
        <f>ROUND(I881*$D881,0)</f>
        <v>103133</v>
      </c>
    </row>
    <row r="882" spans="1:11">
      <c r="A882" s="294" t="s">
        <v>393</v>
      </c>
      <c r="B882" s="1"/>
      <c r="C882" s="304">
        <v>158638</v>
      </c>
      <c r="D882" s="304">
        <f>ROUND(($D$896/$C$896)*C882,0)</f>
        <v>96144</v>
      </c>
      <c r="E882" s="322">
        <v>5.52</v>
      </c>
      <c r="F882" s="322"/>
      <c r="G882" s="2">
        <f>ROUND(E882*$C882,0)</f>
        <v>875682</v>
      </c>
      <c r="H882" s="2">
        <f>ROUND(E882*$D882,0)</f>
        <v>530715</v>
      </c>
      <c r="I882" s="322">
        <f>$I$771</f>
        <v>6.03</v>
      </c>
      <c r="J882" s="306"/>
      <c r="K882" s="2">
        <f>ROUND(I882*$D882,0)</f>
        <v>579748</v>
      </c>
    </row>
    <row r="883" spans="1:11">
      <c r="A883" s="308" t="s">
        <v>416</v>
      </c>
      <c r="B883" s="1"/>
      <c r="C883" s="304"/>
      <c r="D883" s="304"/>
      <c r="E883" s="322" t="s">
        <v>31</v>
      </c>
      <c r="F883" s="322"/>
      <c r="G883" s="2"/>
      <c r="H883" s="2"/>
      <c r="I883" s="322" t="s">
        <v>31</v>
      </c>
      <c r="J883" s="306"/>
      <c r="K883" s="2"/>
    </row>
    <row r="884" spans="1:11">
      <c r="A884" s="308" t="s">
        <v>454</v>
      </c>
      <c r="B884" s="1"/>
      <c r="C884" s="304">
        <f>43689000</f>
        <v>43689000</v>
      </c>
      <c r="D884" s="304">
        <f>ROUND(($D$896/$C$896)*C884,0)</f>
        <v>26478236</v>
      </c>
      <c r="E884" s="380">
        <v>3.2050000000000001</v>
      </c>
      <c r="F884" s="306" t="s">
        <v>364</v>
      </c>
      <c r="G884" s="2">
        <f>ROUND(E884/100*$C884,0)</f>
        <v>1400232</v>
      </c>
      <c r="H884" s="2">
        <f>ROUND(E884/100*$D884,0)</f>
        <v>848627</v>
      </c>
      <c r="I884" s="380">
        <f>$I$773</f>
        <v>3.4990000000000001</v>
      </c>
      <c r="J884" s="306" t="s">
        <v>364</v>
      </c>
      <c r="K884" s="2">
        <f>ROUND(I884/100*$D884,0)</f>
        <v>926473</v>
      </c>
    </row>
    <row r="885" spans="1:11">
      <c r="A885" s="308" t="s">
        <v>390</v>
      </c>
      <c r="B885" s="1"/>
      <c r="C885" s="304">
        <v>22988</v>
      </c>
      <c r="D885" s="304">
        <f>ROUND(($D$896/$C$896)*C885,0)</f>
        <v>13932</v>
      </c>
      <c r="E885" s="322">
        <v>0.45</v>
      </c>
      <c r="F885" s="306"/>
      <c r="G885" s="2">
        <f>ROUND(E885*$C885,0)</f>
        <v>10345</v>
      </c>
      <c r="H885" s="2">
        <f>ROUND(E885*$D885,0)</f>
        <v>6269</v>
      </c>
      <c r="I885" s="322">
        <f>$I$774</f>
        <v>0.45</v>
      </c>
      <c r="J885" s="306"/>
      <c r="K885" s="2">
        <f>ROUND(I885*$D885,0)</f>
        <v>6269</v>
      </c>
    </row>
    <row r="886" spans="1:11">
      <c r="A886" s="345" t="s">
        <v>391</v>
      </c>
      <c r="B886" s="1"/>
      <c r="C886" s="304"/>
      <c r="D886" s="304"/>
      <c r="E886" s="317">
        <v>-0.01</v>
      </c>
      <c r="F886" s="317"/>
      <c r="G886" s="2"/>
      <c r="H886" s="2"/>
      <c r="I886" s="317">
        <f>$I$775</f>
        <v>-0.01</v>
      </c>
      <c r="J886" s="346"/>
      <c r="K886" s="2"/>
    </row>
    <row r="887" spans="1:11">
      <c r="A887" s="308" t="s">
        <v>461</v>
      </c>
      <c r="B887" s="1"/>
      <c r="C887" s="304">
        <v>0</v>
      </c>
      <c r="D887" s="304">
        <v>0</v>
      </c>
      <c r="E887" s="319">
        <f>E877</f>
        <v>1100</v>
      </c>
      <c r="F887" s="319"/>
      <c r="G887" s="306">
        <f>ROUND(E887*$C887*$E$803,0)</f>
        <v>0</v>
      </c>
      <c r="H887" s="306">
        <f>ROUND(E887*$D887*$E$803,0)</f>
        <v>0</v>
      </c>
      <c r="I887" s="319">
        <f>I877</f>
        <v>1205</v>
      </c>
      <c r="J887" s="306"/>
      <c r="K887" s="306">
        <f>ROUND(I887*$D887*$E$803,0)</f>
        <v>0</v>
      </c>
    </row>
    <row r="888" spans="1:11">
      <c r="A888" s="308" t="s">
        <v>462</v>
      </c>
      <c r="B888" s="1"/>
      <c r="C888" s="304">
        <v>12</v>
      </c>
      <c r="D888" s="304">
        <v>12</v>
      </c>
      <c r="E888" s="319">
        <f>E878</f>
        <v>1325</v>
      </c>
      <c r="F888" s="319"/>
      <c r="G888" s="306">
        <f>ROUND(E888*$C888*$E$803,0)</f>
        <v>-159</v>
      </c>
      <c r="H888" s="306">
        <f>ROUND(E888*$D888*$E$803,0)</f>
        <v>-159</v>
      </c>
      <c r="I888" s="319">
        <f>I878</f>
        <v>1450</v>
      </c>
      <c r="J888" s="306"/>
      <c r="K888" s="306">
        <f>ROUND(I888*$D888*$E$803,0)</f>
        <v>-174</v>
      </c>
    </row>
    <row r="889" spans="1:11">
      <c r="A889" s="308" t="s">
        <v>463</v>
      </c>
      <c r="B889" s="1"/>
      <c r="C889" s="304">
        <v>0</v>
      </c>
      <c r="D889" s="304">
        <v>0</v>
      </c>
      <c r="E889" s="319">
        <f>E880</f>
        <v>0.83</v>
      </c>
      <c r="F889" s="319"/>
      <c r="G889" s="306">
        <f>ROUND(E889*$C889*$E$803,0)</f>
        <v>0</v>
      </c>
      <c r="H889" s="306">
        <f>ROUND(E889*$D889*$E$803,0)</f>
        <v>0</v>
      </c>
      <c r="I889" s="319">
        <f>I880</f>
        <v>0.91</v>
      </c>
      <c r="J889" s="306"/>
      <c r="K889" s="306">
        <f>ROUND(I889*$D889*$E$803,0)</f>
        <v>0</v>
      </c>
    </row>
    <row r="890" spans="1:11">
      <c r="A890" s="308" t="s">
        <v>464</v>
      </c>
      <c r="B890" s="1"/>
      <c r="C890" s="304">
        <v>205024</v>
      </c>
      <c r="D890" s="304">
        <f>ROUND(($D$896/$C$896)*C890,0)</f>
        <v>124257</v>
      </c>
      <c r="E890" s="319">
        <f>E881</f>
        <v>0.76</v>
      </c>
      <c r="F890" s="319"/>
      <c r="G890" s="306">
        <f>ROUND(E890*$C890*$E$803,0)</f>
        <v>-1558</v>
      </c>
      <c r="H890" s="306">
        <f>ROUND(E890*$D890*$E$803,0)</f>
        <v>-944</v>
      </c>
      <c r="I890" s="319">
        <f>I881</f>
        <v>0.83</v>
      </c>
      <c r="J890" s="306"/>
      <c r="K890" s="306">
        <f>ROUND(I890*$D890*$E$803,0)</f>
        <v>-1031</v>
      </c>
    </row>
    <row r="891" spans="1:11">
      <c r="A891" s="294" t="s">
        <v>393</v>
      </c>
      <c r="B891" s="365"/>
      <c r="C891" s="304">
        <v>158638</v>
      </c>
      <c r="D891" s="304">
        <f>ROUND(($D$896/$C$896)*C891,0)</f>
        <v>96144</v>
      </c>
      <c r="E891" s="319">
        <f>E882</f>
        <v>5.52</v>
      </c>
      <c r="F891" s="322"/>
      <c r="G891" s="306">
        <f>ROUND(E891*$C891*$E$803,0)</f>
        <v>-8757</v>
      </c>
      <c r="H891" s="306">
        <f>ROUND(E891*$D891*$E$803,0)</f>
        <v>-5307</v>
      </c>
      <c r="I891" s="319">
        <f>I882</f>
        <v>6.03</v>
      </c>
      <c r="J891" s="306"/>
      <c r="K891" s="306">
        <f>ROUND(I891*$D891*$E$803,0)</f>
        <v>-5797</v>
      </c>
    </row>
    <row r="892" spans="1:11">
      <c r="A892" s="308" t="s">
        <v>454</v>
      </c>
      <c r="B892" s="1"/>
      <c r="C892" s="304">
        <f>C884</f>
        <v>43689000</v>
      </c>
      <c r="D892" s="304">
        <f>ROUND(($D$896/$C$896)*C892,0)</f>
        <v>26478236</v>
      </c>
      <c r="E892" s="320">
        <f>E884</f>
        <v>3.2050000000000001</v>
      </c>
      <c r="F892" s="306" t="s">
        <v>364</v>
      </c>
      <c r="G892" s="306">
        <f>ROUND(E892/100*$C892*$E$803,0)</f>
        <v>-14002</v>
      </c>
      <c r="H892" s="306">
        <f>ROUND(E892/100*$D892*$E$803,0)</f>
        <v>-8486</v>
      </c>
      <c r="I892" s="320">
        <f>I884</f>
        <v>3.4990000000000001</v>
      </c>
      <c r="J892" s="306" t="s">
        <v>364</v>
      </c>
      <c r="K892" s="306">
        <f>ROUND(I892/100*$D892*$E$803,0)</f>
        <v>-9265</v>
      </c>
    </row>
    <row r="893" spans="1:11">
      <c r="A893" s="308" t="s">
        <v>390</v>
      </c>
      <c r="B893" s="1"/>
      <c r="C893" s="304">
        <v>22988</v>
      </c>
      <c r="D893" s="304">
        <f>ROUND(($D$896/$C$896)*C893,0)</f>
        <v>13932</v>
      </c>
      <c r="E893" s="369">
        <f>E885</f>
        <v>0.45</v>
      </c>
      <c r="F893" s="306"/>
      <c r="G893" s="306">
        <f>ROUND(E893*$C893*$E$803,0)</f>
        <v>-103</v>
      </c>
      <c r="H893" s="306">
        <f>ROUND(E893*$D893*$E$803,0)</f>
        <v>-63</v>
      </c>
      <c r="I893" s="369">
        <f>I885</f>
        <v>0.45</v>
      </c>
      <c r="J893" s="306"/>
      <c r="K893" s="306">
        <f>ROUND(I893*$D893*$E$803,0)</f>
        <v>-63</v>
      </c>
    </row>
    <row r="894" spans="1:11">
      <c r="A894" s="294" t="s">
        <v>465</v>
      </c>
      <c r="B894" s="1"/>
      <c r="C894" s="304">
        <v>12</v>
      </c>
      <c r="D894" s="304">
        <v>12</v>
      </c>
      <c r="E894" s="322">
        <v>60</v>
      </c>
      <c r="F894" s="322"/>
      <c r="G894" s="306">
        <f>ROUND(E894*$C894,0)</f>
        <v>720</v>
      </c>
      <c r="H894" s="306">
        <f>ROUND(E894*$D894,0)</f>
        <v>720</v>
      </c>
      <c r="I894" s="322">
        <f>$I$783</f>
        <v>60</v>
      </c>
      <c r="J894" s="306"/>
      <c r="K894" s="306">
        <f>ROUND(I894*$D894,0)</f>
        <v>720</v>
      </c>
    </row>
    <row r="895" spans="1:11">
      <c r="A895" s="294" t="s">
        <v>434</v>
      </c>
      <c r="B895" s="1"/>
      <c r="C895" s="304">
        <v>205024</v>
      </c>
      <c r="D895" s="304">
        <f>ROUND(($D$896/$C$896)*C895,0)</f>
        <v>124257</v>
      </c>
      <c r="E895" s="322">
        <v>-0.3</v>
      </c>
      <c r="F895" s="306"/>
      <c r="G895" s="306">
        <f>ROUND(E895*$C895,0)</f>
        <v>-61507</v>
      </c>
      <c r="H895" s="306">
        <f>ROUND(E895*$D895,0)</f>
        <v>-37277</v>
      </c>
      <c r="I895" s="322">
        <f>$I$784</f>
        <v>-0.75</v>
      </c>
      <c r="J895" s="306"/>
      <c r="K895" s="306">
        <f>ROUND(I895*$D895,0)</f>
        <v>-93193</v>
      </c>
    </row>
    <row r="896" spans="1:11">
      <c r="A896" s="1" t="s">
        <v>371</v>
      </c>
      <c r="B896" s="1"/>
      <c r="C896" s="304">
        <f>C884</f>
        <v>43689000</v>
      </c>
      <c r="D896" s="304">
        <v>26478236.454041336</v>
      </c>
      <c r="E896" s="315"/>
      <c r="F896" s="2"/>
      <c r="G896" s="2">
        <f>SUM(G877:G895)</f>
        <v>2372611</v>
      </c>
      <c r="H896" s="2">
        <f>SUM(H877:H895)</f>
        <v>1444430</v>
      </c>
      <c r="I896" s="315"/>
      <c r="J896" s="1"/>
      <c r="K896" s="2">
        <f>SUM(K877:K895)</f>
        <v>1524220</v>
      </c>
    </row>
    <row r="897" spans="1:24">
      <c r="A897" s="1" t="s">
        <v>353</v>
      </c>
      <c r="B897" s="1"/>
      <c r="C897" s="304">
        <v>-984756.22694993159</v>
      </c>
      <c r="D897" s="304">
        <v>0</v>
      </c>
      <c r="E897" s="294"/>
      <c r="F897" s="294"/>
      <c r="G897" s="326">
        <v>-45079.171949096344</v>
      </c>
      <c r="H897" s="326">
        <v>0</v>
      </c>
      <c r="I897" s="294"/>
      <c r="J897" s="294"/>
      <c r="K897" s="326">
        <v>0</v>
      </c>
      <c r="M897" s="274"/>
      <c r="N897" s="274"/>
      <c r="O897" s="275"/>
    </row>
    <row r="898" spans="1:24" ht="16.5" thickBot="1">
      <c r="A898" s="1" t="s">
        <v>372</v>
      </c>
      <c r="B898" s="1"/>
      <c r="C898" s="378">
        <f>SUM(C896)+C897</f>
        <v>42704243.77305007</v>
      </c>
      <c r="D898" s="378">
        <f>SUM(D884)+D897</f>
        <v>26478236</v>
      </c>
      <c r="E898" s="327"/>
      <c r="F898" s="328"/>
      <c r="G898" s="329">
        <f>G896+G897</f>
        <v>2327531.8280509035</v>
      </c>
      <c r="H898" s="329">
        <f>H896+H897</f>
        <v>1444430</v>
      </c>
      <c r="I898" s="327"/>
      <c r="J898" s="330"/>
      <c r="K898" s="329">
        <f>K896+K897</f>
        <v>1524220</v>
      </c>
      <c r="M898" s="276"/>
      <c r="N898" s="276"/>
      <c r="O898" s="277"/>
    </row>
    <row r="899" spans="1:24" ht="16.5" thickTop="1">
      <c r="A899" s="1"/>
      <c r="B899" s="1"/>
      <c r="C899" s="21"/>
      <c r="D899" s="21"/>
      <c r="E899" s="322"/>
      <c r="F899" s="2"/>
      <c r="G899" s="2"/>
      <c r="H899" s="2"/>
      <c r="I899" s="338" t="s">
        <v>31</v>
      </c>
      <c r="J899" s="1"/>
      <c r="K899" s="2" t="s">
        <v>31</v>
      </c>
    </row>
    <row r="900" spans="1:24">
      <c r="A900" s="278" t="s">
        <v>472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473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262"/>
      <c r="N901" s="262"/>
      <c r="O901" s="262"/>
      <c r="P901" s="262"/>
      <c r="Q901" s="262"/>
      <c r="R901" s="262"/>
      <c r="S901" s="262"/>
      <c r="T901" s="262"/>
      <c r="U901" s="262"/>
      <c r="V901" s="262"/>
      <c r="W901" s="262"/>
      <c r="X901" s="262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262"/>
      <c r="N902" s="262"/>
      <c r="O902" s="262"/>
      <c r="P902" s="262"/>
      <c r="Q902" s="262"/>
      <c r="R902" s="262"/>
      <c r="S902" s="262"/>
      <c r="T902" s="262"/>
      <c r="U902" s="262"/>
      <c r="V902" s="262"/>
      <c r="W902" s="262"/>
      <c r="X902" s="262"/>
    </row>
    <row r="903" spans="1:24">
      <c r="A903" s="1" t="s">
        <v>474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262"/>
      <c r="N903" s="262"/>
      <c r="O903" s="262"/>
      <c r="Q903" s="382"/>
      <c r="R903" s="265"/>
      <c r="S903" s="266"/>
      <c r="T903" s="267"/>
      <c r="U903" s="263"/>
      <c r="V903" s="263"/>
      <c r="W903" s="263"/>
      <c r="X903" s="263"/>
    </row>
    <row r="904" spans="1:24">
      <c r="A904" s="3" t="s">
        <v>348</v>
      </c>
      <c r="C904" s="249">
        <f>15247</f>
        <v>15247</v>
      </c>
      <c r="D904" s="249">
        <f>ROUND(($D$909/$C$909)*C904,0)</f>
        <v>15700</v>
      </c>
      <c r="E904" s="250">
        <v>7.61</v>
      </c>
      <c r="G904" s="2">
        <f>ROUND(E904*$C904,0)</f>
        <v>116030</v>
      </c>
      <c r="H904" s="2">
        <f>ROUND(E904*$D904,0)</f>
        <v>119477</v>
      </c>
      <c r="I904" s="250">
        <v>7.61</v>
      </c>
      <c r="K904" s="2">
        <f>ROUND(I904*$D904,0)</f>
        <v>119477</v>
      </c>
      <c r="M904" s="84">
        <f>I904*D904</f>
        <v>119477</v>
      </c>
      <c r="O904" s="383">
        <v>31</v>
      </c>
      <c r="P904" s="384">
        <f>O904*D904</f>
        <v>486700</v>
      </c>
      <c r="Q904" s="385" t="e">
        <f>$P$910*O904</f>
        <v>#REF!</v>
      </c>
      <c r="R904" s="386" t="e">
        <f>ROUND(E904+Q904,2)</f>
        <v>#REF!</v>
      </c>
      <c r="S904" s="269"/>
      <c r="T904" s="263"/>
      <c r="U904" s="266"/>
      <c r="V904" s="266"/>
      <c r="W904" s="270"/>
      <c r="X904" s="266"/>
    </row>
    <row r="905" spans="1:24">
      <c r="A905" s="3" t="s">
        <v>475</v>
      </c>
      <c r="C905" s="249">
        <f>14583</f>
        <v>14583</v>
      </c>
      <c r="D905" s="249">
        <f>ROUND(($D$909/$C$909)*C905,0)</f>
        <v>15016</v>
      </c>
      <c r="E905" s="250">
        <v>9.1300000000000008</v>
      </c>
      <c r="G905" s="2">
        <f>ROUND(E905*$C905,0)</f>
        <v>133143</v>
      </c>
      <c r="H905" s="2">
        <f>ROUND(E905*$D905,0)</f>
        <v>137096</v>
      </c>
      <c r="I905" s="250">
        <v>9.1300000000000008</v>
      </c>
      <c r="K905" s="2">
        <f>ROUND(I905*$D905,0)</f>
        <v>137096</v>
      </c>
      <c r="M905" s="84">
        <f>I905*D905</f>
        <v>137096.08000000002</v>
      </c>
      <c r="O905" s="387">
        <v>44</v>
      </c>
      <c r="P905" s="74">
        <f>O905*D905</f>
        <v>660704</v>
      </c>
      <c r="Q905" s="388" t="e">
        <f>$P$910*O905</f>
        <v>#REF!</v>
      </c>
      <c r="R905" s="389" t="e">
        <f>ROUND(E905+Q905,2)</f>
        <v>#REF!</v>
      </c>
      <c r="S905" s="263"/>
      <c r="T905" s="263"/>
      <c r="U905" s="266"/>
      <c r="V905" s="266"/>
      <c r="W905" s="270"/>
      <c r="X905" s="266"/>
    </row>
    <row r="906" spans="1:24">
      <c r="A906" s="3" t="s">
        <v>349</v>
      </c>
      <c r="C906" s="249">
        <f>17554</f>
        <v>17554</v>
      </c>
      <c r="D906" s="249">
        <f>ROUND(($D$909/$C$909)*C906,0)</f>
        <v>18075</v>
      </c>
      <c r="E906" s="250">
        <v>13.33</v>
      </c>
      <c r="G906" s="2">
        <f>ROUND(E906*$C906,0)</f>
        <v>233995</v>
      </c>
      <c r="H906" s="2">
        <f>ROUND(E906*$D906,0)</f>
        <v>240940</v>
      </c>
      <c r="I906" s="250">
        <v>13.33</v>
      </c>
      <c r="K906" s="2">
        <f>ROUND(I906*$D906,0)</f>
        <v>240940</v>
      </c>
      <c r="M906" s="84">
        <f>I906*D906</f>
        <v>240939.75</v>
      </c>
      <c r="O906" s="387">
        <v>85</v>
      </c>
      <c r="P906" s="74">
        <f>O906*D906</f>
        <v>1536375</v>
      </c>
      <c r="Q906" s="388" t="e">
        <f>$P$910*O906</f>
        <v>#REF!</v>
      </c>
      <c r="R906" s="389" t="e">
        <f>ROUND(E906+Q906,2)</f>
        <v>#REF!</v>
      </c>
      <c r="S906" s="263"/>
      <c r="T906" s="263"/>
      <c r="U906" s="266"/>
      <c r="V906" s="266"/>
      <c r="W906" s="270"/>
      <c r="X906" s="266"/>
    </row>
    <row r="907" spans="1:24">
      <c r="A907" s="3" t="s">
        <v>350</v>
      </c>
      <c r="C907" s="249">
        <f>1478</f>
        <v>1478</v>
      </c>
      <c r="D907" s="249">
        <f>ROUND(($D$909/$C$909)*C907,0)</f>
        <v>1522</v>
      </c>
      <c r="E907" s="250">
        <v>22.32</v>
      </c>
      <c r="G907" s="2">
        <f>ROUND(E907*$C907,0)</f>
        <v>32989</v>
      </c>
      <c r="H907" s="2">
        <f>ROUND(E907*$D907,0)</f>
        <v>33971</v>
      </c>
      <c r="I907" s="250">
        <v>22.32</v>
      </c>
      <c r="K907" s="2">
        <f>ROUND(I907*$D907,0)</f>
        <v>33971</v>
      </c>
      <c r="M907" s="84">
        <f>I907*D907</f>
        <v>33971.040000000001</v>
      </c>
      <c r="O907" s="387">
        <v>176</v>
      </c>
      <c r="P907" s="74">
        <f>O907*D907</f>
        <v>267872</v>
      </c>
      <c r="Q907" s="388" t="e">
        <f>$P$910*O907</f>
        <v>#REF!</v>
      </c>
      <c r="R907" s="389" t="e">
        <f>ROUND(E907+Q907,2)</f>
        <v>#REF!</v>
      </c>
      <c r="S907" s="263"/>
      <c r="T907" s="263"/>
      <c r="U907" s="266"/>
      <c r="V907" s="266"/>
      <c r="W907" s="270"/>
      <c r="X907" s="266"/>
    </row>
    <row r="908" spans="1:24">
      <c r="A908" s="3" t="s">
        <v>352</v>
      </c>
      <c r="C908" s="249">
        <f>178*12</f>
        <v>2136</v>
      </c>
      <c r="D908" s="249">
        <v>1874</v>
      </c>
      <c r="E908" s="250"/>
      <c r="G908" s="2"/>
      <c r="H908" s="2"/>
      <c r="I908" s="250"/>
      <c r="K908" s="2"/>
      <c r="O908" s="387"/>
      <c r="P908" s="74">
        <f>SUM(P904:P907)</f>
        <v>2951651</v>
      </c>
      <c r="Q908" s="388"/>
      <c r="R908" s="389"/>
      <c r="S908" s="263"/>
      <c r="T908" s="263"/>
      <c r="U908" s="266"/>
      <c r="V908" s="266"/>
      <c r="W908" s="266"/>
      <c r="X908" s="266"/>
    </row>
    <row r="909" spans="1:24">
      <c r="A909" s="3" t="s">
        <v>371</v>
      </c>
      <c r="C909" s="249">
        <v>2866398.1098855259</v>
      </c>
      <c r="D909" s="249">
        <v>2951534.6465794938</v>
      </c>
      <c r="E909" s="254"/>
      <c r="F909" s="20"/>
      <c r="G909" s="257">
        <f>SUM(G904:G907)</f>
        <v>516157</v>
      </c>
      <c r="H909" s="257">
        <f>SUM(H904:H907)</f>
        <v>531484</v>
      </c>
      <c r="I909" s="254"/>
      <c r="J909" s="20"/>
      <c r="K909" s="257">
        <f>SUM(K904:K907)</f>
        <v>531484</v>
      </c>
      <c r="M909" s="84">
        <f>SUM(M904:M908)</f>
        <v>531483.87</v>
      </c>
      <c r="O909" s="387"/>
      <c r="P909" s="390" t="e">
        <f>O911-H911</f>
        <v>#REF!</v>
      </c>
      <c r="Q909" s="20"/>
      <c r="R909" s="391"/>
      <c r="S909" s="263"/>
      <c r="T909" s="263"/>
      <c r="U909" s="273"/>
      <c r="V909" s="263"/>
      <c r="W909" s="263"/>
      <c r="X909" s="263"/>
    </row>
    <row r="910" spans="1:24">
      <c r="A910" s="3" t="s">
        <v>353</v>
      </c>
      <c r="C910" s="249">
        <v>35840.593415054755</v>
      </c>
      <c r="D910" s="249">
        <v>0</v>
      </c>
      <c r="E910" s="254"/>
      <c r="F910" s="20"/>
      <c r="G910" s="257">
        <v>6155.2420195719942</v>
      </c>
      <c r="H910" s="257">
        <v>0</v>
      </c>
      <c r="I910" s="254"/>
      <c r="J910" s="20"/>
      <c r="K910" s="257">
        <v>0</v>
      </c>
      <c r="M910" s="274"/>
      <c r="N910" s="274"/>
      <c r="O910" s="392"/>
      <c r="P910" s="393" t="e">
        <f>P909/P908</f>
        <v>#REF!</v>
      </c>
      <c r="Q910" s="113"/>
      <c r="R910" s="394"/>
      <c r="S910" s="266"/>
      <c r="T910" s="263"/>
      <c r="U910" s="20"/>
      <c r="V910" s="20"/>
      <c r="W910" s="20"/>
      <c r="X910" s="20"/>
    </row>
    <row r="911" spans="1:24" ht="16.5" thickBot="1">
      <c r="A911" s="3" t="s">
        <v>9</v>
      </c>
      <c r="C911" s="258">
        <f>C909+C910</f>
        <v>2902238.7033005808</v>
      </c>
      <c r="D911" s="258">
        <f>D909+D910</f>
        <v>2951534.6465794938</v>
      </c>
      <c r="E911" s="259"/>
      <c r="F911" s="259"/>
      <c r="G911" s="259">
        <f>G909+G910</f>
        <v>522312.242019572</v>
      </c>
      <c r="H911" s="259">
        <f>H909+H910</f>
        <v>531484</v>
      </c>
      <c r="I911" s="259"/>
      <c r="J911" s="259"/>
      <c r="K911" s="259">
        <f>K909+K910</f>
        <v>531484</v>
      </c>
      <c r="M911" s="276"/>
      <c r="N911" s="262" t="s">
        <v>399</v>
      </c>
      <c r="O911" s="395" t="e">
        <f>#REF!*1000</f>
        <v>#REF!</v>
      </c>
      <c r="P911" s="262"/>
      <c r="S911" s="263"/>
      <c r="T911" s="263"/>
      <c r="U911" s="20"/>
      <c r="V911" s="20"/>
      <c r="W911" s="20"/>
      <c r="X911" s="20"/>
    </row>
    <row r="912" spans="1:24" ht="16.5" thickTop="1">
      <c r="A912" s="1"/>
      <c r="B912" s="1"/>
      <c r="C912" s="21"/>
      <c r="D912" s="21"/>
      <c r="E912" s="21"/>
      <c r="F912" s="21"/>
      <c r="G912" s="2"/>
      <c r="H912" s="2"/>
      <c r="I912" s="21" t="s">
        <v>31</v>
      </c>
      <c r="J912" s="21"/>
      <c r="K912" s="2" t="s">
        <v>31</v>
      </c>
      <c r="M912" s="262"/>
      <c r="N912" s="262" t="s">
        <v>257</v>
      </c>
      <c r="O912" s="396" t="e">
        <f>O911-K911</f>
        <v>#REF!</v>
      </c>
      <c r="P912" s="14" t="e">
        <f>(O911-K911)/K911</f>
        <v>#REF!</v>
      </c>
      <c r="Q912" s="262"/>
      <c r="R912" s="262"/>
      <c r="S912" s="262"/>
      <c r="T912" s="262"/>
    </row>
    <row r="913" spans="1:24">
      <c r="A913" s="278" t="s">
        <v>476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262"/>
      <c r="N913" s="262"/>
      <c r="O913" s="275"/>
      <c r="P913" s="262"/>
      <c r="T913" s="262"/>
      <c r="U913" s="262"/>
      <c r="V913" s="262"/>
      <c r="W913" s="262"/>
      <c r="X913" s="262"/>
    </row>
    <row r="914" spans="1:24">
      <c r="A914" s="1" t="s">
        <v>477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262"/>
      <c r="U914" s="262"/>
      <c r="V914" s="262"/>
      <c r="W914" s="262"/>
      <c r="X914" s="262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262"/>
      <c r="U915" s="262"/>
      <c r="V915" s="262"/>
      <c r="W915" s="262"/>
      <c r="X915" s="262"/>
    </row>
    <row r="916" spans="1:24">
      <c r="A916" s="1" t="s">
        <v>478</v>
      </c>
      <c r="B916" s="1"/>
      <c r="C916" s="21"/>
      <c r="D916" s="21"/>
      <c r="E916" s="283"/>
      <c r="F916" s="1"/>
      <c r="G916" s="397">
        <v>30454.32</v>
      </c>
      <c r="H916" s="397">
        <v>30454.32</v>
      </c>
      <c r="I916" s="283"/>
      <c r="J916" s="1"/>
      <c r="K916" s="2">
        <f>G916</f>
        <v>30454.32</v>
      </c>
      <c r="M916" s="84">
        <f>K916</f>
        <v>30454.32</v>
      </c>
      <c r="N916" s="20"/>
      <c r="O916" s="74"/>
      <c r="P916" s="74"/>
      <c r="Q916" s="20"/>
      <c r="R916" s="20"/>
      <c r="S916" s="20"/>
      <c r="T916" s="20"/>
      <c r="U916" s="20"/>
      <c r="V916" s="20"/>
      <c r="W916" s="20"/>
      <c r="X916" s="20"/>
    </row>
    <row r="917" spans="1:24">
      <c r="A917" s="1" t="s">
        <v>479</v>
      </c>
      <c r="B917" s="1"/>
      <c r="C917" s="249">
        <f>460481</f>
        <v>460481</v>
      </c>
      <c r="D917" s="304">
        <f>ROUND(($D$920/$C$920)*C917,0)</f>
        <v>453966</v>
      </c>
      <c r="E917" s="398">
        <v>6.4050000000000002</v>
      </c>
      <c r="F917" s="1" t="s">
        <v>364</v>
      </c>
      <c r="G917" s="399">
        <f>ROUND(C917*E917/100,0)</f>
        <v>29494</v>
      </c>
      <c r="H917" s="399">
        <f>ROUND(D917*E917/100,0)</f>
        <v>29077</v>
      </c>
      <c r="I917" s="398">
        <v>6.4050000000000002</v>
      </c>
      <c r="J917" s="1" t="s">
        <v>364</v>
      </c>
      <c r="K917" s="2">
        <f>ROUND(I917*D917/100,0)</f>
        <v>29077</v>
      </c>
      <c r="M917" s="84">
        <f>(I917/100)*D917</f>
        <v>29076.522299999997</v>
      </c>
      <c r="N917" s="20"/>
      <c r="O917" s="74"/>
      <c r="P917" s="74"/>
      <c r="Q917" s="20"/>
      <c r="R917" s="20"/>
      <c r="S917" s="20"/>
      <c r="T917" s="20"/>
      <c r="U917" s="20"/>
      <c r="V917" s="20"/>
      <c r="W917" s="20"/>
      <c r="X917" s="20"/>
    </row>
    <row r="918" spans="1:24">
      <c r="A918" s="1" t="s">
        <v>480</v>
      </c>
      <c r="B918" s="1"/>
      <c r="C918" s="249">
        <v>0</v>
      </c>
      <c r="D918" s="304">
        <f>ROUND(($D$920/$C$920)*C918,0)</f>
        <v>0</v>
      </c>
      <c r="E918" s="398">
        <v>7.1669999999999998</v>
      </c>
      <c r="F918" s="1" t="s">
        <v>364</v>
      </c>
      <c r="G918" s="399">
        <f>ROUND(C918*E918/100,0)</f>
        <v>0</v>
      </c>
      <c r="H918" s="399">
        <f>ROUND(D918*E918/100,0)</f>
        <v>0</v>
      </c>
      <c r="I918" s="398">
        <v>7.1669999999999998</v>
      </c>
      <c r="J918" s="1" t="s">
        <v>364</v>
      </c>
      <c r="K918" s="2">
        <f>ROUND(I918*D918/100,0)</f>
        <v>0</v>
      </c>
      <c r="M918" s="84">
        <f>(I918/100)*D918</f>
        <v>0</v>
      </c>
      <c r="N918" s="20"/>
      <c r="O918" s="74"/>
      <c r="P918" s="20"/>
      <c r="Q918" s="20"/>
      <c r="R918" s="20"/>
      <c r="S918" s="20"/>
      <c r="T918" s="20"/>
      <c r="U918" s="20"/>
      <c r="V918" s="20"/>
      <c r="W918" s="20"/>
      <c r="X918" s="20"/>
    </row>
    <row r="919" spans="1:24">
      <c r="A919" s="1" t="s">
        <v>352</v>
      </c>
      <c r="B919" s="1"/>
      <c r="C919" s="249">
        <f>30*12</f>
        <v>360</v>
      </c>
      <c r="D919" s="304">
        <v>241</v>
      </c>
      <c r="E919" s="400"/>
      <c r="F919" s="1"/>
      <c r="G919" s="2"/>
      <c r="H919" s="2"/>
      <c r="I919" s="400"/>
      <c r="J919" s="1"/>
      <c r="K919" s="2"/>
      <c r="M919" s="20"/>
      <c r="N919" s="20"/>
      <c r="O919" s="74"/>
      <c r="P919" s="74"/>
      <c r="Q919" s="20"/>
      <c r="R919" s="20"/>
      <c r="S919" s="20"/>
      <c r="T919" s="20"/>
      <c r="U919" s="20"/>
      <c r="V919" s="20"/>
      <c r="W919" s="20"/>
      <c r="X919" s="20"/>
    </row>
    <row r="920" spans="1:24">
      <c r="A920" s="3" t="s">
        <v>481</v>
      </c>
      <c r="C920" s="249">
        <f>SUM(C917:C918)</f>
        <v>460481</v>
      </c>
      <c r="D920" s="249">
        <v>453965.95876460936</v>
      </c>
      <c r="E920" s="254"/>
      <c r="F920" s="20"/>
      <c r="G920" s="257">
        <f>SUM(G916:G918)</f>
        <v>59948.32</v>
      </c>
      <c r="H920" s="257">
        <f>SUM(H916:H918)</f>
        <v>59531.32</v>
      </c>
      <c r="I920" s="254"/>
      <c r="J920" s="20"/>
      <c r="K920" s="257">
        <f>SUM(K916:K918)</f>
        <v>59531.32</v>
      </c>
      <c r="M920" s="401">
        <f>SUM(M916:M919)</f>
        <v>59530.842299999997</v>
      </c>
      <c r="N920" s="20"/>
      <c r="O920" s="74"/>
      <c r="P920" s="74"/>
      <c r="Q920" s="20"/>
      <c r="R920" s="20"/>
      <c r="S920" s="20"/>
      <c r="T920" s="20"/>
      <c r="U920" s="20"/>
      <c r="V920" s="20"/>
      <c r="W920" s="20"/>
      <c r="X920" s="20"/>
    </row>
    <row r="921" spans="1:24">
      <c r="A921" s="3" t="s">
        <v>482</v>
      </c>
      <c r="C921" s="249">
        <v>5757.7672357238089</v>
      </c>
      <c r="D921" s="249">
        <v>0</v>
      </c>
      <c r="E921" s="254"/>
      <c r="F921" s="20"/>
      <c r="G921" s="257">
        <v>721.95019570943907</v>
      </c>
      <c r="H921" s="257">
        <v>0</v>
      </c>
      <c r="I921" s="254"/>
      <c r="J921" s="20"/>
      <c r="K921" s="257">
        <v>0</v>
      </c>
      <c r="M921" s="274"/>
      <c r="N921" s="274"/>
      <c r="O921" s="275"/>
      <c r="P921" s="74"/>
      <c r="S921" s="20"/>
      <c r="T921" s="20"/>
      <c r="U921" s="20"/>
      <c r="V921" s="20"/>
      <c r="W921" s="20"/>
      <c r="X921" s="20"/>
    </row>
    <row r="922" spans="1:24" ht="16.5" thickBot="1">
      <c r="A922" s="1" t="s">
        <v>9</v>
      </c>
      <c r="B922" s="1"/>
      <c r="C922" s="378">
        <f>C920+C921</f>
        <v>466238.76723572379</v>
      </c>
      <c r="D922" s="378">
        <f>D920+D921</f>
        <v>453965.95876460936</v>
      </c>
      <c r="E922" s="402"/>
      <c r="F922" s="403"/>
      <c r="G922" s="259">
        <f>G920+G921</f>
        <v>60670.27019570944</v>
      </c>
      <c r="H922" s="259">
        <f>H920+H921</f>
        <v>59531.32</v>
      </c>
      <c r="I922" s="402"/>
      <c r="J922" s="403"/>
      <c r="K922" s="259">
        <f>K920+K921</f>
        <v>59531.32</v>
      </c>
      <c r="M922" s="276"/>
      <c r="N922" s="262" t="s">
        <v>399</v>
      </c>
      <c r="O922" s="401" t="e">
        <f>#REF!*1000</f>
        <v>#REF!</v>
      </c>
      <c r="P922" s="74"/>
      <c r="S922" s="20"/>
      <c r="T922" s="20"/>
      <c r="U922" s="20"/>
      <c r="V922" s="20"/>
      <c r="W922" s="20"/>
      <c r="X922" s="20"/>
    </row>
    <row r="923" spans="1:24" ht="16.5" thickTop="1">
      <c r="A923" s="1"/>
      <c r="B923" s="1"/>
      <c r="C923" s="1"/>
      <c r="D923" s="1"/>
      <c r="E923" s="404"/>
      <c r="F923" s="1"/>
      <c r="G923" s="1"/>
      <c r="H923" s="1"/>
      <c r="I923" s="404" t="s">
        <v>31</v>
      </c>
      <c r="J923" s="1"/>
      <c r="K923" s="2" t="s">
        <v>31</v>
      </c>
      <c r="M923" s="20"/>
      <c r="N923" s="262" t="s">
        <v>257</v>
      </c>
      <c r="O923" s="401" t="e">
        <f>O922-K922</f>
        <v>#REF!</v>
      </c>
      <c r="P923" s="14" t="e">
        <f>(O922-K922)/K922</f>
        <v>#REF!</v>
      </c>
      <c r="Q923" s="20"/>
      <c r="R923" s="20"/>
      <c r="S923" s="20"/>
      <c r="T923" s="20"/>
      <c r="U923" s="20"/>
      <c r="V923" s="20"/>
      <c r="W923" s="20"/>
      <c r="X923" s="20"/>
    </row>
    <row r="924" spans="1:24">
      <c r="A924" s="278" t="s">
        <v>483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20"/>
      <c r="N924" s="20"/>
      <c r="O924" s="74"/>
      <c r="P924" s="405"/>
      <c r="Q924" s="20"/>
      <c r="R924" s="20"/>
      <c r="S924" s="20"/>
      <c r="T924" s="20"/>
      <c r="U924" s="20"/>
      <c r="V924" s="20"/>
      <c r="W924" s="20"/>
      <c r="X924" s="20"/>
    </row>
    <row r="925" spans="1:24">
      <c r="A925" s="1" t="s">
        <v>484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20"/>
      <c r="N925" s="20"/>
      <c r="O925" s="74"/>
      <c r="P925" s="74"/>
      <c r="Q925" s="20"/>
      <c r="R925" s="20"/>
      <c r="S925" s="20"/>
      <c r="T925" s="20"/>
      <c r="U925" s="20"/>
      <c r="V925" s="20"/>
      <c r="W925" s="20"/>
      <c r="X925" s="20"/>
    </row>
    <row r="926" spans="1:24">
      <c r="A926" s="1"/>
      <c r="B926" s="1"/>
      <c r="C926" s="1"/>
      <c r="D926" s="1"/>
      <c r="E926" s="404"/>
      <c r="F926" s="1"/>
      <c r="G926" s="1"/>
      <c r="H926" s="1"/>
      <c r="I926" s="404"/>
      <c r="J926" s="1"/>
      <c r="K926" s="1"/>
      <c r="M926" s="20"/>
      <c r="N926" s="20"/>
      <c r="O926" s="74"/>
      <c r="P926" s="74"/>
      <c r="Q926" s="20"/>
      <c r="R926" s="20"/>
      <c r="S926" s="20"/>
      <c r="T926" s="20"/>
      <c r="U926" s="20"/>
      <c r="V926" s="20"/>
      <c r="W926" s="20"/>
      <c r="X926" s="20"/>
    </row>
    <row r="927" spans="1:24">
      <c r="A927" s="1" t="s">
        <v>478</v>
      </c>
      <c r="B927" s="1"/>
      <c r="C927" s="21"/>
      <c r="D927" s="21"/>
      <c r="E927" s="283"/>
      <c r="F927" s="1"/>
      <c r="G927" s="397">
        <f t="shared" ref="G927:H929" si="72">G938+G949</f>
        <v>2349.2199999999998</v>
      </c>
      <c r="H927" s="397">
        <f t="shared" si="72"/>
        <v>2349.2199999999998</v>
      </c>
      <c r="I927" s="283"/>
      <c r="J927" s="1"/>
      <c r="K927" s="2">
        <f>G927</f>
        <v>2349.2199999999998</v>
      </c>
      <c r="M927" s="401">
        <f>K927</f>
        <v>2349.2199999999998</v>
      </c>
      <c r="N927" s="20"/>
      <c r="O927" s="74"/>
      <c r="P927" s="74"/>
      <c r="Q927" s="20"/>
      <c r="R927" s="20"/>
      <c r="S927" s="20"/>
      <c r="T927" s="20"/>
      <c r="U927" s="20"/>
      <c r="V927" s="20"/>
      <c r="W927" s="20"/>
      <c r="X927" s="20"/>
    </row>
    <row r="928" spans="1:24">
      <c r="A928" s="1" t="s">
        <v>485</v>
      </c>
      <c r="B928" s="1"/>
      <c r="C928" s="249">
        <f t="shared" ref="C928:D932" si="73">C939+C950</f>
        <v>127219</v>
      </c>
      <c r="D928" s="249">
        <f t="shared" si="73"/>
        <v>128106</v>
      </c>
      <c r="E928" s="398">
        <v>6.1459999999999999</v>
      </c>
      <c r="F928" s="1" t="s">
        <v>364</v>
      </c>
      <c r="G928" s="399">
        <f t="shared" si="72"/>
        <v>7819</v>
      </c>
      <c r="H928" s="399">
        <f t="shared" si="72"/>
        <v>7873</v>
      </c>
      <c r="I928" s="398">
        <v>6.1459999999999999</v>
      </c>
      <c r="J928" s="1" t="s">
        <v>364</v>
      </c>
      <c r="K928" s="2">
        <f>K939+K950</f>
        <v>7873</v>
      </c>
      <c r="M928" s="84">
        <f>(I928/100)*D928</f>
        <v>7873.3947600000001</v>
      </c>
      <c r="N928" s="20"/>
      <c r="O928" s="74"/>
      <c r="P928" s="74"/>
      <c r="Q928" s="20"/>
      <c r="R928" s="20"/>
      <c r="S928" s="20"/>
      <c r="T928" s="20"/>
      <c r="U928" s="20"/>
      <c r="V928" s="20"/>
      <c r="W928" s="20"/>
      <c r="X928" s="20"/>
    </row>
    <row r="929" spans="1:24">
      <c r="A929" s="1" t="s">
        <v>486</v>
      </c>
      <c r="B929" s="1"/>
      <c r="C929" s="249">
        <f t="shared" si="73"/>
        <v>4317144</v>
      </c>
      <c r="D929" s="249">
        <f t="shared" si="73"/>
        <v>4311224</v>
      </c>
      <c r="E929" s="406">
        <f>E928</f>
        <v>6.1459999999999999</v>
      </c>
      <c r="F929" s="1" t="s">
        <v>364</v>
      </c>
      <c r="G929" s="399">
        <f t="shared" si="72"/>
        <v>265332</v>
      </c>
      <c r="H929" s="399">
        <f t="shared" si="72"/>
        <v>264968</v>
      </c>
      <c r="I929" s="406">
        <f>I928</f>
        <v>6.1459999999999999</v>
      </c>
      <c r="J929" s="1" t="s">
        <v>364</v>
      </c>
      <c r="K929" s="2">
        <f>K940+K951</f>
        <v>264968</v>
      </c>
      <c r="M929" s="84">
        <f>(I929/100)*D929</f>
        <v>264967.82704</v>
      </c>
      <c r="N929" s="20"/>
      <c r="O929" s="74"/>
      <c r="P929" s="74"/>
      <c r="Q929" s="20"/>
      <c r="R929" s="20"/>
      <c r="S929" s="20"/>
      <c r="T929" s="20"/>
      <c r="U929" s="20"/>
      <c r="V929" s="20"/>
      <c r="W929" s="20"/>
      <c r="X929" s="20"/>
    </row>
    <row r="930" spans="1:24">
      <c r="A930" s="1" t="s">
        <v>352</v>
      </c>
      <c r="B930" s="1"/>
      <c r="C930" s="249">
        <f t="shared" si="73"/>
        <v>3268</v>
      </c>
      <c r="D930" s="249">
        <f t="shared" si="73"/>
        <v>3401</v>
      </c>
      <c r="E930" s="400"/>
      <c r="F930" s="1"/>
      <c r="G930" s="2"/>
      <c r="H930" s="2"/>
      <c r="I930" s="400"/>
      <c r="J930" s="1"/>
      <c r="K930" s="2"/>
      <c r="M930" s="20"/>
      <c r="N930" s="20"/>
      <c r="O930" s="74"/>
      <c r="P930" s="74"/>
      <c r="Q930" s="20"/>
      <c r="R930" s="20"/>
      <c r="S930" s="20"/>
      <c r="T930" s="20"/>
      <c r="U930" s="20"/>
      <c r="V930" s="20"/>
      <c r="W930" s="20"/>
      <c r="X930" s="20"/>
    </row>
    <row r="931" spans="1:24">
      <c r="A931" s="3" t="s">
        <v>481</v>
      </c>
      <c r="C931" s="249">
        <f t="shared" si="73"/>
        <v>4444363</v>
      </c>
      <c r="D931" s="249">
        <f t="shared" si="73"/>
        <v>4439329.75109665</v>
      </c>
      <c r="E931" s="254"/>
      <c r="F931" s="20"/>
      <c r="G931" s="257">
        <f>G942+G953</f>
        <v>275500.21999999997</v>
      </c>
      <c r="H931" s="257">
        <f>H942+H953</f>
        <v>275190.21999999997</v>
      </c>
      <c r="I931" s="254"/>
      <c r="J931" s="20"/>
      <c r="K931" s="257">
        <f>K942+K953</f>
        <v>275190.21999999997</v>
      </c>
      <c r="M931" s="401">
        <f>SUM(M927:M930)</f>
        <v>275190.44180000003</v>
      </c>
      <c r="N931" s="20"/>
      <c r="O931" s="74"/>
      <c r="P931" s="74"/>
      <c r="Q931" s="20"/>
      <c r="R931" s="20"/>
      <c r="S931" s="20"/>
      <c r="T931" s="20"/>
      <c r="U931" s="20"/>
      <c r="V931" s="20"/>
      <c r="W931" s="20"/>
      <c r="X931" s="20"/>
    </row>
    <row r="932" spans="1:24">
      <c r="A932" s="3" t="s">
        <v>482</v>
      </c>
      <c r="C932" s="249">
        <f t="shared" si="73"/>
        <v>55568.648757006318</v>
      </c>
      <c r="D932" s="249">
        <f t="shared" si="73"/>
        <v>0</v>
      </c>
      <c r="E932" s="254"/>
      <c r="F932" s="20"/>
      <c r="G932" s="257">
        <f>G943+G954</f>
        <v>3332.8497590767615</v>
      </c>
      <c r="H932" s="257">
        <f>H943+H954</f>
        <v>0</v>
      </c>
      <c r="I932" s="254"/>
      <c r="J932" s="20"/>
      <c r="K932" s="257">
        <f>K943+K954</f>
        <v>0</v>
      </c>
      <c r="M932" s="274"/>
      <c r="N932" s="274"/>
      <c r="O932" s="275"/>
      <c r="P932" s="74"/>
      <c r="S932" s="20"/>
      <c r="T932" s="20"/>
      <c r="U932" s="20"/>
      <c r="V932" s="20"/>
      <c r="W932" s="20"/>
      <c r="X932" s="20"/>
    </row>
    <row r="933" spans="1:24" ht="16.5" thickBot="1">
      <c r="A933" s="1" t="s">
        <v>9</v>
      </c>
      <c r="B933" s="1"/>
      <c r="C933" s="378">
        <f>C931+C932</f>
        <v>4499931.648757006</v>
      </c>
      <c r="D933" s="378">
        <f>D931+D932</f>
        <v>4439329.75109665</v>
      </c>
      <c r="E933" s="402"/>
      <c r="F933" s="403"/>
      <c r="G933" s="259">
        <f>G931+G932</f>
        <v>278833.06975907675</v>
      </c>
      <c r="H933" s="259">
        <f>H931+H932</f>
        <v>275190.21999999997</v>
      </c>
      <c r="I933" s="402"/>
      <c r="J933" s="403"/>
      <c r="K933" s="259">
        <f>K931+K932</f>
        <v>275190.21999999997</v>
      </c>
      <c r="M933" s="276"/>
      <c r="N933" s="262" t="s">
        <v>399</v>
      </c>
      <c r="O933" s="401" t="e">
        <f>#REF!*1000</f>
        <v>#REF!</v>
      </c>
      <c r="P933" s="74"/>
      <c r="S933" s="20"/>
      <c r="T933" s="20"/>
      <c r="U933" s="20"/>
      <c r="V933" s="20"/>
      <c r="W933" s="20"/>
      <c r="X933" s="20"/>
    </row>
    <row r="934" spans="1:24" ht="16.5" thickTop="1">
      <c r="A934" s="1"/>
      <c r="B934" s="1"/>
      <c r="C934" s="26"/>
      <c r="D934" s="26"/>
      <c r="E934" s="407"/>
      <c r="F934" s="23"/>
      <c r="G934" s="51"/>
      <c r="H934" s="51"/>
      <c r="I934" s="407" t="s">
        <v>31</v>
      </c>
      <c r="J934" s="23"/>
      <c r="K934" s="51" t="s">
        <v>31</v>
      </c>
      <c r="M934" s="20"/>
      <c r="N934" s="262" t="s">
        <v>257</v>
      </c>
      <c r="O934" s="401" t="e">
        <f>O933-K933</f>
        <v>#REF!</v>
      </c>
      <c r="P934" s="14" t="e">
        <f>(O933-K933)/K933</f>
        <v>#REF!</v>
      </c>
      <c r="Q934" s="20"/>
      <c r="R934" s="20"/>
      <c r="S934" s="20"/>
      <c r="T934" s="20"/>
      <c r="U934" s="20"/>
      <c r="V934" s="20"/>
      <c r="W934" s="20"/>
      <c r="X934" s="20"/>
    </row>
    <row r="935" spans="1:24">
      <c r="A935" s="278" t="s">
        <v>487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401"/>
      <c r="N935" s="401"/>
      <c r="O935" s="74"/>
      <c r="P935" s="74"/>
      <c r="Q935" s="20"/>
      <c r="R935" s="20"/>
      <c r="S935" s="20"/>
      <c r="T935" s="20"/>
      <c r="U935" s="20"/>
      <c r="V935" s="20"/>
      <c r="W935" s="20"/>
      <c r="X935" s="20"/>
    </row>
    <row r="936" spans="1:24">
      <c r="A936" s="1" t="s">
        <v>488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20"/>
      <c r="N936" s="20"/>
      <c r="O936" s="408" t="e">
        <f>O934/(H933-H927)</f>
        <v>#REF!</v>
      </c>
      <c r="P936" s="74"/>
      <c r="Q936" s="20"/>
      <c r="R936" s="20"/>
      <c r="S936" s="20"/>
      <c r="T936" s="20"/>
      <c r="U936" s="20"/>
      <c r="V936" s="20"/>
      <c r="W936" s="20"/>
      <c r="X936" s="20"/>
    </row>
    <row r="937" spans="1:24">
      <c r="A937" s="1"/>
      <c r="B937" s="1"/>
      <c r="C937" s="1"/>
      <c r="D937" s="1"/>
      <c r="E937" s="404"/>
      <c r="F937" s="1"/>
      <c r="G937" s="1"/>
      <c r="H937" s="1"/>
      <c r="I937" s="404"/>
      <c r="J937" s="1"/>
      <c r="K937" s="1"/>
      <c r="M937" s="20"/>
      <c r="N937" s="20"/>
      <c r="O937" s="74"/>
      <c r="P937" s="74"/>
      <c r="Q937" s="20"/>
      <c r="R937" s="20"/>
      <c r="S937" s="20"/>
      <c r="T937" s="20"/>
      <c r="U937" s="20"/>
      <c r="V937" s="20"/>
      <c r="W937" s="20"/>
      <c r="X937" s="20"/>
    </row>
    <row r="938" spans="1:24">
      <c r="A938" s="1" t="s">
        <v>478</v>
      </c>
      <c r="B938" s="1"/>
      <c r="C938" s="21"/>
      <c r="D938" s="21"/>
      <c r="E938" s="283"/>
      <c r="F938" s="1"/>
      <c r="G938" s="397">
        <v>2349.2199999999998</v>
      </c>
      <c r="H938" s="397">
        <v>2349.2199999999998</v>
      </c>
      <c r="I938" s="283"/>
      <c r="J938" s="1"/>
      <c r="K938" s="2">
        <f>G938</f>
        <v>2349.2199999999998</v>
      </c>
      <c r="M938" s="20"/>
      <c r="N938" s="20"/>
      <c r="O938" s="74"/>
      <c r="P938" s="74"/>
      <c r="Q938" s="20"/>
      <c r="R938" s="20"/>
      <c r="S938" s="20"/>
      <c r="T938" s="20"/>
      <c r="U938" s="20"/>
      <c r="V938" s="20"/>
      <c r="W938" s="20"/>
      <c r="X938" s="20"/>
    </row>
    <row r="939" spans="1:24">
      <c r="A939" s="1" t="s">
        <v>485</v>
      </c>
      <c r="B939" s="1"/>
      <c r="C939" s="249">
        <f>127219</f>
        <v>127219</v>
      </c>
      <c r="D939" s="304">
        <f>ROUND(($D$942/$C$942)*C939,0)</f>
        <v>128106</v>
      </c>
      <c r="E939" s="398">
        <v>6.1459999999999999</v>
      </c>
      <c r="F939" s="1" t="s">
        <v>364</v>
      </c>
      <c r="G939" s="399">
        <f>ROUND(C939*E939/100,0)</f>
        <v>7819</v>
      </c>
      <c r="H939" s="399">
        <f>ROUND(D939*E939/100,0)</f>
        <v>7873</v>
      </c>
      <c r="I939" s="367">
        <f>I928</f>
        <v>6.1459999999999999</v>
      </c>
      <c r="J939" s="1" t="s">
        <v>364</v>
      </c>
      <c r="K939" s="2">
        <f>ROUND(I939*D939/100,0)</f>
        <v>7873</v>
      </c>
      <c r="M939" s="20"/>
      <c r="N939" s="20"/>
      <c r="O939" s="74"/>
      <c r="P939" s="74"/>
      <c r="Q939" s="20"/>
      <c r="R939" s="20"/>
      <c r="S939" s="20"/>
      <c r="T939" s="20"/>
      <c r="U939" s="20"/>
      <c r="V939" s="20"/>
      <c r="W939" s="20"/>
      <c r="X939" s="20"/>
    </row>
    <row r="940" spans="1:24">
      <c r="A940" s="1" t="s">
        <v>486</v>
      </c>
      <c r="B940" s="1"/>
      <c r="C940" s="249">
        <f>3303301</f>
        <v>3303301</v>
      </c>
      <c r="D940" s="304">
        <f>ROUND(($D$942/$C$942)*C940,0)</f>
        <v>3326331</v>
      </c>
      <c r="E940" s="406">
        <f>E939</f>
        <v>6.1459999999999999</v>
      </c>
      <c r="F940" s="1" t="s">
        <v>364</v>
      </c>
      <c r="G940" s="399">
        <f>ROUND(C940*E940/100,0)</f>
        <v>203021</v>
      </c>
      <c r="H940" s="399">
        <f>ROUND(D940*E940/100,0)</f>
        <v>204436</v>
      </c>
      <c r="I940" s="409">
        <f>I939</f>
        <v>6.1459999999999999</v>
      </c>
      <c r="J940" s="1" t="s">
        <v>364</v>
      </c>
      <c r="K940" s="2">
        <f>ROUND(I940*D940/100,0)</f>
        <v>204436</v>
      </c>
      <c r="M940" s="20"/>
      <c r="N940" s="20"/>
      <c r="O940" s="74"/>
      <c r="P940" s="74"/>
      <c r="Q940" s="20"/>
      <c r="R940" s="20"/>
      <c r="S940" s="20"/>
      <c r="T940" s="20"/>
      <c r="U940" s="20"/>
      <c r="V940" s="20"/>
      <c r="W940" s="20"/>
      <c r="X940" s="20"/>
    </row>
    <row r="941" spans="1:24">
      <c r="A941" s="1" t="s">
        <v>352</v>
      </c>
      <c r="B941" s="1"/>
      <c r="C941" s="249">
        <f>60+2185</f>
        <v>2245</v>
      </c>
      <c r="D941" s="304">
        <v>2369</v>
      </c>
      <c r="E941" s="400"/>
      <c r="F941" s="1"/>
      <c r="G941" s="2"/>
      <c r="H941" s="2"/>
      <c r="I941" s="400"/>
      <c r="J941" s="1"/>
      <c r="K941" s="2"/>
      <c r="M941" s="20"/>
      <c r="N941" s="20"/>
      <c r="O941" s="74"/>
      <c r="P941" s="74"/>
      <c r="Q941" s="20"/>
      <c r="R941" s="20"/>
      <c r="S941" s="20"/>
      <c r="T941" s="20"/>
      <c r="U941" s="20"/>
      <c r="V941" s="20"/>
      <c r="W941" s="20"/>
      <c r="X941" s="20"/>
    </row>
    <row r="942" spans="1:24">
      <c r="A942" s="3" t="s">
        <v>481</v>
      </c>
      <c r="C942" s="249">
        <f>C939+C940</f>
        <v>3430520</v>
      </c>
      <c r="D942" s="249">
        <v>3454436.4805654008</v>
      </c>
      <c r="E942" s="254"/>
      <c r="F942" s="20"/>
      <c r="G942" s="257">
        <f>SUM(G938:G940)</f>
        <v>213189.22</v>
      </c>
      <c r="H942" s="257">
        <f>SUM(H938:H940)</f>
        <v>214658.22</v>
      </c>
      <c r="I942" s="254"/>
      <c r="J942" s="20"/>
      <c r="K942" s="257">
        <f>SUM(K938:K940)</f>
        <v>214658.22</v>
      </c>
      <c r="M942" s="20"/>
      <c r="N942" s="20"/>
      <c r="O942" s="74"/>
      <c r="P942" s="74"/>
      <c r="Q942" s="20"/>
      <c r="R942" s="20"/>
      <c r="S942" s="20"/>
      <c r="T942" s="20"/>
      <c r="U942" s="20"/>
      <c r="V942" s="20"/>
      <c r="W942" s="20"/>
      <c r="X942" s="20"/>
    </row>
    <row r="943" spans="1:24">
      <c r="A943" s="3" t="s">
        <v>482</v>
      </c>
      <c r="C943" s="249">
        <v>42879.146799479597</v>
      </c>
      <c r="D943" s="249">
        <v>0</v>
      </c>
      <c r="E943" s="254"/>
      <c r="F943" s="20"/>
      <c r="G943" s="257">
        <v>2578.7840543150201</v>
      </c>
      <c r="H943" s="257">
        <v>0</v>
      </c>
      <c r="I943" s="254"/>
      <c r="J943" s="20"/>
      <c r="K943" s="257">
        <v>0</v>
      </c>
      <c r="M943" s="274"/>
      <c r="N943" s="274"/>
      <c r="O943" s="275"/>
      <c r="P943" s="74"/>
      <c r="Q943" s="20"/>
      <c r="R943" s="20"/>
      <c r="S943" s="20"/>
      <c r="T943" s="20"/>
      <c r="U943" s="20"/>
      <c r="V943" s="20"/>
      <c r="W943" s="20"/>
      <c r="X943" s="20"/>
    </row>
    <row r="944" spans="1:24" ht="16.5" thickBot="1">
      <c r="A944" s="1" t="s">
        <v>9</v>
      </c>
      <c r="B944" s="1"/>
      <c r="C944" s="378">
        <f>C942+C943</f>
        <v>3473399.1467994796</v>
      </c>
      <c r="D944" s="378">
        <f>D942+D943</f>
        <v>3454436.4805654008</v>
      </c>
      <c r="E944" s="402"/>
      <c r="F944" s="403"/>
      <c r="G944" s="259">
        <f>G942+G943</f>
        <v>215768.00405431501</v>
      </c>
      <c r="H944" s="259">
        <f>H942+H943</f>
        <v>214658.22</v>
      </c>
      <c r="I944" s="402"/>
      <c r="J944" s="403"/>
      <c r="K944" s="259">
        <f>K942+K943</f>
        <v>214658.22</v>
      </c>
      <c r="M944" s="276"/>
      <c r="N944" s="276"/>
      <c r="O944" s="277"/>
      <c r="P944" s="74"/>
      <c r="Q944" s="20"/>
      <c r="R944" s="20"/>
      <c r="S944" s="20"/>
      <c r="T944" s="20"/>
      <c r="U944" s="20"/>
      <c r="V944" s="20"/>
      <c r="W944" s="20"/>
      <c r="X944" s="20"/>
    </row>
    <row r="945" spans="1:24" ht="16.5" thickTop="1">
      <c r="A945" s="1"/>
      <c r="B945" s="1"/>
      <c r="C945" s="26"/>
      <c r="D945" s="26"/>
      <c r="E945" s="407"/>
      <c r="F945" s="23"/>
      <c r="G945" s="51"/>
      <c r="H945" s="51"/>
      <c r="I945" s="407" t="s">
        <v>31</v>
      </c>
      <c r="J945" s="23"/>
      <c r="K945" s="51" t="s">
        <v>31</v>
      </c>
      <c r="M945" s="20"/>
      <c r="N945" s="20"/>
      <c r="O945" s="74"/>
      <c r="P945" s="74"/>
      <c r="Q945" s="20"/>
      <c r="R945" s="20"/>
      <c r="S945" s="20"/>
      <c r="T945" s="20"/>
      <c r="U945" s="20"/>
      <c r="V945" s="20"/>
      <c r="W945" s="20"/>
      <c r="X945" s="20"/>
    </row>
    <row r="946" spans="1:24">
      <c r="A946" s="278" t="s">
        <v>489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20"/>
      <c r="N946" s="20"/>
      <c r="O946" s="74"/>
      <c r="P946" s="74"/>
      <c r="Q946" s="20"/>
      <c r="R946" s="20"/>
      <c r="S946" s="20"/>
      <c r="T946" s="20"/>
      <c r="U946" s="20"/>
      <c r="V946" s="20"/>
      <c r="W946" s="20"/>
      <c r="X946" s="20"/>
    </row>
    <row r="947" spans="1:24">
      <c r="A947" s="1" t="s">
        <v>490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20"/>
      <c r="N947" s="20"/>
      <c r="O947" s="74"/>
      <c r="P947" s="74"/>
      <c r="Q947" s="20"/>
      <c r="R947" s="20"/>
      <c r="S947" s="20"/>
      <c r="T947" s="20"/>
      <c r="U947" s="20"/>
      <c r="V947" s="20"/>
      <c r="W947" s="20"/>
      <c r="X947" s="20"/>
    </row>
    <row r="948" spans="1:24">
      <c r="A948" s="1"/>
      <c r="B948" s="1"/>
      <c r="C948" s="1"/>
      <c r="D948" s="1"/>
      <c r="E948" s="404"/>
      <c r="F948" s="1"/>
      <c r="G948" s="1"/>
      <c r="H948" s="1"/>
      <c r="I948" s="404"/>
      <c r="J948" s="1"/>
      <c r="K948" s="1"/>
      <c r="M948" s="20"/>
      <c r="N948" s="20"/>
      <c r="O948" s="74"/>
      <c r="P948" s="74"/>
      <c r="Q948" s="20"/>
      <c r="R948" s="20"/>
      <c r="S948" s="20"/>
      <c r="T948" s="20"/>
      <c r="U948" s="20"/>
      <c r="V948" s="20"/>
      <c r="W948" s="20"/>
      <c r="X948" s="20"/>
    </row>
    <row r="949" spans="1:24">
      <c r="A949" s="1" t="s">
        <v>478</v>
      </c>
      <c r="B949" s="1"/>
      <c r="C949" s="21"/>
      <c r="D949" s="21"/>
      <c r="E949" s="283"/>
      <c r="F949" s="1"/>
      <c r="G949" s="397">
        <v>0</v>
      </c>
      <c r="H949" s="397">
        <v>0</v>
      </c>
      <c r="I949" s="283"/>
      <c r="J949" s="1"/>
      <c r="K949" s="2">
        <f>G949</f>
        <v>0</v>
      </c>
      <c r="M949" s="20"/>
      <c r="N949" s="20"/>
      <c r="O949" s="74"/>
      <c r="P949" s="74"/>
      <c r="Q949" s="20"/>
      <c r="R949" s="20"/>
      <c r="S949" s="20"/>
      <c r="T949" s="20"/>
      <c r="U949" s="20"/>
      <c r="V949" s="20"/>
      <c r="W949" s="20"/>
      <c r="X949" s="20"/>
    </row>
    <row r="950" spans="1:24">
      <c r="A950" s="1" t="s">
        <v>485</v>
      </c>
      <c r="B950" s="1"/>
      <c r="C950" s="249">
        <v>0</v>
      </c>
      <c r="D950" s="304">
        <f>ROUND(($D$953/$C$953)*C950,0)</f>
        <v>0</v>
      </c>
      <c r="E950" s="398">
        <v>6.1459999999999999</v>
      </c>
      <c r="F950" s="1" t="s">
        <v>364</v>
      </c>
      <c r="G950" s="399">
        <f>ROUND(C950*E950/100,0)</f>
        <v>0</v>
      </c>
      <c r="H950" s="399">
        <f>ROUND(D950*E950/100,0)</f>
        <v>0</v>
      </c>
      <c r="I950" s="367">
        <f>I928</f>
        <v>6.1459999999999999</v>
      </c>
      <c r="J950" s="1" t="s">
        <v>364</v>
      </c>
      <c r="K950" s="2">
        <f>ROUND(I950*D950/100,0)</f>
        <v>0</v>
      </c>
      <c r="M950" s="20"/>
      <c r="N950" s="20"/>
      <c r="O950" s="74"/>
      <c r="P950" s="74"/>
      <c r="Q950" s="20"/>
      <c r="R950" s="20"/>
      <c r="S950" s="20"/>
      <c r="T950" s="20"/>
      <c r="U950" s="20"/>
      <c r="V950" s="20"/>
      <c r="W950" s="20"/>
      <c r="X950" s="20"/>
    </row>
    <row r="951" spans="1:24">
      <c r="A951" s="1" t="s">
        <v>486</v>
      </c>
      <c r="B951" s="1"/>
      <c r="C951" s="249">
        <f>1013843</f>
        <v>1013843</v>
      </c>
      <c r="D951" s="304">
        <f>ROUND(($D$953/$C$953)*C951,0)</f>
        <v>984893</v>
      </c>
      <c r="E951" s="406">
        <f>E950</f>
        <v>6.1459999999999999</v>
      </c>
      <c r="F951" s="1" t="s">
        <v>364</v>
      </c>
      <c r="G951" s="399">
        <f>ROUND(C951*E951/100,0)</f>
        <v>62311</v>
      </c>
      <c r="H951" s="399">
        <f>ROUND(D951*E951/100,0)</f>
        <v>60532</v>
      </c>
      <c r="I951" s="409">
        <f>I950</f>
        <v>6.1459999999999999</v>
      </c>
      <c r="J951" s="1" t="s">
        <v>364</v>
      </c>
      <c r="K951" s="2">
        <f>ROUND(I951*D951/100,0)</f>
        <v>60532</v>
      </c>
      <c r="M951" s="20"/>
      <c r="N951" s="20"/>
      <c r="O951" s="74"/>
      <c r="P951" s="74"/>
      <c r="Q951" s="20"/>
      <c r="R951" s="20"/>
      <c r="S951" s="20"/>
      <c r="T951" s="20"/>
      <c r="U951" s="20"/>
      <c r="V951" s="20"/>
      <c r="W951" s="20"/>
      <c r="X951" s="20"/>
    </row>
    <row r="952" spans="1:24">
      <c r="A952" s="1" t="s">
        <v>352</v>
      </c>
      <c r="B952" s="1"/>
      <c r="C952" s="249">
        <f>1023</f>
        <v>1023</v>
      </c>
      <c r="D952" s="304">
        <v>1032</v>
      </c>
      <c r="E952" s="400"/>
      <c r="F952" s="1"/>
      <c r="G952" s="2"/>
      <c r="H952" s="2"/>
      <c r="I952" s="400"/>
      <c r="J952" s="1"/>
      <c r="K952" s="2"/>
      <c r="M952" s="20"/>
      <c r="N952" s="20"/>
      <c r="O952" s="74"/>
      <c r="P952" s="74"/>
      <c r="Q952" s="20"/>
      <c r="R952" s="20"/>
      <c r="S952" s="20"/>
      <c r="T952" s="20"/>
      <c r="U952" s="20"/>
      <c r="V952" s="20"/>
      <c r="W952" s="20"/>
      <c r="X952" s="20"/>
    </row>
    <row r="953" spans="1:24">
      <c r="A953" s="3" t="s">
        <v>481</v>
      </c>
      <c r="C953" s="249">
        <f>C950+C951</f>
        <v>1013843</v>
      </c>
      <c r="D953" s="249">
        <v>984893.270531249</v>
      </c>
      <c r="E953" s="254"/>
      <c r="F953" s="20"/>
      <c r="G953" s="257">
        <f>SUM(G949:G951)</f>
        <v>62311</v>
      </c>
      <c r="H953" s="257">
        <f>SUM(H949:H951)</f>
        <v>60532</v>
      </c>
      <c r="I953" s="254"/>
      <c r="J953" s="20"/>
      <c r="K953" s="257">
        <f>SUM(K949:K951)</f>
        <v>60532</v>
      </c>
      <c r="M953" s="20"/>
      <c r="N953" s="20"/>
      <c r="O953" s="74"/>
      <c r="P953" s="74"/>
      <c r="Q953" s="20"/>
      <c r="R953" s="20"/>
      <c r="S953" s="20"/>
      <c r="T953" s="20"/>
      <c r="U953" s="20"/>
      <c r="V953" s="20"/>
      <c r="W953" s="20"/>
      <c r="X953" s="20"/>
    </row>
    <row r="954" spans="1:24">
      <c r="A954" s="3" t="s">
        <v>482</v>
      </c>
      <c r="C954" s="249">
        <v>12689.501957526723</v>
      </c>
      <c r="D954" s="249">
        <v>0</v>
      </c>
      <c r="E954" s="254"/>
      <c r="F954" s="20"/>
      <c r="G954" s="257">
        <v>754.06570476174147</v>
      </c>
      <c r="H954" s="257">
        <v>0</v>
      </c>
      <c r="I954" s="254"/>
      <c r="J954" s="20"/>
      <c r="K954" s="257">
        <v>0</v>
      </c>
      <c r="M954" s="274"/>
      <c r="N954" s="274"/>
      <c r="O954" s="275"/>
      <c r="P954" s="74"/>
      <c r="Q954" s="20"/>
      <c r="R954" s="20"/>
      <c r="S954" s="20"/>
      <c r="T954" s="20"/>
      <c r="U954" s="20"/>
      <c r="V954" s="20"/>
      <c r="W954" s="20"/>
      <c r="X954" s="20"/>
    </row>
    <row r="955" spans="1:24" ht="16.5" thickBot="1">
      <c r="A955" s="1" t="s">
        <v>9</v>
      </c>
      <c r="B955" s="1"/>
      <c r="C955" s="378">
        <f>C953+C954</f>
        <v>1026532.5019575268</v>
      </c>
      <c r="D955" s="378">
        <f>D953+D954</f>
        <v>984893.270531249</v>
      </c>
      <c r="E955" s="402"/>
      <c r="F955" s="403"/>
      <c r="G955" s="259">
        <f>G953+G954</f>
        <v>63065.065704761742</v>
      </c>
      <c r="H955" s="259">
        <f>H953+H954</f>
        <v>60532</v>
      </c>
      <c r="I955" s="402"/>
      <c r="J955" s="403"/>
      <c r="K955" s="259">
        <f>K953+K954</f>
        <v>60532</v>
      </c>
      <c r="M955" s="276"/>
      <c r="N955" s="276"/>
      <c r="O955" s="277"/>
      <c r="P955" s="74"/>
      <c r="Q955" s="20"/>
      <c r="R955" s="20"/>
      <c r="S955" s="20"/>
      <c r="T955" s="20"/>
      <c r="U955" s="20"/>
      <c r="V955" s="20"/>
      <c r="W955" s="20"/>
      <c r="X955" s="20"/>
    </row>
    <row r="956" spans="1:24" ht="16.5" thickTop="1">
      <c r="A956" s="1"/>
      <c r="B956" s="1"/>
      <c r="C956" s="26"/>
      <c r="D956" s="26"/>
      <c r="E956" s="407"/>
      <c r="F956" s="23"/>
      <c r="G956" s="51"/>
      <c r="H956" s="51"/>
      <c r="I956" s="407" t="s">
        <v>31</v>
      </c>
      <c r="J956" s="23"/>
      <c r="K956" s="51" t="s">
        <v>31</v>
      </c>
      <c r="M956" s="20"/>
      <c r="N956" s="20"/>
      <c r="O956" s="74"/>
      <c r="P956" s="74"/>
      <c r="Q956" s="20"/>
      <c r="R956" s="20"/>
      <c r="S956" s="20"/>
      <c r="T956" s="20"/>
      <c r="U956" s="20"/>
      <c r="V956" s="20"/>
      <c r="W956" s="20"/>
      <c r="X956" s="20"/>
    </row>
    <row r="957" spans="1:24">
      <c r="A957" s="278" t="s">
        <v>491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31</v>
      </c>
      <c r="M957" s="20"/>
      <c r="N957" s="20"/>
      <c r="O957" s="74"/>
      <c r="P957" s="74"/>
      <c r="Q957" s="20"/>
      <c r="R957" s="20"/>
      <c r="S957" s="20"/>
      <c r="T957" s="20"/>
      <c r="U957" s="20"/>
      <c r="V957" s="20"/>
      <c r="W957" s="20"/>
      <c r="X957" s="20"/>
    </row>
    <row r="958" spans="1:24">
      <c r="A958" s="1" t="s">
        <v>186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20"/>
      <c r="N958" s="20"/>
      <c r="O958" s="74"/>
      <c r="P958" s="74"/>
      <c r="Q958" s="20"/>
      <c r="R958" s="20"/>
      <c r="S958" s="20"/>
      <c r="T958" s="20"/>
      <c r="U958" s="20"/>
      <c r="V958" s="20"/>
      <c r="W958" s="20"/>
      <c r="X958" s="20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20"/>
      <c r="N959" s="20"/>
      <c r="O959" s="74"/>
      <c r="P959" s="74"/>
      <c r="Q959" s="20"/>
      <c r="R959" s="20"/>
      <c r="S959" s="20"/>
      <c r="T959" s="20"/>
      <c r="U959" s="20"/>
      <c r="V959" s="20"/>
      <c r="W959" s="20"/>
      <c r="X959" s="20"/>
    </row>
    <row r="960" spans="1:24">
      <c r="A960" s="1" t="s">
        <v>492</v>
      </c>
      <c r="B960" s="1"/>
      <c r="C960" s="21">
        <v>192</v>
      </c>
      <c r="D960" s="304">
        <v>191</v>
      </c>
      <c r="E960" s="283">
        <v>3.5</v>
      </c>
      <c r="F960" s="1"/>
      <c r="G960" s="2">
        <f>ROUND(E960*C960,0)</f>
        <v>672</v>
      </c>
      <c r="H960" s="2">
        <f>ROUND(E960*D960,0)</f>
        <v>669</v>
      </c>
      <c r="I960" s="283">
        <v>3.5</v>
      </c>
      <c r="J960" s="1"/>
      <c r="K960" s="2">
        <f>ROUND(I960*D960,0)</f>
        <v>669</v>
      </c>
      <c r="M960" s="84">
        <f>I960*D960</f>
        <v>668.5</v>
      </c>
      <c r="N960" s="20"/>
      <c r="O960" s="410"/>
      <c r="P960" s="410"/>
      <c r="Q960" s="20"/>
      <c r="R960" s="20"/>
      <c r="S960" s="20"/>
      <c r="T960" s="20"/>
      <c r="U960" s="20"/>
      <c r="V960" s="20"/>
      <c r="W960" s="20"/>
      <c r="X960" s="20"/>
    </row>
    <row r="961" spans="1:28">
      <c r="A961" s="1" t="s">
        <v>493</v>
      </c>
      <c r="B961" s="1"/>
      <c r="C961" s="21">
        <v>144</v>
      </c>
      <c r="D961" s="304">
        <v>144</v>
      </c>
      <c r="E961" s="283">
        <v>6.5</v>
      </c>
      <c r="F961" s="1"/>
      <c r="G961" s="2">
        <f>ROUND(E961*C961,0)</f>
        <v>936</v>
      </c>
      <c r="H961" s="2">
        <f>ROUND(E961*D961,0)</f>
        <v>936</v>
      </c>
      <c r="I961" s="283">
        <v>6.5</v>
      </c>
      <c r="J961" s="1"/>
      <c r="K961" s="2">
        <f>ROUND(I961*D961,0)</f>
        <v>936</v>
      </c>
      <c r="M961" s="84">
        <f>I961*D961</f>
        <v>936</v>
      </c>
      <c r="N961" s="20"/>
      <c r="O961" s="410"/>
      <c r="P961" s="410"/>
      <c r="Q961" s="20"/>
      <c r="R961" s="20"/>
      <c r="S961" s="20"/>
      <c r="T961" s="20"/>
      <c r="U961" s="20"/>
      <c r="V961" s="20"/>
      <c r="W961" s="20"/>
      <c r="X961" s="20"/>
    </row>
    <row r="962" spans="1:28">
      <c r="A962" s="1" t="s">
        <v>494</v>
      </c>
      <c r="B962" s="1"/>
      <c r="C962" s="21">
        <f>SUM(C960:C961)</f>
        <v>336</v>
      </c>
      <c r="D962" s="304">
        <v>335</v>
      </c>
      <c r="E962" s="359"/>
      <c r="F962" s="1"/>
      <c r="G962" s="399"/>
      <c r="H962" s="399"/>
      <c r="I962" s="359"/>
      <c r="J962" s="1"/>
      <c r="K962" s="2"/>
      <c r="M962" s="20"/>
      <c r="N962" s="20"/>
      <c r="O962" s="410"/>
      <c r="P962" s="410"/>
      <c r="Q962" s="20"/>
      <c r="R962" s="20"/>
      <c r="S962" s="20"/>
      <c r="T962" s="20"/>
      <c r="U962" s="20"/>
      <c r="V962" s="20"/>
      <c r="W962" s="20"/>
      <c r="X962" s="20"/>
    </row>
    <row r="963" spans="1:28">
      <c r="A963" s="1" t="s">
        <v>454</v>
      </c>
      <c r="B963" s="1"/>
      <c r="C963" s="21">
        <f>94703+138152</f>
        <v>232855</v>
      </c>
      <c r="D963" s="304">
        <v>235030</v>
      </c>
      <c r="E963" s="411">
        <v>7.2930000000000001</v>
      </c>
      <c r="F963" s="1" t="s">
        <v>364</v>
      </c>
      <c r="G963" s="399">
        <f>ROUND(C963*E963/100,0)</f>
        <v>16982</v>
      </c>
      <c r="H963" s="399">
        <f>ROUND(D963*E963/100,0)</f>
        <v>17141</v>
      </c>
      <c r="I963" s="411">
        <v>7.2930000000000001</v>
      </c>
      <c r="J963" s="2" t="s">
        <v>364</v>
      </c>
      <c r="K963" s="2">
        <f>ROUND(I963*D963/100,0)</f>
        <v>17141</v>
      </c>
      <c r="M963" s="84">
        <f>(I963/100)*D963</f>
        <v>17140.7379</v>
      </c>
      <c r="N963" s="20"/>
      <c r="O963" s="410"/>
      <c r="P963" s="410"/>
      <c r="Q963" s="20"/>
      <c r="R963" s="20"/>
      <c r="S963" s="20"/>
      <c r="T963" s="20"/>
      <c r="U963" s="20"/>
      <c r="V963" s="20"/>
      <c r="W963" s="20"/>
      <c r="X963" s="20"/>
    </row>
    <row r="964" spans="1:28">
      <c r="A964" s="1" t="s">
        <v>371</v>
      </c>
      <c r="B964" s="1"/>
      <c r="C964" s="304">
        <f>SUM(C963)</f>
        <v>232855</v>
      </c>
      <c r="D964" s="304">
        <f>SUM(D963)</f>
        <v>235030</v>
      </c>
      <c r="E964" s="21"/>
      <c r="F964" s="21"/>
      <c r="G964" s="399">
        <f>SUM(G960:G963)</f>
        <v>18590</v>
      </c>
      <c r="H964" s="399">
        <f>SUM(H960:H963)</f>
        <v>18746</v>
      </c>
      <c r="I964" s="21"/>
      <c r="J964" s="2"/>
      <c r="K964" s="399">
        <f>SUM(K960:K963)</f>
        <v>18746</v>
      </c>
      <c r="M964" s="401">
        <f>SUM(M960:M963)</f>
        <v>18745.2379</v>
      </c>
      <c r="N964" s="20"/>
      <c r="O964" s="74"/>
      <c r="P964" s="74"/>
      <c r="Q964" s="20"/>
      <c r="R964" s="20"/>
      <c r="S964" s="20"/>
      <c r="T964" s="20"/>
      <c r="U964" s="20"/>
      <c r="V964" s="20"/>
      <c r="W964" s="20"/>
      <c r="X964" s="20"/>
    </row>
    <row r="965" spans="1:28">
      <c r="A965" s="1" t="s">
        <v>353</v>
      </c>
      <c r="B965" s="1"/>
      <c r="C965" s="334">
        <v>1006.7724689934877</v>
      </c>
      <c r="D965" s="334">
        <v>0</v>
      </c>
      <c r="E965" s="412"/>
      <c r="F965" s="412"/>
      <c r="G965" s="413">
        <v>69.249899021408055</v>
      </c>
      <c r="H965" s="413">
        <v>0</v>
      </c>
      <c r="I965" s="412"/>
      <c r="J965" s="412"/>
      <c r="K965" s="413">
        <v>0</v>
      </c>
      <c r="M965" s="274"/>
      <c r="N965" s="274"/>
      <c r="O965" s="275"/>
      <c r="P965" s="74"/>
      <c r="S965" s="20"/>
      <c r="T965" s="20"/>
      <c r="U965" s="20"/>
      <c r="V965" s="20"/>
      <c r="W965" s="20"/>
      <c r="X965" s="20"/>
    </row>
    <row r="966" spans="1:28" ht="16.5" thickBot="1">
      <c r="A966" s="1" t="s">
        <v>372</v>
      </c>
      <c r="B966" s="1"/>
      <c r="C966" s="351">
        <f>C964+C965</f>
        <v>233861.7724689935</v>
      </c>
      <c r="D966" s="351">
        <f>D963+D965</f>
        <v>235030</v>
      </c>
      <c r="E966" s="330"/>
      <c r="F966" s="330"/>
      <c r="G966" s="297">
        <f>G964+G965</f>
        <v>18659.249899021408</v>
      </c>
      <c r="H966" s="297">
        <f>H964+H965</f>
        <v>18746</v>
      </c>
      <c r="I966" s="330"/>
      <c r="J966" s="330"/>
      <c r="K966" s="297">
        <f>K964+K965</f>
        <v>18746</v>
      </c>
      <c r="M966" s="276"/>
      <c r="N966" s="262" t="s">
        <v>399</v>
      </c>
      <c r="O966" s="414" t="e">
        <f>#REF!*1000</f>
        <v>#REF!</v>
      </c>
      <c r="P966" s="74"/>
      <c r="S966" s="20"/>
      <c r="T966" s="20"/>
      <c r="U966" s="20"/>
      <c r="V966" s="20"/>
      <c r="W966" s="20"/>
      <c r="X966" s="20"/>
    </row>
    <row r="967" spans="1:28" ht="16.5" thickTop="1">
      <c r="A967" s="1"/>
      <c r="B967" s="298"/>
      <c r="C967" s="1"/>
      <c r="D967" s="1"/>
      <c r="E967" s="1"/>
      <c r="F967" s="1"/>
      <c r="G967" s="1"/>
      <c r="H967" s="1"/>
      <c r="I967" s="1" t="s">
        <v>31</v>
      </c>
      <c r="J967" s="1"/>
      <c r="K967" s="2" t="s">
        <v>31</v>
      </c>
      <c r="M967" s="20"/>
      <c r="N967" s="262" t="s">
        <v>257</v>
      </c>
      <c r="O967" s="401" t="e">
        <f>O966-K966</f>
        <v>#REF!</v>
      </c>
      <c r="P967" s="261" t="e">
        <f>(O966-K966)/K966</f>
        <v>#REF!</v>
      </c>
      <c r="Q967" s="20"/>
      <c r="R967" s="20"/>
      <c r="S967" s="20"/>
      <c r="T967" s="20"/>
      <c r="U967" s="20"/>
      <c r="V967" s="20"/>
      <c r="W967" s="20"/>
      <c r="X967" s="20"/>
    </row>
    <row r="968" spans="1:28">
      <c r="A968" s="247" t="s">
        <v>495</v>
      </c>
      <c r="B968" s="288"/>
      <c r="C968" s="288"/>
      <c r="D968" s="288"/>
      <c r="E968" s="288"/>
      <c r="F968" s="288"/>
      <c r="G968" s="288"/>
      <c r="H968" s="288"/>
      <c r="I968" s="288"/>
      <c r="J968" s="288"/>
      <c r="K968" s="288"/>
    </row>
    <row r="969" spans="1:28">
      <c r="A969" s="288" t="s">
        <v>496</v>
      </c>
      <c r="B969" s="288"/>
      <c r="C969" s="288"/>
      <c r="D969" s="288"/>
      <c r="E969" s="288"/>
      <c r="F969" s="288"/>
      <c r="G969" s="288"/>
      <c r="H969" s="288"/>
      <c r="I969" s="288"/>
      <c r="J969" s="288"/>
      <c r="K969" s="288"/>
      <c r="M969" s="262"/>
      <c r="N969" s="262"/>
      <c r="O969" s="262"/>
      <c r="P969" s="262"/>
      <c r="Q969" s="262"/>
      <c r="R969" s="262"/>
      <c r="S969" s="262"/>
      <c r="T969" s="262"/>
      <c r="U969" s="262"/>
      <c r="V969" s="262"/>
      <c r="W969" s="262"/>
      <c r="X969" s="262"/>
    </row>
    <row r="970" spans="1:28">
      <c r="A970" s="415" t="s">
        <v>497</v>
      </c>
      <c r="B970" s="288"/>
      <c r="C970" s="288"/>
      <c r="D970" s="288"/>
      <c r="E970" s="288"/>
      <c r="F970" s="288"/>
      <c r="G970" s="288"/>
      <c r="H970" s="288"/>
      <c r="I970" s="288"/>
      <c r="J970" s="288"/>
      <c r="K970" s="288"/>
      <c r="M970" s="262"/>
      <c r="N970" s="262"/>
      <c r="O970" s="262"/>
      <c r="P970" s="262"/>
      <c r="Q970" s="262"/>
      <c r="R970" s="262"/>
      <c r="S970" s="262"/>
      <c r="T970" s="262"/>
      <c r="U970" s="262"/>
      <c r="V970" s="262"/>
      <c r="W970" s="262"/>
      <c r="X970" s="262"/>
    </row>
    <row r="971" spans="1:28">
      <c r="A971" s="3" t="s">
        <v>498</v>
      </c>
      <c r="G971" s="248"/>
      <c r="H971" s="248"/>
      <c r="M971" s="262"/>
      <c r="N971" s="265"/>
      <c r="O971" s="265"/>
      <c r="P971" s="74"/>
      <c r="Q971" s="264"/>
      <c r="R971" s="265"/>
      <c r="S971" s="416"/>
      <c r="T971" s="267"/>
      <c r="U971" s="263"/>
      <c r="V971" s="263"/>
      <c r="W971" s="263"/>
      <c r="X971" s="263"/>
      <c r="Y971" s="20"/>
      <c r="Z971" s="20"/>
      <c r="AA971" s="20"/>
      <c r="AB971" s="20"/>
    </row>
    <row r="972" spans="1:28">
      <c r="A972" s="3" t="s">
        <v>344</v>
      </c>
      <c r="C972" s="249">
        <f>10751</f>
        <v>10751</v>
      </c>
      <c r="D972" s="249">
        <f>ROUND(($D$1001/$C$1001)*C972,0)</f>
        <v>10394</v>
      </c>
      <c r="E972" s="250">
        <v>8.7799999999999994</v>
      </c>
      <c r="G972" s="2">
        <f>ROUND(E972*$C972,0)</f>
        <v>94394</v>
      </c>
      <c r="H972" s="2">
        <f>ROUND(E972*$D972,0)</f>
        <v>91259</v>
      </c>
      <c r="I972" s="250">
        <v>8.7799999999999994</v>
      </c>
      <c r="K972" s="2">
        <f>ROUND(I972*$D972,0)</f>
        <v>91259</v>
      </c>
      <c r="M972" s="84">
        <f>I972*D972</f>
        <v>91259.319999999992</v>
      </c>
      <c r="N972" s="20"/>
      <c r="O972" s="383">
        <v>76</v>
      </c>
      <c r="P972" s="384">
        <f>O972*D972</f>
        <v>789944</v>
      </c>
      <c r="Q972" s="385" t="e">
        <f>O972*$P$1001</f>
        <v>#REF!</v>
      </c>
      <c r="R972" s="386" t="e">
        <f>ROUND(E972+Q972,2)</f>
        <v>#REF!</v>
      </c>
      <c r="S972" s="269"/>
      <c r="T972" s="263"/>
      <c r="U972" s="266"/>
      <c r="V972" s="266"/>
      <c r="W972" s="417"/>
      <c r="X972" s="266"/>
      <c r="Y972" s="20"/>
      <c r="Z972" s="20"/>
      <c r="AA972" s="20"/>
      <c r="AB972" s="20"/>
    </row>
    <row r="973" spans="1:28">
      <c r="A973" s="3" t="s">
        <v>345</v>
      </c>
      <c r="C973" s="249">
        <f>1951</f>
        <v>1951</v>
      </c>
      <c r="D973" s="249">
        <f>ROUND(($D$1001/$C$1001)*C973,0)</f>
        <v>1886</v>
      </c>
      <c r="E973" s="250">
        <v>16.079999999999998</v>
      </c>
      <c r="G973" s="2">
        <f>ROUND(E973*$C973,0)</f>
        <v>31372</v>
      </c>
      <c r="H973" s="2">
        <f>ROUND(E973*$D973,0)</f>
        <v>30327</v>
      </c>
      <c r="I973" s="250">
        <v>16.079999999999998</v>
      </c>
      <c r="K973" s="2">
        <f>ROUND(I973*$D973,0)</f>
        <v>30327</v>
      </c>
      <c r="M973" s="84">
        <f>I973*D973</f>
        <v>30326.879999999997</v>
      </c>
      <c r="N973" s="20"/>
      <c r="O973" s="387">
        <v>172</v>
      </c>
      <c r="P973" s="74">
        <f>O973*D973</f>
        <v>324392</v>
      </c>
      <c r="Q973" s="388" t="e">
        <f>O973*$P$1001</f>
        <v>#REF!</v>
      </c>
      <c r="R973" s="389" t="e">
        <f>ROUND(E973+Q973,2)</f>
        <v>#REF!</v>
      </c>
      <c r="S973" s="263"/>
      <c r="T973" s="263"/>
      <c r="U973" s="266"/>
      <c r="V973" s="266"/>
      <c r="W973" s="417"/>
      <c r="X973" s="266"/>
      <c r="Y973" s="20"/>
      <c r="Z973" s="20"/>
      <c r="AA973" s="20"/>
      <c r="AB973" s="20"/>
    </row>
    <row r="974" spans="1:28">
      <c r="A974" s="3" t="s">
        <v>346</v>
      </c>
      <c r="C974" s="249">
        <f>12</f>
        <v>12</v>
      </c>
      <c r="D974" s="249">
        <f>ROUND(($D$1001/$C$1001)*C974,0)</f>
        <v>12</v>
      </c>
      <c r="E974" s="250">
        <v>32.53</v>
      </c>
      <c r="G974" s="2">
        <f>ROUND(E974*$C974,0)</f>
        <v>390</v>
      </c>
      <c r="H974" s="2">
        <f>ROUND(E974*$D974,0)</f>
        <v>390</v>
      </c>
      <c r="I974" s="250">
        <v>32.53</v>
      </c>
      <c r="K974" s="2">
        <f>ROUND(I974*$D974,0)</f>
        <v>390</v>
      </c>
      <c r="M974" s="84">
        <f>I974*D974</f>
        <v>390.36</v>
      </c>
      <c r="N974" s="20"/>
      <c r="O974" s="387">
        <v>412</v>
      </c>
      <c r="P974" s="74">
        <f>O974*D974</f>
        <v>4944</v>
      </c>
      <c r="Q974" s="388" t="e">
        <f>O974*$P$1001</f>
        <v>#REF!</v>
      </c>
      <c r="R974" s="389" t="e">
        <f>ROUND(E974+Q974,2)</f>
        <v>#REF!</v>
      </c>
      <c r="S974" s="263"/>
      <c r="T974" s="263"/>
      <c r="U974" s="266"/>
      <c r="V974" s="266"/>
      <c r="W974" s="417"/>
      <c r="X974" s="266"/>
      <c r="Y974" s="20"/>
      <c r="Z974" s="20"/>
      <c r="AA974" s="20"/>
      <c r="AB974" s="20"/>
    </row>
    <row r="975" spans="1:28">
      <c r="A975" s="3" t="s">
        <v>499</v>
      </c>
      <c r="C975" s="249"/>
      <c r="D975" s="249"/>
      <c r="E975" s="418"/>
      <c r="G975" s="248"/>
      <c r="H975" s="248"/>
      <c r="I975" s="418"/>
      <c r="N975" s="20"/>
      <c r="O975" s="387"/>
      <c r="P975" s="74"/>
      <c r="Q975" s="20"/>
      <c r="R975" s="391"/>
      <c r="S975" s="263"/>
      <c r="T975" s="263"/>
      <c r="U975" s="266"/>
      <c r="V975" s="266"/>
      <c r="W975" s="417"/>
      <c r="X975" s="266"/>
      <c r="Y975" s="20"/>
      <c r="Z975" s="20"/>
      <c r="AA975" s="20"/>
      <c r="AB975" s="20"/>
    </row>
    <row r="976" spans="1:28">
      <c r="A976" s="3" t="s">
        <v>344</v>
      </c>
      <c r="C976" s="249">
        <f>5858</f>
        <v>5858</v>
      </c>
      <c r="D976" s="249">
        <f>ROUND(($D$1001/$C$1001)*C976,0)</f>
        <v>5664</v>
      </c>
      <c r="E976" s="250">
        <v>8.23</v>
      </c>
      <c r="G976" s="2">
        <f>ROUND(E976*$C976,0)</f>
        <v>48211</v>
      </c>
      <c r="H976" s="2">
        <f>ROUND(E976*$D976,0)</f>
        <v>46615</v>
      </c>
      <c r="I976" s="250">
        <v>8.23</v>
      </c>
      <c r="K976" s="2">
        <f>ROUND(I976*$D976,0)</f>
        <v>46615</v>
      </c>
      <c r="M976" s="84">
        <f>I976*D976</f>
        <v>46614.720000000001</v>
      </c>
      <c r="N976" s="20"/>
      <c r="O976" s="387">
        <v>76</v>
      </c>
      <c r="P976" s="74">
        <f>O976*D976</f>
        <v>430464</v>
      </c>
      <c r="Q976" s="388" t="e">
        <f>O976*$P$1001</f>
        <v>#REF!</v>
      </c>
      <c r="R976" s="389" t="e">
        <f>ROUND(E976+Q976,2)</f>
        <v>#REF!</v>
      </c>
      <c r="S976" s="20"/>
      <c r="T976" s="20"/>
      <c r="U976" s="266"/>
      <c r="V976" s="266"/>
      <c r="W976" s="417"/>
      <c r="X976" s="266"/>
      <c r="Y976" s="20"/>
      <c r="Z976" s="20"/>
      <c r="AA976" s="20"/>
      <c r="AB976" s="20"/>
    </row>
    <row r="977" spans="1:28">
      <c r="A977" s="3" t="s">
        <v>345</v>
      </c>
      <c r="C977" s="249">
        <f>8</f>
        <v>8</v>
      </c>
      <c r="D977" s="249">
        <f>ROUND(($D$1001/$C$1001)*C977,0)</f>
        <v>8</v>
      </c>
      <c r="E977" s="250">
        <v>15</v>
      </c>
      <c r="G977" s="2">
        <f>ROUND(E977*$C977,0)</f>
        <v>120</v>
      </c>
      <c r="H977" s="2">
        <f>ROUND(E977*$D977,0)</f>
        <v>120</v>
      </c>
      <c r="I977" s="250">
        <v>15</v>
      </c>
      <c r="K977" s="2">
        <f>ROUND(I977*$D977,0)</f>
        <v>120</v>
      </c>
      <c r="M977" s="84">
        <f>I977*D977</f>
        <v>120</v>
      </c>
      <c r="N977" s="20"/>
      <c r="O977" s="387">
        <v>172</v>
      </c>
      <c r="P977" s="74">
        <f>O977*D977</f>
        <v>1376</v>
      </c>
      <c r="Q977" s="388" t="e">
        <f>O977*$P$1001</f>
        <v>#REF!</v>
      </c>
      <c r="R977" s="389" t="e">
        <f>ROUND(E977+Q977,2)</f>
        <v>#REF!</v>
      </c>
      <c r="S977" s="20"/>
      <c r="T977" s="20"/>
      <c r="U977" s="266"/>
      <c r="V977" s="266"/>
      <c r="W977" s="417"/>
      <c r="X977" s="266"/>
      <c r="Y977" s="20"/>
      <c r="Z977" s="20"/>
      <c r="AA977" s="20"/>
      <c r="AB977" s="20"/>
    </row>
    <row r="978" spans="1:28">
      <c r="A978" s="415" t="s">
        <v>500</v>
      </c>
      <c r="C978" s="249"/>
      <c r="D978" s="249"/>
      <c r="E978" s="250"/>
      <c r="G978" s="2"/>
      <c r="H978" s="2"/>
      <c r="I978" s="250"/>
      <c r="K978" s="2"/>
      <c r="N978" s="20"/>
      <c r="O978" s="387"/>
      <c r="P978" s="74"/>
      <c r="Q978" s="20"/>
      <c r="R978" s="81"/>
      <c r="S978" s="20"/>
      <c r="T978" s="20"/>
      <c r="U978" s="20"/>
      <c r="V978" s="20"/>
      <c r="W978" s="417"/>
      <c r="X978" s="20"/>
      <c r="Y978" s="20"/>
      <c r="Z978" s="20"/>
      <c r="AA978" s="20"/>
      <c r="AB978" s="20"/>
    </row>
    <row r="979" spans="1:28">
      <c r="A979" s="3" t="s">
        <v>498</v>
      </c>
      <c r="C979" s="249"/>
      <c r="D979" s="249"/>
      <c r="E979" s="418"/>
      <c r="G979" s="248"/>
      <c r="H979" s="248"/>
      <c r="I979" s="418"/>
      <c r="N979" s="20"/>
      <c r="O979" s="419"/>
      <c r="P979" s="74"/>
      <c r="Q979" s="20"/>
      <c r="R979" s="81"/>
      <c r="S979" s="20"/>
      <c r="T979" s="20"/>
      <c r="U979" s="20"/>
      <c r="V979" s="20"/>
      <c r="W979" s="417"/>
      <c r="X979" s="20"/>
      <c r="Y979" s="20"/>
      <c r="Z979" s="20"/>
      <c r="AA979" s="20"/>
      <c r="AB979" s="20"/>
    </row>
    <row r="980" spans="1:28">
      <c r="A980" s="3" t="s">
        <v>344</v>
      </c>
      <c r="C980" s="249">
        <f>91</f>
        <v>91</v>
      </c>
      <c r="D980" s="249">
        <f>ROUND(($D$1001/$C$1001)*C980,0)</f>
        <v>88</v>
      </c>
      <c r="E980" s="250">
        <v>11.47</v>
      </c>
      <c r="G980" s="2">
        <f>ROUND(E980*$C980,0)</f>
        <v>1044</v>
      </c>
      <c r="H980" s="2">
        <f>ROUND(E980*$D980,0)</f>
        <v>1009</v>
      </c>
      <c r="I980" s="250">
        <v>11.47</v>
      </c>
      <c r="K980" s="2">
        <f>ROUND(I980*$D980,0)</f>
        <v>1009</v>
      </c>
      <c r="M980" s="84">
        <f>I980*D980</f>
        <v>1009.36</v>
      </c>
      <c r="N980" s="20"/>
      <c r="O980" s="387">
        <v>76</v>
      </c>
      <c r="P980" s="74">
        <f>O980*D980</f>
        <v>6688</v>
      </c>
      <c r="Q980" s="388" t="e">
        <f>O980*$P$1001</f>
        <v>#REF!</v>
      </c>
      <c r="R980" s="389" t="e">
        <f>ROUND(E980+Q980,2)</f>
        <v>#REF!</v>
      </c>
      <c r="S980" s="20"/>
      <c r="T980" s="20"/>
      <c r="U980" s="266"/>
      <c r="V980" s="266"/>
      <c r="W980" s="417"/>
      <c r="X980" s="266"/>
      <c r="Y980" s="20"/>
      <c r="Z980" s="20"/>
      <c r="AA980" s="20"/>
      <c r="AB980" s="20"/>
    </row>
    <row r="981" spans="1:28">
      <c r="A981" s="3" t="s">
        <v>345</v>
      </c>
      <c r="C981" s="249">
        <f>324</f>
        <v>324</v>
      </c>
      <c r="D981" s="249">
        <f>ROUND(($D$1001/$C$1001)*C981,0)</f>
        <v>313</v>
      </c>
      <c r="E981" s="250">
        <v>19.260000000000002</v>
      </c>
      <c r="G981" s="2">
        <f>ROUND(E981*$C981,0)</f>
        <v>6240</v>
      </c>
      <c r="H981" s="2">
        <f>ROUND(E981*$D981,0)</f>
        <v>6028</v>
      </c>
      <c r="I981" s="250">
        <v>19.260000000000002</v>
      </c>
      <c r="K981" s="2">
        <f>ROUND(I981*$D981,0)</f>
        <v>6028</v>
      </c>
      <c r="M981" s="84">
        <f>I981*D981</f>
        <v>6028.38</v>
      </c>
      <c r="N981" s="20"/>
      <c r="O981" s="387">
        <v>172</v>
      </c>
      <c r="P981" s="74">
        <f>O981*D981</f>
        <v>53836</v>
      </c>
      <c r="Q981" s="388" t="e">
        <f>O981*$P$1001</f>
        <v>#REF!</v>
      </c>
      <c r="R981" s="389" t="e">
        <f>ROUND(E981+Q981,2)</f>
        <v>#REF!</v>
      </c>
      <c r="S981" s="414"/>
      <c r="T981" s="414"/>
      <c r="U981" s="266"/>
      <c r="V981" s="266"/>
      <c r="W981" s="417"/>
      <c r="X981" s="266"/>
      <c r="Y981" s="20"/>
      <c r="Z981" s="20"/>
      <c r="AA981" s="20"/>
      <c r="AB981" s="20"/>
    </row>
    <row r="982" spans="1:28">
      <c r="A982" s="3" t="s">
        <v>346</v>
      </c>
      <c r="C982" s="249">
        <v>0</v>
      </c>
      <c r="D982" s="249">
        <f>ROUND(($D$1001/$C$1001)*C982,0)</f>
        <v>0</v>
      </c>
      <c r="E982" s="250">
        <v>35.75</v>
      </c>
      <c r="G982" s="2">
        <f>ROUND(E982*$C982,0)</f>
        <v>0</v>
      </c>
      <c r="H982" s="2">
        <f>ROUND(E982*$D982,0)</f>
        <v>0</v>
      </c>
      <c r="I982" s="250">
        <v>35.75</v>
      </c>
      <c r="K982" s="2">
        <f>ROUND(I982*$D982,0)</f>
        <v>0</v>
      </c>
      <c r="M982" s="84">
        <f>I982*D982</f>
        <v>0</v>
      </c>
      <c r="N982" s="20"/>
      <c r="O982" s="387">
        <v>412</v>
      </c>
      <c r="P982" s="74">
        <f>O982*D982</f>
        <v>0</v>
      </c>
      <c r="Q982" s="388" t="e">
        <f>O982*$P$1001</f>
        <v>#REF!</v>
      </c>
      <c r="R982" s="389" t="e">
        <f>ROUND(E982+Q982,2)</f>
        <v>#REF!</v>
      </c>
      <c r="S982" s="414"/>
      <c r="T982" s="414"/>
      <c r="U982" s="266"/>
      <c r="V982" s="266"/>
      <c r="W982" s="417"/>
      <c r="X982" s="266"/>
      <c r="Y982" s="20"/>
      <c r="Z982" s="20"/>
      <c r="AA982" s="20"/>
      <c r="AB982" s="20"/>
    </row>
    <row r="983" spans="1:28">
      <c r="A983" s="3" t="s">
        <v>499</v>
      </c>
      <c r="C983" s="249"/>
      <c r="D983" s="249"/>
      <c r="E983" s="418"/>
      <c r="G983" s="248"/>
      <c r="H983" s="248"/>
      <c r="I983" s="418"/>
      <c r="M983" s="20"/>
      <c r="N983" s="20"/>
      <c r="O983" s="42"/>
      <c r="P983" s="420"/>
      <c r="Q983" s="420"/>
      <c r="R983" s="421"/>
      <c r="S983" s="414"/>
      <c r="T983" s="414"/>
      <c r="U983" s="422"/>
      <c r="V983" s="20"/>
      <c r="W983" s="417"/>
      <c r="X983" s="20"/>
      <c r="Y983" s="20"/>
      <c r="Z983" s="20"/>
      <c r="AA983" s="20"/>
      <c r="AB983" s="20"/>
    </row>
    <row r="984" spans="1:28">
      <c r="A984" s="3" t="s">
        <v>344</v>
      </c>
      <c r="C984" s="249">
        <v>0</v>
      </c>
      <c r="D984" s="249">
        <f>ROUND(($D$1001/$C$1001)*C984,0)</f>
        <v>0</v>
      </c>
      <c r="E984" s="250">
        <v>10.86</v>
      </c>
      <c r="G984" s="2">
        <f>ROUND(E984*$C984,0)</f>
        <v>0</v>
      </c>
      <c r="H984" s="2">
        <f>ROUND(E984*$D984,0)</f>
        <v>0</v>
      </c>
      <c r="I984" s="250">
        <v>10.86</v>
      </c>
      <c r="K984" s="2">
        <f>ROUND(I984*$D984,0)</f>
        <v>0</v>
      </c>
      <c r="M984" s="84">
        <f>I984*D984</f>
        <v>0</v>
      </c>
      <c r="N984" s="20"/>
      <c r="O984" s="387">
        <v>76</v>
      </c>
      <c r="P984" s="74">
        <f>O984*D984</f>
        <v>0</v>
      </c>
      <c r="Q984" s="388" t="e">
        <f>O984*$P$1001</f>
        <v>#REF!</v>
      </c>
      <c r="R984" s="389" t="e">
        <f>ROUND(E984+Q984,2)</f>
        <v>#REF!</v>
      </c>
      <c r="S984" s="414"/>
      <c r="T984" s="414"/>
      <c r="U984" s="266"/>
      <c r="V984" s="266"/>
      <c r="W984" s="417"/>
      <c r="X984" s="266"/>
      <c r="Y984" s="20"/>
      <c r="Z984" s="20"/>
      <c r="AA984" s="20"/>
      <c r="AB984" s="20"/>
    </row>
    <row r="985" spans="1:28">
      <c r="A985" s="3" t="s">
        <v>345</v>
      </c>
      <c r="C985" s="249">
        <v>0</v>
      </c>
      <c r="D985" s="249">
        <f>ROUND(($D$1001/$C$1001)*C985,0)</f>
        <v>0</v>
      </c>
      <c r="E985" s="250">
        <v>18.21</v>
      </c>
      <c r="G985" s="2">
        <f>ROUND(E985*$C985,0)</f>
        <v>0</v>
      </c>
      <c r="H985" s="2">
        <f>ROUND(E985*$D985,0)</f>
        <v>0</v>
      </c>
      <c r="I985" s="250">
        <v>18.21</v>
      </c>
      <c r="K985" s="2">
        <f>ROUND(I985*$D985,0)</f>
        <v>0</v>
      </c>
      <c r="M985" s="84">
        <f>I985*D985</f>
        <v>0</v>
      </c>
      <c r="N985" s="20"/>
      <c r="O985" s="387">
        <v>172</v>
      </c>
      <c r="P985" s="74">
        <f>O985*D985</f>
        <v>0</v>
      </c>
      <c r="Q985" s="388" t="e">
        <f>O985*$P$1001</f>
        <v>#REF!</v>
      </c>
      <c r="R985" s="389" t="e">
        <f>ROUND(E985+Q985,2)</f>
        <v>#REF!</v>
      </c>
      <c r="S985" s="414"/>
      <c r="T985" s="414"/>
      <c r="U985" s="266"/>
      <c r="V985" s="266"/>
      <c r="W985" s="417"/>
      <c r="X985" s="266"/>
      <c r="Y985" s="20"/>
      <c r="Z985" s="20"/>
      <c r="AA985" s="20"/>
      <c r="AB985" s="20"/>
    </row>
    <row r="986" spans="1:28">
      <c r="A986" s="415" t="s">
        <v>501</v>
      </c>
      <c r="B986" s="288"/>
      <c r="C986" s="249"/>
      <c r="D986" s="249"/>
      <c r="E986" s="418"/>
      <c r="F986" s="288"/>
      <c r="G986" s="288"/>
      <c r="H986" s="288"/>
      <c r="I986" s="418"/>
      <c r="J986" s="288"/>
      <c r="K986" s="288"/>
      <c r="M986" s="20"/>
      <c r="N986" s="20"/>
      <c r="O986" s="42"/>
      <c r="P986" s="420"/>
      <c r="Q986" s="420"/>
      <c r="R986" s="421"/>
      <c r="S986" s="414"/>
      <c r="T986" s="414"/>
      <c r="U986" s="422"/>
      <c r="V986" s="20"/>
      <c r="W986" s="417"/>
      <c r="X986" s="20"/>
      <c r="Y986" s="20"/>
      <c r="Z986" s="20"/>
      <c r="AA986" s="20"/>
      <c r="AB986" s="20"/>
    </row>
    <row r="987" spans="1:28">
      <c r="A987" s="3" t="s">
        <v>498</v>
      </c>
      <c r="C987" s="249"/>
      <c r="D987" s="249"/>
      <c r="E987" s="418"/>
      <c r="G987" s="248"/>
      <c r="H987" s="248"/>
      <c r="I987" s="418"/>
      <c r="M987" s="20"/>
      <c r="N987" s="20"/>
      <c r="O987" s="42"/>
      <c r="P987" s="420"/>
      <c r="Q987" s="420"/>
      <c r="R987" s="421"/>
      <c r="S987" s="414"/>
      <c r="T987" s="414"/>
      <c r="U987" s="422"/>
      <c r="V987" s="20"/>
      <c r="W987" s="417"/>
      <c r="X987" s="20"/>
      <c r="Y987" s="20"/>
      <c r="Z987" s="20"/>
      <c r="AA987" s="20"/>
      <c r="AB987" s="20"/>
    </row>
    <row r="988" spans="1:28">
      <c r="A988" s="3" t="s">
        <v>344</v>
      </c>
      <c r="C988" s="249">
        <v>0</v>
      </c>
      <c r="D988" s="249">
        <f>ROUND(($D$1001/$C$1001)*C988,0)</f>
        <v>0</v>
      </c>
      <c r="E988" s="250">
        <v>11.47</v>
      </c>
      <c r="G988" s="2">
        <f>ROUND(E988*$C988,0)</f>
        <v>0</v>
      </c>
      <c r="H988" s="2">
        <f>ROUND(E988*$D988,0)</f>
        <v>0</v>
      </c>
      <c r="I988" s="250">
        <v>11.47</v>
      </c>
      <c r="K988" s="2">
        <f>ROUND(I988*$D988,0)</f>
        <v>0</v>
      </c>
      <c r="M988" s="84">
        <f>I988*D988</f>
        <v>0</v>
      </c>
      <c r="N988" s="20"/>
      <c r="O988" s="387">
        <v>76</v>
      </c>
      <c r="P988" s="74">
        <f>O988*D988</f>
        <v>0</v>
      </c>
      <c r="Q988" s="388" t="e">
        <f>O988*$P$1001</f>
        <v>#REF!</v>
      </c>
      <c r="R988" s="389" t="e">
        <f>ROUND(E988+Q988,2)</f>
        <v>#REF!</v>
      </c>
      <c r="S988" s="414"/>
      <c r="T988" s="414"/>
      <c r="U988" s="266"/>
      <c r="V988" s="266"/>
      <c r="W988" s="417"/>
      <c r="X988" s="266"/>
      <c r="Y988" s="20"/>
      <c r="Z988" s="20"/>
      <c r="AA988" s="20"/>
      <c r="AB988" s="20"/>
    </row>
    <row r="989" spans="1:28">
      <c r="A989" s="3" t="s">
        <v>345</v>
      </c>
      <c r="C989" s="249">
        <v>0</v>
      </c>
      <c r="D989" s="249">
        <f>ROUND(($D$1001/$C$1001)*C989,0)</f>
        <v>0</v>
      </c>
      <c r="E989" s="250">
        <v>18.649999999999999</v>
      </c>
      <c r="G989" s="2">
        <f>ROUND(E989*$C989,0)</f>
        <v>0</v>
      </c>
      <c r="H989" s="2">
        <f>ROUND(E989*$D989,0)</f>
        <v>0</v>
      </c>
      <c r="I989" s="250">
        <v>18.649999999999999</v>
      </c>
      <c r="K989" s="2">
        <f>ROUND(I989*$D989,0)</f>
        <v>0</v>
      </c>
      <c r="M989" s="84">
        <f>I989*D989</f>
        <v>0</v>
      </c>
      <c r="N989" s="20"/>
      <c r="O989" s="387">
        <v>172</v>
      </c>
      <c r="P989" s="74">
        <f>O989*D989</f>
        <v>0</v>
      </c>
      <c r="Q989" s="388" t="e">
        <f>O989*$P$1001</f>
        <v>#REF!</v>
      </c>
      <c r="R989" s="389" t="e">
        <f>ROUND(E989+Q989,2)</f>
        <v>#REF!</v>
      </c>
      <c r="S989" s="414"/>
      <c r="T989" s="414"/>
      <c r="U989" s="266"/>
      <c r="V989" s="266"/>
      <c r="W989" s="417"/>
      <c r="X989" s="266"/>
      <c r="Y989" s="20"/>
      <c r="Z989" s="20"/>
      <c r="AA989" s="20"/>
      <c r="AB989" s="20"/>
    </row>
    <row r="990" spans="1:28">
      <c r="A990" s="3" t="s">
        <v>346</v>
      </c>
      <c r="C990" s="249">
        <v>0</v>
      </c>
      <c r="D990" s="249">
        <f>ROUND(($D$1001/$C$1001)*C990,0)</f>
        <v>0</v>
      </c>
      <c r="E990" s="250">
        <v>35.130000000000003</v>
      </c>
      <c r="G990" s="2">
        <f>ROUND(E990*$C990,0)</f>
        <v>0</v>
      </c>
      <c r="H990" s="2">
        <f>ROUND(E990*$D990,0)</f>
        <v>0</v>
      </c>
      <c r="I990" s="250">
        <v>35.130000000000003</v>
      </c>
      <c r="K990" s="2">
        <f>ROUND(I990*$D990,0)</f>
        <v>0</v>
      </c>
      <c r="M990" s="84">
        <f>I990*D990</f>
        <v>0</v>
      </c>
      <c r="N990" s="20"/>
      <c r="O990" s="387">
        <v>412</v>
      </c>
      <c r="P990" s="74">
        <f>O990*D990</f>
        <v>0</v>
      </c>
      <c r="Q990" s="388" t="e">
        <f>O990*$P$1001</f>
        <v>#REF!</v>
      </c>
      <c r="R990" s="389" t="e">
        <f>ROUND(E990+Q990,2)</f>
        <v>#REF!</v>
      </c>
      <c r="S990" s="414"/>
      <c r="T990" s="414"/>
      <c r="U990" s="266"/>
      <c r="V990" s="266"/>
      <c r="W990" s="417"/>
      <c r="X990" s="266"/>
      <c r="Y990" s="20"/>
      <c r="Z990" s="20"/>
      <c r="AA990" s="20"/>
      <c r="AB990" s="20"/>
    </row>
    <row r="991" spans="1:28">
      <c r="A991" s="3" t="s">
        <v>499</v>
      </c>
      <c r="C991" s="249"/>
      <c r="D991" s="249"/>
      <c r="E991" s="418"/>
      <c r="G991" s="248"/>
      <c r="H991" s="248"/>
      <c r="I991" s="418"/>
      <c r="M991" s="20"/>
      <c r="N991" s="20"/>
      <c r="O991" s="42"/>
      <c r="P991" s="420"/>
      <c r="Q991" s="420"/>
      <c r="R991" s="421"/>
      <c r="S991" s="414"/>
      <c r="T991" s="414"/>
      <c r="U991" s="422"/>
      <c r="V991" s="20"/>
      <c r="W991" s="417"/>
      <c r="X991" s="20"/>
      <c r="Y991" s="20"/>
      <c r="Z991" s="20"/>
      <c r="AA991" s="20"/>
      <c r="AB991" s="20"/>
    </row>
    <row r="992" spans="1:28">
      <c r="A992" s="3" t="s">
        <v>344</v>
      </c>
      <c r="C992" s="249">
        <v>0</v>
      </c>
      <c r="D992" s="249">
        <f>ROUND(($D$1001/$C$1001)*C992,0)</f>
        <v>0</v>
      </c>
      <c r="E992" s="250">
        <v>10.86</v>
      </c>
      <c r="G992" s="2">
        <f>ROUND(E992*$C992,0)</f>
        <v>0</v>
      </c>
      <c r="H992" s="2">
        <f>ROUND(E992*$D992,0)</f>
        <v>0</v>
      </c>
      <c r="I992" s="250">
        <v>10.86</v>
      </c>
      <c r="K992" s="2">
        <f>ROUND(I992*$D992,0)</f>
        <v>0</v>
      </c>
      <c r="M992" s="84">
        <f>I992*D992</f>
        <v>0</v>
      </c>
      <c r="N992" s="20"/>
      <c r="O992" s="387">
        <v>76</v>
      </c>
      <c r="P992" s="74">
        <f>O992*D992</f>
        <v>0</v>
      </c>
      <c r="Q992" s="388" t="e">
        <f>O992*$P$1001</f>
        <v>#REF!</v>
      </c>
      <c r="R992" s="389" t="e">
        <f>ROUND(E992+Q992,2)</f>
        <v>#REF!</v>
      </c>
      <c r="S992" s="414"/>
      <c r="T992" s="414"/>
      <c r="U992" s="266"/>
      <c r="V992" s="266"/>
      <c r="W992" s="417"/>
      <c r="X992" s="266"/>
      <c r="Y992" s="20"/>
      <c r="Z992" s="20"/>
      <c r="AA992" s="20"/>
      <c r="AB992" s="20"/>
    </row>
    <row r="993" spans="1:28">
      <c r="A993" s="3" t="s">
        <v>345</v>
      </c>
      <c r="C993" s="249">
        <v>0</v>
      </c>
      <c r="D993" s="249">
        <f>ROUND(($D$1001/$C$1001)*C993,0)</f>
        <v>0</v>
      </c>
      <c r="E993" s="250">
        <v>17.600000000000001</v>
      </c>
      <c r="G993" s="2">
        <f>ROUND(E993*$C993,0)</f>
        <v>0</v>
      </c>
      <c r="H993" s="2">
        <f>ROUND(E993*$D993,0)</f>
        <v>0</v>
      </c>
      <c r="I993" s="250">
        <v>17.600000000000001</v>
      </c>
      <c r="K993" s="2">
        <f>ROUND(I993*$D993,0)</f>
        <v>0</v>
      </c>
      <c r="M993" s="84">
        <f>I993*D993</f>
        <v>0</v>
      </c>
      <c r="N993" s="20"/>
      <c r="O993" s="387">
        <v>172</v>
      </c>
      <c r="P993" s="74">
        <f>O993*D993</f>
        <v>0</v>
      </c>
      <c r="Q993" s="388" t="e">
        <f>O993*$P$1001</f>
        <v>#REF!</v>
      </c>
      <c r="R993" s="389" t="e">
        <f>ROUND(E993+Q993,2)</f>
        <v>#REF!</v>
      </c>
      <c r="S993" s="414"/>
      <c r="T993" s="414"/>
      <c r="U993" s="266"/>
      <c r="V993" s="266"/>
      <c r="W993" s="417"/>
      <c r="X993" s="266"/>
      <c r="Y993" s="20"/>
      <c r="Z993" s="20"/>
      <c r="AA993" s="20"/>
      <c r="AB993" s="20"/>
    </row>
    <row r="994" spans="1:28">
      <c r="A994" s="415" t="s">
        <v>502</v>
      </c>
      <c r="B994" s="288"/>
      <c r="C994" s="249"/>
      <c r="D994" s="249"/>
      <c r="E994" s="418"/>
      <c r="F994" s="288"/>
      <c r="G994" s="288"/>
      <c r="H994" s="288"/>
      <c r="I994" s="418"/>
      <c r="J994" s="288"/>
      <c r="K994" s="288"/>
      <c r="M994" s="20"/>
      <c r="N994" s="20"/>
      <c r="O994" s="42"/>
      <c r="P994" s="420"/>
      <c r="Q994" s="420"/>
      <c r="R994" s="421"/>
      <c r="S994" s="414"/>
      <c r="T994" s="414"/>
      <c r="U994" s="422"/>
      <c r="V994" s="20"/>
      <c r="W994" s="417"/>
      <c r="X994" s="20"/>
      <c r="Y994" s="20"/>
      <c r="Z994" s="20"/>
      <c r="AA994" s="20"/>
      <c r="AB994" s="20"/>
    </row>
    <row r="995" spans="1:28">
      <c r="A995" s="3" t="s">
        <v>344</v>
      </c>
      <c r="C995" s="249">
        <f>2270</f>
        <v>2270</v>
      </c>
      <c r="D995" s="249">
        <f>ROUND(($D$1001/$C$1001)*C995,0)</f>
        <v>2195</v>
      </c>
      <c r="E995" s="250">
        <v>9.18</v>
      </c>
      <c r="G995" s="2">
        <f>ROUND(E995*$C995,0)</f>
        <v>20839</v>
      </c>
      <c r="H995" s="2">
        <f>ROUND(E995*$D995,0)</f>
        <v>20150</v>
      </c>
      <c r="I995" s="250">
        <v>9.18</v>
      </c>
      <c r="K995" s="2">
        <f>ROUND(I995*$D995,0)</f>
        <v>20150</v>
      </c>
      <c r="M995" s="84">
        <f>I995*D995</f>
        <v>20150.099999999999</v>
      </c>
      <c r="N995" s="20"/>
      <c r="O995" s="387">
        <v>76</v>
      </c>
      <c r="P995" s="74">
        <f>O995*D995</f>
        <v>166820</v>
      </c>
      <c r="Q995" s="388" t="e">
        <f>O995*$P$1001</f>
        <v>#REF!</v>
      </c>
      <c r="R995" s="389" t="e">
        <f>ROUND(E995+Q995,2)</f>
        <v>#REF!</v>
      </c>
      <c r="S995" s="414"/>
      <c r="T995" s="414"/>
      <c r="U995" s="266"/>
      <c r="V995" s="266"/>
      <c r="W995" s="417"/>
      <c r="X995" s="266"/>
      <c r="Y995" s="20"/>
      <c r="Z995" s="20"/>
      <c r="AA995" s="20"/>
      <c r="AB995" s="20"/>
    </row>
    <row r="996" spans="1:28">
      <c r="A996" s="3" t="s">
        <v>345</v>
      </c>
      <c r="C996" s="249">
        <f>1694</f>
        <v>1694</v>
      </c>
      <c r="D996" s="249">
        <f>ROUND(($D$1001/$C$1001)*C996,0)</f>
        <v>1638</v>
      </c>
      <c r="E996" s="250">
        <v>16.079999999999998</v>
      </c>
      <c r="G996" s="2">
        <f>ROUND(E996*$C996,0)</f>
        <v>27240</v>
      </c>
      <c r="H996" s="2">
        <f>ROUND(E996*$D996,0)</f>
        <v>26339</v>
      </c>
      <c r="I996" s="250">
        <v>16.079999999999998</v>
      </c>
      <c r="K996" s="2">
        <f>ROUND(I996*$D996,0)</f>
        <v>26339</v>
      </c>
      <c r="M996" s="84">
        <f>I996*D996</f>
        <v>26339.039999999997</v>
      </c>
      <c r="N996" s="20"/>
      <c r="O996" s="387">
        <v>172</v>
      </c>
      <c r="P996" s="74">
        <f>O996*D996</f>
        <v>281736</v>
      </c>
      <c r="Q996" s="388" t="e">
        <f>O996*$P$1001</f>
        <v>#REF!</v>
      </c>
      <c r="R996" s="389" t="e">
        <f>ROUND(E996+Q996,2)</f>
        <v>#REF!</v>
      </c>
      <c r="S996" s="414"/>
      <c r="T996" s="414"/>
      <c r="U996" s="266"/>
      <c r="V996" s="266"/>
      <c r="W996" s="417"/>
      <c r="X996" s="266"/>
      <c r="Y996" s="20"/>
      <c r="Z996" s="20"/>
      <c r="AA996" s="20"/>
      <c r="AB996" s="20"/>
    </row>
    <row r="997" spans="1:28">
      <c r="A997" s="3" t="s">
        <v>346</v>
      </c>
      <c r="C997" s="249">
        <v>0</v>
      </c>
      <c r="D997" s="249">
        <f>ROUND(($D$1001/$C$1001)*C997,0)</f>
        <v>0</v>
      </c>
      <c r="E997" s="250">
        <v>34.340000000000003</v>
      </c>
      <c r="G997" s="2">
        <f>ROUND(E997*$C997,0)</f>
        <v>0</v>
      </c>
      <c r="H997" s="2">
        <f>ROUND(E997*$D997,0)</f>
        <v>0</v>
      </c>
      <c r="I997" s="250">
        <v>34.340000000000003</v>
      </c>
      <c r="K997" s="2">
        <f>ROUND(I997*$D997,0)</f>
        <v>0</v>
      </c>
      <c r="M997" s="84">
        <f>I997*D997</f>
        <v>0</v>
      </c>
      <c r="N997" s="20"/>
      <c r="O997" s="387">
        <v>412</v>
      </c>
      <c r="P997" s="74">
        <f>O997*D997</f>
        <v>0</v>
      </c>
      <c r="Q997" s="388" t="e">
        <f>O997*$P$1001</f>
        <v>#REF!</v>
      </c>
      <c r="R997" s="389" t="e">
        <f>ROUND(E997+Q997,2)</f>
        <v>#REF!</v>
      </c>
      <c r="S997" s="414"/>
      <c r="T997" s="414"/>
      <c r="U997" s="266"/>
      <c r="V997" s="266"/>
      <c r="W997" s="417"/>
      <c r="X997" s="266"/>
      <c r="Y997" s="20"/>
      <c r="Z997" s="20"/>
      <c r="AA997" s="20"/>
      <c r="AB997" s="20"/>
    </row>
    <row r="998" spans="1:28">
      <c r="A998" s="5" t="s">
        <v>503</v>
      </c>
      <c r="C998" s="249"/>
      <c r="D998" s="249"/>
      <c r="E998" s="250"/>
      <c r="G998" s="2"/>
      <c r="H998" s="2"/>
      <c r="I998" s="250"/>
      <c r="K998" s="2"/>
      <c r="M998" s="20"/>
      <c r="N998" s="20"/>
      <c r="O998" s="42"/>
      <c r="P998" s="420"/>
      <c r="Q998" s="420"/>
      <c r="R998" s="423"/>
      <c r="S998" s="414"/>
      <c r="T998" s="414"/>
      <c r="U998" s="422"/>
      <c r="V998" s="20"/>
      <c r="W998" s="417"/>
      <c r="X998" s="20"/>
      <c r="Y998" s="20"/>
      <c r="Z998" s="20"/>
      <c r="AA998" s="20"/>
      <c r="AB998" s="20"/>
    </row>
    <row r="999" spans="1:28">
      <c r="A999" s="3" t="s">
        <v>504</v>
      </c>
      <c r="C999" s="249">
        <f>96</f>
        <v>96</v>
      </c>
      <c r="D999" s="249">
        <f>ROUND(($D$1001/$C$1001)*C999,0)</f>
        <v>93</v>
      </c>
      <c r="E999" s="250">
        <v>32.950000000000003</v>
      </c>
      <c r="G999" s="2">
        <f>ROUND(E999*$C999,0)</f>
        <v>3163</v>
      </c>
      <c r="H999" s="2">
        <f>ROUND(E999*$D999,0)</f>
        <v>3064</v>
      </c>
      <c r="I999" s="250">
        <v>32.950000000000003</v>
      </c>
      <c r="K999" s="2">
        <f>ROUND(I999*$D999,0)</f>
        <v>3064</v>
      </c>
      <c r="M999" s="84">
        <f>I999*D999</f>
        <v>3064.3500000000004</v>
      </c>
      <c r="N999" s="20"/>
      <c r="O999" s="387">
        <v>172</v>
      </c>
      <c r="P999" s="74">
        <f>O999*D999</f>
        <v>15996</v>
      </c>
      <c r="Q999" s="388" t="e">
        <f>O999*$P$1001</f>
        <v>#REF!</v>
      </c>
      <c r="R999" s="389" t="e">
        <f>ROUND(E999+Q999,2)</f>
        <v>#REF!</v>
      </c>
      <c r="S999" s="414"/>
      <c r="T999" s="414"/>
      <c r="U999" s="266"/>
      <c r="V999" s="266"/>
      <c r="W999" s="417"/>
      <c r="X999" s="266"/>
      <c r="Y999" s="20"/>
      <c r="Z999" s="20"/>
      <c r="AA999" s="20"/>
      <c r="AB999" s="20"/>
    </row>
    <row r="1000" spans="1:28">
      <c r="A1000" s="3" t="s">
        <v>352</v>
      </c>
      <c r="C1000" s="249">
        <f>608</f>
        <v>608</v>
      </c>
      <c r="D1000" s="249">
        <v>588</v>
      </c>
      <c r="E1000" s="424"/>
      <c r="G1000" s="2"/>
      <c r="H1000" s="2"/>
      <c r="I1000" s="424"/>
      <c r="K1000" s="2"/>
      <c r="N1000" s="20"/>
      <c r="O1000" s="387"/>
      <c r="P1000" s="425" t="e">
        <f>O1003-H1003</f>
        <v>#REF!</v>
      </c>
      <c r="Q1000" s="20"/>
      <c r="R1000" s="391"/>
      <c r="S1000" s="263"/>
      <c r="T1000" s="263"/>
      <c r="U1000" s="266"/>
      <c r="V1000" s="266"/>
      <c r="W1000" s="266"/>
      <c r="X1000" s="266"/>
      <c r="Y1000" s="20"/>
      <c r="Z1000" s="20"/>
      <c r="AA1000" s="20"/>
      <c r="AB1000" s="20"/>
    </row>
    <row r="1001" spans="1:28">
      <c r="A1001" s="3" t="s">
        <v>371</v>
      </c>
      <c r="C1001" s="249">
        <v>2147214</v>
      </c>
      <c r="D1001" s="249">
        <v>2075987.7990116791</v>
      </c>
      <c r="E1001" s="254"/>
      <c r="F1001" s="20"/>
      <c r="G1001" s="257">
        <f>SUM(G972:G999)</f>
        <v>233013</v>
      </c>
      <c r="H1001" s="257">
        <f>SUM(H972:H999)</f>
        <v>225301</v>
      </c>
      <c r="I1001" s="254"/>
      <c r="J1001" s="20"/>
      <c r="K1001" s="257">
        <f>SUM(K972:K999)</f>
        <v>225301</v>
      </c>
      <c r="M1001" s="84">
        <f>SUM(M972:M1000)</f>
        <v>225302.50999999998</v>
      </c>
      <c r="N1001" s="20"/>
      <c r="O1001" s="426"/>
      <c r="P1001" s="427" t="e">
        <f>P1000/SUM(P972:P999)</f>
        <v>#REF!</v>
      </c>
      <c r="Q1001" s="113"/>
      <c r="R1001" s="428"/>
      <c r="S1001" s="263"/>
      <c r="T1001" s="263"/>
      <c r="U1001" s="273"/>
      <c r="V1001" s="263"/>
      <c r="W1001" s="263"/>
      <c r="X1001" s="263"/>
      <c r="Y1001" s="20"/>
      <c r="Z1001" s="20"/>
      <c r="AA1001" s="20"/>
      <c r="AB1001" s="20"/>
    </row>
    <row r="1002" spans="1:28">
      <c r="A1002" s="3" t="s">
        <v>353</v>
      </c>
      <c r="C1002" s="249">
        <v>26832.990592215094</v>
      </c>
      <c r="D1002" s="249">
        <v>0</v>
      </c>
      <c r="E1002" s="254"/>
      <c r="F1002" s="20"/>
      <c r="G1002" s="257">
        <v>2789.9580256418058</v>
      </c>
      <c r="H1002" s="257">
        <v>0</v>
      </c>
      <c r="I1002" s="254"/>
      <c r="J1002" s="20"/>
      <c r="K1002" s="257">
        <v>0</v>
      </c>
      <c r="M1002" s="274"/>
      <c r="N1002" s="429"/>
      <c r="O1002" s="272"/>
      <c r="P1002" s="263"/>
      <c r="Q1002" s="263"/>
      <c r="R1002" s="268"/>
      <c r="S1002" s="266"/>
      <c r="T1002" s="263"/>
      <c r="U1002" s="20"/>
      <c r="V1002" s="20"/>
      <c r="W1002" s="20"/>
      <c r="X1002" s="20"/>
      <c r="Y1002" s="20"/>
      <c r="Z1002" s="20"/>
      <c r="AA1002" s="20"/>
      <c r="AB1002" s="20"/>
    </row>
    <row r="1003" spans="1:28" ht="16.5" thickBot="1">
      <c r="A1003" s="3" t="s">
        <v>9</v>
      </c>
      <c r="C1003" s="258">
        <f>C1001+C1002</f>
        <v>2174046.9905922152</v>
      </c>
      <c r="D1003" s="258">
        <f>D1001+D1002</f>
        <v>2075987.7990116791</v>
      </c>
      <c r="E1003" s="259"/>
      <c r="F1003" s="259"/>
      <c r="G1003" s="259">
        <f>G1001+G1002</f>
        <v>235802.9580256418</v>
      </c>
      <c r="H1003" s="259">
        <f>H1001+H1002</f>
        <v>225301</v>
      </c>
      <c r="I1003" s="259"/>
      <c r="J1003" s="259"/>
      <c r="K1003" s="259">
        <f>K1001+K1002</f>
        <v>225301</v>
      </c>
      <c r="M1003" s="276"/>
      <c r="N1003" s="262" t="s">
        <v>399</v>
      </c>
      <c r="O1003" s="414" t="e">
        <f>#REF!*1000</f>
        <v>#REF!</v>
      </c>
      <c r="P1003" s="74"/>
      <c r="Q1003" s="263"/>
      <c r="R1003" s="263"/>
      <c r="S1003" s="263"/>
      <c r="T1003" s="263"/>
      <c r="U1003" s="20"/>
      <c r="V1003" s="20"/>
      <c r="W1003" s="20"/>
      <c r="X1003" s="20"/>
      <c r="Y1003" s="20"/>
      <c r="Z1003" s="20"/>
      <c r="AA1003" s="20"/>
      <c r="AB1003" s="20"/>
    </row>
    <row r="1004" spans="1:28" ht="16.5" thickTop="1">
      <c r="C1004" s="260"/>
      <c r="D1004" s="260"/>
      <c r="E1004" s="260"/>
      <c r="F1004" s="260"/>
      <c r="G1004" s="248"/>
      <c r="H1004" s="248"/>
      <c r="I1004" s="260" t="s">
        <v>31</v>
      </c>
      <c r="J1004" s="260"/>
      <c r="K1004" s="2" t="s">
        <v>31</v>
      </c>
      <c r="M1004" s="262"/>
      <c r="N1004" s="262" t="s">
        <v>257</v>
      </c>
      <c r="O1004" s="401" t="e">
        <f>O1003-K1003</f>
        <v>#REF!</v>
      </c>
      <c r="P1004" s="279" t="e">
        <f>(O1003-K1003)/K1003</f>
        <v>#REF!</v>
      </c>
      <c r="Q1004" s="263"/>
      <c r="R1004" s="263"/>
      <c r="S1004" s="263"/>
      <c r="T1004" s="263"/>
      <c r="U1004" s="20"/>
      <c r="V1004" s="20"/>
      <c r="W1004" s="20"/>
      <c r="X1004" s="20"/>
      <c r="Y1004" s="20"/>
      <c r="Z1004" s="20"/>
      <c r="AA1004" s="20"/>
      <c r="AB1004" s="20"/>
    </row>
    <row r="1005" spans="1:28">
      <c r="A1005" s="288"/>
      <c r="B1005" s="298"/>
      <c r="C1005" s="430"/>
      <c r="D1005" s="430"/>
      <c r="E1005" s="431"/>
      <c r="F1005" s="2"/>
      <c r="G1005" s="2"/>
      <c r="H1005" s="2"/>
      <c r="I1005" s="431"/>
      <c r="J1005" s="288"/>
      <c r="K1005" s="2"/>
      <c r="M1005" s="20"/>
      <c r="N1005" s="20"/>
      <c r="O1005" s="74"/>
      <c r="P1005" s="74"/>
      <c r="Q1005" s="20"/>
      <c r="R1005" s="20"/>
      <c r="S1005" s="20"/>
      <c r="T1005" s="20"/>
      <c r="U1005" s="20"/>
      <c r="V1005" s="20"/>
      <c r="W1005" s="20"/>
      <c r="X1005" s="20"/>
    </row>
    <row r="1006" spans="1:28" s="4" customFormat="1" ht="19.899999999999999" customHeight="1" thickBot="1">
      <c r="A1006" s="432" t="s">
        <v>505</v>
      </c>
      <c r="B1006" s="433"/>
      <c r="C1006" s="434">
        <f>C27+C91+C176+C474+C508+C627+C760+C787+C911+C922+C933+C966+C1003</f>
        <v>4024330101.6098857</v>
      </c>
      <c r="D1006" s="434">
        <f>D27+D91+D176+D474+D508+D627+D760+D787+D911+D922+D933+D966+D1003</f>
        <v>4081125561.3610039</v>
      </c>
      <c r="E1006" s="435"/>
      <c r="F1006" s="436"/>
      <c r="G1006" s="436">
        <f>G27+G91+G176+G474+G508+G627+G760+G787+G911+G922+G933+G966+G1003</f>
        <v>236218228.53999999</v>
      </c>
      <c r="H1006" s="436">
        <f>H27+H91+H176+H474+H508+H627+H760+H787+H911+H922+H933+H966+H1003</f>
        <v>238933609.53999999</v>
      </c>
      <c r="I1006" s="435"/>
      <c r="J1006" s="436"/>
      <c r="K1006" s="436">
        <f>K27+K91+K176+K474+K508+K627+K760+K787+K911+K922+K933+K966+K1003</f>
        <v>257330671.53999999</v>
      </c>
      <c r="M1006" s="20"/>
      <c r="N1006" s="20"/>
      <c r="O1006" s="74"/>
      <c r="P1006" s="437"/>
      <c r="Q1006" s="7"/>
      <c r="R1006" s="7"/>
      <c r="S1006" s="7"/>
      <c r="T1006" s="7"/>
      <c r="U1006" s="7"/>
      <c r="V1006" s="7"/>
      <c r="W1006" s="7"/>
      <c r="X1006" s="7"/>
    </row>
    <row r="1007" spans="1:28" ht="16.5" thickTop="1">
      <c r="A1007" s="1"/>
      <c r="B1007" s="298"/>
      <c r="C1007" s="21"/>
      <c r="D1007" s="21"/>
      <c r="E1007" s="322"/>
      <c r="F1007" s="2"/>
      <c r="G1007" s="2"/>
      <c r="H1007" s="2"/>
      <c r="I1007" s="338" t="s">
        <v>31</v>
      </c>
      <c r="J1007" s="1"/>
      <c r="K1007" s="2" t="s">
        <v>31</v>
      </c>
      <c r="M1007" s="20"/>
      <c r="N1007" s="20"/>
      <c r="O1007" s="74"/>
      <c r="P1007" s="74"/>
      <c r="Q1007" s="20"/>
      <c r="R1007" s="20"/>
      <c r="S1007" s="20"/>
      <c r="T1007" s="20"/>
      <c r="U1007" s="20"/>
      <c r="V1007" s="20"/>
      <c r="W1007" s="20"/>
      <c r="X1007" s="20"/>
    </row>
    <row r="1008" spans="1:28">
      <c r="A1008" s="1" t="s">
        <v>34</v>
      </c>
      <c r="B1008" s="298"/>
      <c r="C1008" s="438"/>
      <c r="D1008" s="438"/>
      <c r="E1008" s="439"/>
      <c r="F1008" s="440"/>
      <c r="G1008" s="440">
        <v>311006.74</v>
      </c>
      <c r="H1008" s="440">
        <v>311006.74</v>
      </c>
      <c r="I1008" s="441"/>
      <c r="J1008" s="442"/>
      <c r="K1008" s="440">
        <f>G1008</f>
        <v>311006.74</v>
      </c>
      <c r="M1008" s="20"/>
      <c r="N1008" s="7" t="s">
        <v>399</v>
      </c>
      <c r="O1008" s="443" t="e">
        <f>#REF!*1000</f>
        <v>#REF!</v>
      </c>
      <c r="P1008" s="74"/>
      <c r="Q1008" s="20"/>
      <c r="R1008" s="20"/>
      <c r="S1008" s="20"/>
      <c r="T1008" s="20"/>
      <c r="U1008" s="20"/>
      <c r="V1008" s="20"/>
      <c r="W1008" s="20"/>
      <c r="X1008" s="20"/>
    </row>
    <row r="1009" spans="1:24" s="4" customFormat="1" ht="19.899999999999999" customHeight="1" thickBot="1">
      <c r="A1009" s="444" t="s">
        <v>506</v>
      </c>
      <c r="B1009" s="445"/>
      <c r="C1009" s="446">
        <f>C1006+C1008</f>
        <v>4024330101.6098857</v>
      </c>
      <c r="D1009" s="446">
        <f>D1006+D1008</f>
        <v>4081125561.3610039</v>
      </c>
      <c r="E1009" s="447"/>
      <c r="F1009" s="448"/>
      <c r="G1009" s="449">
        <f>G1006+G1008</f>
        <v>236529235.28</v>
      </c>
      <c r="H1009" s="449">
        <f>H1006+H1008</f>
        <v>239244616.28</v>
      </c>
      <c r="I1009" s="450"/>
      <c r="J1009" s="448"/>
      <c r="K1009" s="446">
        <f>K1006+K1008</f>
        <v>257641678.28</v>
      </c>
      <c r="M1009" s="7"/>
      <c r="N1009" s="20" t="s">
        <v>257</v>
      </c>
      <c r="O1009" s="74" t="e">
        <f>O1008-K1009</f>
        <v>#REF!</v>
      </c>
      <c r="P1009" s="299" t="e">
        <f>(O1008-K1009)/K1009</f>
        <v>#REF!</v>
      </c>
      <c r="Q1009" s="7"/>
      <c r="R1009" s="7"/>
      <c r="S1009" s="7"/>
      <c r="T1009" s="7"/>
      <c r="U1009" s="7"/>
      <c r="V1009" s="7"/>
      <c r="W1009" s="7"/>
      <c r="X1009" s="7"/>
    </row>
    <row r="1010" spans="1:24" ht="16.5" thickTop="1">
      <c r="A1010" s="1"/>
      <c r="B1010" s="298"/>
      <c r="C1010" s="21"/>
      <c r="D1010" s="21"/>
      <c r="E1010" s="451">
        <v>0</v>
      </c>
      <c r="F1010" s="2"/>
      <c r="G1010" s="2" t="s">
        <v>31</v>
      </c>
      <c r="H1010" s="2" t="s">
        <v>31</v>
      </c>
      <c r="I1010" s="322"/>
      <c r="J1010" s="1"/>
      <c r="K1010" s="2"/>
      <c r="M1010" s="20"/>
      <c r="P1010" s="74"/>
      <c r="Q1010" s="20"/>
      <c r="R1010" s="20"/>
      <c r="S1010" s="20"/>
      <c r="T1010" s="20"/>
      <c r="U1010" s="20"/>
      <c r="V1010" s="20"/>
      <c r="W1010" s="20"/>
      <c r="X1010" s="20"/>
    </row>
    <row r="1011" spans="1:24">
      <c r="C1011" s="452"/>
      <c r="D1011" s="452"/>
      <c r="E1011" s="255"/>
      <c r="H1011" s="453"/>
      <c r="M1011" s="20"/>
      <c r="N1011" s="20"/>
      <c r="O1011" s="74"/>
      <c r="P1011" s="74"/>
      <c r="Q1011" s="20"/>
      <c r="R1011" s="20"/>
      <c r="S1011" s="20"/>
      <c r="T1011" s="20"/>
      <c r="U1011" s="20"/>
      <c r="V1011" s="20"/>
      <c r="W1011" s="20"/>
      <c r="X1011" s="20"/>
    </row>
    <row r="1012" spans="1:24">
      <c r="A1012" s="454"/>
      <c r="K1012" s="249">
        <f>K1009-H1009</f>
        <v>18397062</v>
      </c>
      <c r="M1012" s="20"/>
      <c r="N1012" s="401"/>
      <c r="O1012" s="74"/>
      <c r="P1012" s="74"/>
      <c r="Q1012" s="20"/>
      <c r="R1012" s="20"/>
      <c r="S1012" s="20"/>
      <c r="T1012" s="20"/>
      <c r="U1012" s="20"/>
      <c r="V1012" s="20"/>
      <c r="W1012" s="20"/>
      <c r="X1012" s="20"/>
    </row>
    <row r="1013" spans="1:24">
      <c r="A1013" s="1" t="s">
        <v>162</v>
      </c>
      <c r="B1013" s="3" t="s">
        <v>507</v>
      </c>
      <c r="C1013" s="249">
        <v>4024330100</v>
      </c>
      <c r="D1013" s="249">
        <v>4081125563.3743143</v>
      </c>
      <c r="G1013" s="84">
        <v>236529235.27999997</v>
      </c>
      <c r="H1013" s="84">
        <v>239244616.27999997</v>
      </c>
      <c r="M1013" s="20"/>
      <c r="N1013" s="20"/>
      <c r="O1013" s="74"/>
      <c r="P1013" s="74"/>
      <c r="Q1013" s="20"/>
      <c r="R1013" s="20"/>
      <c r="S1013" s="20"/>
      <c r="T1013" s="20"/>
      <c r="U1013" s="20"/>
      <c r="V1013" s="20"/>
      <c r="W1013" s="20"/>
      <c r="X1013" s="20"/>
    </row>
    <row r="1014" spans="1:24">
      <c r="B1014" s="3" t="s">
        <v>508</v>
      </c>
      <c r="C1014" s="249">
        <v>4024330100</v>
      </c>
      <c r="D1014" s="249">
        <v>4081125563.3743143</v>
      </c>
      <c r="G1014" s="84">
        <v>236529235.27999997</v>
      </c>
      <c r="H1014" s="84">
        <v>239244616.27999997</v>
      </c>
      <c r="M1014" s="20"/>
      <c r="N1014" s="20"/>
      <c r="O1014" s="74"/>
      <c r="P1014" s="74"/>
      <c r="Q1014" s="20"/>
      <c r="R1014" s="20"/>
      <c r="S1014" s="20"/>
      <c r="T1014" s="20"/>
      <c r="U1014" s="20"/>
      <c r="V1014" s="20"/>
      <c r="W1014" s="20"/>
      <c r="X1014" s="20"/>
    </row>
    <row r="1015" spans="1:24">
      <c r="M1015" s="20"/>
      <c r="N1015" s="20"/>
      <c r="O1015" s="74"/>
      <c r="P1015" s="74"/>
      <c r="Q1015" s="20"/>
      <c r="R1015" s="20"/>
      <c r="S1015" s="20"/>
      <c r="T1015" s="20"/>
      <c r="U1015" s="20"/>
      <c r="V1015" s="20"/>
      <c r="W1015" s="20"/>
      <c r="X1015" s="20"/>
    </row>
    <row r="1016" spans="1:24">
      <c r="B1016" s="3" t="s">
        <v>245</v>
      </c>
      <c r="C1016" s="249">
        <f>C1009-C1014</f>
        <v>1.6098856925964355</v>
      </c>
      <c r="D1016" s="249">
        <f>D1009-D1014</f>
        <v>-2.013310432434082</v>
      </c>
      <c r="G1016" s="249">
        <f>G1009-G1014</f>
        <v>0</v>
      </c>
      <c r="H1016" s="249">
        <f>H1009-H1014</f>
        <v>0</v>
      </c>
      <c r="M1016" s="20"/>
      <c r="N1016" s="20"/>
      <c r="O1016" s="74"/>
      <c r="P1016" s="74"/>
      <c r="Q1016" s="20"/>
      <c r="R1016" s="20"/>
      <c r="S1016" s="20"/>
      <c r="T1016" s="20"/>
      <c r="U1016" s="20"/>
      <c r="V1016" s="20"/>
      <c r="W1016" s="20"/>
      <c r="X1016" s="20"/>
    </row>
    <row r="1017" spans="1:24">
      <c r="M1017" s="20"/>
      <c r="N1017" s="20"/>
      <c r="O1017" s="74"/>
      <c r="P1017" s="74"/>
      <c r="Q1017" s="20"/>
      <c r="R1017" s="20"/>
      <c r="S1017" s="20"/>
      <c r="T1017" s="20"/>
      <c r="U1017" s="20"/>
      <c r="V1017" s="20"/>
      <c r="W1017" s="20"/>
      <c r="X1017" s="20"/>
    </row>
    <row r="1019" spans="1:24">
      <c r="B1019" s="3" t="s">
        <v>509</v>
      </c>
      <c r="C1019" s="249">
        <f>C24+C83+C157+C483+C587+C737+C768+C908+C919+C930+C962+C1000</f>
        <v>1450753</v>
      </c>
      <c r="D1019" s="249">
        <f>D24+D83+D157+D483+D587+D737+D768+D908+D919+D930+D962+D1000</f>
        <v>1466661.75</v>
      </c>
    </row>
    <row r="1020" spans="1:24">
      <c r="B1020" s="3" t="s">
        <v>40</v>
      </c>
      <c r="C1020" s="249">
        <f>((C83+C186+C271+C483+C737+C768+C908+C919+C930+C962+C1000)/12)+C358+C587+C24</f>
        <v>128412.75</v>
      </c>
      <c r="D1020" s="249">
        <f>((D83+D186+D271+D483+D737+D768+D908+D919+D930+D962+D1000)/12)+D358+D587+D24</f>
        <v>129738.25</v>
      </c>
    </row>
    <row r="1022" spans="1:24">
      <c r="B1022" s="3" t="s">
        <v>245</v>
      </c>
      <c r="C1022" s="249">
        <v>0</v>
      </c>
      <c r="D1022" s="249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465" customWidth="1"/>
    <col min="2" max="2" width="9.75" style="465" customWidth="1"/>
    <col min="3" max="3" width="2.875" style="465" customWidth="1"/>
    <col min="4" max="4" width="11.25" style="465" hidden="1" customWidth="1"/>
    <col min="5" max="5" width="7.625" style="465" bestFit="1" customWidth="1"/>
    <col min="6" max="6" width="3.375" style="465" customWidth="1"/>
    <col min="7" max="7" width="11" style="465" bestFit="1" customWidth="1"/>
    <col min="8" max="8" width="1.75" style="465" customWidth="1"/>
    <col min="9" max="9" width="11" style="465" bestFit="1" customWidth="1"/>
    <col min="10" max="10" width="6.125" style="465" bestFit="1" customWidth="1"/>
    <col min="11" max="11" width="11" style="465" bestFit="1" customWidth="1"/>
    <col min="12" max="12" width="2" style="465" customWidth="1"/>
    <col min="13" max="13" width="11" style="465" bestFit="1" customWidth="1"/>
    <col min="14" max="14" width="2.875" style="465" customWidth="1"/>
    <col min="15" max="15" width="10.25" style="465" hidden="1" customWidth="1"/>
    <col min="16" max="16" width="2" style="465" hidden="1" customWidth="1"/>
    <col min="17" max="17" width="10.25" style="465" hidden="1" customWidth="1"/>
    <col min="18" max="18" width="4.625" style="465" hidden="1" customWidth="1"/>
    <col min="19" max="19" width="11" style="465" bestFit="1" customWidth="1"/>
    <col min="20" max="20" width="2" style="465" customWidth="1"/>
    <col min="21" max="21" width="11" style="465" bestFit="1" customWidth="1"/>
    <col min="22" max="22" width="3.125" style="465" customWidth="1"/>
    <col min="23" max="23" width="12.5" style="465" customWidth="1"/>
    <col min="24" max="24" width="10.875" style="465" bestFit="1" customWidth="1"/>
    <col min="25" max="25" width="8.5" style="465"/>
    <col min="26" max="26" width="13.875" style="465" customWidth="1"/>
    <col min="27" max="27" width="12.75" style="465" bestFit="1" customWidth="1"/>
    <col min="28" max="28" width="8.5" style="465" customWidth="1"/>
    <col min="29" max="29" width="2.625" style="503" customWidth="1"/>
    <col min="30" max="16384" width="8.5" style="465"/>
  </cols>
  <sheetData>
    <row r="1" spans="1:30">
      <c r="A1" s="502"/>
      <c r="B1" s="502"/>
    </row>
    <row r="2" spans="1:30">
      <c r="A2" s="502"/>
      <c r="B2" s="502"/>
      <c r="C2" s="504"/>
      <c r="D2" s="504"/>
      <c r="E2" s="504"/>
      <c r="F2" s="504"/>
      <c r="G2" s="504"/>
      <c r="H2" s="504"/>
      <c r="I2" s="504"/>
      <c r="J2" s="504"/>
      <c r="K2" s="504"/>
      <c r="L2" s="504"/>
    </row>
    <row r="3" spans="1:30" ht="18.75">
      <c r="A3" s="502"/>
      <c r="B3" s="466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467"/>
      <c r="N3" s="467"/>
      <c r="O3" s="467"/>
      <c r="P3" s="467"/>
      <c r="Q3" s="506"/>
      <c r="S3" s="467"/>
      <c r="T3" s="468" t="s">
        <v>31</v>
      </c>
      <c r="U3" s="506"/>
    </row>
    <row r="4" spans="1:30" ht="20.25">
      <c r="B4" s="507" t="s">
        <v>72</v>
      </c>
      <c r="C4" s="507"/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507"/>
      <c r="R4" s="507"/>
      <c r="S4" s="507"/>
      <c r="T4" s="507"/>
      <c r="U4" s="507"/>
    </row>
    <row r="5" spans="1:30" ht="20.25">
      <c r="B5" s="507" t="s">
        <v>510</v>
      </c>
      <c r="C5" s="507"/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</row>
    <row r="6" spans="1:30" ht="20.25">
      <c r="B6" s="507" t="s">
        <v>517</v>
      </c>
      <c r="C6" s="507"/>
      <c r="D6" s="507"/>
      <c r="E6" s="507"/>
      <c r="F6" s="507"/>
      <c r="G6" s="507"/>
      <c r="H6" s="507"/>
      <c r="I6" s="507"/>
      <c r="J6" s="507"/>
      <c r="K6" s="507"/>
      <c r="L6" s="507"/>
      <c r="M6" s="507"/>
      <c r="N6" s="507"/>
      <c r="O6" s="507"/>
      <c r="P6" s="507"/>
      <c r="Q6" s="507"/>
      <c r="R6" s="507"/>
      <c r="S6" s="507"/>
      <c r="T6" s="507"/>
      <c r="U6" s="507"/>
    </row>
    <row r="7" spans="1:30" ht="20.25">
      <c r="B7" s="508" t="s">
        <v>1029</v>
      </c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8"/>
      <c r="T7" s="508"/>
      <c r="U7" s="508"/>
    </row>
    <row r="8" spans="1:30" ht="18.75">
      <c r="B8" s="509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1"/>
      <c r="S8" s="510"/>
      <c r="T8" s="510"/>
      <c r="U8" s="511"/>
    </row>
    <row r="9" spans="1:30">
      <c r="A9" s="504"/>
      <c r="B9" s="502"/>
    </row>
    <row r="10" spans="1:30" ht="15.75">
      <c r="A10" s="504"/>
      <c r="B10" s="512" t="s">
        <v>518</v>
      </c>
      <c r="C10" s="513"/>
      <c r="D10" s="513"/>
      <c r="E10" s="513"/>
      <c r="F10" s="513"/>
      <c r="G10" s="514" t="s">
        <v>519</v>
      </c>
      <c r="H10" s="514"/>
      <c r="I10" s="514"/>
      <c r="J10" s="514"/>
      <c r="K10" s="514"/>
      <c r="L10" s="514"/>
      <c r="M10" s="514"/>
      <c r="N10" s="513"/>
      <c r="O10" s="515" t="s">
        <v>520</v>
      </c>
      <c r="P10" s="515"/>
      <c r="Q10" s="515"/>
      <c r="R10" s="516"/>
      <c r="S10" s="515" t="s">
        <v>512</v>
      </c>
      <c r="T10" s="515"/>
      <c r="U10" s="515"/>
    </row>
    <row r="11" spans="1:30" ht="16.5" thickBot="1">
      <c r="A11" s="504"/>
      <c r="B11" s="517" t="s">
        <v>521</v>
      </c>
      <c r="C11" s="515"/>
      <c r="D11" s="512" t="s">
        <v>522</v>
      </c>
      <c r="E11" s="513"/>
      <c r="F11" s="513"/>
      <c r="G11" s="518" t="s">
        <v>361</v>
      </c>
      <c r="H11" s="518"/>
      <c r="I11" s="518"/>
      <c r="J11" s="519"/>
      <c r="K11" s="518" t="s">
        <v>296</v>
      </c>
      <c r="L11" s="518"/>
      <c r="M11" s="518"/>
      <c r="N11" s="513"/>
      <c r="O11" s="518" t="s">
        <v>257</v>
      </c>
      <c r="P11" s="518"/>
      <c r="Q11" s="518"/>
      <c r="R11" s="516"/>
      <c r="S11" s="518" t="s">
        <v>257</v>
      </c>
      <c r="T11" s="518"/>
      <c r="U11" s="518"/>
    </row>
    <row r="12" spans="1:30" ht="15.75">
      <c r="A12" s="504"/>
      <c r="B12" s="520" t="s">
        <v>396</v>
      </c>
      <c r="C12" s="521"/>
      <c r="D12" s="522" t="s">
        <v>523</v>
      </c>
      <c r="E12" s="520" t="s">
        <v>25</v>
      </c>
      <c r="F12" s="513"/>
      <c r="G12" s="523" t="s">
        <v>524</v>
      </c>
      <c r="H12" s="524"/>
      <c r="I12" s="523" t="s">
        <v>525</v>
      </c>
      <c r="J12" s="513"/>
      <c r="K12" s="523" t="s">
        <v>524</v>
      </c>
      <c r="L12" s="524"/>
      <c r="M12" s="523" t="s">
        <v>525</v>
      </c>
      <c r="N12" s="513"/>
      <c r="O12" s="523" t="s">
        <v>524</v>
      </c>
      <c r="P12" s="513"/>
      <c r="Q12" s="523" t="s">
        <v>525</v>
      </c>
      <c r="R12" s="516"/>
      <c r="S12" s="523" t="s">
        <v>524</v>
      </c>
      <c r="T12" s="513"/>
      <c r="U12" s="523" t="s">
        <v>525</v>
      </c>
      <c r="W12" s="525"/>
      <c r="X12" s="1444" t="s">
        <v>361</v>
      </c>
      <c r="Y12" s="527"/>
      <c r="Z12" s="526"/>
      <c r="AA12" s="1444" t="s">
        <v>296</v>
      </c>
      <c r="AB12" s="527"/>
    </row>
    <row r="13" spans="1:30" ht="15.75">
      <c r="A13" s="504"/>
      <c r="B13" s="513"/>
      <c r="C13" s="513"/>
      <c r="D13" s="513"/>
      <c r="E13" s="513"/>
      <c r="F13" s="513"/>
      <c r="G13" s="521"/>
      <c r="H13" s="521"/>
      <c r="I13" s="521"/>
      <c r="J13" s="521"/>
      <c r="K13" s="521"/>
      <c r="L13" s="521"/>
      <c r="M13" s="521"/>
      <c r="N13" s="516"/>
      <c r="O13" s="516"/>
      <c r="P13" s="516"/>
      <c r="Q13" s="516"/>
      <c r="R13" s="516"/>
      <c r="S13" s="516"/>
      <c r="T13" s="516"/>
      <c r="U13" s="516"/>
      <c r="W13" s="528" t="s">
        <v>394</v>
      </c>
      <c r="X13" s="492" t="s">
        <v>526</v>
      </c>
      <c r="Y13" s="529" t="s">
        <v>527</v>
      </c>
      <c r="Z13" s="492"/>
      <c r="AA13" s="492" t="s">
        <v>526</v>
      </c>
      <c r="AB13" s="529" t="s">
        <v>527</v>
      </c>
    </row>
    <row r="14" spans="1:30" ht="15.75">
      <c r="A14" s="504"/>
      <c r="B14" s="513">
        <v>15</v>
      </c>
      <c r="C14" s="513"/>
      <c r="D14" s="513">
        <v>100</v>
      </c>
      <c r="E14" s="530">
        <v>5000</v>
      </c>
      <c r="F14" s="531"/>
      <c r="G14" s="532">
        <f ca="1">ROUND($X$15+IF($E14&gt;1000,IF($E14&gt;9000,(1000*X$21/100)+(8000*X$22/100)+(($E14-(9000))*X$23/100),(1000*X$21/100)+(($E14-1000)*X$22/100)),($E14*$X$21)/100)+IF(B$14&gt;W$18,$X$18*($B$14-W$18),0)+IF(B$14&gt;W$20,$X$20*($B$14-W$20),0),2)+AA$29</f>
        <v>430.24</v>
      </c>
      <c r="H14" s="532"/>
      <c r="I14" s="532">
        <f ca="1">ROUND($Y$15+IF($E14&gt;1000,IF($E14&gt;9000,(1000*Y$21/100)+(8000*Y$22/100)+(($E14-(9000))*Y$23/100),(1000*Y$21/100)+(($E14-1000)*Y$22/100)),($E14*$Y$21)/100)+IF(B$14&gt;W$18,$Y$18*($B$14-W$18),0)+IF(B$14&gt;W$20,$Y$20*($B$14-W$20),0),2)+AA$29</f>
        <v>435.02</v>
      </c>
      <c r="J14" s="532"/>
      <c r="K14" s="532">
        <f ca="1">ROUND($AA$15+IF($E14&gt;1000,IF($E14&gt;9000,(1000*AA$21/100)+(8000*AA$22/100)+(($E14-9000)*AA$23/100),(1000*AA$21/100)+(($E14-1000)*AA$22/100)),($E14*$AA$21)/100)+IF(B$14&gt;Z$18,$AA$18*($B$14-Z$18),0)+IF(B$14&gt;Z$20,$AA$20*($B$14-Z$20),0),2)+AA30</f>
        <v>439.89</v>
      </c>
      <c r="L14" s="532"/>
      <c r="M14" s="532">
        <f ca="1">ROUND($AB$15+IF($E14&gt;1000,IF($E14&gt;9000,(1000*AB$21/100)+(8000*AB$22/100)+(($E14-9000)*AB$23/100),(1000*AB$21/100)+(($E14-1000)*AB$22/100)),($E14*$AB$21)/100)+IF(B$14&gt;Z$18,$AB$18*($B$14-Z$18),0)+IF(B$14&gt;Z$20,$AB$20*($B$14-Z$20),0),2)+AA30</f>
        <v>444.79</v>
      </c>
      <c r="N14" s="513"/>
      <c r="O14" s="532">
        <f ca="1">K14-G14</f>
        <v>9.6499999999999773</v>
      </c>
      <c r="P14" s="532"/>
      <c r="Q14" s="532">
        <f ca="1">M14-I14</f>
        <v>9.7700000000000387</v>
      </c>
      <c r="R14" s="516"/>
      <c r="S14" s="533">
        <f ca="1">ROUND(K14/G14-1,4)</f>
        <v>2.24E-2</v>
      </c>
      <c r="T14" s="513"/>
      <c r="U14" s="533">
        <f ca="1">ROUND(M14/I14-1,4)</f>
        <v>2.2499999999999999E-2</v>
      </c>
      <c r="W14" s="528" t="s">
        <v>528</v>
      </c>
      <c r="X14" s="534">
        <f ca="1">'Exhibit No.__(JRS-11) p1-8'!G173</f>
        <v>9.76</v>
      </c>
      <c r="Y14" s="479">
        <f ca="1">'Exhibit No.__(JRS-11) p1-8'!G174</f>
        <v>14.54</v>
      </c>
      <c r="Z14" s="535"/>
      <c r="AA14" s="534">
        <f ca="1">'Billing Determinants'!G214</f>
        <v>9.99</v>
      </c>
      <c r="AB14" s="479">
        <f ca="1">'Billing Determinants'!G215</f>
        <v>14.89</v>
      </c>
      <c r="AC14" s="536"/>
      <c r="AD14" s="486"/>
    </row>
    <row r="15" spans="1:30" ht="15.75">
      <c r="A15" s="504"/>
      <c r="B15" s="513"/>
      <c r="C15" s="513"/>
      <c r="D15" s="513">
        <v>200</v>
      </c>
      <c r="E15" s="530">
        <v>7500</v>
      </c>
      <c r="F15" s="531"/>
      <c r="G15" s="532">
        <f ca="1">ROUND($X$15+IF($E15&gt;1000,IF($E15&gt;9000,(1000*X$21/100)+(8000*X$22/100)+(($E15-(9000))*X$23/100),(1000*X$21/100)+(($E15-1000)*X$22/100)),($E15*$X$21)/100)+IF(B$14&gt;W$18,$X$18*($B$14-W$18),0)+IF(B$14&gt;W$20,$X$20*($B$14-W$20),0),2)+AA$29</f>
        <v>623.27</v>
      </c>
      <c r="H15" s="532"/>
      <c r="I15" s="532">
        <f ca="1">ROUND($Y$15+IF($E15&gt;1000,IF($E15&gt;9000,(1000*Y$21/100)+(8000*Y$22/100)+(($E15-(9000))*Y$23/100),(1000*Y$21/100)+(($E15-1000)*Y$22/100)),($E15*$Y$21)/100)+IF(B$14&gt;W$18,$Y$18*($B$14-W$18),0)+IF(B$14&gt;W$20,$Y$20*($B$14-W$20),0),2)+AA$29</f>
        <v>628.04999999999995</v>
      </c>
      <c r="J15" s="532"/>
      <c r="K15" s="532">
        <f ca="1">ROUND($AA$15+IF($E15&gt;1000,IF($E15&gt;9000,(1000*AA$21/100)+(8000*AA$22/100)+(($E15-9000)*AA$23/100),(1000*AA$21/100)+(($E15-1000)*AA$22/100)),($E15*$AA$21)/100)+IF(B$14&gt;Z$18,$AA$18*($B$14-Z$18),0)+IF(B$14&gt;Z$20,$AA$20*($B$14-Z$20),0),2)+AA30</f>
        <v>637.2399999999999</v>
      </c>
      <c r="L15" s="532"/>
      <c r="M15" s="532">
        <f ca="1">ROUND($AB$15+IF($E15&gt;1000,IF($E15&gt;9000,(1000*AB$21/100)+(8000*AB$22/100)+(($E15-9000)*AB$23/100),(1000*AB$21/100)+(($E15-1000)*AB$22/100)),($E15*$AB$21)/100)+IF(B$14&gt;Z$18,$AB$18*($B$14-Z$18),0)+IF(B$14&gt;Z$20,$AB$20*($B$14-Z$20),0),2)+AA30</f>
        <v>642.14</v>
      </c>
      <c r="N15" s="513"/>
      <c r="O15" s="532">
        <f ca="1">K15-G15</f>
        <v>13.969999999999914</v>
      </c>
      <c r="P15" s="532"/>
      <c r="Q15" s="532">
        <f ca="1">M15-I15</f>
        <v>14.090000000000032</v>
      </c>
      <c r="R15" s="516"/>
      <c r="S15" s="533">
        <f ca="1">ROUND(K15/G15-1,4)</f>
        <v>2.24E-2</v>
      </c>
      <c r="T15" s="513"/>
      <c r="U15" s="533">
        <f ca="1">ROUND(M15/I15-1,4)</f>
        <v>2.24E-2</v>
      </c>
      <c r="W15" s="528" t="s">
        <v>529</v>
      </c>
      <c r="X15" s="534">
        <f ca="1">X14</f>
        <v>9.76</v>
      </c>
      <c r="Y15" s="479">
        <f ca="1">Y14</f>
        <v>14.54</v>
      </c>
      <c r="Z15" s="535"/>
      <c r="AA15" s="534">
        <f ca="1">AA14</f>
        <v>9.99</v>
      </c>
      <c r="AB15" s="479">
        <f ca="1">AB14</f>
        <v>14.89</v>
      </c>
    </row>
    <row r="16" spans="1:30" ht="15.75">
      <c r="A16" s="504"/>
      <c r="B16" s="513"/>
      <c r="C16" s="513"/>
      <c r="D16" s="513">
        <v>300</v>
      </c>
      <c r="E16" s="530">
        <v>10000</v>
      </c>
      <c r="F16" s="531"/>
      <c r="G16" s="532">
        <f ca="1">ROUND($X$15+IF($E16&gt;1000,IF($E16&gt;9000,(1000*X$21/100)+(8000*X$22/100)+(($E16-(9000))*X$23/100),(1000*X$21/100)+(($E16-1000)*X$22/100)),($E16*$X$21)/100)+IF(B$14&gt;W$18,$X$18*($B$14-W$18),0)+IF(B$14&gt;W$20,$X$20*($B$14-W$20),0),2)+AA$29</f>
        <v>806.11999999999989</v>
      </c>
      <c r="H16" s="532"/>
      <c r="I16" s="532">
        <f ca="1">ROUND($Y$15+IF($E16&gt;1000,IF($E16&gt;9000,(1000*Y$21/100)+(8000*Y$22/100)+(($E16-(9000))*Y$23/100),(1000*Y$21/100)+(($E16-1000)*Y$22/100)),($E16*$Y$21)/100)+IF(B$14&gt;W$18,$Y$18*($B$14-W$18),0)+IF(B$14&gt;W$20,$Y$20*($B$14-W$20),0),2)+AA$29</f>
        <v>810.9</v>
      </c>
      <c r="J16" s="532"/>
      <c r="K16" s="532">
        <f ca="1">ROUND($AA$15+IF($E16&gt;1000,IF($E16&gt;9000,(1000*AA$21/100)+(8000*AA$22/100)+(($E16-9000)*AA$23/100),(1000*AA$21/100)+(($E16-1000)*AA$22/100)),($E16*$AA$21)/100)+IF(B$14&gt;Z$18,$AA$18*($B$14-Z$18),0)+IF(B$14&gt;Z$20,$AA$20*($B$14-Z$20),0),2)+AA30</f>
        <v>824.17</v>
      </c>
      <c r="L16" s="532"/>
      <c r="M16" s="532">
        <f ca="1">ROUND($AB$15+IF($E16&gt;1000,IF($E16&gt;9000,(1000*AB$21/100)+(8000*AB$22/100)+(($E16-9000)*AB$23/100),(1000*AB$21/100)+(($E16-1000)*AB$22/100)),($E16*$AB$21)/100)+IF(B$14&gt;Z$18,$AB$18*($B$14-Z$18),0)+IF(B$14&gt;Z$20,$AB$20*($B$14-Z$20),0),2)+AA30</f>
        <v>829.06999999999994</v>
      </c>
      <c r="N16" s="513"/>
      <c r="O16" s="532">
        <f ca="1">K16-G16</f>
        <v>18.050000000000068</v>
      </c>
      <c r="P16" s="532"/>
      <c r="Q16" s="532">
        <f ca="1">M16-I16</f>
        <v>18.169999999999959</v>
      </c>
      <c r="R16" s="516"/>
      <c r="S16" s="533">
        <f ca="1">ROUND(K16/G16-1,4)</f>
        <v>2.24E-2</v>
      </c>
      <c r="T16" s="513"/>
      <c r="U16" s="533">
        <f ca="1">ROUND(M16/I16-1,4)</f>
        <v>2.24E-2</v>
      </c>
      <c r="W16" s="528"/>
      <c r="X16" s="492"/>
      <c r="Y16" s="529"/>
      <c r="Z16" s="492"/>
      <c r="AA16" s="534"/>
      <c r="AB16" s="479"/>
    </row>
    <row r="17" spans="1:30" ht="15.75">
      <c r="A17" s="504"/>
      <c r="B17" s="516"/>
      <c r="C17" s="516"/>
      <c r="D17" s="516"/>
      <c r="E17" s="516"/>
      <c r="F17" s="516"/>
      <c r="G17" s="516"/>
      <c r="H17" s="516"/>
      <c r="I17" s="516"/>
      <c r="J17" s="516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W17" s="528" t="s">
        <v>394</v>
      </c>
      <c r="X17" s="534"/>
      <c r="Y17" s="479"/>
      <c r="Z17" s="537" t="s">
        <v>394</v>
      </c>
      <c r="AA17" s="534"/>
      <c r="AB17" s="479"/>
    </row>
    <row r="18" spans="1:30" ht="15.75">
      <c r="A18" s="504"/>
      <c r="B18" s="513">
        <v>25</v>
      </c>
      <c r="C18" s="513"/>
      <c r="D18" s="513">
        <v>150</v>
      </c>
      <c r="E18" s="530">
        <f>ROUND((B$18*D18),0)</f>
        <v>3750</v>
      </c>
      <c r="F18" s="531"/>
      <c r="G18" s="532">
        <f ca="1">ROUND($X$15+IF($E18&gt;1000,IF($E18&gt;9000,(1000*X$21/100)+(8000*X$22/100)+(($E18-9000)*X$23/100),(1000*X$21/100)+(($E18-1000)*X$22/100)),($E18*$X$21)/100)+IF(B$18&gt;W$18,$X$18*($B$18-W$18),0)+IF(B$18&gt;W$20,$X$20*($B$18-W$20),0),2)+AA29</f>
        <v>380.93</v>
      </c>
      <c r="H18" s="532"/>
      <c r="I18" s="532">
        <f ca="1">ROUND($Y$15+IF($E18&gt;1000,IF($E18&gt;9000,(1000*Y$21/100)+(8000*Y$22/100)+(($E18-9000)*Y$23/100),(1000*Y$21/100)+(($E18-1000)*Y$22/100)),($E18*$Y$21)/100)+IF(B$18&gt;W$18,$Y$18*($B$18-W$18),0)+IF(B$18&gt;W$20,$Y$20*($B$18-W$20),0),2)+AA29</f>
        <v>385.71</v>
      </c>
      <c r="J18" s="532"/>
      <c r="K18" s="532">
        <f ca="1">ROUND($AA$15+IF($E18&gt;1000,IF($E18&gt;9000,(1000*AA$21/100)+(8000*AA$22/100)+(($E18-9000)*AA$23/100),(1000*AA$21/100)+(($E18-1000)*AA$22/100)),($E18*$AA$21)/100)+IF(B$18&gt;Z$18,$AA$18*($B$18-Z$18),0)+IF(B$18&gt;Z$20,$AA$20*($B$18-Z$20),0),2)+AA30</f>
        <v>389.62</v>
      </c>
      <c r="L18" s="532"/>
      <c r="M18" s="532">
        <f ca="1">ROUND($AB$15+IF($E18&gt;1000,IF($E18&gt;9000,(1000*AB$21/100)+(8000*AB$22/100)+(($E18-9000)*AB$23/100),(1000*AB$21/100)+(($E18-1000)*AB$22/100)),($E18*$AB$21)/100)+IF(B$18&gt;Z$18,$AB$18*($B$18-Z$18),0)+IF(B$18&gt;Z$20,$AB$20*($B$18-Z$20),0),2)+AA30</f>
        <v>394.52</v>
      </c>
      <c r="N18" s="513"/>
      <c r="O18" s="532">
        <f ca="1">K18-G18</f>
        <v>8.6899999999999977</v>
      </c>
      <c r="P18" s="532"/>
      <c r="Q18" s="532">
        <f ca="1">M18-I18</f>
        <v>8.8100000000000023</v>
      </c>
      <c r="R18" s="516"/>
      <c r="S18" s="533">
        <f ca="1">ROUND(K18/G18-1,4)</f>
        <v>2.2800000000000001E-2</v>
      </c>
      <c r="T18" s="513"/>
      <c r="U18" s="533">
        <f ca="1">ROUND(M18/I18-1,4)</f>
        <v>2.2800000000000001E-2</v>
      </c>
      <c r="W18" s="538">
        <v>15</v>
      </c>
      <c r="X18" s="534">
        <f ca="1">'Exhibit No.__(JRS-11) p1-8'!G175</f>
        <v>1.02</v>
      </c>
      <c r="Y18" s="479">
        <f ca="1">X18</f>
        <v>1.02</v>
      </c>
      <c r="Z18" s="539">
        <v>15</v>
      </c>
      <c r="AA18" s="534">
        <f ca="1">'Billing Determinants'!G216</f>
        <v>1.04</v>
      </c>
      <c r="AB18" s="479">
        <f ca="1">AA18</f>
        <v>1.04</v>
      </c>
      <c r="AD18" s="486"/>
    </row>
    <row r="19" spans="1:30" ht="15.75">
      <c r="A19" s="504"/>
      <c r="B19" s="513"/>
      <c r="C19" s="513"/>
      <c r="D19" s="513">
        <v>200</v>
      </c>
      <c r="E19" s="530">
        <f>ROUND((B$18*D19),0)</f>
        <v>5000</v>
      </c>
      <c r="F19" s="531"/>
      <c r="G19" s="532">
        <f ca="1">ROUND($X$15+IF($E19&gt;1000,IF($E19&gt;9000,(1000*X$21/100)+(8000*X$22/100)+(($E19-9000)*X$23/100),(1000*X$21/100)+(($E19-1000)*X$22/100)),($E19*$X$21)/100)+IF(B$18&gt;W$18,$X$18*($B$18-W$18),0)+IF(B$18&gt;W$20,$X$20*($B$18-W$20),0),2)+AA29</f>
        <v>477.44</v>
      </c>
      <c r="H19" s="532"/>
      <c r="I19" s="532">
        <f ca="1">ROUND($Y$15+IF($E19&gt;1000,IF($E19&gt;9000,(1000*Y$21/100)+(8000*Y$22/100)+(($E19-9000)*Y$23/100),(1000*Y$21/100)+(($E19-1000)*Y$22/100)),($E19*$Y$21)/100)+IF(B$18&gt;W$18,$Y$18*($B$18-W$18),0)+IF(B$18&gt;W$20,$Y$20*($B$18-W$20),0),2)+AA29</f>
        <v>482.22</v>
      </c>
      <c r="J19" s="532"/>
      <c r="K19" s="532">
        <f ca="1">ROUND($AA$15+IF($E19&gt;1000,IF($E19&gt;9000,(1000*AA$21/100)+(8000*AA$22/100)+(($E19-9000)*AA$23/100),(1000*AA$21/100)+(($E19-1000)*AA$22/100)),($E19*$AA$21)/100)+IF(B$18&gt;Z$18,$AA$18*($B$18-Z$18),0)+IF(B$18&gt;Z$20,$AA$20*($B$18-Z$20),0),2)+AA30</f>
        <v>488.29</v>
      </c>
      <c r="L19" s="532"/>
      <c r="M19" s="532">
        <f ca="1">ROUND($AB$15+IF($E19&gt;1000,IF($E19&gt;9000,(1000*AB$21/100)+(8000*AB$22/100)+(($E19-9000)*AB$23/100),(1000*AB$21/100)+(($E19-1000)*AB$22/100)),($E19*$AB$21)/100)+IF(B$18&gt;Z$18,$AB$18*($B$18-Z$18),0)+IF(B$18&gt;Z$20,$AB$20*($B$18-Z$20),0),2)+AA30</f>
        <v>493.19</v>
      </c>
      <c r="N19" s="513"/>
      <c r="O19" s="532">
        <f ca="1">K19-G19</f>
        <v>10.850000000000023</v>
      </c>
      <c r="P19" s="532"/>
      <c r="Q19" s="532">
        <f ca="1">M19-I19</f>
        <v>10.96999999999997</v>
      </c>
      <c r="R19" s="516"/>
      <c r="S19" s="533">
        <f ca="1">ROUND(K19/G19-1,4)</f>
        <v>2.2700000000000001E-2</v>
      </c>
      <c r="T19" s="513"/>
      <c r="U19" s="533">
        <f ca="1">ROUND(M19/I19-1,4)</f>
        <v>2.2700000000000001E-2</v>
      </c>
      <c r="W19" s="528" t="s">
        <v>396</v>
      </c>
      <c r="X19" s="492"/>
      <c r="Y19" s="540"/>
      <c r="Z19" s="492" t="s">
        <v>396</v>
      </c>
      <c r="AA19" s="534"/>
      <c r="AB19" s="479"/>
    </row>
    <row r="20" spans="1:30" ht="15.75">
      <c r="A20" s="504"/>
      <c r="B20" s="513"/>
      <c r="C20" s="513"/>
      <c r="D20" s="513">
        <v>400</v>
      </c>
      <c r="E20" s="530">
        <f>ROUND((B$18*D20),0)</f>
        <v>10000</v>
      </c>
      <c r="F20" s="531"/>
      <c r="G20" s="532">
        <f ca="1">ROUND($X$15+IF($E20&gt;1000,IF($E20&gt;9000,(1000*X$21/100)+(8000*X$22/100)+(($E20-9000)*X$23/100),(1000*X$21/100)+(($E20-1000)*X$22/100)),($E20*$X$21)/100)+IF(B$18&gt;W$18,$X$18*($B$18-W$18),0)+IF(B$18&gt;W$20,$X$20*($B$18-W$20),0),2)+AA29</f>
        <v>853.31999999999994</v>
      </c>
      <c r="H20" s="532"/>
      <c r="I20" s="532">
        <f ca="1">ROUND($Y$15+IF($E20&gt;1000,IF($E20&gt;9000,(1000*Y$21/100)+(8000*Y$22/100)+(($E20-9000)*Y$23/100),(1000*Y$21/100)+(($E20-1000)*Y$22/100)),($E20*$Y$21)/100)+IF(B$18&gt;W$18,$Y$18*($B$18-W$18),0)+IF(B$18&gt;W$20,$Y$20*($B$18-W$20),0),2)+AA29</f>
        <v>858.09999999999991</v>
      </c>
      <c r="J20" s="532"/>
      <c r="K20" s="532">
        <f ca="1">ROUND($AA$15+IF($E20&gt;1000,IF($E20&gt;9000,(1000*AA$21/100)+(8000*AA$22/100)+(($E20-9000)*AA$23/100),(1000*AA$21/100)+(($E20-1000)*AA$22/100)),($E20*$AA$21)/100)+IF(B$18&gt;Z$18,$AA$18*($B$18-Z$18),0)+IF(B$18&gt;Z$20,$AA$20*($B$18-Z$20),0),2)+AA30</f>
        <v>872.56999999999994</v>
      </c>
      <c r="L20" s="532"/>
      <c r="M20" s="532">
        <f ca="1">ROUND($AB$15+IF($E20&gt;1000,IF($E20&gt;9000,(1000*AB$21/100)+(8000*AB$22/100)+(($E20-9000)*AB$23/100),(1000*AB$21/100)+(($E20-1000)*AB$22/100)),($E20*$AB$21)/100)+IF(B$18&gt;Z$18,$AB$18*($B$18-Z$18),0)+IF(B$18&gt;Z$20,$AB$20*($B$18-Z$20),0),2)+AA30</f>
        <v>877.46999999999991</v>
      </c>
      <c r="N20" s="513"/>
      <c r="O20" s="532">
        <f ca="1">K20-G20</f>
        <v>19.25</v>
      </c>
      <c r="P20" s="532"/>
      <c r="Q20" s="532">
        <f ca="1">M20-I20</f>
        <v>19.370000000000005</v>
      </c>
      <c r="R20" s="516"/>
      <c r="S20" s="533">
        <f ca="1">ROUND(K20/G20-1,4)</f>
        <v>2.2599999999999999E-2</v>
      </c>
      <c r="T20" s="513"/>
      <c r="U20" s="533">
        <f ca="1">ROUND(M20/I20-1,4)</f>
        <v>2.2599999999999999E-2</v>
      </c>
      <c r="W20" s="538">
        <v>15</v>
      </c>
      <c r="X20" s="534">
        <f ca="1">'Exhibit No.__(JRS-11) p1-8'!G178</f>
        <v>3.7</v>
      </c>
      <c r="Y20" s="479">
        <f ca="1">X20</f>
        <v>3.7</v>
      </c>
      <c r="Z20" s="541">
        <v>15</v>
      </c>
      <c r="AA20" s="534">
        <f ca="1">'Billing Determinants'!G218</f>
        <v>3.8</v>
      </c>
      <c r="AB20" s="479">
        <f ca="1">AA20</f>
        <v>3.8</v>
      </c>
      <c r="AD20" s="486"/>
    </row>
    <row r="21" spans="1:30" ht="15.75">
      <c r="A21" s="504"/>
      <c r="B21" s="516"/>
      <c r="C21" s="516"/>
      <c r="D21" s="516"/>
      <c r="E21" s="516"/>
      <c r="F21" s="531"/>
      <c r="G21" s="542"/>
      <c r="H21" s="542"/>
      <c r="I21" s="542"/>
      <c r="J21" s="542"/>
      <c r="K21" s="542"/>
      <c r="L21" s="542"/>
      <c r="M21" s="542"/>
      <c r="N21" s="516"/>
      <c r="O21" s="532"/>
      <c r="P21" s="532"/>
      <c r="Q21" s="532"/>
      <c r="R21" s="516"/>
      <c r="S21" s="533"/>
      <c r="T21" s="516"/>
      <c r="U21" s="516"/>
      <c r="W21" s="528" t="s">
        <v>530</v>
      </c>
      <c r="X21" s="543">
        <f ca="1">'Exhibit No.__(JRS-11) p1-8'!G179+AA25+AA32</f>
        <v>11.007999999999999</v>
      </c>
      <c r="Y21" s="481">
        <f ca="1">X21</f>
        <v>11.007999999999999</v>
      </c>
      <c r="Z21" s="492" t="s">
        <v>530</v>
      </c>
      <c r="AA21" s="543">
        <f ca="1">'Billing Determinants'!G219+'Billing Determinants'!G223+AA26+AA32</f>
        <v>11.257999999999999</v>
      </c>
      <c r="AB21" s="544">
        <f ca="1">AA21</f>
        <v>11.257999999999999</v>
      </c>
      <c r="AD21" s="483"/>
    </row>
    <row r="22" spans="1:30" ht="15.75">
      <c r="A22" s="504"/>
      <c r="B22" s="513">
        <v>50</v>
      </c>
      <c r="C22" s="513"/>
      <c r="D22" s="513">
        <f>D18</f>
        <v>150</v>
      </c>
      <c r="E22" s="530">
        <f>ROUND((B$22*D22),0)</f>
        <v>7500</v>
      </c>
      <c r="F22" s="531"/>
      <c r="G22" s="532">
        <f ca="1">ROUND($X$15+IF($E22&gt;1000,IF($E22&gt;9000,(1000*X$21/100)+(8000*X$22/100)+(($E22-9000)*X$23/100),(1000*X$21/100)+(($E22-1000)*X$22/100)),($E22*$X$21)/100)+IF(B$22&gt;W$18,$X$18*($B$22-W$18),0)+IF(B$22&gt;W$20,$X$20*($B$22-W$20),0),2)+AA29</f>
        <v>788.46999999999991</v>
      </c>
      <c r="H22" s="532"/>
      <c r="I22" s="532">
        <f ca="1">ROUND($Y$15+IF($E22&gt;1000,IF($E22&gt;9000,(1000*Y$21/100)+(8000*Y$22/100)+(($E22-9000)*Y$23/100),(1000*Y$21/100)+(($E22-1000)*Y$22/100)),($E22*$Y$21)/100)+IF(B$22&gt;W$18,$Y$18*($B$22-W$18),0)+IF(B$22&gt;W$20,$Y$20*($B$22-W$20),0),2)+AA29</f>
        <v>793.25</v>
      </c>
      <c r="J22" s="532"/>
      <c r="K22" s="532">
        <f ca="1">ROUND($AA$15+IF($E22&gt;1000,IF($E22&gt;9000,(1000*AA$21/100)+(8000*AA$22/100)+(($E22-9000)*AA$23/100),(1000*AA$21/100)+(($E22-1000)*AA$22/100)),($E22*$AA$21)/100)+IF(B$22&gt;Z$18,$AA$18*($B$22-Z$18),0)+IF(B$22&gt;Z$20,$AA$20*($B$22-Z$20),0),2)+AA30</f>
        <v>806.64</v>
      </c>
      <c r="L22" s="532"/>
      <c r="M22" s="532">
        <f ca="1">ROUND($AB$15+IF($E22&gt;1000,IF($E22&gt;9000,(1000*AB$21/100)+(8000*AB$22/100)+(($E22-9000)*AB$23/100),(1000*AB$21/100)+(($E22-1000)*AB$22/100)),($E22*$AB$21)/100)+IF(B$22&gt;Z$18,$AB$18*($B$22-Z$18),0)+IF(B$22&gt;Z$20,$AB$20*($B$22-Z$20),0),2)+AA30</f>
        <v>811.54</v>
      </c>
      <c r="N22" s="513"/>
      <c r="O22" s="532">
        <f ca="1">K22-G22</f>
        <v>18.170000000000073</v>
      </c>
      <c r="P22" s="532"/>
      <c r="Q22" s="532">
        <f ca="1">M22-I22</f>
        <v>18.289999999999964</v>
      </c>
      <c r="R22" s="516"/>
      <c r="S22" s="533">
        <f ca="1">ROUND(K22/G22-1,4)</f>
        <v>2.3E-2</v>
      </c>
      <c r="T22" s="513"/>
      <c r="U22" s="533">
        <f ca="1">ROUND(M22/I22-1,4)</f>
        <v>2.3099999999999999E-2</v>
      </c>
      <c r="W22" s="528" t="s">
        <v>531</v>
      </c>
      <c r="X22" s="543">
        <f ca="1">'Exhibit No.__(JRS-11) p1-8'!G180+AA25+AA32</f>
        <v>7.7210000000000001</v>
      </c>
      <c r="Y22" s="481">
        <f ca="1">X22</f>
        <v>7.7210000000000001</v>
      </c>
      <c r="Z22" s="528" t="s">
        <v>531</v>
      </c>
      <c r="AA22" s="543">
        <f ca="1">'Billing Determinants'!G220+'Billing Determinants'!G224+AA26+AA32</f>
        <v>7.8940000000000001</v>
      </c>
      <c r="AB22" s="544">
        <f ca="1">AA22</f>
        <v>7.8940000000000001</v>
      </c>
      <c r="AD22" s="483"/>
    </row>
    <row r="23" spans="1:30" ht="15.75">
      <c r="B23" s="513"/>
      <c r="C23" s="513"/>
      <c r="D23" s="513">
        <f>D19</f>
        <v>200</v>
      </c>
      <c r="E23" s="530">
        <f>ROUND((B$22*D23),0)</f>
        <v>10000</v>
      </c>
      <c r="F23" s="531"/>
      <c r="G23" s="532">
        <f ca="1">ROUND($X$15+IF($E23&gt;1000,IF($E23&gt;9000,(1000*X$21/100)+(8000*X$22/100)+(($E23-9000)*X$23/100),(1000*X$21/100)+(($E23-1000)*X$22/100)),($E23*$X$21)/100)+IF(B$22&gt;W$18,$X$18*($B$22-W$18),0)+IF(B$22&gt;W$20,$X$20*($B$22-W$20),0),2)+AA29</f>
        <v>971.31999999999994</v>
      </c>
      <c r="H23" s="532"/>
      <c r="I23" s="532">
        <f ca="1">ROUND($Y$15+IF($E23&gt;1000,IF($E23&gt;9000,(1000*Y$21/100)+(8000*Y$22/100)+(($E23-9000)*Y$23/100),(1000*Y$21/100)+(($E23-1000)*Y$22/100)),($E23*$Y$21)/100)+IF(B$22&gt;W$18,$Y$18*($B$22-W$18),0)+IF(B$22&gt;W$20,$Y$20*($B$22-W$20),0),2)+AA29</f>
        <v>976.09999999999991</v>
      </c>
      <c r="J23" s="532"/>
      <c r="K23" s="532">
        <f ca="1">ROUND($AA$15+IF($E23&gt;1000,IF($E23&gt;9000,(1000*AA$21/100)+(8000*AA$22/100)+(($E23-9000)*AA$23/100),(1000*AA$21/100)+(($E23-1000)*AA$22/100)),($E23*$AA$21)/100)+IF(B$22&gt;Z$18,$AA$18*($B$22-Z$18),0)+IF(B$22&gt;Z$20,$AA$20*($B$22-Z$20),0),2)+AA30</f>
        <v>993.56999999999994</v>
      </c>
      <c r="L23" s="532"/>
      <c r="M23" s="532">
        <f ca="1">ROUND($AB$15+IF($E23&gt;1000,IF($E23&gt;9000,(1000*AB$21/100)+(8000*AB$22/100)+(($E23-9000)*AB$23/100),(1000*AB$21/100)+(($E23-1000)*AB$22/100)),($E23*$AB$21)/100)+IF(B$22&gt;Z$18,$AB$18*($B$22-Z$18),0)+IF(B$22&gt;Z$20,$AB$20*($B$22-Z$20),0),2)+AA30</f>
        <v>998.46999999999991</v>
      </c>
      <c r="N23" s="513"/>
      <c r="O23" s="532">
        <f ca="1">K23-G23</f>
        <v>22.25</v>
      </c>
      <c r="P23" s="532"/>
      <c r="Q23" s="532">
        <f ca="1">M23-I23</f>
        <v>22.370000000000005</v>
      </c>
      <c r="R23" s="516"/>
      <c r="S23" s="533">
        <f ca="1">ROUND(K23/G23-1,4)</f>
        <v>2.29E-2</v>
      </c>
      <c r="T23" s="513"/>
      <c r="U23" s="533">
        <f ca="1">ROUND(M23/I23-1,4)</f>
        <v>2.29E-2</v>
      </c>
      <c r="W23" s="528" t="s">
        <v>532</v>
      </c>
      <c r="X23" s="543">
        <f ca="1">'Exhibit No.__(JRS-11) p1-8'!G181+AA25+AA32</f>
        <v>6.7040000000000006</v>
      </c>
      <c r="Y23" s="481">
        <f ca="1">X23</f>
        <v>6.7040000000000006</v>
      </c>
      <c r="Z23" s="528" t="s">
        <v>532</v>
      </c>
      <c r="AA23" s="543">
        <f ca="1">'Billing Determinants'!G221+'Billing Determinants'!G225+AA26+AA32</f>
        <v>6.8520000000000003</v>
      </c>
      <c r="AB23" s="544">
        <f ca="1">AA23</f>
        <v>6.8520000000000003</v>
      </c>
      <c r="AC23" s="536"/>
      <c r="AD23" s="486"/>
    </row>
    <row r="24" spans="1:30" ht="16.5" thickBot="1">
      <c r="A24" s="504"/>
      <c r="B24" s="513"/>
      <c r="C24" s="513"/>
      <c r="D24" s="513">
        <f>D20</f>
        <v>400</v>
      </c>
      <c r="E24" s="530">
        <f>ROUND((B$22*D24),0)</f>
        <v>20000</v>
      </c>
      <c r="F24" s="531"/>
      <c r="G24" s="532">
        <f ca="1">ROUND($X$15+IF($E24&gt;1000,IF($E24&gt;9000,(1000*X$21/100)+(8000*X$22/100)+(($E24-9000)*X$23/100),(1000*X$21/100)+(($E24-1000)*X$22/100)),($E24*$X$21)/100)+IF(B$22&gt;W$18,$X$18*($B$22-W$18),0)+IF(B$22&gt;W$20,$X$20*($B$22-W$20),0),2)+AA29</f>
        <v>1641.72</v>
      </c>
      <c r="H24" s="532"/>
      <c r="I24" s="532">
        <f ca="1">ROUND($Y$15+IF($E24&gt;1000,IF($E24&gt;9000,(1000*Y$21/100)+(8000*Y$22/100)+(($E24-9000)*Y$23/100),(1000*Y$21/100)+(($E24-1000)*Y$22/100)),($E24*$Y$21)/100)+IF(B$22&gt;W$18,$Y$18*($B$22-W$18),0)+IF(B$22&gt;W$20,$Y$20*($B$22-W$20),0),2)+AA29</f>
        <v>1646.5</v>
      </c>
      <c r="J24" s="532"/>
      <c r="K24" s="532">
        <f ca="1">ROUND($AA$15+IF($E24&gt;1000,IF($E24&gt;9000,(1000*AA$21/100)+(8000*AA$22/100)+(($E24-9000)*AA$23/100),(1000*AA$21/100)+(($E24-1000)*AA$22/100)),($E24*$AA$21)/100)+IF(B$22&gt;Z$18,$AA$18*($B$22-Z$18),0)+IF(B$22&gt;Z$20,$AA$20*($B$22-Z$20),0),2)+AA30</f>
        <v>1678.77</v>
      </c>
      <c r="L24" s="532"/>
      <c r="M24" s="532">
        <f ca="1">ROUND($AB$15+IF($E24&gt;1000,IF($E24&gt;9000,(1000*AB$21/100)+(8000*AB$22/100)+(($E24-9000)*AB$23/100),(1000*AB$21/100)+(($E24-1000)*AB$22/100)),($E24*$AB$21)/100)+IF(B$22&gt;Z$18,$AB$18*($B$22-Z$18),0)+IF(B$22&gt;Z$20,$AB$20*($B$22-Z$20),0),2)+AA30</f>
        <v>1683.6699999999998</v>
      </c>
      <c r="N24" s="513"/>
      <c r="O24" s="532">
        <f ca="1">K24-G24</f>
        <v>37.049999999999955</v>
      </c>
      <c r="P24" s="532"/>
      <c r="Q24" s="532">
        <f ca="1">M24-I24</f>
        <v>37.169999999999845</v>
      </c>
      <c r="R24" s="516"/>
      <c r="S24" s="533">
        <f ca="1">ROUND(K24/G24-1,4)</f>
        <v>2.2599999999999999E-2</v>
      </c>
      <c r="T24" s="513"/>
      <c r="U24" s="533">
        <f ca="1">ROUND(M24/I24-1,4)</f>
        <v>2.2599999999999999E-2</v>
      </c>
      <c r="W24" s="488" t="s">
        <v>31</v>
      </c>
      <c r="X24" s="545" t="s">
        <v>31</v>
      </c>
      <c r="Y24" s="546" t="s">
        <v>31</v>
      </c>
      <c r="Z24" s="488" t="s">
        <v>31</v>
      </c>
      <c r="AA24" s="545" t="s">
        <v>31</v>
      </c>
      <c r="AB24" s="546" t="s">
        <v>31</v>
      </c>
    </row>
    <row r="25" spans="1:30" ht="15.75">
      <c r="A25" s="504"/>
      <c r="B25" s="516"/>
      <c r="C25" s="516"/>
      <c r="D25" s="516"/>
      <c r="E25" s="516"/>
      <c r="F25" s="531"/>
      <c r="G25" s="542"/>
      <c r="H25" s="542"/>
      <c r="I25" s="542"/>
      <c r="J25" s="542"/>
      <c r="K25" s="542"/>
      <c r="L25" s="542"/>
      <c r="M25" s="542"/>
      <c r="N25" s="516"/>
      <c r="O25" s="532"/>
      <c r="P25" s="532"/>
      <c r="Q25" s="532"/>
      <c r="R25" s="516"/>
      <c r="S25" s="533"/>
      <c r="T25" s="516"/>
      <c r="U25" s="516"/>
      <c r="Y25" s="490" t="s">
        <v>194</v>
      </c>
      <c r="Z25" s="490"/>
      <c r="AA25" s="491">
        <v>0.376</v>
      </c>
      <c r="AB25" s="547" t="s">
        <v>31</v>
      </c>
    </row>
    <row r="26" spans="1:30" ht="15.75">
      <c r="A26" s="504"/>
      <c r="B26" s="513">
        <v>75</v>
      </c>
      <c r="C26" s="513"/>
      <c r="D26" s="513">
        <v>333.33300000000003</v>
      </c>
      <c r="E26" s="530">
        <f>ROUND((B$26*D26),0)</f>
        <v>25000</v>
      </c>
      <c r="F26" s="548"/>
      <c r="G26" s="532">
        <f ca="1">ROUND($X$15+IF($E26&gt;1000,IF($E26&gt;9000,(1000*X$21/100)+(8000*X$22/100)+(($E26-9000)*X$23/100),(1000*X$21/100)+(($E26-1000)*X$22/100)),($E26*$X$21)/100)+IF(B$26&gt;W$18,$X$18*($B$26-W$18),0)+IF(B$26&gt;W$20,$X$20*($B$26-W$20),0),2)+AA29</f>
        <v>2094.92</v>
      </c>
      <c r="H26" s="532"/>
      <c r="I26" s="532">
        <f ca="1">ROUND($Y$15+IF($E26&gt;1000,IF($E26&gt;9000,(1000*Y$21/100)+(8000*Y$22/100)+(($E26-9000)*Y$23/100),(1000*Y$21/100)+(($E26-1000)*Y$22/100)),($E26*$Y$21)/100)+IF(B$26&gt;W$18,$Y$18*($B$26-W$18),0)+IF(B$26&gt;W$20,$Y$20*($B$26-W$20),0),2)+AA29</f>
        <v>2099.6999999999998</v>
      </c>
      <c r="J26" s="549"/>
      <c r="K26" s="532">
        <f ca="1">ROUND($AA$15+IF($E26&gt;1000,IF($E26&gt;9000,(1000*AA$21/100)+(8000*AA$22/100)+(($E26-9000)*AA$23/100),(1000*AA$21/100)+(($E26-1000)*AA$22/100)),($E26*$AA$21)/100)+IF(B$26&gt;Z$18,$AA$18*($B$26-Z$18),0)+IF(B$26&gt;Z$20,$AA$20*($B$26-Z$20),0),2)+AA30</f>
        <v>2142.37</v>
      </c>
      <c r="L26" s="532"/>
      <c r="M26" s="532">
        <f ca="1">ROUND($AB$15+IF($E26&gt;1000,IF($E26&gt;9000,(1000*AB$21/100)+(8000*AB$22/100)+(($E26-9000)*AB$23/100),(1000*AB$21/100)+(($E26-1000)*AB$22/100)),($E26*$AB$21)/100)+IF(B$26&gt;Z$18,$AB$18*($B$26-Z$18),0)+IF(B$26&gt;Z$20,$AB$20*($B$26-Z$20),0),2)+AA30</f>
        <v>2147.27</v>
      </c>
      <c r="N26" s="513"/>
      <c r="O26" s="532">
        <f ca="1">K26-G26</f>
        <v>47.449999999999818</v>
      </c>
      <c r="P26" s="532"/>
      <c r="Q26" s="532">
        <f ca="1">M26-I26</f>
        <v>47.570000000000164</v>
      </c>
      <c r="R26" s="516"/>
      <c r="S26" s="533">
        <f ca="1">ROUND(K26/G26-1,4)</f>
        <v>2.2700000000000001E-2</v>
      </c>
      <c r="T26" s="513"/>
      <c r="U26" s="533">
        <f ca="1">ROUND(M26/I26-1,4)</f>
        <v>2.2700000000000001E-2</v>
      </c>
      <c r="Y26" s="490"/>
      <c r="Z26" s="490"/>
      <c r="AA26" s="491">
        <v>0.376</v>
      </c>
      <c r="AB26" s="547" t="s">
        <v>31</v>
      </c>
    </row>
    <row r="27" spans="1:30" ht="15.75">
      <c r="B27" s="513"/>
      <c r="C27" s="513"/>
      <c r="D27" s="513">
        <v>500</v>
      </c>
      <c r="E27" s="530">
        <f>ROUND((B$26*D27),0)</f>
        <v>37500</v>
      </c>
      <c r="F27" s="548"/>
      <c r="G27" s="532">
        <f ca="1">ROUND($X$15+IF($E27&gt;1000,IF($E27&gt;9000,(1000*X$21/100)+(8000*X$22/100)+(($E27-9000)*X$23/100),(1000*X$21/100)+(($E27-1000)*X$22/100)),($E27*$X$21)/100)+IF(B$26&gt;W$18,$X$18*($B$26-W$18),0)+IF(B$26&gt;W$20,$X$20*($B$26-W$20),0),2)+AA29</f>
        <v>2932.92</v>
      </c>
      <c r="H27" s="532"/>
      <c r="I27" s="532">
        <f ca="1">ROUND($Y$15+IF($E27&gt;1000,IF($E27&gt;9000,(1000*Y$21/100)+(8000*Y$22/100)+(($E27-9000)*Y$23/100),(1000*Y$21/100)+(($E27-1000)*Y$22/100)),($E27*$Y$21)/100)+IF(B$26&gt;W$18,$Y$18*($B$26-W$18),0)+IF(B$26&gt;W$20,$Y$20*($B$26-W$20),0),2)+AA29</f>
        <v>2937.7</v>
      </c>
      <c r="J27" s="549"/>
      <c r="K27" s="532">
        <f ca="1">ROUND($AA$15+IF($E27&gt;1000,IF($E27&gt;9000,(1000*AA$21/100)+(8000*AA$22/100)+(($E27-9000)*AA$23/100),(1000*AA$21/100)+(($E27-1000)*AA$22/100)),($E27*$AA$21)/100)+IF(B$26&gt;Z$18,$AA$18*($B$26-Z$18),0)+IF(B$26&gt;Z$20,$AA$20*($B$26-Z$20),0),2)+AA30</f>
        <v>2998.87</v>
      </c>
      <c r="L27" s="532"/>
      <c r="M27" s="532">
        <f ca="1">ROUND($AB$15+IF($E27&gt;1000,IF($E27&gt;9000,(1000*AB$21/100)+(8000*AB$22/100)+(($E27-9000)*AB$23/100),(1000*AB$21/100)+(($E27-1000)*AB$22/100)),($E27*$AB$21)/100)+IF(B$26&gt;Z$18,$AB$18*($B$26-Z$18),0)+IF(B$26&gt;Z$20,$AB$20*($B$26-Z$20),0),2)+AA30</f>
        <v>3003.77</v>
      </c>
      <c r="N27" s="513"/>
      <c r="O27" s="532">
        <f ca="1">K27-G27</f>
        <v>65.949999999999818</v>
      </c>
      <c r="P27" s="532"/>
      <c r="Q27" s="532">
        <f ca="1">M27-I27</f>
        <v>66.070000000000164</v>
      </c>
      <c r="R27" s="516"/>
      <c r="S27" s="533">
        <f ca="1">ROUND(K27/G27-1,4)</f>
        <v>2.2499999999999999E-2</v>
      </c>
      <c r="T27" s="513"/>
      <c r="U27" s="533">
        <f ca="1">ROUND(M27/I27-1,4)</f>
        <v>2.2499999999999999E-2</v>
      </c>
      <c r="Y27" s="490"/>
      <c r="Z27" s="490"/>
      <c r="AA27" s="494"/>
    </row>
    <row r="28" spans="1:30" ht="15.75">
      <c r="A28" s="504"/>
      <c r="B28" s="513"/>
      <c r="C28" s="513"/>
      <c r="D28" s="513">
        <v>666.66600000000005</v>
      </c>
      <c r="E28" s="530">
        <f>ROUND((B$26*D28),0)</f>
        <v>50000</v>
      </c>
      <c r="F28" s="548"/>
      <c r="G28" s="532">
        <f ca="1">ROUND($X$15+IF($E28&gt;1000,IF($E28&gt;9000,(1000*X$21/100)+(8000*X$22/100)+(($E28-9000)*X$23/100),(1000*X$21/100)+(($E28-1000)*X$22/100)),($E28*$X$21)/100)+IF(B$26&gt;W$18,$X$18*($B$26-W$18),0)+IF(B$26&gt;W$20,$X$20*($B$26-W$20),0),2)+AA29</f>
        <v>3770.92</v>
      </c>
      <c r="H28" s="532"/>
      <c r="I28" s="532">
        <f ca="1">ROUND($Y$15+IF($E28&gt;1000,IF($E28&gt;9000,(1000*Y$21/100)+(8000*Y$22/100)+(($E28-9000)*Y$23/100),(1000*Y$21/100)+(($E28-1000)*Y$22/100)),($E28*$Y$21)/100)+IF(B$26&gt;W$18,$Y$18*($B$26-W$18),0)+IF(B$26&gt;W$20,$Y$20*($B$26-W$20),0),2)+AA29</f>
        <v>3775.7</v>
      </c>
      <c r="J28" s="549"/>
      <c r="K28" s="532">
        <f ca="1">ROUND($AA$15+IF($E28&gt;1000,IF($E28&gt;9000,(1000*AA$21/100)+(8000*AA$22/100)+(($E28-9000)*AA$23/100),(1000*AA$21/100)+(($E28-1000)*AA$22/100)),($E28*$AA$21)/100)+IF(B$26&gt;Z$18,$AA$18*($B$26-Z$18),0)+IF(B$26&gt;Z$20,$AA$20*($B$26-Z$20),0),2)+AA30</f>
        <v>3855.37</v>
      </c>
      <c r="L28" s="532"/>
      <c r="M28" s="532">
        <f ca="1">ROUND($AB$15+IF($E28&gt;1000,IF($E28&gt;9000,(1000*AB$21/100)+(8000*AB$22/100)+(($E28-9000)*AB$23/100),(1000*AB$21/100)+(($E28-1000)*AB$22/100)),($E28*$AB$21)/100)+IF(B$26&gt;Z$18,$AB$18*($B$26-Z$18),0)+IF(B$26&gt;Z$20,$AB$20*($B$26-Z$20),0),2)+AA30</f>
        <v>3860.27</v>
      </c>
      <c r="N28" s="513"/>
      <c r="O28" s="532">
        <f ca="1">K28-G28</f>
        <v>84.449999999999818</v>
      </c>
      <c r="P28" s="532"/>
      <c r="Q28" s="532">
        <f ca="1">M28-I28</f>
        <v>84.570000000000164</v>
      </c>
      <c r="R28" s="516"/>
      <c r="S28" s="533">
        <f ca="1">ROUND(K28/G28-1,4)</f>
        <v>2.24E-2</v>
      </c>
      <c r="T28" s="513"/>
      <c r="U28" s="533">
        <f ca="1">ROUND(M28/I28-1,4)</f>
        <v>2.24E-2</v>
      </c>
      <c r="Y28" s="465" t="s">
        <v>31</v>
      </c>
      <c r="AA28" s="465" t="s">
        <v>31</v>
      </c>
    </row>
    <row r="29" spans="1:30" ht="15.75">
      <c r="A29" s="504"/>
      <c r="B29" s="550"/>
      <c r="C29" s="550"/>
      <c r="D29" s="550"/>
      <c r="E29" s="550"/>
      <c r="F29" s="551"/>
      <c r="G29" s="550"/>
      <c r="H29" s="550"/>
      <c r="I29" s="550"/>
      <c r="J29" s="550"/>
      <c r="K29" s="550"/>
      <c r="L29" s="550"/>
      <c r="M29" s="550"/>
      <c r="N29" s="550"/>
      <c r="O29" s="550"/>
      <c r="P29" s="550"/>
      <c r="Q29" s="550"/>
      <c r="R29" s="550"/>
      <c r="S29" s="550"/>
      <c r="T29" s="550"/>
      <c r="U29" s="550"/>
      <c r="Y29" s="465" t="s">
        <v>648</v>
      </c>
      <c r="AA29" s="486">
        <f>'Low Income Prog YR 1'!D16</f>
        <v>1.56</v>
      </c>
      <c r="AB29" s="465" t="s">
        <v>31</v>
      </c>
    </row>
    <row r="30" spans="1:30" ht="15.75">
      <c r="A30" s="504"/>
      <c r="B30" s="513">
        <v>100</v>
      </c>
      <c r="C30" s="513"/>
      <c r="D30" s="513">
        <v>333.33300000000003</v>
      </c>
      <c r="E30" s="530">
        <f>ROUND((B$26*D30),0)</f>
        <v>25000</v>
      </c>
      <c r="F30" s="548"/>
      <c r="G30" s="532">
        <f ca="1">ROUND($X$15+IF($E30&gt;1000,IF($E30&gt;9000,(1000*X$21/100)+(8000*X$22/100)+(($E30-9000)*X$23/100),(1000*X$21/100)+(($E30-1000)*X$22/100)),($E30*$X$21)/100)+IF(B$30&gt;W$18,$X$18*($B$30-W$18),0)+IF(B$30&gt;W$20,$X$20*($B$30-W$20),0),2)+AA29</f>
        <v>2212.92</v>
      </c>
      <c r="H30" s="532"/>
      <c r="I30" s="532">
        <f ca="1">ROUND($Y$15+IF($E30&gt;1000,IF($E30&gt;9000,(1000*Y$21/100)+(8000*Y$22/100)+(($E30-9000)*Y$23/100),(1000*Y$21/100)+(($E30-1000)*Y$22/100)),($E30*$Y$21)/100)+IF(B$30&gt;W$18,$Y$18*($B$30-W$18),0)+IF(B$30&gt;W$20,$Y$20*($B$30-W$20),0),2)+AA29</f>
        <v>2217.6999999999998</v>
      </c>
      <c r="J30" s="549"/>
      <c r="K30" s="532">
        <f ca="1">ROUND($AA$15+IF($E30&gt;1000,IF($E30&gt;9000,(1000*AA$21/100)+(8000*AA$22/100)+(($E30-9000)*AA$23/100),(1000*AA$21/100)+(($E30-1000)*AA$22/100)),($E30*$AA$21)/100)+IF(B$30&gt;Z$18,$AA$18*($B$30-Z$18),0)+IF(B$30&gt;Z$20,$AA$20*($B$30-Z$20),0),2)+AA30</f>
        <v>2263.37</v>
      </c>
      <c r="L30" s="532"/>
      <c r="M30" s="532">
        <f ca="1">ROUND($AB$15+IF($E30&gt;1000,IF($E30&gt;9000,(1000*AB$21/100)+(8000*AB$22/100)+(($E30-9000)*AB$23/100),(1000*AB$21/100)+(($E30-1000)*AB$22/100)),($E30*$AB$21)/100)+IF(B$30&gt;Z$18,$AB$18*($B$30-Z$18),0)+IF(B$30&gt;Z$20,$AB$20*($B$30-Z$20),0),2)+AA30</f>
        <v>2268.27</v>
      </c>
      <c r="N30" s="513"/>
      <c r="O30" s="532">
        <f ca="1">K30-G30</f>
        <v>50.449999999999818</v>
      </c>
      <c r="P30" s="532"/>
      <c r="Q30" s="532">
        <f ca="1">M30-I30</f>
        <v>50.570000000000164</v>
      </c>
      <c r="R30" s="516"/>
      <c r="S30" s="533">
        <f ca="1">ROUND(K30/G30-1,4)</f>
        <v>2.2800000000000001E-2</v>
      </c>
      <c r="T30" s="513"/>
      <c r="U30" s="533">
        <f ca="1">ROUND(M30/I30-1,4)</f>
        <v>2.2800000000000001E-2</v>
      </c>
      <c r="Y30" s="465" t="s">
        <v>650</v>
      </c>
      <c r="Z30" s="483"/>
      <c r="AA30" s="486">
        <f>AA29</f>
        <v>1.56</v>
      </c>
    </row>
    <row r="31" spans="1:30" ht="15.75">
      <c r="B31" s="513"/>
      <c r="C31" s="513"/>
      <c r="D31" s="513">
        <v>500</v>
      </c>
      <c r="E31" s="530">
        <f>ROUND((B$26*D31),0)</f>
        <v>37500</v>
      </c>
      <c r="F31" s="548"/>
      <c r="G31" s="532">
        <f ca="1">ROUND($X$15+IF($E31&gt;1000,IF($E31&gt;9000,(1000*X$21/100)+(8000*X$22/100)+(($E31-9000)*X$23/100),(1000*X$21/100)+(($E31-1000)*X$22/100)),($E31*$X$21)/100)+IF(B$30&gt;W$18,$X$18*($B$30-W$18),0)+IF(B$30&gt;W$20,$X$20*($B$30-W$20),0),2)+AA29</f>
        <v>3050.92</v>
      </c>
      <c r="H31" s="532"/>
      <c r="I31" s="532">
        <f ca="1">ROUND($Y$15+IF($E31&gt;1000,IF($E31&gt;9000,(1000*Y$21/100)+(8000*Y$22/100)+(($E31-9000)*Y$23/100),(1000*Y$21/100)+(($E31-1000)*Y$22/100)),($E31*$Y$21)/100)+IF(B$30&gt;W$18,$Y$18*($B$30-W$18),0)+IF(B$30&gt;W$20,$Y$20*($B$30-W$20),0),2)+AA29</f>
        <v>3055.7</v>
      </c>
      <c r="J31" s="549"/>
      <c r="K31" s="532">
        <f ca="1">ROUND($AA$15+IF($E31&gt;1000,IF($E31&gt;9000,(1000*AA$21/100)+(8000*AA$22/100)+(($E31-9000)*AA$23/100),(1000*AA$21/100)+(($E31-1000)*AA$22/100)),($E31*$AA$21)/100)+IF(B$30&gt;Z$18,$AA$18*($B$30-Z$18),0)+IF(B$30&gt;Z$20,$AA$20*($B$30-Z$20),0),2)+AA30</f>
        <v>3119.87</v>
      </c>
      <c r="L31" s="532"/>
      <c r="M31" s="532">
        <f ca="1">ROUND($AB$15+IF($E31&gt;1000,IF($E31&gt;9000,(1000*AB$21/100)+(8000*AB$22/100)+(($E31-9000)*AB$23/100),(1000*AB$21/100)+(($E31-1000)*AB$22/100)),($E31*$AB$21)/100)+IF(B$30&gt;Z$18,$AB$18*($B$30-Z$18),0)+IF(B$30&gt;Z$20,$AB$20*($B$30-Z$20),0),2)+AA30</f>
        <v>3124.77</v>
      </c>
      <c r="N31" s="513"/>
      <c r="O31" s="532">
        <f ca="1">K31-G31</f>
        <v>68.949999999999818</v>
      </c>
      <c r="P31" s="532"/>
      <c r="Q31" s="532">
        <f ca="1">M31-I31</f>
        <v>69.070000000000164</v>
      </c>
      <c r="R31" s="516"/>
      <c r="S31" s="533">
        <f ca="1">ROUND(K31/G31-1,4)</f>
        <v>2.2599999999999999E-2</v>
      </c>
      <c r="T31" s="513"/>
      <c r="U31" s="533">
        <f ca="1">ROUND(M31/I31-1,4)</f>
        <v>2.2599999999999999E-2</v>
      </c>
      <c r="Y31" s="486"/>
      <c r="Z31" s="486"/>
    </row>
    <row r="32" spans="1:30" ht="15.75">
      <c r="A32" s="504"/>
      <c r="B32" s="513"/>
      <c r="C32" s="513"/>
      <c r="D32" s="513">
        <v>666.66600000000005</v>
      </c>
      <c r="E32" s="530">
        <f>ROUND((B$26*D32),0)</f>
        <v>50000</v>
      </c>
      <c r="F32" s="548"/>
      <c r="G32" s="532">
        <f ca="1">ROUND($X$15+IF($E32&gt;1000,IF($E32&gt;9000,(1000*X$21/100)+(8000*X$22/100)+(($E32-9000)*X$23/100),(1000*X$21/100)+(($E32-1000)*X$22/100)),($E32*$X$21)/100)+IF(B$30&gt;W$18,$X$18*($B$30-W$18),0)+IF(B$30&gt;W$20,$X$20*($B$30-W$20),0),2)+AA29</f>
        <v>3888.92</v>
      </c>
      <c r="H32" s="532"/>
      <c r="I32" s="532">
        <f ca="1">ROUND($Y$15+IF($E32&gt;1000,IF($E32&gt;9000,(1000*Y$21/100)+(8000*Y$22/100)+(($E32-9000)*Y$23/100),(1000*Y$21/100)+(($E32-1000)*Y$22/100)),($E32*$Y$21)/100)+IF(B$30&gt;W$18,$Y$18*($B$30-W$18),0)+IF(B$30&gt;W$20,$Y$20*($B$30-W$20),0),2)+AA29</f>
        <v>3893.7</v>
      </c>
      <c r="J32" s="549"/>
      <c r="K32" s="532">
        <f ca="1">ROUND($AA$15+IF($E32&gt;1000,IF($E32&gt;9000,(1000*AA$21/100)+(8000*AA$22/100)+(($E32-9000)*AA$23/100),(1000*AA$21/100)+(($E32-1000)*AA$22/100)),($E32*$AA$21)/100)+IF(B$30&gt;Z$18,$AA$18*($B$30-Z$18),0)+IF(B$30&gt;Z$20,$AA$20*($B$30-Z$20),0),2)+AA30</f>
        <v>3976.37</v>
      </c>
      <c r="L32" s="532"/>
      <c r="M32" s="532">
        <f ca="1">ROUND($AB$15+IF($E32&gt;1000,IF($E32&gt;9000,(1000*AB$21/100)+(8000*AB$22/100)+(($E32-9000)*AB$23/100),(1000*AB$21/100)+(($E32-1000)*AB$22/100)),($E32*$AB$21)/100)+IF(B$30&gt;Z$18,$AB$18*($B$30-Z$18),0)+IF(B$30&gt;Z$20,$AB$20*($B$30-Z$20),0),2)+AA30</f>
        <v>3981.27</v>
      </c>
      <c r="N32" s="513"/>
      <c r="O32" s="532">
        <f ca="1">K32-G32</f>
        <v>87.449999999999818</v>
      </c>
      <c r="P32" s="532"/>
      <c r="Q32" s="532">
        <f ca="1">M32-I32</f>
        <v>87.570000000000164</v>
      </c>
      <c r="R32" s="516"/>
      <c r="S32" s="533">
        <f ca="1">ROUND(K32/G32-1,4)</f>
        <v>2.2499999999999999E-2</v>
      </c>
      <c r="T32" s="513"/>
      <c r="U32" s="533">
        <f ca="1">ROUND(M32/I32-1,4)</f>
        <v>2.2499999999999999E-2</v>
      </c>
      <c r="Y32" s="753" t="s">
        <v>1040</v>
      </c>
      <c r="AA32" s="547">
        <v>4.0000000000000001E-3</v>
      </c>
    </row>
    <row r="33" spans="1:25" ht="15.75">
      <c r="A33" s="504"/>
      <c r="B33" s="516"/>
      <c r="C33" s="516"/>
      <c r="D33" s="516"/>
      <c r="E33" s="516"/>
      <c r="F33" s="531"/>
      <c r="G33" s="516"/>
      <c r="H33" s="516"/>
      <c r="I33" s="516"/>
      <c r="J33" s="516"/>
      <c r="K33" s="516"/>
      <c r="L33" s="516"/>
      <c r="M33" s="516"/>
      <c r="N33" s="516"/>
      <c r="O33" s="516"/>
      <c r="P33" s="516"/>
      <c r="Q33" s="516"/>
      <c r="R33" s="516"/>
      <c r="S33" s="516"/>
      <c r="T33" s="516"/>
      <c r="U33" s="516"/>
      <c r="Y33" s="753"/>
    </row>
    <row r="34" spans="1:25" ht="15.75">
      <c r="A34" s="504"/>
      <c r="B34" s="516" t="s">
        <v>516</v>
      </c>
      <c r="C34" s="516"/>
      <c r="D34" s="516"/>
      <c r="E34" s="516"/>
      <c r="F34" s="531"/>
      <c r="G34" s="516"/>
      <c r="H34" s="516"/>
      <c r="I34" s="516"/>
      <c r="J34" s="516"/>
      <c r="K34" s="516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W34" s="716" t="s">
        <v>659</v>
      </c>
      <c r="X34" s="1330">
        <f ca="1">'Est Effect of Base Rate Inc'!V23</f>
        <v>2.3468123094442284E-2</v>
      </c>
    </row>
    <row r="35" spans="1:25" ht="15.75">
      <c r="B35" s="552" t="s">
        <v>897</v>
      </c>
      <c r="C35" s="516"/>
      <c r="D35" s="516"/>
      <c r="E35" s="516"/>
      <c r="F35" s="516"/>
      <c r="G35" s="516"/>
      <c r="H35" s="516"/>
      <c r="I35" s="516"/>
      <c r="J35" s="516"/>
      <c r="K35" s="516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X35" s="1294" t="s">
        <v>31</v>
      </c>
    </row>
    <row r="36" spans="1:25">
      <c r="A36" s="504"/>
    </row>
    <row r="37" spans="1:25">
      <c r="A37" s="504"/>
    </row>
    <row r="38" spans="1:25">
      <c r="A38" s="504"/>
    </row>
    <row r="40" spans="1:25">
      <c r="A40" s="504"/>
    </row>
    <row r="41" spans="1:25">
      <c r="A41" s="504"/>
    </row>
    <row r="42" spans="1:25">
      <c r="A42" s="504"/>
    </row>
    <row r="43" spans="1:25">
      <c r="A43" s="504"/>
    </row>
    <row r="44" spans="1:25">
      <c r="A44" s="504"/>
    </row>
    <row r="45" spans="1:25">
      <c r="A45" s="504"/>
    </row>
    <row r="46" spans="1:25">
      <c r="A46" s="504"/>
    </row>
    <row r="47" spans="1:25">
      <c r="A47" s="504"/>
    </row>
    <row r="48" spans="1:25">
      <c r="P48" s="501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465" customWidth="1"/>
    <col min="2" max="2" width="10.375" style="465" customWidth="1"/>
    <col min="3" max="3" width="2.375" style="465" customWidth="1"/>
    <col min="4" max="4" width="10.875" style="465" hidden="1" customWidth="1"/>
    <col min="5" max="5" width="9.375" style="465" customWidth="1"/>
    <col min="6" max="6" width="3.5" style="465" customWidth="1"/>
    <col min="7" max="7" width="14" style="465" bestFit="1" customWidth="1"/>
    <col min="8" max="8" width="3.625" style="465" customWidth="1"/>
    <col min="9" max="9" width="14" style="465" bestFit="1" customWidth="1"/>
    <col min="10" max="10" width="4.5" style="465" customWidth="1"/>
    <col min="11" max="11" width="12.375" style="465" customWidth="1"/>
    <col min="12" max="12" width="2.375" style="465" customWidth="1"/>
    <col min="13" max="13" width="3" style="465" customWidth="1"/>
    <col min="14" max="14" width="9.5" style="465" customWidth="1"/>
    <col min="15" max="15" width="10.75" style="465" bestFit="1" customWidth="1"/>
    <col min="16" max="16" width="15.25" style="465" customWidth="1"/>
    <col min="17" max="17" width="5.75" style="465" customWidth="1"/>
    <col min="18" max="18" width="8.5" style="465"/>
    <col min="19" max="19" width="7.75" style="465" customWidth="1"/>
    <col min="20" max="20" width="2.25" style="465" customWidth="1"/>
    <col min="21" max="16384" width="8.5" style="465"/>
  </cols>
  <sheetData>
    <row r="1" spans="1:19">
      <c r="A1" s="502"/>
      <c r="B1" s="502"/>
    </row>
    <row r="2" spans="1:19">
      <c r="A2" s="502"/>
      <c r="B2" s="502"/>
      <c r="C2" s="504"/>
      <c r="D2" s="504"/>
      <c r="E2" s="504"/>
      <c r="F2" s="504"/>
      <c r="G2" s="504"/>
      <c r="H2" s="504"/>
      <c r="I2" s="504"/>
    </row>
    <row r="3" spans="1:19" ht="18.75">
      <c r="A3" s="502"/>
      <c r="B3" s="466"/>
      <c r="C3" s="505"/>
      <c r="D3" s="505"/>
      <c r="E3" s="505"/>
      <c r="F3" s="505"/>
      <c r="G3" s="505"/>
      <c r="H3" s="505"/>
      <c r="I3" s="505"/>
      <c r="J3" s="468" t="s">
        <v>31</v>
      </c>
      <c r="K3" s="553"/>
    </row>
    <row r="4" spans="1:19" ht="20.25">
      <c r="B4" s="507" t="s">
        <v>72</v>
      </c>
      <c r="C4" s="507"/>
      <c r="D4" s="507"/>
      <c r="E4" s="507"/>
      <c r="F4" s="507"/>
      <c r="G4" s="507"/>
      <c r="H4" s="507"/>
      <c r="I4" s="507"/>
      <c r="J4" s="507"/>
      <c r="K4" s="507"/>
      <c r="L4" s="511"/>
      <c r="M4" s="511"/>
    </row>
    <row r="5" spans="1:19" ht="20.25">
      <c r="B5" s="507" t="s">
        <v>510</v>
      </c>
      <c r="C5" s="507"/>
      <c r="D5" s="507"/>
      <c r="E5" s="507"/>
      <c r="F5" s="507"/>
      <c r="G5" s="507"/>
      <c r="H5" s="507"/>
      <c r="I5" s="507"/>
      <c r="J5" s="507"/>
      <c r="K5" s="507"/>
      <c r="L5" s="511"/>
      <c r="M5" s="511"/>
    </row>
    <row r="6" spans="1:19" ht="20.25">
      <c r="B6" s="507" t="s">
        <v>533</v>
      </c>
      <c r="C6" s="507"/>
      <c r="D6" s="507"/>
      <c r="E6" s="507"/>
      <c r="F6" s="507"/>
      <c r="G6" s="507"/>
      <c r="H6" s="507"/>
      <c r="I6" s="507"/>
      <c r="J6" s="507"/>
      <c r="K6" s="507"/>
      <c r="L6" s="511"/>
      <c r="M6" s="511"/>
    </row>
    <row r="7" spans="1:19" ht="20.25">
      <c r="B7" s="507" t="s">
        <v>1029</v>
      </c>
      <c r="C7" s="507"/>
      <c r="D7" s="507"/>
      <c r="E7" s="507"/>
      <c r="F7" s="507"/>
      <c r="G7" s="507"/>
      <c r="H7" s="507"/>
      <c r="I7" s="507"/>
      <c r="J7" s="507"/>
      <c r="K7" s="507"/>
      <c r="L7" s="511"/>
      <c r="M7" s="511"/>
    </row>
    <row r="8" spans="1:19" ht="18.75">
      <c r="A8" s="509"/>
      <c r="B8" s="510"/>
      <c r="C8" s="510"/>
      <c r="D8" s="510"/>
      <c r="E8" s="510"/>
      <c r="F8" s="510"/>
      <c r="G8" s="510"/>
      <c r="H8" s="510"/>
      <c r="I8" s="510"/>
      <c r="J8" s="510"/>
      <c r="K8" s="511"/>
      <c r="L8" s="510"/>
      <c r="M8" s="510"/>
    </row>
    <row r="9" spans="1:19">
      <c r="A9" s="504"/>
      <c r="B9" s="502"/>
    </row>
    <row r="10" spans="1:19" ht="15.75">
      <c r="A10" s="504"/>
      <c r="B10" s="512" t="s">
        <v>518</v>
      </c>
      <c r="C10" s="513"/>
      <c r="D10" s="513"/>
      <c r="E10" s="513"/>
      <c r="F10" s="513"/>
      <c r="G10" s="514" t="s">
        <v>519</v>
      </c>
      <c r="H10" s="514"/>
      <c r="I10" s="514"/>
      <c r="J10" s="513"/>
      <c r="K10" s="516"/>
      <c r="L10" s="504"/>
      <c r="M10" s="504"/>
    </row>
    <row r="11" spans="1:19" ht="16.5" thickBot="1">
      <c r="A11" s="504"/>
      <c r="B11" s="517" t="s">
        <v>521</v>
      </c>
      <c r="C11" s="515"/>
      <c r="D11" s="512" t="s">
        <v>522</v>
      </c>
      <c r="E11" s="513"/>
      <c r="F11" s="513"/>
      <c r="G11" s="554" t="s">
        <v>361</v>
      </c>
      <c r="H11" s="516"/>
      <c r="I11" s="554" t="s">
        <v>296</v>
      </c>
      <c r="J11" s="513"/>
      <c r="K11" s="515" t="s">
        <v>512</v>
      </c>
      <c r="L11" s="504"/>
      <c r="M11" s="504"/>
      <c r="O11" s="555"/>
    </row>
    <row r="12" spans="1:19" ht="15.75">
      <c r="A12" s="504"/>
      <c r="B12" s="520" t="s">
        <v>396</v>
      </c>
      <c r="C12" s="521"/>
      <c r="D12" s="522" t="s">
        <v>523</v>
      </c>
      <c r="E12" s="520" t="s">
        <v>25</v>
      </c>
      <c r="F12" s="513"/>
      <c r="G12" s="520" t="s">
        <v>68</v>
      </c>
      <c r="H12" s="556"/>
      <c r="I12" s="520" t="s">
        <v>534</v>
      </c>
      <c r="J12" s="513"/>
      <c r="K12" s="518" t="s">
        <v>257</v>
      </c>
      <c r="L12" s="504"/>
      <c r="M12" s="504"/>
      <c r="N12" s="1479" t="s">
        <v>361</v>
      </c>
      <c r="O12" s="1480"/>
      <c r="P12" s="1480"/>
      <c r="Q12" s="1481"/>
      <c r="R12" s="1482" t="s">
        <v>296</v>
      </c>
      <c r="S12" s="1481"/>
    </row>
    <row r="13" spans="1:19" ht="15.75">
      <c r="A13" s="504"/>
      <c r="B13" s="513"/>
      <c r="C13" s="513"/>
      <c r="D13" s="513"/>
      <c r="E13" s="513"/>
      <c r="F13" s="513"/>
      <c r="G13" s="521"/>
      <c r="H13" s="521"/>
      <c r="I13" s="521"/>
      <c r="J13" s="516"/>
      <c r="K13" s="516"/>
      <c r="N13" s="528" t="s">
        <v>394</v>
      </c>
      <c r="O13" s="473" t="s">
        <v>181</v>
      </c>
      <c r="P13" s="473" t="s">
        <v>535</v>
      </c>
      <c r="Q13" s="529"/>
      <c r="R13" s="473" t="s">
        <v>181</v>
      </c>
      <c r="S13" s="557" t="s">
        <v>535</v>
      </c>
    </row>
    <row r="14" spans="1:19" ht="15.75">
      <c r="A14" s="504"/>
      <c r="B14" s="513">
        <v>100</v>
      </c>
      <c r="C14" s="513"/>
      <c r="D14" s="513">
        <v>300</v>
      </c>
      <c r="E14" s="530">
        <v>25000</v>
      </c>
      <c r="F14" s="513"/>
      <c r="G14" s="532">
        <f ca="1">ROUND(IF($E14&lt;40001,$E14*$O$19/100,40000*$O$19/100+($E14-40000)*$O$20/100)+MAX(100, $B$14)*$O$18+IF($B$14&lt;101,$O$14,IF($B$14&lt;301,$O$15+$B$14*$P$15,$O$16+$B$14*$P$16)),2)+R26</f>
        <v>2373.64</v>
      </c>
      <c r="H14" s="532"/>
      <c r="I14" s="532">
        <f ca="1">ROUND(IF($E14&lt;40001,$E14*$R$19/100,40000*$R$19/100+($E14-40000)*$R$20/100)+MAX(100, $B$14)*$R$18+IF($B$14&lt;101,$R$14,IF($B$14&lt;301,$R$15+$B$14*$S$15,$R$16+$B$14*$S$16)),2)+R27</f>
        <v>2425.39</v>
      </c>
      <c r="J14" s="513"/>
      <c r="K14" s="533">
        <f ca="1">ROUND(I14/G14-1,4)</f>
        <v>2.18E-2</v>
      </c>
      <c r="L14" s="504"/>
      <c r="M14" s="504"/>
      <c r="N14" s="528" t="s">
        <v>536</v>
      </c>
      <c r="O14" s="558">
        <f ca="1">'Exhibit No.__(JRS-11) p1-8'!G603</f>
        <v>264</v>
      </c>
      <c r="P14" s="535"/>
      <c r="Q14" s="529"/>
      <c r="R14" s="558">
        <f ca="1">'Billing Determinants'!G645</f>
        <v>268</v>
      </c>
      <c r="S14" s="540"/>
    </row>
    <row r="15" spans="1:19" ht="15.75">
      <c r="A15" s="504"/>
      <c r="B15" s="513"/>
      <c r="C15" s="513"/>
      <c r="D15" s="513">
        <v>500</v>
      </c>
      <c r="E15" s="530">
        <v>37500</v>
      </c>
      <c r="F15" s="513"/>
      <c r="G15" s="532">
        <f ca="1">ROUND(IF($E15&lt;40001,$E15*$O$19/100,40000*$O$19/100+($E15-40000)*$O$20/100)+MAX(100, $B$14)*$O$18+IF($B$14&lt;101,$O$14,IF($B$14&lt;301,$O$15+$B$14*$P$15,$O$16+$B$14*$P$16)),2)+R26</f>
        <v>3136.02</v>
      </c>
      <c r="H15" s="532"/>
      <c r="I15" s="532">
        <f ca="1">ROUND(IF($E15&lt;40001,$E15*$R$19/100,40000*$R$19/100+($E15-40000)*$R$20/100)+MAX(100, $B$14)*$R$18+IF($B$14&lt;101,$R$14,IF($B$14&lt;301,$R$15+$B$14*$S$15,$R$16+$B$14*$S$16)),2)+R27</f>
        <v>3205.14</v>
      </c>
      <c r="J15" s="513"/>
      <c r="K15" s="533">
        <f ca="1">ROUND(I15/G15-1,4)</f>
        <v>2.1999999999999999E-2</v>
      </c>
      <c r="L15" s="504"/>
      <c r="M15" s="504"/>
      <c r="N15" s="528" t="s">
        <v>537</v>
      </c>
      <c r="O15" s="558">
        <f ca="1">'Exhibit No.__(JRS-11) p1-8'!G604</f>
        <v>98</v>
      </c>
      <c r="P15" s="534">
        <f ca="1">'Exhibit No.__(JRS-11) p1-8'!G607</f>
        <v>1.79</v>
      </c>
      <c r="Q15" s="557"/>
      <c r="R15" s="558">
        <f ca="1">'Billing Determinants'!G646</f>
        <v>100</v>
      </c>
      <c r="S15" s="479">
        <f ca="1">'Billing Determinants'!G649</f>
        <v>1.83</v>
      </c>
    </row>
    <row r="16" spans="1:19" ht="15.75">
      <c r="A16" s="504"/>
      <c r="B16" s="513"/>
      <c r="C16" s="513"/>
      <c r="D16" s="513">
        <v>700</v>
      </c>
      <c r="E16" s="530">
        <v>50000</v>
      </c>
      <c r="F16" s="513"/>
      <c r="G16" s="532">
        <f ca="1">ROUND(IF($E16&lt;40001,$E16*$O$19/100,40000*$O$19/100+($E16-40000)*$O$20/100)+MAX(100, $B$14)*$O$18+IF($B$14&lt;101,$O$14,IF($B$14&lt;301,$O$15+$B$14*$P$15,$O$16+$B$14*$P$16)),2)+R26</f>
        <v>3849.89</v>
      </c>
      <c r="H16" s="532"/>
      <c r="I16" s="532">
        <f ca="1">ROUND(IF($E16&lt;40001,$E16*$R$19/100,40000*$R$19/100+($E16-40000)*$R$20/100)+MAX(100, $B$14)*$R$18+IF($B$14&lt;101,$R$14,IF($B$14&lt;301,$R$15+$B$14*$S$15,$R$16+$B$14*$S$16)),2)+R27</f>
        <v>3934.69</v>
      </c>
      <c r="J16" s="513"/>
      <c r="K16" s="533">
        <f ca="1">ROUND(I16/G16-1,4)</f>
        <v>2.1999999999999999E-2</v>
      </c>
      <c r="N16" s="528" t="s">
        <v>538</v>
      </c>
      <c r="O16" s="558">
        <f ca="1">'Exhibit No.__(JRS-11) p1-8'!G605</f>
        <v>195</v>
      </c>
      <c r="P16" s="534">
        <f ca="1">'Exhibit No.__(JRS-11) p1-8'!G608</f>
        <v>1.46</v>
      </c>
      <c r="Q16" s="529"/>
      <c r="R16" s="558">
        <f ca="1">'Billing Determinants'!G605</f>
        <v>200</v>
      </c>
      <c r="S16" s="479">
        <f ca="1">'Billing Determinants'!G650</f>
        <v>1.5</v>
      </c>
    </row>
    <row r="17" spans="1:21" ht="15.75">
      <c r="A17" s="504"/>
      <c r="B17" s="513"/>
      <c r="C17" s="513"/>
      <c r="D17" s="513"/>
      <c r="E17" s="513"/>
      <c r="F17" s="513"/>
      <c r="G17" s="532"/>
      <c r="H17" s="532"/>
      <c r="I17" s="532"/>
      <c r="J17" s="516"/>
      <c r="K17" s="533"/>
      <c r="L17" s="504"/>
      <c r="M17" s="504"/>
      <c r="N17" s="528"/>
      <c r="O17" s="535"/>
      <c r="P17" s="535"/>
      <c r="Q17" s="529"/>
      <c r="R17" s="535"/>
      <c r="S17" s="540"/>
    </row>
    <row r="18" spans="1:21" ht="15.75">
      <c r="A18" s="504"/>
      <c r="B18" s="513">
        <v>200</v>
      </c>
      <c r="C18" s="513"/>
      <c r="D18" s="513">
        <v>300</v>
      </c>
      <c r="E18" s="530">
        <f>ROUND((B$18*D18),0)</f>
        <v>60000</v>
      </c>
      <c r="F18" s="513"/>
      <c r="G18" s="532">
        <f ca="1">ROUND(IF($E18&lt;40001,$E18*$O$19/100,40000*$O$19/100+($E18-40000)*$O$20/100)+MAX(100, $B$18)*$O$18+IF($B$18&lt;101,$O$14,IF($B$18&lt;301,$O$15+$B$18*$P$15,$O$16+$B$18*$P$16)),2)+R26</f>
        <v>5150.29</v>
      </c>
      <c r="H18" s="532"/>
      <c r="I18" s="532">
        <f ca="1">ROUND(IF($E18&lt;40001,$E18*$R$19/100,40000*$R$19/100+($E18-40000)*$R$20/100)+MAX(100, $B$18)*$R$18+IF($B$18&lt;101,$R$14,IF($B$18&lt;301,$R$15+$B$18*$S$15,$R$16+$B$18*$S$16)),2)+R27</f>
        <v>5266.29</v>
      </c>
      <c r="J18" s="513"/>
      <c r="K18" s="533">
        <f ca="1">ROUND(I18/G18-1,4)</f>
        <v>2.2499999999999999E-2</v>
      </c>
      <c r="L18" s="504"/>
      <c r="M18" s="504"/>
      <c r="N18" s="528" t="s">
        <v>396</v>
      </c>
      <c r="O18" s="534">
        <f ca="1">'Exhibit No.__(JRS-11) p1-8'!G610</f>
        <v>5.47</v>
      </c>
      <c r="P18" s="535"/>
      <c r="Q18" s="529"/>
      <c r="R18" s="534">
        <f ca="1">'Billing Determinants'!G652</f>
        <v>5.6</v>
      </c>
      <c r="S18" s="540"/>
      <c r="U18" s="1088">
        <f ca="1">(R18-O18)/O18</f>
        <v>2.3765996343692853E-2</v>
      </c>
    </row>
    <row r="19" spans="1:21" ht="15.75">
      <c r="A19" s="504"/>
      <c r="B19" s="513"/>
      <c r="C19" s="513"/>
      <c r="D19" s="513">
        <v>500</v>
      </c>
      <c r="E19" s="530">
        <f>ROUND((B$18*D19),0)</f>
        <v>100000</v>
      </c>
      <c r="F19" s="513"/>
      <c r="G19" s="532">
        <f ca="1">ROUND(IF($E19&lt;40001,$E19*$O$19/100,40000*$O$19/100+($E19-40000)*$O$20/100)+MAX(100, $B$18)*$O$18+IF($B$18&lt;101,$O$14,IF($B$18&lt;301,$O$15+$B$18*$P$15,$O$16+$B$18*$P$16)),2)+R26</f>
        <v>7395.89</v>
      </c>
      <c r="H19" s="532"/>
      <c r="I19" s="532">
        <f ca="1">ROUND(IF($E19&lt;40001,$E19*$R$19/100,40000*$R$19/100+($E19-40000)*$R$20/100)+MAX(100, $B$18)*$R$18+IF($B$18&lt;101,$R$14,IF($B$18&lt;301,$R$15+$B$18*$S$15,$R$16+$B$18*$S$16)),2)+R27</f>
        <v>7560.6900000000005</v>
      </c>
      <c r="J19" s="513"/>
      <c r="K19" s="533">
        <f ca="1">ROUND(I19/G19-1,4)</f>
        <v>2.23E-2</v>
      </c>
      <c r="L19" s="504"/>
      <c r="M19" s="504"/>
      <c r="N19" s="528" t="s">
        <v>539</v>
      </c>
      <c r="O19" s="559">
        <f ca="1">'Exhibit No.__(JRS-11) p1-8'!G613+R22+R29</f>
        <v>6.0990000000000002</v>
      </c>
      <c r="P19" s="559"/>
      <c r="Q19" s="560"/>
      <c r="R19" s="559">
        <f ca="1">'Billing Determinants'!G655+'Billing Determinants'!G658+R23+R29</f>
        <v>6.2379999999999995</v>
      </c>
      <c r="S19" s="540"/>
      <c r="U19" s="1088">
        <f t="shared" ref="U19:U20" ca="1" si="0">(R19-O19)/O19</f>
        <v>2.2790621413346344E-2</v>
      </c>
    </row>
    <row r="20" spans="1:21" ht="15.75">
      <c r="A20" s="504"/>
      <c r="B20" s="513"/>
      <c r="C20" s="513"/>
      <c r="D20" s="513">
        <v>700</v>
      </c>
      <c r="E20" s="530">
        <f>ROUND((B$18*D20),0)</f>
        <v>140000</v>
      </c>
      <c r="F20" s="513"/>
      <c r="G20" s="532">
        <f ca="1">ROUND(IF($E20&lt;40001,$E20*$O$19/100,40000*$O$19/100+($E20-40000)*$O$20/100)+MAX(100, $B$18)*$O$18+IF($B$18&lt;101,$O$14,IF($B$18&lt;301,$O$15+$B$18*$P$15,$O$16+$B$18*$P$16)),2)+R26</f>
        <v>9641.49</v>
      </c>
      <c r="H20" s="532"/>
      <c r="I20" s="532">
        <f ca="1">ROUND(IF($E20&lt;40001,$E20*$R$19/100,40000*$R$19/100+($E20-40000)*$R$20/100)+MAX(100, $B$18)*$R$18+IF($B$18&lt;101,$R$14,IF($B$18&lt;301,$R$15+$B$18*$S$15,$R$16+$B$18*$S$16)),2)+R27</f>
        <v>9855.09</v>
      </c>
      <c r="J20" s="513"/>
      <c r="K20" s="533">
        <f ca="1">ROUND(I20/G20-1,4)</f>
        <v>2.2200000000000001E-2</v>
      </c>
      <c r="N20" s="528" t="s">
        <v>540</v>
      </c>
      <c r="O20" s="559">
        <f ca="1">'Exhibit No.__(JRS-11) p1-8'!G614+R22+R29</f>
        <v>5.613999999999999</v>
      </c>
      <c r="P20" s="559"/>
      <c r="Q20" s="560"/>
      <c r="R20" s="559">
        <f ca="1">'Billing Determinants'!G656+'Billing Determinants'!G659+R23+R29</f>
        <v>5.7359999999999998</v>
      </c>
      <c r="S20" s="540"/>
      <c r="U20" s="1088">
        <f t="shared" ca="1" si="0"/>
        <v>2.1731385821161523E-2</v>
      </c>
    </row>
    <row r="21" spans="1:21" ht="16.5" thickBot="1">
      <c r="A21" s="504"/>
      <c r="B21" s="513"/>
      <c r="C21" s="513"/>
      <c r="D21" s="513"/>
      <c r="E21" s="513"/>
      <c r="F21" s="513"/>
      <c r="G21" s="532"/>
      <c r="H21" s="532"/>
      <c r="I21" s="532"/>
      <c r="J21" s="516"/>
      <c r="K21" s="533"/>
      <c r="L21" s="504"/>
      <c r="M21" s="504"/>
      <c r="N21" s="561" t="s">
        <v>31</v>
      </c>
      <c r="O21" s="562" t="s">
        <v>31</v>
      </c>
      <c r="P21" s="545" t="s">
        <v>31</v>
      </c>
      <c r="Q21" s="546"/>
      <c r="R21" s="562" t="s">
        <v>31</v>
      </c>
      <c r="S21" s="563"/>
    </row>
    <row r="22" spans="1:21" ht="15.75">
      <c r="A22" s="504"/>
      <c r="B22" s="513">
        <v>300</v>
      </c>
      <c r="C22" s="513"/>
      <c r="D22" s="513">
        <v>300</v>
      </c>
      <c r="E22" s="530">
        <f>ROUND((B$22*D22),0)</f>
        <v>90000</v>
      </c>
      <c r="F22" s="513"/>
      <c r="G22" s="532">
        <f ca="1">ROUND(IF($E22&lt;40001,$E22*$O$19/100,40000*$O$19/100+($E22-40000)*$O$20/100)+MAX(100, $B$22)*$O$18+IF($B$22&lt;101,$O$14,IF($B$22&lt;301,$O$15+$B$22*$P$15,$O$16+$B$22*$P$16)),2)+R26</f>
        <v>7560.4900000000007</v>
      </c>
      <c r="H22" s="532"/>
      <c r="I22" s="532">
        <f ca="1">ROUND(IF($E22&lt;40001,$E22*$R$19/100,40000*$R$19/100+($E22-40000)*$R$20/100)+MAX(100, $B$22)*$R$18+IF($B$22&lt;101,$R$14,IF($B$22&lt;301,$R$15+$B$22*$S$15,$R$16+$B$22*$S$16)),2)+R27</f>
        <v>7730.09</v>
      </c>
      <c r="J22" s="513"/>
      <c r="K22" s="533">
        <f ca="1">ROUND(I22/G22-1,4)</f>
        <v>2.24E-2</v>
      </c>
      <c r="L22" s="504"/>
      <c r="M22" s="504"/>
      <c r="P22" s="490" t="s">
        <v>194</v>
      </c>
      <c r="Q22" s="490"/>
      <c r="R22" s="491">
        <v>0.32200000000000001</v>
      </c>
      <c r="U22" s="753" t="s">
        <v>31</v>
      </c>
    </row>
    <row r="23" spans="1:21" ht="15.75">
      <c r="A23" s="504"/>
      <c r="B23" s="513"/>
      <c r="C23" s="513"/>
      <c r="D23" s="513">
        <v>500</v>
      </c>
      <c r="E23" s="530">
        <f>ROUND((B$22*D23),0)</f>
        <v>150000</v>
      </c>
      <c r="F23" s="513"/>
      <c r="G23" s="532">
        <f ca="1">ROUND(IF($E23&lt;40001,$E23*$O$19/100,40000*$O$19/100+($E23-40000)*$O$20/100)+MAX(100, $B$22)*$O$18+IF($B$22&lt;101,$O$14,IF($B$22&lt;301,$O$15+$B$22*$P$15,$O$16+$B$22*$P$16)),2)+R26</f>
        <v>10928.89</v>
      </c>
      <c r="H23" s="532"/>
      <c r="I23" s="532">
        <f ca="1">ROUND(IF($E23&lt;40001,$E23*$R$19/100,40000*$R$19/100+($E23-40000)*$R$20/100)+MAX(100, $B$22)*$R$18+IF($B$22&lt;101,$R$14,IF($B$22&lt;301,$R$15+$B$22*$S$15,$R$16+$B$22*$S$16)),2)+R27</f>
        <v>11171.689999999999</v>
      </c>
      <c r="J23" s="513"/>
      <c r="K23" s="533">
        <f ca="1">ROUND(I23/G23-1,4)</f>
        <v>2.2200000000000001E-2</v>
      </c>
      <c r="L23" s="504"/>
      <c r="M23" s="504"/>
      <c r="P23" s="490"/>
      <c r="Q23" s="490"/>
      <c r="R23" s="491">
        <v>0.32200000000000001</v>
      </c>
    </row>
    <row r="24" spans="1:21" ht="15.75">
      <c r="A24" s="504"/>
      <c r="B24" s="513"/>
      <c r="C24" s="513"/>
      <c r="D24" s="513">
        <v>700</v>
      </c>
      <c r="E24" s="530">
        <f>ROUND((B$22*D24),0)</f>
        <v>210000</v>
      </c>
      <c r="F24" s="513"/>
      <c r="G24" s="532">
        <f ca="1">ROUND(IF($E24&lt;40001,$E24*$O$19/100,40000*$O$19/100+($E24-40000)*$O$20/100)+MAX(100, $B$22)*$O$18+IF($B$22&lt;101,$O$14,IF($B$22&lt;301,$O$15+$B$22*$P$15,$O$16+$B$22*$P$16)),2)+R26</f>
        <v>14297.289999999999</v>
      </c>
      <c r="H24" s="532"/>
      <c r="I24" s="532">
        <f ca="1">ROUND(IF($E24&lt;40001,$E24*$R$19/100,40000*$R$19/100+($E24-40000)*$R$20/100)+MAX(100, $B$22)*$R$18+IF($B$22&lt;101,$R$14,IF($B$22&lt;301,$R$15+$B$22*$S$15,$R$16+$B$22*$S$16)),2)+R27</f>
        <v>14613.289999999999</v>
      </c>
      <c r="J24" s="513"/>
      <c r="K24" s="533">
        <f ca="1">ROUND(I24/G24-1,4)</f>
        <v>2.2100000000000002E-2</v>
      </c>
      <c r="P24" s="490"/>
      <c r="Q24" s="490"/>
      <c r="R24" s="494"/>
    </row>
    <row r="25" spans="1:21" ht="15.75">
      <c r="A25" s="504"/>
      <c r="B25" s="513"/>
      <c r="C25" s="513"/>
      <c r="D25" s="513"/>
      <c r="E25" s="513"/>
      <c r="F25" s="513"/>
      <c r="G25" s="532"/>
      <c r="H25" s="532"/>
      <c r="I25" s="532"/>
      <c r="J25" s="516"/>
      <c r="K25" s="533"/>
      <c r="L25" s="504"/>
      <c r="M25" s="504"/>
      <c r="P25" s="465" t="s">
        <v>31</v>
      </c>
      <c r="Q25" s="465" t="s">
        <v>31</v>
      </c>
      <c r="R25" s="465" t="s">
        <v>31</v>
      </c>
    </row>
    <row r="26" spans="1:21" ht="15.75">
      <c r="A26" s="504"/>
      <c r="B26" s="513">
        <v>400</v>
      </c>
      <c r="C26" s="513"/>
      <c r="D26" s="513">
        <v>300</v>
      </c>
      <c r="E26" s="530">
        <f>ROUND((B$26*D26),0)</f>
        <v>120000</v>
      </c>
      <c r="F26" s="513"/>
      <c r="G26" s="532">
        <f ca="1">ROUND(IF($E26&lt;40001,$E26*$O$19/100,40000*$O$19/100+($E26-40000)*$O$20/100)+MAX(100, $B$26)*$O$18+IF($B$26&lt;101,$O$14,IF($B$26&lt;301,$O$15+$B$26*$P$15,$O$16+$B$26*$P$16)),2)+R26</f>
        <v>9935.6899999999987</v>
      </c>
      <c r="H26" s="532"/>
      <c r="I26" s="532">
        <f ca="1">ROUND(IF($E26&lt;40001,$E26*$R$19/100,40000*$R$19/100+($E26-40000)*$R$20/100)+MAX(100, $B$26)*$R$18+IF($B$26&lt;101,$R$14,IF($B$26&lt;301,$R$15+$B$26*$S$15,$R$16+$B$26*$S$16)),2)+R27</f>
        <v>10161.89</v>
      </c>
      <c r="J26" s="513"/>
      <c r="K26" s="533">
        <f ca="1">ROUND(I26/G26-1,4)</f>
        <v>2.2800000000000001E-2</v>
      </c>
      <c r="L26" s="504"/>
      <c r="M26" s="504"/>
      <c r="P26" s="465" t="s">
        <v>651</v>
      </c>
      <c r="R26" s="536">
        <f>'Low Income Prog YR 1'!D18</f>
        <v>37.89</v>
      </c>
      <c r="S26" s="465" t="s">
        <v>31</v>
      </c>
    </row>
    <row r="27" spans="1:21" ht="15.75">
      <c r="A27" s="504"/>
      <c r="B27" s="513"/>
      <c r="C27" s="513"/>
      <c r="D27" s="513">
        <v>500</v>
      </c>
      <c r="E27" s="530">
        <f>ROUND((B$26*D27),0)</f>
        <v>200000</v>
      </c>
      <c r="F27" s="513"/>
      <c r="G27" s="532">
        <f ca="1">ROUND(IF($E27&lt;40001,$E27*$O$19/100,40000*$O$19/100+($E27-40000)*$O$20/100)+MAX(100, $B$26)*$O$18+IF($B$26&lt;101,$O$14,IF($B$26&lt;301,$O$15+$B$26*$P$15,$O$16+$B$26*$P$16)),2)+R26</f>
        <v>14426.89</v>
      </c>
      <c r="H27" s="532"/>
      <c r="I27" s="532">
        <f ca="1">ROUND(IF($E27&lt;40001,$E27*$R$19/100,40000*$R$19/100+($E27-40000)*$R$20/100)+MAX(100, $B$26)*$R$18+IF($B$26&lt;101,$R$14,IF($B$26&lt;301,$R$15+$B$26*$S$15,$R$16+$B$26*$S$16)),2)+R27</f>
        <v>14750.689999999999</v>
      </c>
      <c r="J27" s="513"/>
      <c r="K27" s="533">
        <f ca="1">ROUND(I27/G27-1,4)</f>
        <v>2.24E-2</v>
      </c>
      <c r="L27" s="504"/>
      <c r="M27" s="504"/>
      <c r="P27" s="465" t="s">
        <v>650</v>
      </c>
      <c r="R27" s="536">
        <f>R26</f>
        <v>37.89</v>
      </c>
    </row>
    <row r="28" spans="1:21" ht="15.75">
      <c r="A28" s="504"/>
      <c r="B28" s="513"/>
      <c r="C28" s="513"/>
      <c r="D28" s="513">
        <v>700</v>
      </c>
      <c r="E28" s="530">
        <f>ROUND((B$26*D28),0)</f>
        <v>280000</v>
      </c>
      <c r="F28" s="513"/>
      <c r="G28" s="532">
        <f ca="1">ROUND(IF($E28&lt;40001,$E28*$O$19/100,40000*$O$19/100+($E28-40000)*$O$20/100)+MAX(100, $B$26)*$O$18+IF($B$26&lt;101,$O$14,IF($B$26&lt;301,$O$15+$B$26*$P$15,$O$16+$B$26*$P$16)),2)+R26</f>
        <v>18918.09</v>
      </c>
      <c r="H28" s="532"/>
      <c r="I28" s="532">
        <f ca="1">ROUND(IF($E28&lt;40001,$E28*$R$19/100,40000*$R$19/100+($E28-40000)*$R$20/100)+MAX(100, $B$26)*$R$18+IF($B$26&lt;101,$R$14,IF($B$26&lt;301,$R$15+$B$26*$S$15,$R$16+$B$26*$S$16)),2)+R27</f>
        <v>19339.489999999998</v>
      </c>
      <c r="J28" s="513"/>
      <c r="K28" s="533">
        <f ca="1">ROUND(I28/G28-1,4)</f>
        <v>2.23E-2</v>
      </c>
    </row>
    <row r="29" spans="1:21" ht="15.75">
      <c r="A29" s="504"/>
      <c r="B29" s="513"/>
      <c r="C29" s="513"/>
      <c r="D29" s="513"/>
      <c r="E29" s="513"/>
      <c r="F29" s="513"/>
      <c r="G29" s="532"/>
      <c r="H29" s="532"/>
      <c r="I29" s="532"/>
      <c r="J29" s="516"/>
      <c r="K29" s="533"/>
      <c r="L29" s="504"/>
      <c r="M29" s="504"/>
      <c r="P29" s="753" t="s">
        <v>1041</v>
      </c>
      <c r="R29" s="465">
        <v>4.0000000000000001E-3</v>
      </c>
    </row>
    <row r="30" spans="1:21" ht="15.75">
      <c r="A30" s="504"/>
      <c r="B30" s="513">
        <v>600</v>
      </c>
      <c r="C30" s="513"/>
      <c r="D30" s="513">
        <v>300</v>
      </c>
      <c r="E30" s="530">
        <f>ROUND((B$30*D30),0)</f>
        <v>180000</v>
      </c>
      <c r="F30" s="513"/>
      <c r="G30" s="532">
        <f ca="1">ROUND(IF($E30&lt;40001,$E30*$O$19/100,40000*$O$19/100+($E30-40000)*$O$20/100)+MAX(100, $B$30)*$O$18+IF($B$30&lt;101,$O$14,IF($B$30&lt;301,$O$15+$B$30*$P$15,$O$16+$B$30*$P$16)),2)+R26</f>
        <v>14690.09</v>
      </c>
      <c r="H30" s="532"/>
      <c r="I30" s="532">
        <f ca="1">ROUND(IF($E30&lt;40001,$E30*$R$19/100,40000*$R$19/100+($E30-40000)*$R$20/100)+MAX(100, $B$30)*$R$18+IF($B$30&lt;101,$R$14,IF($B$30&lt;301,$R$15+$B$30*$S$15,$R$16+$B$30*$S$16)),2)+R27</f>
        <v>15023.49</v>
      </c>
      <c r="J30" s="513"/>
      <c r="K30" s="533">
        <f ca="1">ROUND(I30/G30-1,4)</f>
        <v>2.2700000000000001E-2</v>
      </c>
      <c r="L30" s="504"/>
      <c r="M30" s="504"/>
      <c r="P30" s="753"/>
    </row>
    <row r="31" spans="1:21" ht="15.75">
      <c r="A31" s="504"/>
      <c r="B31" s="513"/>
      <c r="C31" s="513"/>
      <c r="D31" s="513">
        <v>500</v>
      </c>
      <c r="E31" s="530">
        <f>ROUND((B$30*D31),0)</f>
        <v>300000</v>
      </c>
      <c r="F31" s="513"/>
      <c r="G31" s="532">
        <f ca="1">ROUND(IF($E31&lt;40001,$E31*$O$19/100,40000*$O$19/100+($E31-40000)*$O$20/100)+MAX(100, $B$30)*$O$18+IF($B$30&lt;101,$O$14,IF($B$30&lt;301,$O$15+$B$30*$P$15,$O$16+$B$30*$P$16)),2)+R26</f>
        <v>21426.89</v>
      </c>
      <c r="H31" s="532"/>
      <c r="I31" s="532">
        <f ca="1">ROUND(IF($E31&lt;40001,$E31*$R$19/100,40000*$R$19/100+($E31-40000)*$R$20/100)+MAX(100, $B$30)*$R$18+IF($B$30&lt;101,$R$14,IF($B$30&lt;301,$R$15+$B$30*$S$15,$R$16+$B$30*$S$16)),2)+R27</f>
        <v>21906.69</v>
      </c>
      <c r="J31" s="513"/>
      <c r="K31" s="533">
        <f ca="1">ROUND(I31/G31-1,4)</f>
        <v>2.24E-2</v>
      </c>
      <c r="L31" s="504"/>
      <c r="M31" s="504"/>
    </row>
    <row r="32" spans="1:21" ht="15.75">
      <c r="A32" s="504"/>
      <c r="B32" s="513"/>
      <c r="C32" s="513"/>
      <c r="D32" s="513">
        <v>700</v>
      </c>
      <c r="E32" s="530">
        <f>ROUND((B$30*D32),0)</f>
        <v>420000</v>
      </c>
      <c r="F32" s="513"/>
      <c r="G32" s="532">
        <f ca="1">ROUND(IF($E32&lt;40001,$E32*$O$19/100,40000*$O$19/100+($E32-40000)*$O$20/100)+MAX(100, $B$30)*$O$18+IF($B$30&lt;101,$O$14,IF($B$30&lt;301,$O$15+$B$30*$P$15,$O$16+$B$30*$P$16)),2)+R26</f>
        <v>28163.69</v>
      </c>
      <c r="H32" s="532"/>
      <c r="I32" s="532">
        <f ca="1">ROUND(IF($E32&lt;40001,$E32*$R$19/100,40000*$R$19/100+($E32-40000)*$R$20/100)+MAX(100, $B$30)*$R$18+IF($B$30&lt;101,$R$14,IF($B$30&lt;301,$R$15+$B$30*$S$15,$R$16+$B$30*$S$16)),2)+R27</f>
        <v>28789.89</v>
      </c>
      <c r="J32" s="513"/>
      <c r="K32" s="533">
        <f ca="1">ROUND(I32/G32-1,4)</f>
        <v>2.2200000000000001E-2</v>
      </c>
      <c r="N32" s="716" t="s">
        <v>659</v>
      </c>
      <c r="O32" s="587">
        <f ca="1">'Est Effect of Base Rate Inc'!V25</f>
        <v>2.3473379082064615E-2</v>
      </c>
    </row>
    <row r="33" spans="1:18" ht="15.75">
      <c r="A33" s="504"/>
      <c r="B33" s="513"/>
      <c r="C33" s="513"/>
      <c r="D33" s="513"/>
      <c r="E33" s="513"/>
      <c r="F33" s="513"/>
      <c r="G33" s="532"/>
      <c r="H33" s="532"/>
      <c r="I33" s="532"/>
      <c r="J33" s="516"/>
      <c r="K33" s="533"/>
      <c r="L33" s="504"/>
      <c r="M33" s="504"/>
      <c r="O33" s="1331" t="s">
        <v>31</v>
      </c>
      <c r="R33" s="465" t="s">
        <v>31</v>
      </c>
    </row>
    <row r="34" spans="1:18" ht="15.75">
      <c r="A34" s="504"/>
      <c r="B34" s="513">
        <v>800</v>
      </c>
      <c r="C34" s="513"/>
      <c r="D34" s="513">
        <v>300</v>
      </c>
      <c r="E34" s="530">
        <f>ROUND((B$34*D34),0)</f>
        <v>240000</v>
      </c>
      <c r="F34" s="513"/>
      <c r="G34" s="532">
        <f ca="1">ROUND(IF($E34&lt;40001,$E34*$O$19/100,40000*$O$19/100+($E34-40000)*$O$20/100)+MAX(100, $B$34)*$O$18+IF($B$34&lt;101,$O$14,IF($B$34&lt;301,$O$15+$B$34*$P$15,$O$16+$B$34*$P$16)),2)+R26</f>
        <v>19444.489999999998</v>
      </c>
      <c r="H34" s="532"/>
      <c r="I34" s="532">
        <f ca="1">ROUND(IF($E34&lt;40001,$E34*$R$19/100,40000*$R$19/100+($E34-40000)*$R$20/100)+MAX(100, $B$34)*$R$18+IF($B$34&lt;101,$R$14,IF($B$34&lt;301,$R$15+$B$34*$S$15,$R$16+$B$34*$S$16)),2)+R27</f>
        <v>19885.09</v>
      </c>
      <c r="J34" s="513"/>
      <c r="K34" s="533">
        <f ca="1">ROUND(I34/G34-1,4)</f>
        <v>2.2700000000000001E-2</v>
      </c>
      <c r="L34" s="504"/>
      <c r="M34" s="504"/>
    </row>
    <row r="35" spans="1:18" ht="15.75">
      <c r="A35" s="504"/>
      <c r="B35" s="513"/>
      <c r="C35" s="513"/>
      <c r="D35" s="513">
        <v>500</v>
      </c>
      <c r="E35" s="530">
        <f>ROUND((B$34*D35),0)</f>
        <v>400000</v>
      </c>
      <c r="F35" s="513"/>
      <c r="G35" s="532">
        <f ca="1">ROUND(IF($E35&lt;40001,$E35*$O$19/100,40000*$O$19/100+($E35-40000)*$O$20/100)+MAX(100, $B$34)*$O$18+IF($B$34&lt;101,$O$14,IF($B$34&lt;301,$O$15+$B$34*$P$15,$O$16+$B$34*$P$16)),2)+R26</f>
        <v>28426.89</v>
      </c>
      <c r="H35" s="532"/>
      <c r="I35" s="532">
        <f ca="1">ROUND(IF($E35&lt;40001,$E35*$R$19/100,40000*$R$19/100+($E35-40000)*$R$20/100)+MAX(100, $B$34)*$R$18+IF($B$34&lt;101,$R$14,IF($B$34&lt;301,$R$15+$B$34*$S$15,$R$16+$B$34*$S$16)),2)+R27</f>
        <v>29062.69</v>
      </c>
      <c r="J35" s="513"/>
      <c r="K35" s="533">
        <f ca="1">ROUND(I35/G35-1,4)</f>
        <v>2.24E-2</v>
      </c>
      <c r="L35" s="504"/>
      <c r="M35" s="504"/>
    </row>
    <row r="36" spans="1:18" ht="15.75">
      <c r="A36" s="504"/>
      <c r="B36" s="513"/>
      <c r="C36" s="513"/>
      <c r="D36" s="513">
        <v>700</v>
      </c>
      <c r="E36" s="530">
        <f>ROUND((B$34*D36),0)</f>
        <v>560000</v>
      </c>
      <c r="F36" s="513"/>
      <c r="G36" s="532">
        <f ca="1">ROUND(IF($E36&lt;40001,$E36*$O$19/100,40000*$O$19/100+($E36-40000)*$O$20/100)+MAX(100, $B$34)*$O$18+IF($B$34&lt;101,$O$14,IF($B$34&lt;301,$O$15+$B$34*$P$15,$O$16+$B$34*$P$16)),2)+R26</f>
        <v>37409.29</v>
      </c>
      <c r="H36" s="532"/>
      <c r="I36" s="532">
        <f ca="1">ROUND(IF($E36&lt;40001,$E36*$R$19/100,40000*$R$19/100+($E36-40000)*$R$20/100)+MAX(100, $B$34)*$R$18+IF($B$34&lt;101,$R$14,IF($B$34&lt;301,$R$15+$B$34*$S$15,$R$16+$B$34*$S$16)),2)+R27</f>
        <v>38240.29</v>
      </c>
      <c r="J36" s="513"/>
      <c r="K36" s="533">
        <f ca="1">ROUND(I36/G36-1,4)</f>
        <v>2.2200000000000001E-2</v>
      </c>
    </row>
    <row r="37" spans="1:18" ht="15.75">
      <c r="A37" s="504"/>
      <c r="B37" s="513"/>
      <c r="C37" s="513"/>
      <c r="D37" s="513"/>
      <c r="E37" s="513"/>
      <c r="F37" s="513"/>
      <c r="G37" s="532"/>
      <c r="H37" s="532"/>
      <c r="I37" s="532"/>
      <c r="J37" s="516"/>
      <c r="K37" s="533"/>
      <c r="L37" s="504"/>
      <c r="M37" s="504"/>
    </row>
    <row r="38" spans="1:18" ht="15.75">
      <c r="A38" s="504"/>
      <c r="B38" s="513">
        <v>1000</v>
      </c>
      <c r="C38" s="513"/>
      <c r="D38" s="513">
        <v>300</v>
      </c>
      <c r="E38" s="530">
        <f>ROUND((B$38*D38),0)</f>
        <v>300000</v>
      </c>
      <c r="F38" s="513"/>
      <c r="G38" s="532">
        <f ca="1">ROUND(IF($E38&lt;40001,$E38*$O$19/100,40000*$O$19/100+($E38-40000)*$O$20/100)+MAX(100, $B$38)*$O$18+IF($B$38&lt;101,$O$14,IF($B$38&lt;301,$O$15+$B$38*$P$15,$O$16+$B$38*$P$16)),2)+R26</f>
        <v>24198.89</v>
      </c>
      <c r="H38" s="532"/>
      <c r="I38" s="532">
        <f ca="1">ROUND(IF($E38&lt;40001,$E38*$R$19/100,40000*$R$19/100+($E38-40000)*$R$20/100)+MAX(100, $B$38)*$R$18+IF($B$38&lt;101,$R$14,IF($B$38&lt;301,$R$15+$B$38*$S$15,$R$16+$B$38*$S$16)),2)+R27</f>
        <v>24746.69</v>
      </c>
      <c r="J38" s="513"/>
      <c r="K38" s="533">
        <f ca="1">ROUND(I38/G38-1,4)</f>
        <v>2.2599999999999999E-2</v>
      </c>
      <c r="L38" s="504"/>
      <c r="M38" s="504"/>
    </row>
    <row r="39" spans="1:18" ht="15.75">
      <c r="A39" s="504"/>
      <c r="B39" s="513"/>
      <c r="C39" s="513"/>
      <c r="D39" s="513">
        <v>500</v>
      </c>
      <c r="E39" s="530">
        <f>ROUND((B$38*D39),0)</f>
        <v>500000</v>
      </c>
      <c r="F39" s="513"/>
      <c r="G39" s="532">
        <f ca="1">ROUND(IF($E39&lt;40001,$E39*$O$19/100,40000*$O$19/100+($E39-40000)*$O$20/100)+MAX(100, $B$38)*$O$18+IF($B$38&lt;101,$O$14,IF($B$38&lt;301,$O$15+$B$38*$P$15,$O$16+$B$38*$P$16)),2)+R26</f>
        <v>35426.89</v>
      </c>
      <c r="H39" s="532"/>
      <c r="I39" s="532">
        <f ca="1">ROUND(IF($E39&lt;40001,$E39*$R$19/100,40000*$R$19/100+($E39-40000)*$R$20/100)+MAX(100, $B$38)*$R$18+IF($B$38&lt;101,$R$14,IF($B$38&lt;301,$R$15+$B$38*$S$15,$R$16+$B$38*$S$16)),2)+R27</f>
        <v>36218.69</v>
      </c>
      <c r="J39" s="513"/>
      <c r="K39" s="533">
        <f ca="1">ROUND(I39/G39-1,4)</f>
        <v>2.24E-2</v>
      </c>
      <c r="L39" s="504"/>
      <c r="M39" s="504"/>
    </row>
    <row r="40" spans="1:18" ht="15.75">
      <c r="A40" s="504"/>
      <c r="B40" s="513"/>
      <c r="C40" s="513"/>
      <c r="D40" s="513">
        <v>700</v>
      </c>
      <c r="E40" s="530">
        <f>ROUND((B$38*D40),0)</f>
        <v>700000</v>
      </c>
      <c r="F40" s="513"/>
      <c r="G40" s="532">
        <f ca="1">ROUND(IF($E40&lt;40001,$E40*$O$19/100,40000*$O$19/100+($E40-40000)*$O$20/100)+MAX(100, $B$38)*$O$18+IF($B$38&lt;101,$O$14,IF($B$38&lt;301,$O$15+$B$38*$P$15,$O$16+$B$38*$P$16)),2)+R26</f>
        <v>46654.89</v>
      </c>
      <c r="H40" s="532"/>
      <c r="I40" s="532">
        <f ca="1">ROUND(IF($E40&lt;40001,$E40*$R$19/100,40000*$R$19/100+($E40-40000)*$R$20/100)+MAX(100, $B$38)*$R$18+IF($B$38&lt;101,$R$14,IF($B$38&lt;301,$R$15+$B$38*$S$15,$R$16+$B$38*$S$16)),2)+R27</f>
        <v>47690.69</v>
      </c>
      <c r="J40" s="513"/>
      <c r="K40" s="533">
        <f ca="1">ROUND(I40/G40-1,4)</f>
        <v>2.2200000000000001E-2</v>
      </c>
    </row>
    <row r="41" spans="1:18" ht="15.75">
      <c r="A41" s="504"/>
      <c r="B41" s="564"/>
      <c r="C41" s="564"/>
      <c r="D41" s="564"/>
      <c r="E41" s="564"/>
      <c r="F41" s="564"/>
      <c r="G41" s="564"/>
      <c r="H41" s="564"/>
      <c r="I41" s="564"/>
      <c r="J41" s="565"/>
      <c r="K41" s="565"/>
      <c r="L41" s="504"/>
      <c r="M41" s="504"/>
    </row>
    <row r="42" spans="1:18" ht="15.75">
      <c r="A42" s="504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04"/>
      <c r="M42" s="504"/>
    </row>
    <row r="43" spans="1:18" ht="15.75">
      <c r="A43" s="504"/>
      <c r="B43" s="516" t="s">
        <v>516</v>
      </c>
      <c r="C43" s="516"/>
      <c r="D43" s="516"/>
      <c r="E43" s="516"/>
      <c r="F43" s="516"/>
      <c r="G43" s="516"/>
      <c r="H43" s="516"/>
      <c r="I43" s="516"/>
      <c r="J43" s="516"/>
      <c r="K43" s="516"/>
      <c r="L43" s="504"/>
      <c r="M43" s="504"/>
    </row>
    <row r="44" spans="1:18" ht="15.75">
      <c r="A44" s="504"/>
      <c r="B44" s="552" t="s">
        <v>897</v>
      </c>
      <c r="C44" s="516"/>
      <c r="D44" s="516"/>
      <c r="E44" s="516"/>
      <c r="F44" s="516"/>
      <c r="G44" s="516"/>
      <c r="H44" s="516"/>
      <c r="I44" s="516"/>
      <c r="J44" s="516"/>
      <c r="K44" s="516"/>
    </row>
    <row r="45" spans="1:18" ht="15.75">
      <c r="A45" s="504"/>
      <c r="B45" s="513"/>
      <c r="L45" s="504"/>
      <c r="M45" s="504"/>
    </row>
    <row r="46" spans="1:18" ht="15.75">
      <c r="A46" s="504"/>
      <c r="B46" s="513"/>
    </row>
    <row r="47" spans="1:18" ht="15.75">
      <c r="B47" s="513"/>
    </row>
    <row r="48" spans="1:18" ht="15.75">
      <c r="B48" s="513"/>
      <c r="P48" s="501"/>
    </row>
    <row r="49" spans="1:2" ht="15.75">
      <c r="A49" s="504"/>
      <c r="B49" s="513"/>
    </row>
    <row r="50" spans="1:2" ht="15.75">
      <c r="A50" s="504"/>
      <c r="B50" s="513"/>
    </row>
    <row r="51" spans="1:2">
      <c r="A51" s="504"/>
    </row>
    <row r="52" spans="1:2">
      <c r="A52" s="504"/>
    </row>
    <row r="53" spans="1:2">
      <c r="A53" s="504"/>
    </row>
    <row r="54" spans="1:2">
      <c r="A54" s="504"/>
    </row>
    <row r="55" spans="1:2">
      <c r="A55" s="504"/>
    </row>
    <row r="56" spans="1:2">
      <c r="A56" s="504"/>
    </row>
    <row r="57" spans="1:2">
      <c r="A57" s="504"/>
    </row>
  </sheetData>
  <mergeCells count="2">
    <mergeCell ref="N12:Q12"/>
    <mergeCell ref="R12:S12"/>
  </mergeCells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465" customWidth="1"/>
    <col min="2" max="2" width="10.875" style="465" customWidth="1"/>
    <col min="3" max="3" width="1.75" style="465" customWidth="1"/>
    <col min="4" max="4" width="11.25" style="465" hidden="1" customWidth="1"/>
    <col min="5" max="5" width="8.25" style="465" bestFit="1" customWidth="1"/>
    <col min="6" max="6" width="3.25" style="465" customWidth="1"/>
    <col min="7" max="7" width="13.75" style="465" bestFit="1" customWidth="1"/>
    <col min="8" max="8" width="2.125" style="465" customWidth="1"/>
    <col min="9" max="9" width="8.5" style="465" bestFit="1" customWidth="1"/>
    <col min="10" max="10" width="2.125" style="465" customWidth="1"/>
    <col min="11" max="11" width="13.625" style="465" customWidth="1"/>
    <col min="12" max="12" width="1.75" style="465" customWidth="1"/>
    <col min="13" max="13" width="8.5" style="465" bestFit="1" customWidth="1"/>
    <col min="14" max="14" width="2" style="465" customWidth="1"/>
    <col min="15" max="15" width="10.5" style="465" bestFit="1" customWidth="1"/>
    <col min="16" max="16" width="1.875" style="465" customWidth="1"/>
    <col min="17" max="17" width="8.5" style="465" bestFit="1" customWidth="1"/>
    <col min="18" max="18" width="3" style="465" customWidth="1"/>
    <col min="19" max="19" width="16.125" style="465" customWidth="1"/>
    <col min="20" max="20" width="13.25" style="465" customWidth="1"/>
    <col min="21" max="21" width="9.25" style="465" customWidth="1"/>
    <col min="22" max="22" width="8.375" style="465" customWidth="1"/>
    <col min="23" max="23" width="2.25" style="465" customWidth="1"/>
    <col min="24" max="16384" width="8.5" style="465"/>
  </cols>
  <sheetData>
    <row r="2" spans="2:22" ht="18.75">
      <c r="B2" s="472"/>
      <c r="C2" s="470"/>
      <c r="D2" s="470"/>
      <c r="E2" s="470"/>
      <c r="F2" s="470"/>
      <c r="G2" s="470"/>
      <c r="H2" s="470"/>
      <c r="I2" s="470"/>
      <c r="J2" s="470"/>
      <c r="K2" s="470"/>
      <c r="L2" s="470"/>
      <c r="M2" s="470"/>
      <c r="N2" s="470"/>
      <c r="O2" s="566"/>
      <c r="P2" s="468" t="s">
        <v>31</v>
      </c>
      <c r="Q2" s="566"/>
    </row>
    <row r="3" spans="2:22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</row>
    <row r="4" spans="2:22" ht="18.75">
      <c r="B4" s="469" t="s">
        <v>541</v>
      </c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69"/>
      <c r="P4" s="469"/>
      <c r="Q4" s="469"/>
    </row>
    <row r="5" spans="2:22" ht="18.75">
      <c r="B5" s="469" t="s">
        <v>542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</row>
    <row r="6" spans="2:22" ht="18.75">
      <c r="B6" s="469" t="s">
        <v>1029</v>
      </c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</row>
    <row r="7" spans="2:22">
      <c r="B7" s="470"/>
      <c r="C7" s="470"/>
      <c r="D7" s="470"/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</row>
    <row r="8" spans="2:22"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</row>
    <row r="9" spans="2:22">
      <c r="G9" s="472"/>
      <c r="H9" s="472"/>
      <c r="I9" s="472"/>
      <c r="J9" s="472"/>
      <c r="K9" s="472"/>
      <c r="L9" s="472"/>
      <c r="M9" s="472"/>
    </row>
    <row r="10" spans="2:22">
      <c r="B10" s="472"/>
      <c r="C10" s="472"/>
      <c r="D10" s="472"/>
      <c r="E10" s="472"/>
      <c r="G10" s="472"/>
      <c r="H10" s="472"/>
      <c r="I10" s="472"/>
      <c r="J10" s="472"/>
      <c r="K10" s="472"/>
      <c r="L10" s="472"/>
      <c r="M10" s="472"/>
    </row>
    <row r="11" spans="2:22">
      <c r="B11" s="472"/>
      <c r="C11" s="472"/>
      <c r="D11" s="472"/>
      <c r="E11" s="472"/>
      <c r="G11" s="474"/>
      <c r="H11" s="474"/>
      <c r="I11" s="474"/>
      <c r="J11" s="474"/>
      <c r="K11" s="474"/>
      <c r="L11" s="474"/>
      <c r="M11" s="474"/>
      <c r="O11" s="470"/>
      <c r="P11" s="470"/>
      <c r="Q11" s="470"/>
    </row>
    <row r="12" spans="2:22" ht="15.75" thickBot="1">
      <c r="G12" s="1478" t="s">
        <v>1026</v>
      </c>
      <c r="H12" s="1483"/>
      <c r="I12" s="1483"/>
      <c r="K12" s="1478" t="s">
        <v>1026</v>
      </c>
      <c r="L12" s="1483"/>
      <c r="M12" s="1483"/>
      <c r="O12" s="1483" t="s">
        <v>543</v>
      </c>
      <c r="P12" s="1483"/>
      <c r="Q12" s="1483"/>
    </row>
    <row r="13" spans="2:22" ht="15.75" customHeight="1">
      <c r="B13" s="567" t="s">
        <v>518</v>
      </c>
      <c r="G13" s="1445" t="s">
        <v>361</v>
      </c>
      <c r="H13" s="473"/>
      <c r="I13" s="473" t="s">
        <v>544</v>
      </c>
      <c r="J13" s="480"/>
      <c r="K13" s="1445" t="s">
        <v>296</v>
      </c>
      <c r="L13" s="473"/>
      <c r="M13" s="473" t="s">
        <v>544</v>
      </c>
      <c r="O13" s="473"/>
      <c r="P13" s="473"/>
      <c r="Q13" s="473" t="s">
        <v>544</v>
      </c>
      <c r="S13" s="1482" t="s">
        <v>361</v>
      </c>
      <c r="T13" s="1481"/>
      <c r="U13" s="1482" t="s">
        <v>296</v>
      </c>
      <c r="V13" s="1481"/>
    </row>
    <row r="14" spans="2:22">
      <c r="B14" s="569" t="s">
        <v>521</v>
      </c>
      <c r="C14" s="568"/>
      <c r="D14" s="568" t="s">
        <v>522</v>
      </c>
      <c r="G14" s="1310" t="s">
        <v>605</v>
      </c>
      <c r="H14" s="473" t="s">
        <v>31</v>
      </c>
      <c r="I14" s="473" t="s">
        <v>394</v>
      </c>
      <c r="J14" s="480"/>
      <c r="K14" s="570" t="s">
        <v>605</v>
      </c>
      <c r="L14" s="473" t="s">
        <v>31</v>
      </c>
      <c r="M14" s="473" t="s">
        <v>394</v>
      </c>
      <c r="O14" s="473" t="s">
        <v>606</v>
      </c>
      <c r="P14" s="473" t="s">
        <v>31</v>
      </c>
      <c r="Q14" s="473" t="s">
        <v>394</v>
      </c>
      <c r="S14" s="528" t="s">
        <v>545</v>
      </c>
      <c r="T14" s="481">
        <f ca="1">'Exhibit No.__(JRS-11) p1-8'!G741+V22+V30</f>
        <v>7.3940000000000001</v>
      </c>
      <c r="U14" s="535"/>
      <c r="V14" s="481">
        <f ca="1">'Billing Determinants'!G741+'Billing Determinants'!G743+V23+V30</f>
        <v>7.5619999999999994</v>
      </c>
    </row>
    <row r="15" spans="2:22">
      <c r="B15" s="570" t="s">
        <v>396</v>
      </c>
      <c r="C15" s="568"/>
      <c r="D15" s="571" t="s">
        <v>523</v>
      </c>
      <c r="E15" s="1436" t="s">
        <v>25</v>
      </c>
      <c r="G15" s="1436" t="s">
        <v>546</v>
      </c>
      <c r="H15" s="473"/>
      <c r="I15" s="1436" t="s">
        <v>547</v>
      </c>
      <c r="J15" s="480"/>
      <c r="K15" s="1436" t="s">
        <v>546</v>
      </c>
      <c r="L15" s="473"/>
      <c r="M15" s="1436" t="s">
        <v>547</v>
      </c>
      <c r="O15" s="1436" t="s">
        <v>548</v>
      </c>
      <c r="P15" s="473"/>
      <c r="Q15" s="1436" t="s">
        <v>547</v>
      </c>
      <c r="S15" s="528" t="s">
        <v>31</v>
      </c>
      <c r="T15" s="572" t="s">
        <v>31</v>
      </c>
      <c r="U15" s="573" t="s">
        <v>31</v>
      </c>
      <c r="V15" s="572" t="s">
        <v>31</v>
      </c>
    </row>
    <row r="16" spans="2:22">
      <c r="B16" s="473"/>
      <c r="C16" s="568"/>
      <c r="D16" s="571"/>
      <c r="E16" s="473"/>
      <c r="G16" s="473"/>
      <c r="H16" s="473"/>
      <c r="I16" s="473"/>
      <c r="J16" s="480"/>
      <c r="K16" s="473"/>
      <c r="L16" s="473"/>
      <c r="M16" s="473"/>
      <c r="O16" s="473"/>
      <c r="P16" s="473"/>
      <c r="Q16" s="473"/>
      <c r="S16" s="574" t="s">
        <v>394</v>
      </c>
      <c r="T16" s="575"/>
      <c r="U16" s="575"/>
      <c r="V16" s="576"/>
    </row>
    <row r="17" spans="2:23">
      <c r="B17" s="577" t="s">
        <v>524</v>
      </c>
      <c r="C17" s="480"/>
      <c r="G17" s="480"/>
      <c r="H17" s="480"/>
      <c r="I17" s="480"/>
      <c r="J17" s="480"/>
      <c r="S17" s="578" t="s">
        <v>549</v>
      </c>
      <c r="T17" s="534">
        <f ca="1">'Exhibit No.__(JRS-11) p1-8'!G730</f>
        <v>26.02</v>
      </c>
      <c r="U17" s="535"/>
      <c r="V17" s="579">
        <f ca="1">'Billing Determinants'!G730</f>
        <v>26.63</v>
      </c>
    </row>
    <row r="18" spans="2:23">
      <c r="B18" s="465">
        <v>10</v>
      </c>
      <c r="D18" s="484">
        <v>200</v>
      </c>
      <c r="E18" s="484">
        <f>ROUND((B$18*D18),0)</f>
        <v>2000</v>
      </c>
      <c r="G18" s="580">
        <f ca="1">ROUND(((E18*$T$14/100))+(E18*$V$25/100),2)</f>
        <v>132.94</v>
      </c>
      <c r="H18" s="580"/>
      <c r="I18" s="580">
        <f ca="1">$B$18*$T$17+V27</f>
        <v>275.84999999999997</v>
      </c>
      <c r="J18" s="501"/>
      <c r="K18" s="580">
        <f ca="1">ROUND((($E18*$V$14/100))+(($E18*$V$26)/100),2)</f>
        <v>136.30000000000001</v>
      </c>
      <c r="L18" s="580"/>
      <c r="M18" s="580">
        <f ca="1">$B$18*$V$17+V28</f>
        <v>281.95</v>
      </c>
      <c r="O18" s="487">
        <f ca="1">ROUND((K18-G18)/G18,4)</f>
        <v>2.53E-2</v>
      </c>
      <c r="P18" s="487"/>
      <c r="Q18" s="487">
        <f ca="1">ROUND((M18-I18)/I18,4)</f>
        <v>2.2100000000000002E-2</v>
      </c>
      <c r="S18" s="578" t="s">
        <v>550</v>
      </c>
      <c r="T18" s="534">
        <f ca="1">'Exhibit No.__(JRS-11) p1-8'!G733</f>
        <v>18.101388370764003</v>
      </c>
      <c r="U18" s="535"/>
      <c r="V18" s="579">
        <f ca="1">'Billing Determinants'!G733</f>
        <v>18.526286850528336</v>
      </c>
    </row>
    <row r="19" spans="2:23">
      <c r="D19" s="484">
        <v>300</v>
      </c>
      <c r="E19" s="484">
        <f>ROUND((B$18*D19),0)</f>
        <v>3000</v>
      </c>
      <c r="G19" s="580">
        <f ca="1">ROUND(((E19*$T$14/100))+(E19*$V$25/100),2)</f>
        <v>199.41</v>
      </c>
      <c r="H19" s="580"/>
      <c r="I19" s="580">
        <f ca="1">$B$18*$T$17+V27</f>
        <v>275.84999999999997</v>
      </c>
      <c r="J19" s="501"/>
      <c r="K19" s="580">
        <f ca="1">ROUND((($E19*$V$14/100))+(($E19*$V$26)/100),2)</f>
        <v>204.45</v>
      </c>
      <c r="L19" s="580"/>
      <c r="M19" s="580">
        <f ca="1">$B$18*$V$17+V28</f>
        <v>281.95</v>
      </c>
      <c r="O19" s="487">
        <f ca="1">ROUND((K19-G19)/G19,4)</f>
        <v>2.53E-2</v>
      </c>
      <c r="P19" s="487"/>
      <c r="Q19" s="487">
        <f ca="1">ROUND((M19-I19)/I19,4)</f>
        <v>2.2100000000000002E-2</v>
      </c>
      <c r="S19" s="578" t="s">
        <v>551</v>
      </c>
      <c r="T19" s="534">
        <f ca="1">'Exhibit No.__(JRS-11) p1-8'!G734</f>
        <v>14.155824964645021</v>
      </c>
      <c r="U19" s="535"/>
      <c r="V19" s="579">
        <f ca="1">'Billing Determinants'!G734</f>
        <v>14.48810823397713</v>
      </c>
    </row>
    <row r="20" spans="2:23">
      <c r="D20" s="484">
        <v>500</v>
      </c>
      <c r="E20" s="484">
        <f>ROUND((B$18*D20),0)</f>
        <v>5000</v>
      </c>
      <c r="G20" s="580">
        <f ca="1">ROUND(((E20*$T$14/100))+(E20*$V$25/100),2)</f>
        <v>332.35</v>
      </c>
      <c r="H20" s="580"/>
      <c r="I20" s="580">
        <f ca="1">$B$18*$T$17+V27</f>
        <v>275.84999999999997</v>
      </c>
      <c r="J20" s="501"/>
      <c r="K20" s="580">
        <f ca="1">ROUND((($E20*$V$14/100))+(($E20*$V$26)/100),2)</f>
        <v>340.75</v>
      </c>
      <c r="L20" s="580"/>
      <c r="M20" s="580">
        <f ca="1">$B$18*$V$17+V28</f>
        <v>281.95</v>
      </c>
      <c r="O20" s="487">
        <f ca="1">ROUND((K20-G20)/G20,4)</f>
        <v>2.53E-2</v>
      </c>
      <c r="P20" s="487"/>
      <c r="Q20" s="487">
        <f ca="1">ROUND((M20-I20)/I20,4)</f>
        <v>2.2100000000000002E-2</v>
      </c>
      <c r="S20" s="578" t="s">
        <v>550</v>
      </c>
      <c r="T20" s="558">
        <f ca="1">'Exhibit No.__(JRS-11) p1-8'!G724</f>
        <v>370</v>
      </c>
      <c r="U20" s="535"/>
      <c r="V20" s="581">
        <f ca="1">'Billing Determinants'!G724</f>
        <v>379</v>
      </c>
    </row>
    <row r="21" spans="2:23">
      <c r="G21" s="580"/>
      <c r="H21" s="580"/>
      <c r="I21" s="580"/>
      <c r="J21" s="501"/>
      <c r="K21" s="580"/>
      <c r="L21" s="580"/>
      <c r="M21" s="580"/>
      <c r="S21" s="582" t="s">
        <v>551</v>
      </c>
      <c r="T21" s="583">
        <f ca="1">'Exhibit No.__(JRS-11) p1-8'!G725</f>
        <v>1504</v>
      </c>
      <c r="U21" s="584"/>
      <c r="V21" s="585">
        <f ca="1">'Billing Determinants'!G725</f>
        <v>1539</v>
      </c>
    </row>
    <row r="22" spans="2:23">
      <c r="B22" s="577" t="s">
        <v>525</v>
      </c>
      <c r="C22" s="480"/>
      <c r="G22" s="580"/>
      <c r="H22" s="580"/>
      <c r="I22" s="580"/>
      <c r="J22" s="501"/>
      <c r="K22" s="580"/>
      <c r="L22" s="580"/>
      <c r="M22" s="580"/>
      <c r="T22" s="490" t="s">
        <v>194</v>
      </c>
      <c r="U22" s="490"/>
      <c r="V22" s="491">
        <v>0.35499999999999998</v>
      </c>
    </row>
    <row r="23" spans="2:23">
      <c r="B23" s="465">
        <v>20</v>
      </c>
      <c r="D23" s="484">
        <v>200</v>
      </c>
      <c r="E23" s="484">
        <f>ROUND((B$23*D23),0)</f>
        <v>4000</v>
      </c>
      <c r="G23" s="580">
        <f ca="1">ROUND(((E23*$T$14/100))+(E23*$V$25/100),2)</f>
        <v>265.88</v>
      </c>
      <c r="H23" s="580"/>
      <c r="I23" s="580">
        <f ca="1">IF($B$23&lt;51,$B$23*$T$17,IF($B$23&lt;301,$B$23*$T$18+$T$20,$T$21+$T$19*$B$23))+V27</f>
        <v>536.04999999999995</v>
      </c>
      <c r="J23" s="501"/>
      <c r="K23" s="580">
        <f ca="1">ROUND((($E23*$V$14/100))+(($E23*$V$26)/100),2)</f>
        <v>272.60000000000002</v>
      </c>
      <c r="L23" s="580"/>
      <c r="M23" s="580">
        <f ca="1">IF($B$23&lt;51,$B$23*$V$17,IF($B$23&lt;301,$B$23*$V$18+$V$20,$V$21+$V$19*$B$23))+V28</f>
        <v>548.25</v>
      </c>
      <c r="O23" s="487">
        <f ca="1">ROUND((K23-G23)/G23,4)</f>
        <v>2.53E-2</v>
      </c>
      <c r="P23" s="487"/>
      <c r="Q23" s="487">
        <f ca="1">ROUND((M23-I23)/I23,4)</f>
        <v>2.2800000000000001E-2</v>
      </c>
      <c r="T23" s="490"/>
      <c r="U23" s="490"/>
      <c r="V23" s="491">
        <v>0.35499999999999998</v>
      </c>
    </row>
    <row r="24" spans="2:23">
      <c r="D24" s="484">
        <v>300</v>
      </c>
      <c r="E24" s="484">
        <f>ROUND((B$23*D24),0)</f>
        <v>6000</v>
      </c>
      <c r="G24" s="580">
        <f ca="1">ROUND(((E24*$T$14/100))+(E24*$V$25/100),2)</f>
        <v>398.82</v>
      </c>
      <c r="H24" s="580"/>
      <c r="I24" s="580">
        <f ca="1">IF($B$23&lt;51,$B$23*$T$17,IF($B$23&lt;301,$B$23*$T$18+$T$20,$T$21+$T$19*$B$23))+V27</f>
        <v>536.04999999999995</v>
      </c>
      <c r="J24" s="501"/>
      <c r="K24" s="580">
        <f ca="1">ROUND((($E24*$V$14/100))+(($E24*$V$26)/100),2)</f>
        <v>408.9</v>
      </c>
      <c r="L24" s="580"/>
      <c r="M24" s="580">
        <f ca="1">IF($B$23&lt;51,$B$23*$V$17,IF($B$23&lt;301,$B$23*$V$18+$V$20,$V$21+$V$19*$B$23))+V28</f>
        <v>548.25</v>
      </c>
      <c r="O24" s="487">
        <f ca="1">ROUND((K24-G24)/G24,4)</f>
        <v>2.53E-2</v>
      </c>
      <c r="P24" s="487"/>
      <c r="Q24" s="487">
        <f ca="1">ROUND((M24-I24)/I24,4)</f>
        <v>2.2800000000000001E-2</v>
      </c>
      <c r="T24" s="490"/>
      <c r="U24" s="490"/>
      <c r="V24" s="494"/>
    </row>
    <row r="25" spans="2:23">
      <c r="D25" s="484">
        <v>500</v>
      </c>
      <c r="E25" s="484">
        <f>ROUND((B$23*D25),0)</f>
        <v>10000</v>
      </c>
      <c r="G25" s="580">
        <f ca="1">ROUND(((E25*$T$14/100))+(E25*$V$25/100),2)</f>
        <v>664.7</v>
      </c>
      <c r="H25" s="580"/>
      <c r="I25" s="580">
        <f ca="1">IF($B$23&lt;51,$B$23*$T$17,IF($B$23&lt;301,$B$23*$T$18+$T$20,$T$21+$T$19*$B$23))+V27</f>
        <v>536.04999999999995</v>
      </c>
      <c r="J25" s="501"/>
      <c r="K25" s="580">
        <f ca="1">ROUND((($E25*$V$14/100))+(($E25*$V$26)/100),2)</f>
        <v>681.5</v>
      </c>
      <c r="L25" s="580"/>
      <c r="M25" s="580">
        <f ca="1">IF($B$23&lt;51,$B$23*$V$17,IF($B$23&lt;301,$B$23*$V$18+$V$20,$V$21+$V$19*$B$23))+V28</f>
        <v>548.25</v>
      </c>
      <c r="O25" s="487">
        <f ca="1">ROUND((K25-G25)/G25,4)</f>
        <v>2.53E-2</v>
      </c>
      <c r="P25" s="487"/>
      <c r="Q25" s="487">
        <f ca="1">ROUND((M25-I25)/I25,4)</f>
        <v>2.2800000000000001E-2</v>
      </c>
      <c r="T25" s="490" t="s">
        <v>515</v>
      </c>
      <c r="U25" s="490"/>
      <c r="V25" s="491">
        <v>-0.747</v>
      </c>
    </row>
    <row r="26" spans="2:23">
      <c r="G26" s="580"/>
      <c r="H26" s="580"/>
      <c r="I26" s="580"/>
      <c r="J26" s="501"/>
      <c r="K26" s="580"/>
      <c r="L26" s="580"/>
      <c r="M26" s="580"/>
      <c r="T26" s="465" t="s">
        <v>31</v>
      </c>
      <c r="U26" s="465" t="s">
        <v>31</v>
      </c>
      <c r="V26" s="547">
        <v>-0.747</v>
      </c>
    </row>
    <row r="27" spans="2:23">
      <c r="B27" s="465">
        <v>100</v>
      </c>
      <c r="D27" s="484">
        <v>200</v>
      </c>
      <c r="E27" s="484">
        <f>ROUND((B$27*D27),0)</f>
        <v>20000</v>
      </c>
      <c r="G27" s="580">
        <f ca="1">ROUND(((E27*$T$14/100))+(E27*$V$25/100),2)</f>
        <v>1329.4</v>
      </c>
      <c r="H27" s="580"/>
      <c r="I27" s="580">
        <f ca="1">IF($B$27&lt;51,$B$27*$T$17,IF($B$27&lt;301,$B$27*$T$18+$T$20,$T$21+$T$19*$B$27))+V27</f>
        <v>2195.7888370764003</v>
      </c>
      <c r="J27" s="501"/>
      <c r="K27" s="580">
        <f ca="1">ROUND((($E27*$V$14/100))+(($E27*$V$26)/100),2)</f>
        <v>1363</v>
      </c>
      <c r="L27" s="580"/>
      <c r="M27" s="580">
        <f ca="1">IF($B$27&lt;51,$B$27*$V$17,IF($B$27&lt;301,$B$27*$V$18+$V$20,$V$21+$V$19*$B$27))+V28</f>
        <v>2247.2786850528337</v>
      </c>
      <c r="O27" s="487">
        <f ca="1">ROUND((K27-G27)/G27,4)</f>
        <v>2.53E-2</v>
      </c>
      <c r="P27" s="487"/>
      <c r="Q27" s="487">
        <f ca="1">ROUND((M27-I27)/I27,4)</f>
        <v>2.3400000000000001E-2</v>
      </c>
      <c r="T27" s="465" t="s">
        <v>651</v>
      </c>
      <c r="V27" s="536">
        <f>'Low Income Prog YR 1'!D19</f>
        <v>15.65</v>
      </c>
      <c r="W27" s="465" t="s">
        <v>31</v>
      </c>
    </row>
    <row r="28" spans="2:23">
      <c r="D28" s="484">
        <v>300</v>
      </c>
      <c r="E28" s="484">
        <f>ROUND((B$27*D28),0)</f>
        <v>30000</v>
      </c>
      <c r="G28" s="580">
        <f ca="1">ROUND(((E28*$T$14/100))+(E28*$V$25/100),2)</f>
        <v>1994.1</v>
      </c>
      <c r="H28" s="580"/>
      <c r="I28" s="580">
        <f ca="1">IF($B$27&lt;51,$B$27*$T$17,IF($B$27&lt;301,$B$27*$T$18+$T$20,$T$21+$T$19*$B$27))+V27</f>
        <v>2195.7888370764003</v>
      </c>
      <c r="J28" s="501"/>
      <c r="K28" s="580">
        <f ca="1">ROUND((($E28*$V$14/100))+(($E28*$V$26)/100),2)</f>
        <v>2044.5</v>
      </c>
      <c r="L28" s="580"/>
      <c r="M28" s="580">
        <f ca="1">IF($B$27&lt;51,$B$27*$V$17,IF($B$27&lt;301,$B$27*$V$18+$V$20,$V$21+$V$19*$B$27))+V28</f>
        <v>2247.2786850528337</v>
      </c>
      <c r="O28" s="487">
        <f ca="1">ROUND((K28-G28)/G28,4)</f>
        <v>2.53E-2</v>
      </c>
      <c r="P28" s="487"/>
      <c r="Q28" s="487">
        <f ca="1">ROUND((M28-I28)/I28,4)</f>
        <v>2.3400000000000001E-2</v>
      </c>
      <c r="T28" s="465" t="s">
        <v>650</v>
      </c>
      <c r="V28" s="536">
        <f>V27</f>
        <v>15.65</v>
      </c>
    </row>
    <row r="29" spans="2:23">
      <c r="D29" s="484">
        <v>500</v>
      </c>
      <c r="E29" s="484">
        <f>ROUND((B$27*D29),0)</f>
        <v>50000</v>
      </c>
      <c r="G29" s="580">
        <f ca="1">ROUND(((E29*$T$14/100))+(E29*$V$25/100),2)</f>
        <v>3323.5</v>
      </c>
      <c r="H29" s="580"/>
      <c r="I29" s="580">
        <f ca="1">IF($B$27&lt;51,$B$27*$T$17,IF($B$27&lt;301,$B$27*$T$18+$T$20,$T$21+$T$19*$B$27))+V27</f>
        <v>2195.7888370764003</v>
      </c>
      <c r="J29" s="501"/>
      <c r="K29" s="580">
        <f ca="1">ROUND((($E29*$V$14/100))+(($E29*$V$26)/100),2)</f>
        <v>3407.5</v>
      </c>
      <c r="L29" s="580"/>
      <c r="M29" s="580">
        <f ca="1">IF($B$27&lt;51,$B$27*$V$17,IF($B$27&lt;301,$B$27*$V$18+$V$20,$V$21+$V$19*$B$27))+V28</f>
        <v>2247.2786850528337</v>
      </c>
      <c r="O29" s="487">
        <f ca="1">ROUND((K29-G29)/G29,4)</f>
        <v>2.53E-2</v>
      </c>
      <c r="P29" s="487"/>
      <c r="Q29" s="487">
        <f ca="1">ROUND((M29-I29)/I29,4)</f>
        <v>2.3400000000000001E-2</v>
      </c>
    </row>
    <row r="30" spans="2:23">
      <c r="G30" s="580"/>
      <c r="H30" s="580"/>
      <c r="I30" s="580"/>
      <c r="J30" s="501"/>
      <c r="K30" s="580"/>
      <c r="L30" s="580"/>
      <c r="M30" s="580"/>
      <c r="T30" s="753" t="s">
        <v>1039</v>
      </c>
      <c r="V30" s="465">
        <v>4.0000000000000001E-3</v>
      </c>
    </row>
    <row r="31" spans="2:23">
      <c r="B31" s="465">
        <v>300</v>
      </c>
      <c r="D31" s="484">
        <v>200</v>
      </c>
      <c r="E31" s="484">
        <f>ROUND((B$31*D31),0)</f>
        <v>60000</v>
      </c>
      <c r="G31" s="580">
        <f ca="1">ROUND(((E31*$T$14/100))+(E31*$V$25/100),2)</f>
        <v>3988.2</v>
      </c>
      <c r="H31" s="580"/>
      <c r="I31" s="580">
        <f ca="1">IF($B$31&lt;51,$B$31*$T$17,IF($B$31&lt;301,$B$31*$T$18+$T$20,$T$21+$T$19*$B$31))+V27</f>
        <v>5816.0665112292008</v>
      </c>
      <c r="J31" s="501"/>
      <c r="K31" s="580">
        <f ca="1">ROUND((($E31*$V$14/100))+(($E31*$V$26)/100),2)</f>
        <v>4089</v>
      </c>
      <c r="L31" s="580"/>
      <c r="M31" s="580">
        <f ca="1">IF($B$31&lt;51,$B$31*$V$17,IF($B$31&lt;301,$B$31*$V$18+$V$20,$V$21+$V$19*$B$31))+V28</f>
        <v>5952.5360551585009</v>
      </c>
      <c r="O31" s="487">
        <f ca="1">ROUND((K31-G31)/G31,4)</f>
        <v>2.53E-2</v>
      </c>
      <c r="P31" s="487"/>
      <c r="Q31" s="487">
        <f ca="1">ROUND((M31-I31)/I31,4)</f>
        <v>2.35E-2</v>
      </c>
      <c r="T31" s="753"/>
    </row>
    <row r="32" spans="2:23">
      <c r="D32" s="484">
        <v>300</v>
      </c>
      <c r="E32" s="484">
        <f>ROUND((B$31*D32),0)</f>
        <v>90000</v>
      </c>
      <c r="G32" s="580">
        <f ca="1">ROUND(((E32*$T$14/100))+(E32*$V$25/100),2)</f>
        <v>5982.3</v>
      </c>
      <c r="H32" s="580"/>
      <c r="I32" s="580">
        <f ca="1">IF($B$31&lt;51,$B$31*$T$17,IF($B$31&lt;301,$B$31*$T$18+$T$20,$T$21+$T$19*$B$31))+V27</f>
        <v>5816.0665112292008</v>
      </c>
      <c r="J32" s="501"/>
      <c r="K32" s="580">
        <f ca="1">ROUND((($E32*$V$14/100))+(($E32*$V$26)/100),2)</f>
        <v>6133.5</v>
      </c>
      <c r="L32" s="580"/>
      <c r="M32" s="580">
        <f ca="1">IF($B$31&lt;51,$B$31*$V$17,IF($B$31&lt;301,$B$31*$V$18+$V$20,$V$21+$V$19*$B$31))+V28</f>
        <v>5952.5360551585009</v>
      </c>
      <c r="O32" s="487">
        <f ca="1">ROUND((K32-G32)/G32,4)</f>
        <v>2.53E-2</v>
      </c>
      <c r="P32" s="487"/>
      <c r="Q32" s="487">
        <f ca="1">ROUND((M32-I32)/I32,4)</f>
        <v>2.35E-2</v>
      </c>
    </row>
    <row r="33" spans="2:20">
      <c r="D33" s="484">
        <v>500</v>
      </c>
      <c r="E33" s="484">
        <f>ROUND((B$31*D33),0)</f>
        <v>150000</v>
      </c>
      <c r="G33" s="580">
        <f ca="1">ROUND(((E33*$T$14/100))+(E33*$V$25/100),2)</f>
        <v>9970.5</v>
      </c>
      <c r="H33" s="580"/>
      <c r="I33" s="580">
        <f ca="1">IF($B$31&lt;51,$B$31*$T$17,IF($B$31&lt;301,$B$31*$T$18+$T$20,$T$21+$T$19*$B$31))+V27</f>
        <v>5816.0665112292008</v>
      </c>
      <c r="J33" s="501"/>
      <c r="K33" s="580">
        <f ca="1">ROUND((($E33*$V$14/100))+(($E33*$V$26)/100),2)</f>
        <v>10222.5</v>
      </c>
      <c r="L33" s="580"/>
      <c r="M33" s="580">
        <f ca="1">IF($B$31&lt;51,$B$31*$V$17,IF($B$31&lt;301,$B$31*$V$18+$V$20,$V$21+$V$19*$B$31))+V28</f>
        <v>5952.5360551585009</v>
      </c>
      <c r="O33" s="487">
        <f ca="1">ROUND((K33-G33)/G33,4)</f>
        <v>2.53E-2</v>
      </c>
      <c r="P33" s="487"/>
      <c r="Q33" s="487">
        <f ca="1">ROUND((M33-I33)/I33,4)</f>
        <v>2.35E-2</v>
      </c>
      <c r="S33" s="716" t="s">
        <v>659</v>
      </c>
      <c r="T33" s="587">
        <f ca="1">'Est Effect of Base Rate Inc'!V26</f>
        <v>2.3464131338964474E-2</v>
      </c>
    </row>
    <row r="34" spans="2:20"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T34" s="1331" t="s">
        <v>31</v>
      </c>
    </row>
    <row r="36" spans="2:20">
      <c r="C36" s="499"/>
    </row>
    <row r="37" spans="2:20">
      <c r="B37" s="465" t="s">
        <v>516</v>
      </c>
      <c r="C37" s="499"/>
    </row>
    <row r="38" spans="2:20">
      <c r="B38" s="586" t="s">
        <v>898</v>
      </c>
      <c r="C38" s="499"/>
    </row>
    <row r="39" spans="2:20">
      <c r="B39" s="499" t="s">
        <v>770</v>
      </c>
      <c r="C39" s="499"/>
    </row>
    <row r="40" spans="2:20">
      <c r="B40" s="499"/>
      <c r="C40" s="499"/>
    </row>
    <row r="41" spans="2:20">
      <c r="B41" s="499"/>
      <c r="C41" s="499"/>
    </row>
    <row r="42" spans="2:20">
      <c r="B42" s="499"/>
      <c r="C42" s="499"/>
    </row>
    <row r="43" spans="2:20">
      <c r="B43" s="499"/>
      <c r="C43" s="499"/>
    </row>
    <row r="44" spans="2:20">
      <c r="B44" s="499"/>
      <c r="C44" s="499"/>
    </row>
    <row r="45" spans="2:20">
      <c r="B45" s="499"/>
      <c r="C45" s="499"/>
    </row>
    <row r="46" spans="2:20">
      <c r="B46" s="499"/>
      <c r="C46" s="499"/>
    </row>
    <row r="47" spans="2:20">
      <c r="B47" s="499"/>
      <c r="C47" s="499"/>
    </row>
    <row r="48" spans="2:20">
      <c r="B48" s="499"/>
      <c r="C48" s="499"/>
      <c r="P48" s="501"/>
    </row>
    <row r="49" spans="2:3">
      <c r="B49" s="499"/>
      <c r="C49" s="499"/>
    </row>
    <row r="50" spans="2:3">
      <c r="B50" s="499"/>
      <c r="C50" s="499"/>
    </row>
    <row r="51" spans="2:3">
      <c r="B51" s="499"/>
      <c r="C51" s="499"/>
    </row>
  </sheetData>
  <mergeCells count="5">
    <mergeCell ref="G12:I12"/>
    <mergeCell ref="K12:M12"/>
    <mergeCell ref="O12:Q12"/>
    <mergeCell ref="S13:T13"/>
    <mergeCell ref="U13:V13"/>
  </mergeCells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9.75" style="465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4.75" style="465" customWidth="1"/>
    <col min="14" max="14" width="11" style="465" bestFit="1" customWidth="1"/>
    <col min="15" max="15" width="17.25" style="465" customWidth="1"/>
    <col min="16" max="16" width="14.375" style="465" customWidth="1"/>
    <col min="17" max="17" width="10.25" style="465" customWidth="1"/>
    <col min="18" max="18" width="7.375" style="465" customWidth="1"/>
    <col min="19" max="19" width="3.125" style="465" customWidth="1"/>
    <col min="20" max="16384" width="8.5" style="465"/>
  </cols>
  <sheetData>
    <row r="2" spans="1:18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18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18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18" ht="18.75">
      <c r="B5" s="469" t="s">
        <v>552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18" ht="18.75">
      <c r="B6" s="469" t="s">
        <v>553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18" ht="18.75">
      <c r="B7" s="469" t="s">
        <v>1029</v>
      </c>
      <c r="C7" s="469"/>
      <c r="D7" s="469"/>
      <c r="E7" s="469"/>
      <c r="F7" s="469"/>
      <c r="G7" s="469"/>
      <c r="H7" s="469"/>
      <c r="I7" s="469"/>
      <c r="J7" s="469"/>
      <c r="K7" s="469"/>
    </row>
    <row r="8" spans="1:18" ht="18.75">
      <c r="A8" s="588"/>
      <c r="B8" s="470"/>
      <c r="C8" s="470"/>
      <c r="D8" s="470"/>
      <c r="E8" s="470"/>
      <c r="F8" s="470"/>
      <c r="G8" s="470"/>
      <c r="H8" s="470"/>
      <c r="I8" s="470"/>
      <c r="J8" s="470"/>
    </row>
    <row r="9" spans="1:18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18">
      <c r="B11" s="567" t="s">
        <v>518</v>
      </c>
      <c r="G11" s="475" t="s">
        <v>519</v>
      </c>
      <c r="H11" s="475"/>
      <c r="I11" s="475"/>
    </row>
    <row r="12" spans="1:18" ht="15.75" thickBot="1">
      <c r="B12" s="569" t="s">
        <v>521</v>
      </c>
      <c r="C12" s="568" t="s">
        <v>522</v>
      </c>
      <c r="G12" s="1029" t="s">
        <v>361</v>
      </c>
      <c r="I12" s="1029" t="s">
        <v>296</v>
      </c>
      <c r="K12" s="470" t="s">
        <v>512</v>
      </c>
    </row>
    <row r="13" spans="1:18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1"/>
    </row>
    <row r="14" spans="1:18">
      <c r="G14" s="571"/>
      <c r="H14" s="480"/>
      <c r="I14" s="571"/>
      <c r="M14" s="528" t="s">
        <v>394</v>
      </c>
      <c r="N14" s="492"/>
      <c r="O14" s="529"/>
      <c r="P14" s="492"/>
      <c r="Q14" s="492"/>
      <c r="R14" s="529"/>
    </row>
    <row r="15" spans="1:18">
      <c r="B15" s="484">
        <v>1000</v>
      </c>
      <c r="C15" s="465">
        <v>300</v>
      </c>
      <c r="E15" s="484">
        <f>ROUND((B$15*C15),0)</f>
        <v>300000</v>
      </c>
      <c r="F15" s="484"/>
      <c r="G15" s="580">
        <f ca="1">ROUND($E15*N$18/100+$B$15*N$17+IF($B$15&lt;3001,$B$15*O$15+N$15,$B$15*O$16+N$16),2)+Q24</f>
        <v>25788.5</v>
      </c>
      <c r="H15" s="580"/>
      <c r="I15" s="580">
        <f ca="1">ROUND($E15*Q$18/100+$B$15*Q$17+IF($B$15&lt;3001,$B$15*R$15+Q$15,$B$15*R$16+Q$16),2)+Q25</f>
        <v>26372.5</v>
      </c>
      <c r="K15" s="487">
        <f ca="1">(I15-G15)/G15</f>
        <v>2.2645752951897163E-2</v>
      </c>
      <c r="M15" s="528" t="s">
        <v>556</v>
      </c>
      <c r="N15" s="534">
        <f ca="1">'Exhibit No.__(JRS-11) p1-8'!G960</f>
        <v>1411</v>
      </c>
      <c r="O15" s="479">
        <f ca="1">'Exhibit No.__(JRS-11) p1-8'!G963</f>
        <v>1.1200000000000001</v>
      </c>
      <c r="P15" s="535"/>
      <c r="Q15" s="534">
        <f ca="1">'Billing Determinants'!G960</f>
        <v>1442</v>
      </c>
      <c r="R15" s="479">
        <f ca="1">'Billing Determinants'!G963</f>
        <v>1.1499999999999999</v>
      </c>
    </row>
    <row r="16" spans="1:18">
      <c r="C16" s="465">
        <v>500</v>
      </c>
      <c r="E16" s="484">
        <f>ROUND((B$15*C16),0)</f>
        <v>500000</v>
      </c>
      <c r="F16" s="484"/>
      <c r="G16" s="580">
        <f ca="1">ROUND($E16*N$18/100+$B$15*N$17+IF($B$15&lt;3001,$B$15*O$15+N$15,$B$15*O$16+N$16),2)+Q24</f>
        <v>35808.5</v>
      </c>
      <c r="H16" s="580"/>
      <c r="I16" s="580">
        <f ca="1">ROUND($E16*Q$18/100+$B$15*Q$17+IF($B$15&lt;3001,$B$15*R$15+Q$15,$B$15*R$16+Q$16),2)+Q25</f>
        <v>36614.5</v>
      </c>
      <c r="K16" s="487">
        <f ca="1">(I16-G16)/G16</f>
        <v>2.2508622254492648E-2</v>
      </c>
      <c r="M16" s="528" t="s">
        <v>557</v>
      </c>
      <c r="N16" s="534">
        <f ca="1">'Exhibit No.__(JRS-11) p1-8'!G961</f>
        <v>1703</v>
      </c>
      <c r="O16" s="479">
        <f ca="1">'Exhibit No.__(JRS-11) p1-8'!G964</f>
        <v>1.01</v>
      </c>
      <c r="P16" s="535"/>
      <c r="Q16" s="534">
        <f ca="1">'Billing Determinants'!G961</f>
        <v>1743</v>
      </c>
      <c r="R16" s="479">
        <f ca="1">'Billing Determinants'!G964</f>
        <v>1.03</v>
      </c>
    </row>
    <row r="17" spans="2:20">
      <c r="C17" s="465">
        <v>700</v>
      </c>
      <c r="E17" s="484">
        <f>ROUND((B$15*C17),0)</f>
        <v>700000</v>
      </c>
      <c r="F17" s="484"/>
      <c r="G17" s="580">
        <f ca="1">ROUND($E17*N$18/100+$B$15*N$17+IF($B$15&lt;3001,$B$15*O$15+N$15,$B$15*O$16+N$16),2)+Q24</f>
        <v>45828.5</v>
      </c>
      <c r="H17" s="580"/>
      <c r="I17" s="580">
        <f ca="1">ROUND($E17*Q$18/100+$B$15*Q$17+IF($B$15&lt;3001,$B$15*R$15+Q$15,$B$15*R$16+Q$16),2)+Q25</f>
        <v>46856.5</v>
      </c>
      <c r="K17" s="487">
        <f ca="1">(I17-G17)/G17</f>
        <v>2.2431456408130313E-2</v>
      </c>
      <c r="M17" s="528" t="s">
        <v>396</v>
      </c>
      <c r="N17" s="534">
        <f ca="1">'Exhibit No.__(JRS-11) p1-8'!G965</f>
        <v>7.97</v>
      </c>
      <c r="O17" s="540"/>
      <c r="P17" s="535"/>
      <c r="Q17" s="534">
        <f ca="1">'Billing Determinants'!G965</f>
        <v>8.16</v>
      </c>
      <c r="R17" s="540"/>
      <c r="T17" s="1088">
        <f ca="1">(Q17-N17)/N17</f>
        <v>2.383939774153079E-2</v>
      </c>
    </row>
    <row r="18" spans="2:20">
      <c r="G18" s="580"/>
      <c r="H18" s="580"/>
      <c r="I18" s="580"/>
      <c r="K18" s="487"/>
      <c r="M18" s="528" t="s">
        <v>366</v>
      </c>
      <c r="N18" s="543">
        <f ca="1">'Exhibit No.__(JRS-11) p1-8'!G967+Q20+Q27</f>
        <v>5.0099999999999989</v>
      </c>
      <c r="O18" s="540"/>
      <c r="P18" s="535"/>
      <c r="Q18" s="543">
        <f ca="1">'Billing Determinants'!G967+'Billing Determinants'!G949+Q21+Q27</f>
        <v>5.1209999999999996</v>
      </c>
      <c r="R18" s="540"/>
      <c r="T18" s="1088">
        <f ca="1">(Q18-N18)/N18</f>
        <v>2.2155688622754625E-2</v>
      </c>
    </row>
    <row r="19" spans="2:20" ht="15.75" thickBot="1">
      <c r="B19" s="484">
        <v>2000</v>
      </c>
      <c r="C19" s="465">
        <v>300</v>
      </c>
      <c r="E19" s="484">
        <f>ROUND((B$19*C19),0)</f>
        <v>600000</v>
      </c>
      <c r="F19" s="484"/>
      <c r="G19" s="580">
        <f ca="1">ROUND($E19*N$18/100+$B$19*N$17+IF($B$19&lt;3001,$B$19*O$15+N$15,$B$19*O$16+N$16),2)+Q24</f>
        <v>49908.5</v>
      </c>
      <c r="H19" s="580"/>
      <c r="I19" s="580">
        <f ca="1">ROUND($E19*Q$18/100+$B$19*Q$17+IF($B$19&lt;3001,$B$19*R$15+Q$15,$B$19*R$16+Q$16),2)+Q25</f>
        <v>51045.5</v>
      </c>
      <c r="K19" s="487">
        <f ca="1">(I19-G19)/G19</f>
        <v>2.2781690493603294E-2</v>
      </c>
      <c r="M19" s="561" t="s">
        <v>31</v>
      </c>
      <c r="N19" s="562" t="s">
        <v>31</v>
      </c>
      <c r="O19" s="546"/>
      <c r="P19" s="545"/>
      <c r="Q19" s="562" t="s">
        <v>31</v>
      </c>
      <c r="R19" s="563"/>
    </row>
    <row r="20" spans="2:20">
      <c r="C20" s="465">
        <v>500</v>
      </c>
      <c r="E20" s="484">
        <f>ROUND((B$19*C20),0)</f>
        <v>1000000</v>
      </c>
      <c r="F20" s="484"/>
      <c r="G20" s="580">
        <f ca="1">ROUND($E20*N$18/100+$B$19*N$17+IF($B$19&lt;3001,$B$19*O$15+N$15,$B$19*O$16+N$16),2)+Q24</f>
        <v>69948.5</v>
      </c>
      <c r="H20" s="580"/>
      <c r="I20" s="580">
        <f ca="1">ROUND($E20*Q$18/100+$B$19*Q$17+IF($B$19&lt;3001,$B$19*R$15+Q$15,$B$19*R$16+Q$16),2)+Q25</f>
        <v>71529.5</v>
      </c>
      <c r="K20" s="487">
        <f ca="1">(I20-G20)/G20</f>
        <v>2.2602343152462168E-2</v>
      </c>
      <c r="O20" s="490" t="s">
        <v>194</v>
      </c>
      <c r="P20" s="490"/>
      <c r="Q20" s="491">
        <v>0.26500000000000001</v>
      </c>
    </row>
    <row r="21" spans="2:20">
      <c r="C21" s="465">
        <v>700</v>
      </c>
      <c r="E21" s="484">
        <f>ROUND((B$19*C21),0)</f>
        <v>1400000</v>
      </c>
      <c r="F21" s="484"/>
      <c r="G21" s="580">
        <f ca="1">ROUND($E21*N$18/100+$B$19*N$17+IF($B$19&lt;3001,$B$19*O$15+N$15,$B$19*O$16+N$16),2)+Q24</f>
        <v>89988.5</v>
      </c>
      <c r="H21" s="580"/>
      <c r="I21" s="580">
        <f ca="1">ROUND($E21*Q$18/100+$B$19*Q$17+IF($B$19&lt;3001,$B$19*R$15+Q$15,$B$19*R$16+Q$16),2)+Q25</f>
        <v>92013.5</v>
      </c>
      <c r="K21" s="487">
        <f ca="1">(I21-G21)/G21</f>
        <v>2.2502875367408057E-2</v>
      </c>
      <c r="O21" s="490"/>
      <c r="P21" s="490"/>
      <c r="Q21" s="491">
        <v>0.26500000000000001</v>
      </c>
    </row>
    <row r="22" spans="2:20">
      <c r="G22" s="580"/>
      <c r="H22" s="580"/>
      <c r="I22" s="580"/>
      <c r="K22" s="487"/>
      <c r="O22" s="490"/>
      <c r="P22" s="490"/>
      <c r="Q22" s="494"/>
    </row>
    <row r="23" spans="2:20">
      <c r="B23" s="484">
        <v>4000</v>
      </c>
      <c r="C23" s="465">
        <v>300</v>
      </c>
      <c r="E23" s="484">
        <f>ROUND((B$23*C23),0)</f>
        <v>1200000</v>
      </c>
      <c r="F23" s="484"/>
      <c r="G23" s="580">
        <f ca="1">ROUND($E23*N$18/100+$B$23*N$17+IF($B$23&lt;3001,$B$23*O$15+N$15,$B$23*O$16+N$16),2)+Q24</f>
        <v>98000.5</v>
      </c>
      <c r="H23" s="580"/>
      <c r="I23" s="580">
        <f ca="1">ROUND($E23*Q$18/100+$B$23*Q$17+IF($B$23&lt;3001,$B$23*R$15+Q$15,$B$23*R$16+Q$16),2)+Q25</f>
        <v>100212.5</v>
      </c>
      <c r="K23" s="487">
        <f ca="1">(I23-G23)/G23</f>
        <v>2.2571313411666266E-2</v>
      </c>
      <c r="O23" s="465" t="s">
        <v>31</v>
      </c>
      <c r="P23" s="465" t="s">
        <v>31</v>
      </c>
      <c r="Q23" s="465" t="s">
        <v>31</v>
      </c>
      <c r="T23" s="753" t="s">
        <v>31</v>
      </c>
    </row>
    <row r="24" spans="2:20">
      <c r="C24" s="465">
        <v>500</v>
      </c>
      <c r="E24" s="484">
        <f>ROUND((B$23*C24),0)</f>
        <v>2000000</v>
      </c>
      <c r="F24" s="484"/>
      <c r="G24" s="580">
        <f ca="1">ROUND($E24*N$18/100+$B$23*N$17+IF($B$23&lt;3001,$B$23*O$15+N$15,$B$23*O$16+N$16),2)+Q24</f>
        <v>138080.5</v>
      </c>
      <c r="H24" s="580"/>
      <c r="I24" s="580">
        <f ca="1">ROUND($E24*Q$18/100+$B$23*Q$17+IF($B$23&lt;3001,$B$23*R$15+Q$15,$B$23*R$16+Q$16),2)+Q25</f>
        <v>141180.5</v>
      </c>
      <c r="K24" s="487">
        <f ca="1">(I24-G24)/G24</f>
        <v>2.2450671890672472E-2</v>
      </c>
      <c r="O24" s="465" t="s">
        <v>651</v>
      </c>
      <c r="Q24" s="536">
        <f>'Low Income Prog YR 1'!D21</f>
        <v>257.5</v>
      </c>
      <c r="R24" s="465" t="s">
        <v>31</v>
      </c>
    </row>
    <row r="25" spans="2:20">
      <c r="C25" s="465">
        <v>700</v>
      </c>
      <c r="E25" s="484">
        <f>ROUND((B$23*C25),0)</f>
        <v>2800000</v>
      </c>
      <c r="F25" s="484"/>
      <c r="G25" s="580">
        <f ca="1">ROUND($E25*N$18/100+$B$23*N$17+IF($B$23&lt;3001,$B$23*O$15+N$15,$B$23*O$16+N$16),2)+Q24</f>
        <v>178160.5</v>
      </c>
      <c r="H25" s="580"/>
      <c r="I25" s="580">
        <f ca="1">ROUND($E25*Q$18/100+$B$23*Q$17+IF($B$23&lt;3001,$B$23*R$15+Q$15,$B$23*R$16+Q$16),2)+Q25</f>
        <v>182148.5</v>
      </c>
      <c r="K25" s="487">
        <f ca="1">(I25-G25)/G25</f>
        <v>2.2384310775957632E-2</v>
      </c>
      <c r="O25" s="465" t="s">
        <v>650</v>
      </c>
      <c r="Q25" s="536">
        <f>Q24</f>
        <v>257.5</v>
      </c>
    </row>
    <row r="26" spans="2:20">
      <c r="G26" s="580"/>
      <c r="H26" s="580"/>
      <c r="I26" s="580"/>
      <c r="K26" s="487"/>
    </row>
    <row r="27" spans="2:20">
      <c r="B27" s="484">
        <v>6000</v>
      </c>
      <c r="C27" s="465">
        <v>300</v>
      </c>
      <c r="E27" s="484">
        <f>ROUND((B$27*C27),0)</f>
        <v>1800000</v>
      </c>
      <c r="F27" s="484"/>
      <c r="G27" s="580">
        <f ca="1">ROUND($E27*N$18/100+$B$27*N$17+IF($B$27&lt;3001,$B$27*O$15+N$15,$B$27*O$16+N$16),2)+Q24</f>
        <v>146020.5</v>
      </c>
      <c r="H27" s="580"/>
      <c r="I27" s="580">
        <f ca="1">ROUND($E27*Q$18/100+$B$27*Q$17+IF($B$27&lt;3001,$B$27*R$15+Q$15,$B$27*R$16+Q$16),2)+Q25</f>
        <v>149318.5</v>
      </c>
      <c r="K27" s="487">
        <f ca="1">(I27-G27)/G27</f>
        <v>2.2585869792255197E-2</v>
      </c>
      <c r="O27" s="753" t="s">
        <v>1039</v>
      </c>
      <c r="Q27" s="465">
        <v>4.0000000000000001E-3</v>
      </c>
    </row>
    <row r="28" spans="2:20">
      <c r="C28" s="465">
        <v>500</v>
      </c>
      <c r="E28" s="484">
        <f>ROUND((B$27*C28),0)</f>
        <v>3000000</v>
      </c>
      <c r="F28" s="484"/>
      <c r="G28" s="580">
        <f ca="1">ROUND($E28*N$18/100+$B$27*N$17+IF($B$27&lt;3001,$B$27*O$15+N$15,$B$27*O$16+N$16),2)+Q24</f>
        <v>206140.5</v>
      </c>
      <c r="H28" s="580"/>
      <c r="I28" s="580">
        <f ca="1">ROUND($E28*Q$18/100+$B$27*Q$17+IF($B$27&lt;3001,$B$27*R$15+Q$15,$B$27*R$16+Q$16),2)+Q25</f>
        <v>210770.5</v>
      </c>
      <c r="K28" s="487">
        <f ca="1">(I28-G28)/G28</f>
        <v>2.2460409283959242E-2</v>
      </c>
      <c r="O28" s="753"/>
    </row>
    <row r="29" spans="2:20">
      <c r="C29" s="465">
        <v>700</v>
      </c>
      <c r="E29" s="484">
        <f>ROUND((B$27*C29),0)</f>
        <v>4200000</v>
      </c>
      <c r="F29" s="484"/>
      <c r="G29" s="580">
        <f ca="1">ROUND($E29*N$18/100+$B$27*N$17+IF($B$27&lt;3001,$B$27*O$15+N$15,$B$27*O$16+N$16),2)+Q24</f>
        <v>266260.5</v>
      </c>
      <c r="H29" s="580"/>
      <c r="I29" s="580">
        <f ca="1">ROUND($E29*Q$18/100+$B$27*Q$17+IF($B$27&lt;3001,$B$27*R$15+Q$15,$B$27*R$16+Q$16),2)+Q25</f>
        <v>272222.5</v>
      </c>
      <c r="K29" s="487">
        <f ca="1">(I29-G29)/G29</f>
        <v>2.2391605213691105E-2</v>
      </c>
    </row>
    <row r="30" spans="2:20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0">
      <c r="N31" s="1294" t="s">
        <v>31</v>
      </c>
    </row>
    <row r="33" spans="2:16">
      <c r="B33" s="465" t="s">
        <v>516</v>
      </c>
    </row>
    <row r="34" spans="2:16">
      <c r="B34" s="552" t="s">
        <v>897</v>
      </c>
    </row>
    <row r="35" spans="2:16">
      <c r="B35" s="499"/>
    </row>
    <row r="36" spans="2:16">
      <c r="B36" s="499"/>
    </row>
    <row r="37" spans="2:16">
      <c r="B37" s="499"/>
    </row>
    <row r="38" spans="2:16">
      <c r="B38" s="499"/>
    </row>
    <row r="39" spans="2:16">
      <c r="B39" s="499"/>
    </row>
    <row r="40" spans="2:16">
      <c r="B40" s="499"/>
    </row>
    <row r="41" spans="2:16">
      <c r="B41" s="499"/>
    </row>
    <row r="42" spans="2:16">
      <c r="B42" s="499"/>
    </row>
    <row r="43" spans="2:16">
      <c r="B43" s="499"/>
    </row>
    <row r="44" spans="2:16">
      <c r="B44" s="499"/>
    </row>
    <row r="45" spans="2:16">
      <c r="B45" s="499"/>
    </row>
    <row r="46" spans="2:16">
      <c r="B46" s="499"/>
    </row>
    <row r="48" spans="2:16">
      <c r="P48" s="501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9.75" style="465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8.875" style="465" customWidth="1"/>
    <col min="14" max="14" width="11" style="465" bestFit="1" customWidth="1"/>
    <col min="15" max="15" width="20.375" style="465" customWidth="1"/>
    <col min="16" max="16" width="14.125" style="465" customWidth="1"/>
    <col min="17" max="17" width="11.875" style="465" customWidth="1"/>
    <col min="18" max="18" width="7.375" style="465" customWidth="1"/>
    <col min="19" max="19" width="2.5" style="465" customWidth="1"/>
    <col min="20" max="16384" width="8.5" style="465"/>
  </cols>
  <sheetData>
    <row r="2" spans="1:18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18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18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18" ht="18.75">
      <c r="B5" s="469" t="s">
        <v>558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18" ht="18.75">
      <c r="B6" s="469" t="s">
        <v>553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18" ht="18.75">
      <c r="B7" s="469" t="s">
        <v>1029</v>
      </c>
      <c r="C7" s="469"/>
      <c r="D7" s="469"/>
      <c r="E7" s="469"/>
      <c r="F7" s="469"/>
      <c r="G7" s="469"/>
      <c r="H7" s="469"/>
      <c r="I7" s="469"/>
      <c r="J7" s="469"/>
      <c r="K7" s="469"/>
    </row>
    <row r="8" spans="1:18" ht="18.75">
      <c r="A8" s="588"/>
      <c r="B8" s="470"/>
      <c r="C8" s="470"/>
      <c r="D8" s="470"/>
      <c r="E8" s="470"/>
      <c r="F8" s="470"/>
      <c r="G8" s="470"/>
      <c r="H8" s="470"/>
      <c r="I8" s="470"/>
      <c r="J8" s="470"/>
    </row>
    <row r="9" spans="1:18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18">
      <c r="B11" s="567" t="s">
        <v>518</v>
      </c>
      <c r="G11" s="475" t="s">
        <v>519</v>
      </c>
      <c r="H11" s="475"/>
      <c r="I11" s="475"/>
    </row>
    <row r="12" spans="1:18" ht="15.75" thickBot="1">
      <c r="B12" s="569" t="s">
        <v>521</v>
      </c>
      <c r="C12" s="568" t="s">
        <v>522</v>
      </c>
      <c r="G12" s="1029" t="s">
        <v>361</v>
      </c>
      <c r="I12" s="1029" t="s">
        <v>296</v>
      </c>
      <c r="K12" s="470" t="s">
        <v>512</v>
      </c>
    </row>
    <row r="13" spans="1:18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1"/>
    </row>
    <row r="14" spans="1:18">
      <c r="G14" s="571"/>
      <c r="H14" s="480"/>
      <c r="I14" s="571"/>
      <c r="M14" s="528" t="s">
        <v>394</v>
      </c>
      <c r="N14" s="492"/>
      <c r="O14" s="529"/>
      <c r="P14" s="492"/>
      <c r="Q14" s="492"/>
      <c r="R14" s="529"/>
    </row>
    <row r="15" spans="1:18">
      <c r="B15" s="484">
        <v>1000</v>
      </c>
      <c r="C15" s="465">
        <v>300</v>
      </c>
      <c r="E15" s="484">
        <f>ROUND((B$15*C15),0)</f>
        <v>300000</v>
      </c>
      <c r="F15" s="484"/>
      <c r="G15" s="580">
        <f ca="1">ROUND($E15*N$18/100+$B$15*N$17+IF($B$15&lt;3001,$B$15*O$15+N$15,$B$15*O$16+N$16),2)+$Q$24</f>
        <v>24931.5</v>
      </c>
      <c r="H15" s="580"/>
      <c r="I15" s="580">
        <f ca="1">ROUND($E15*Q$18/100+$B$15*Q$17+IF($B$15&lt;3001,$B$15*R$15+Q$15,$B$15*R$16+Q$16),2)+$Q$25</f>
        <v>25495.5</v>
      </c>
      <c r="K15" s="487">
        <f ca="1">(I15-G15)/G15</f>
        <v>2.2621984236808855E-2</v>
      </c>
      <c r="M15" s="528" t="s">
        <v>556</v>
      </c>
      <c r="N15" s="534">
        <f ca="1">'Exhibit No.__(JRS-11) p1-8'!G1018</f>
        <v>1443</v>
      </c>
      <c r="O15" s="479">
        <f ca="1">'Exhibit No.__(JRS-11) p1-8'!G1021</f>
        <v>0.56999999999999995</v>
      </c>
      <c r="P15" s="535"/>
      <c r="Q15" s="534">
        <f ca="1">'Billing Determinants'!G1018</f>
        <v>1477</v>
      </c>
      <c r="R15" s="479">
        <f ca="1">'Billing Determinants'!G1021</f>
        <v>0.57999999999999996</v>
      </c>
    </row>
    <row r="16" spans="1:18">
      <c r="C16" s="465">
        <v>500</v>
      </c>
      <c r="E16" s="484">
        <f>ROUND((B$15*C16),0)</f>
        <v>500000</v>
      </c>
      <c r="F16" s="484"/>
      <c r="G16" s="580">
        <f t="shared" ref="G16:G17" ca="1" si="0">ROUND($E16*N$18/100+$B$15*N$17+IF($B$15&lt;3001,$B$15*O$15+N$15,$B$15*O$16+N$16),2)+$Q$24</f>
        <v>34845.5</v>
      </c>
      <c r="H16" s="580"/>
      <c r="I16" s="580">
        <f ca="1">ROUND($E16*Q$18/100+$B$15*Q$17+IF($B$15&lt;3001,$B$15*R$15+Q$15,$B$15*R$16+Q$16),2)+$Q$25</f>
        <v>35629.5</v>
      </c>
      <c r="K16" s="487">
        <f ca="1">(I16-G16)/G16</f>
        <v>2.249931841988205E-2</v>
      </c>
      <c r="M16" s="528" t="s">
        <v>557</v>
      </c>
      <c r="N16" s="534">
        <f ca="1">'Exhibit No.__(JRS-11) p1-8'!G1019</f>
        <v>1736</v>
      </c>
      <c r="O16" s="479">
        <f ca="1">'Exhibit No.__(JRS-11) p1-8'!G1022</f>
        <v>0.46</v>
      </c>
      <c r="P16" s="535"/>
      <c r="Q16" s="534">
        <f ca="1">'Billing Determinants'!G1019</f>
        <v>1777</v>
      </c>
      <c r="R16" s="479">
        <f ca="1">'Billing Determinants'!G1022</f>
        <v>0.47</v>
      </c>
    </row>
    <row r="17" spans="2:20">
      <c r="C17" s="465">
        <v>700</v>
      </c>
      <c r="E17" s="484">
        <f>ROUND((B$15*C17),0)</f>
        <v>700000</v>
      </c>
      <c r="F17" s="484"/>
      <c r="G17" s="580">
        <f t="shared" ca="1" si="0"/>
        <v>44759.5</v>
      </c>
      <c r="H17" s="580"/>
      <c r="I17" s="580">
        <f ca="1">ROUND($E17*Q$18/100+$B$15*Q$17+IF($B$15&lt;3001,$B$15*R$15+Q$15,$B$15*R$16+Q$16),2)+$Q$25</f>
        <v>45763.5</v>
      </c>
      <c r="K17" s="487">
        <f ca="1">(I17-G17)/G17</f>
        <v>2.2430992303309912E-2</v>
      </c>
      <c r="M17" s="528" t="s">
        <v>396</v>
      </c>
      <c r="N17" s="534">
        <f ca="1">'Exhibit No.__(JRS-11) p1-8'!G1023</f>
        <v>7.79</v>
      </c>
      <c r="O17" s="540"/>
      <c r="P17" s="535"/>
      <c r="Q17" s="534">
        <f ca="1">'Billing Determinants'!G1023</f>
        <v>7.9799999999999995</v>
      </c>
      <c r="R17" s="540"/>
      <c r="T17" s="1088">
        <f ca="1">(Q17-N17)/N17</f>
        <v>2.4390243902438959E-2</v>
      </c>
    </row>
    <row r="18" spans="2:20">
      <c r="G18" s="580"/>
      <c r="H18" s="580"/>
      <c r="I18" s="580"/>
      <c r="K18" s="487"/>
      <c r="M18" s="528" t="s">
        <v>366</v>
      </c>
      <c r="N18" s="543">
        <f ca="1">'Exhibit No.__(JRS-11) p1-8'!G1025+Q20+Q27</f>
        <v>4.956999999999999</v>
      </c>
      <c r="O18" s="540"/>
      <c r="P18" s="535"/>
      <c r="Q18" s="543">
        <f ca="1">'Billing Determinants'!G1025+'Billing Determinants'!G1027+Q21+Q27</f>
        <v>5.0669999999999993</v>
      </c>
      <c r="R18" s="540"/>
      <c r="T18" s="1088">
        <f ca="1">(Q18-N18)/N18</f>
        <v>2.2190841234617783E-2</v>
      </c>
    </row>
    <row r="19" spans="2:20" ht="15.75" thickBot="1">
      <c r="B19" s="484">
        <v>2000</v>
      </c>
      <c r="C19" s="465">
        <v>300</v>
      </c>
      <c r="E19" s="484">
        <f>ROUND((B$19*C19),0)</f>
        <v>600000</v>
      </c>
      <c r="F19" s="484"/>
      <c r="G19" s="580">
        <f ca="1">ROUND($E19*N$18/100+$B$19*N$17+IF($B$19&lt;3001,$B$19*O$15+N$15,$B$19*O$16+N$16),2)+$Q$24</f>
        <v>48162.5</v>
      </c>
      <c r="H19" s="580"/>
      <c r="I19" s="580">
        <f ca="1">ROUND($E19*Q$18/100+$B$19*Q$17+IF($B$19&lt;3001,$B$19*R$15+Q$15,$B$19*R$16+Q$16),2)+$Q$25</f>
        <v>49256.5</v>
      </c>
      <c r="K19" s="487">
        <f ca="1">(I19-G19)/G19</f>
        <v>2.2714767713470023E-2</v>
      </c>
      <c r="M19" s="561" t="s">
        <v>31</v>
      </c>
      <c r="N19" s="562" t="s">
        <v>31</v>
      </c>
      <c r="O19" s="546"/>
      <c r="P19" s="545"/>
      <c r="Q19" s="562" t="s">
        <v>31</v>
      </c>
      <c r="R19" s="563"/>
    </row>
    <row r="20" spans="2:20">
      <c r="C20" s="465">
        <v>500</v>
      </c>
      <c r="E20" s="484">
        <f>ROUND((B$19*C20),0)</f>
        <v>1000000</v>
      </c>
      <c r="F20" s="484"/>
      <c r="G20" s="580">
        <f t="shared" ref="G20:G21" ca="1" si="1">ROUND($E20*N$18/100+$B$19*N$17+IF($B$19&lt;3001,$B$19*O$15+N$15,$B$19*O$16+N$16),2)+$Q$24</f>
        <v>67990.5</v>
      </c>
      <c r="H20" s="580"/>
      <c r="I20" s="580">
        <f ca="1">ROUND($E20*Q$18/100+$B$19*Q$17+IF($B$19&lt;3001,$B$19*R$15+Q$15,$B$19*R$16+Q$16),2)+$Q$25</f>
        <v>69524.5</v>
      </c>
      <c r="K20" s="487">
        <f ca="1">(I20-G20)/G20</f>
        <v>2.2561975570116414E-2</v>
      </c>
      <c r="O20" s="490" t="s">
        <v>194</v>
      </c>
      <c r="P20" s="490"/>
      <c r="Q20" s="491">
        <v>0.26500000000000001</v>
      </c>
    </row>
    <row r="21" spans="2:20">
      <c r="C21" s="465">
        <v>700</v>
      </c>
      <c r="E21" s="484">
        <f>ROUND((B$19*C21),0)</f>
        <v>1400000</v>
      </c>
      <c r="F21" s="484"/>
      <c r="G21" s="580">
        <f t="shared" ca="1" si="1"/>
        <v>87818.5</v>
      </c>
      <c r="H21" s="580"/>
      <c r="I21" s="580">
        <f ca="1">ROUND($E21*Q$18/100+$B$19*Q$17+IF($B$19&lt;3001,$B$19*R$15+Q$15,$B$19*R$16+Q$16),2)+$Q$25</f>
        <v>89792.5</v>
      </c>
      <c r="K21" s="487">
        <f ca="1">(I21-G21)/G21</f>
        <v>2.2478179426886135E-2</v>
      </c>
      <c r="O21" s="490"/>
      <c r="P21" s="490"/>
      <c r="Q21" s="491">
        <v>0.26500000000000001</v>
      </c>
    </row>
    <row r="22" spans="2:20">
      <c r="G22" s="580"/>
      <c r="H22" s="580"/>
      <c r="I22" s="580"/>
      <c r="K22" s="487"/>
      <c r="O22" s="490"/>
      <c r="P22" s="490"/>
      <c r="Q22" s="494"/>
    </row>
    <row r="23" spans="2:20">
      <c r="B23" s="484">
        <v>4000</v>
      </c>
      <c r="C23" s="465">
        <v>300</v>
      </c>
      <c r="E23" s="484">
        <f>ROUND((B$23*C23),0)</f>
        <v>1200000</v>
      </c>
      <c r="F23" s="484"/>
      <c r="G23" s="580">
        <f ca="1">ROUND($E23*N$18/100+$B$23*N$17+IF($B$23&lt;3001,$B$23*O$15+N$15,$B$23*O$16+N$16),2)+$Q$24</f>
        <v>94477.5</v>
      </c>
      <c r="H23" s="580"/>
      <c r="I23" s="580">
        <f ca="1">ROUND($E23*Q$18/100+$B$23*Q$17+IF($B$23&lt;3001,$B$23*R$15+Q$15,$B$23*R$16+Q$16),2)+$Q$25</f>
        <v>96638.5</v>
      </c>
      <c r="K23" s="487">
        <f ca="1">(I23-G23)/G23</f>
        <v>2.2873170860786961E-2</v>
      </c>
      <c r="O23" s="465" t="s">
        <v>31</v>
      </c>
      <c r="P23" s="465" t="s">
        <v>31</v>
      </c>
      <c r="Q23" s="465" t="s">
        <v>31</v>
      </c>
    </row>
    <row r="24" spans="2:20">
      <c r="C24" s="465">
        <v>500</v>
      </c>
      <c r="E24" s="484">
        <f>ROUND((B$23*C24),0)</f>
        <v>2000000</v>
      </c>
      <c r="F24" s="484"/>
      <c r="G24" s="580">
        <f t="shared" ref="G24:G25" ca="1" si="2">ROUND($E24*N$18/100+$B$23*N$17+IF($B$23&lt;3001,$B$23*O$15+N$15,$B$23*O$16+N$16),2)+$Q$24</f>
        <v>134133.5</v>
      </c>
      <c r="H24" s="580"/>
      <c r="I24" s="580">
        <f ca="1">ROUND($E24*Q$18/100+$B$23*Q$17+IF($B$23&lt;3001,$B$23*R$15+Q$15,$B$23*R$16+Q$16),2)+$Q$25</f>
        <v>137174.5</v>
      </c>
      <c r="K24" s="487">
        <f ca="1">(I24-G24)/G24</f>
        <v>2.2671443002680165E-2</v>
      </c>
      <c r="O24" s="465" t="s">
        <v>651</v>
      </c>
      <c r="Q24" s="536">
        <f>'Low Income Prog YR 1'!D21</f>
        <v>257.5</v>
      </c>
      <c r="R24" s="465" t="s">
        <v>31</v>
      </c>
    </row>
    <row r="25" spans="2:20">
      <c r="C25" s="465">
        <v>700</v>
      </c>
      <c r="E25" s="484">
        <f>ROUND((B$23*C25),0)</f>
        <v>2800000</v>
      </c>
      <c r="F25" s="484"/>
      <c r="G25" s="580">
        <f t="shared" ca="1" si="2"/>
        <v>173789.5</v>
      </c>
      <c r="H25" s="580"/>
      <c r="I25" s="580">
        <f ca="1">ROUND($E25*Q$18/100+$B$23*Q$17+IF($B$23&lt;3001,$B$23*R$15+Q$15,$B$23*R$16+Q$16),2)+$Q$25</f>
        <v>177710.5</v>
      </c>
      <c r="K25" s="487">
        <f ca="1">(I25-G25)/G25</f>
        <v>2.2561777322565518E-2</v>
      </c>
      <c r="O25" s="465" t="s">
        <v>650</v>
      </c>
      <c r="P25" s="503"/>
      <c r="Q25" s="536">
        <f>Q24</f>
        <v>257.5</v>
      </c>
    </row>
    <row r="26" spans="2:20">
      <c r="G26" s="756" t="s">
        <v>31</v>
      </c>
      <c r="H26" s="580"/>
      <c r="I26" s="580"/>
      <c r="K26" s="487"/>
    </row>
    <row r="27" spans="2:20">
      <c r="B27" s="484">
        <v>6000</v>
      </c>
      <c r="C27" s="465">
        <v>300</v>
      </c>
      <c r="E27" s="484">
        <f>ROUND((B$27*C27),0)</f>
        <v>1800000</v>
      </c>
      <c r="F27" s="484"/>
      <c r="G27" s="580">
        <f ca="1">ROUND($E27*N$18/100+$B$27*N$17+IF($B$27&lt;3001,$B$27*O$15+N$15,$B$27*O$16+N$16),2)+$Q$24</f>
        <v>140719.5</v>
      </c>
      <c r="H27" s="580"/>
      <c r="I27" s="580">
        <f ca="1">ROUND($E27*Q$18/100+$B$27*Q$17+IF($B$27&lt;3001,$B$27*R$15+Q$15,$B$27*R$16+Q$16),2)+$Q$25</f>
        <v>143940.5</v>
      </c>
      <c r="K27" s="487">
        <f ca="1">(I27-G27)/G27</f>
        <v>2.2889507140090748E-2</v>
      </c>
      <c r="O27" s="753" t="s">
        <v>1039</v>
      </c>
      <c r="Q27" s="465">
        <v>4.0000000000000001E-3</v>
      </c>
    </row>
    <row r="28" spans="2:20">
      <c r="C28" s="465">
        <v>500</v>
      </c>
      <c r="E28" s="484">
        <f>ROUND((B$27*C28),0)</f>
        <v>3000000</v>
      </c>
      <c r="F28" s="484"/>
      <c r="G28" s="580">
        <f t="shared" ref="G28:G29" ca="1" si="3">ROUND($E28*N$18/100+$B$27*N$17+IF($B$27&lt;3001,$B$27*O$15+N$15,$B$27*O$16+N$16),2)+$Q$24</f>
        <v>200203.5</v>
      </c>
      <c r="H28" s="580"/>
      <c r="I28" s="580">
        <f ca="1">ROUND($E28*Q$18/100+$B$27*Q$17+IF($B$27&lt;3001,$B$27*R$15+Q$15,$B$27*R$16+Q$16),2)+$Q$25</f>
        <v>204744.5</v>
      </c>
      <c r="K28" s="487">
        <f ca="1">(I28-G28)/G28</f>
        <v>2.2681921145234724E-2</v>
      </c>
      <c r="O28" s="753"/>
    </row>
    <row r="29" spans="2:20">
      <c r="C29" s="465">
        <v>700</v>
      </c>
      <c r="E29" s="484">
        <f>ROUND((B$27*C29),0)</f>
        <v>4200000</v>
      </c>
      <c r="F29" s="484"/>
      <c r="G29" s="580">
        <f t="shared" ca="1" si="3"/>
        <v>259687.5</v>
      </c>
      <c r="H29" s="580"/>
      <c r="I29" s="580">
        <f ca="1">ROUND($E29*Q$18/100+$B$27*Q$17+IF($B$27&lt;3001,$B$27*R$15+Q$15,$B$27*R$16+Q$16),2)+$Q$25</f>
        <v>265548.5</v>
      </c>
      <c r="K29" s="487">
        <f ca="1">(I29-G29)/G29</f>
        <v>2.2569434416365823E-2</v>
      </c>
    </row>
    <row r="30" spans="2:20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0">
      <c r="N31" s="1294" t="s">
        <v>31</v>
      </c>
    </row>
    <row r="33" spans="2:15">
      <c r="B33" s="465" t="s">
        <v>516</v>
      </c>
    </row>
    <row r="34" spans="2:15">
      <c r="B34" s="552" t="s">
        <v>897</v>
      </c>
      <c r="O34" s="753" t="s">
        <v>31</v>
      </c>
    </row>
    <row r="35" spans="2:15">
      <c r="B35" s="552"/>
    </row>
    <row r="36" spans="2:15">
      <c r="B36" s="499"/>
    </row>
    <row r="37" spans="2:15">
      <c r="B37" s="499"/>
    </row>
    <row r="38" spans="2:15">
      <c r="B38" s="499"/>
    </row>
    <row r="39" spans="2:15">
      <c r="B39" s="499"/>
    </row>
    <row r="40" spans="2:15">
      <c r="B40" s="499"/>
    </row>
    <row r="41" spans="2:15">
      <c r="B41" s="499"/>
    </row>
    <row r="42" spans="2:15">
      <c r="B42" s="499"/>
    </row>
    <row r="43" spans="2:15">
      <c r="B43" s="499"/>
    </row>
    <row r="44" spans="2:15">
      <c r="B44" s="499"/>
    </row>
    <row r="45" spans="2:15">
      <c r="B45" s="499"/>
    </row>
    <row r="46" spans="2:15">
      <c r="B46" s="499"/>
    </row>
    <row r="47" spans="2:15">
      <c r="B47" s="499"/>
    </row>
    <row r="49" spans="16:16">
      <c r="P49" s="501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465" customWidth="1"/>
    <col min="2" max="2" width="8.5" style="465"/>
    <col min="3" max="3" width="8.5" style="465" hidden="1" customWidth="1"/>
    <col min="4" max="4" width="3.25" style="465" customWidth="1"/>
    <col min="5" max="5" width="10.75" style="465" bestFit="1" customWidth="1"/>
    <col min="6" max="6" width="3.75" style="465" customWidth="1"/>
    <col min="7" max="7" width="19.875" style="465" customWidth="1"/>
    <col min="8" max="8" width="3.5" style="465" customWidth="1"/>
    <col min="9" max="9" width="19.5" style="465" customWidth="1"/>
    <col min="10" max="10" width="2.875" style="465" customWidth="1"/>
    <col min="11" max="11" width="12.125" style="465" customWidth="1"/>
    <col min="12" max="12" width="3.5" style="587" customWidth="1"/>
    <col min="13" max="13" width="15.125" style="465" customWidth="1"/>
    <col min="14" max="14" width="12.25" style="465" customWidth="1"/>
    <col min="15" max="15" width="20.375" style="465" customWidth="1"/>
    <col min="16" max="16" width="2.5" style="465" customWidth="1"/>
    <col min="17" max="17" width="14.375" style="465" customWidth="1"/>
    <col min="18" max="18" width="10.375" style="465" bestFit="1" customWidth="1"/>
    <col min="19" max="19" width="7.375" style="465" customWidth="1"/>
    <col min="20" max="20" width="2.5" style="465" customWidth="1"/>
    <col min="21" max="16384" width="8.5" style="465"/>
  </cols>
  <sheetData>
    <row r="2" spans="1:22" ht="18.75">
      <c r="B2" s="472"/>
      <c r="C2" s="470"/>
      <c r="D2" s="470"/>
      <c r="E2" s="470"/>
      <c r="F2" s="470"/>
      <c r="G2" s="470"/>
      <c r="H2" s="470"/>
      <c r="I2" s="470"/>
      <c r="J2" s="468" t="s">
        <v>31</v>
      </c>
      <c r="K2" s="566"/>
    </row>
    <row r="3" spans="1:22" ht="18.75">
      <c r="B3" s="469" t="s">
        <v>72</v>
      </c>
      <c r="C3" s="469"/>
      <c r="D3" s="469"/>
      <c r="E3" s="469"/>
      <c r="F3" s="469"/>
      <c r="G3" s="469"/>
      <c r="H3" s="469"/>
      <c r="I3" s="469"/>
      <c r="J3" s="469"/>
      <c r="K3" s="469"/>
    </row>
    <row r="4" spans="1:22" ht="18.75">
      <c r="B4" s="469" t="s">
        <v>510</v>
      </c>
      <c r="C4" s="469"/>
      <c r="D4" s="469"/>
      <c r="E4" s="469"/>
      <c r="F4" s="469"/>
      <c r="G4" s="469"/>
      <c r="H4" s="469"/>
      <c r="I4" s="469"/>
      <c r="J4" s="469"/>
      <c r="K4" s="469"/>
    </row>
    <row r="5" spans="1:22" ht="18.75">
      <c r="B5" s="469" t="s">
        <v>558</v>
      </c>
      <c r="C5" s="469"/>
      <c r="D5" s="469"/>
      <c r="E5" s="469"/>
      <c r="F5" s="469"/>
      <c r="G5" s="469"/>
      <c r="H5" s="469"/>
      <c r="I5" s="469"/>
      <c r="J5" s="469"/>
      <c r="K5" s="469"/>
    </row>
    <row r="6" spans="1:22" ht="18.75">
      <c r="B6" s="469" t="s">
        <v>660</v>
      </c>
      <c r="C6" s="469"/>
      <c r="D6" s="469"/>
      <c r="E6" s="469"/>
      <c r="F6" s="469"/>
      <c r="G6" s="469"/>
      <c r="H6" s="469"/>
      <c r="I6" s="469"/>
      <c r="J6" s="469"/>
      <c r="K6" s="469"/>
    </row>
    <row r="7" spans="1:22" ht="18.75">
      <c r="B7" s="469" t="s">
        <v>661</v>
      </c>
      <c r="C7" s="469"/>
      <c r="D7" s="469"/>
      <c r="E7" s="469"/>
      <c r="F7" s="469"/>
      <c r="G7" s="469"/>
      <c r="H7" s="469"/>
      <c r="I7" s="469"/>
      <c r="J7" s="469"/>
      <c r="K7" s="469"/>
      <c r="V7" s="753" t="s">
        <v>31</v>
      </c>
    </row>
    <row r="8" spans="1:22" ht="18.75">
      <c r="A8" s="588"/>
      <c r="B8" s="469" t="s">
        <v>1029</v>
      </c>
      <c r="C8" s="469"/>
      <c r="D8" s="469"/>
      <c r="E8" s="469"/>
      <c r="F8" s="469"/>
      <c r="G8" s="469"/>
      <c r="H8" s="469"/>
      <c r="I8" s="469"/>
      <c r="J8" s="469"/>
      <c r="K8" s="469"/>
    </row>
    <row r="9" spans="1:22" ht="18.75">
      <c r="A9" s="588"/>
      <c r="B9" s="470"/>
      <c r="C9" s="470"/>
      <c r="D9" s="470"/>
      <c r="E9" s="470"/>
      <c r="F9" s="470"/>
      <c r="G9" s="470"/>
      <c r="H9" s="470"/>
      <c r="I9" s="470"/>
      <c r="J9" s="470"/>
    </row>
    <row r="11" spans="1:22">
      <c r="B11" s="567" t="s">
        <v>518</v>
      </c>
      <c r="G11" s="475" t="s">
        <v>519</v>
      </c>
      <c r="H11" s="475"/>
      <c r="I11" s="475"/>
    </row>
    <row r="12" spans="1:22" ht="15.75" thickBot="1">
      <c r="B12" s="569" t="s">
        <v>521</v>
      </c>
      <c r="C12" s="568" t="s">
        <v>522</v>
      </c>
      <c r="G12" s="1029" t="s">
        <v>1042</v>
      </c>
      <c r="I12" s="1029" t="s">
        <v>296</v>
      </c>
      <c r="K12" s="470" t="s">
        <v>512</v>
      </c>
    </row>
    <row r="13" spans="1:22" ht="15.75" customHeight="1">
      <c r="B13" s="570" t="s">
        <v>396</v>
      </c>
      <c r="C13" s="571" t="s">
        <v>523</v>
      </c>
      <c r="D13" s="480"/>
      <c r="E13" s="1436" t="s">
        <v>25</v>
      </c>
      <c r="F13" s="480"/>
      <c r="G13" s="475" t="s">
        <v>554</v>
      </c>
      <c r="I13" s="475" t="s">
        <v>555</v>
      </c>
      <c r="K13" s="471" t="s">
        <v>257</v>
      </c>
      <c r="M13" s="1482" t="s">
        <v>361</v>
      </c>
      <c r="N13" s="1480"/>
      <c r="O13" s="1481"/>
      <c r="P13" s="1482" t="s">
        <v>296</v>
      </c>
      <c r="Q13" s="1480"/>
      <c r="R13" s="1480"/>
      <c r="S13" s="1481"/>
    </row>
    <row r="14" spans="1:22">
      <c r="G14" s="571"/>
      <c r="H14" s="480"/>
      <c r="I14" s="571"/>
      <c r="M14" s="528" t="s">
        <v>394</v>
      </c>
      <c r="N14" s="492"/>
      <c r="O14" s="529"/>
      <c r="P14" s="492"/>
      <c r="Q14" s="492"/>
      <c r="R14" s="492"/>
      <c r="S14" s="529"/>
    </row>
    <row r="15" spans="1:22">
      <c r="B15" s="484">
        <v>30000</v>
      </c>
      <c r="C15" s="465">
        <v>300</v>
      </c>
      <c r="E15" s="484">
        <f>ROUND((B$15*C15),0)</f>
        <v>9000000</v>
      </c>
      <c r="F15" s="484"/>
      <c r="G15" s="580">
        <f ca="1">ROUND($E15*N$18/100+$B$15*N$17+$B$15*O$16+N$16,2)+$R$24</f>
        <v>685256.5</v>
      </c>
      <c r="H15" s="580"/>
      <c r="I15" s="580">
        <f ca="1">ROUND($E15*R$18/100+$B$15*R$17+$B$15*S$16+R$16,2)+$R$25</f>
        <v>700936.5</v>
      </c>
      <c r="K15" s="487">
        <f ca="1">(I15-G15)/G15</f>
        <v>2.2881942746985982E-2</v>
      </c>
      <c r="M15" s="1311" t="s">
        <v>31</v>
      </c>
      <c r="N15" s="534" t="str">
        <f>'Exhibit No.__(JRS-11) p1-8'!D1091</f>
        <v xml:space="preserve"> </v>
      </c>
      <c r="O15" s="479" t="str">
        <f>'Exhibit No.__(JRS-11) p1-8'!G1094</f>
        <v xml:space="preserve"> </v>
      </c>
      <c r="P15" s="535"/>
      <c r="Q15" s="492" t="s">
        <v>31</v>
      </c>
      <c r="R15" s="534" t="s">
        <v>31</v>
      </c>
      <c r="S15" s="479" t="s">
        <v>31</v>
      </c>
    </row>
    <row r="16" spans="1:22">
      <c r="C16" s="465">
        <v>500</v>
      </c>
      <c r="E16" s="484">
        <f>ROUND((B$15*C16),0)</f>
        <v>15000000</v>
      </c>
      <c r="F16" s="484"/>
      <c r="G16" s="580">
        <f ca="1">ROUND($E16*N$18/100+$B$15*N$17+$B$15*O$16+N$16,2)+$R$24</f>
        <v>980336.5</v>
      </c>
      <c r="H16" s="580"/>
      <c r="I16" s="580">
        <f t="shared" ref="I16:I17" ca="1" si="0">ROUND($E16*R$18/100+$B$15*R$17+$B$15*S$16+R$16,2)+$R$25</f>
        <v>1002556.5</v>
      </c>
      <c r="K16" s="487">
        <f ca="1">(I16-G16)/G16</f>
        <v>2.2665686731035722E-2</v>
      </c>
      <c r="M16" s="1311" t="s">
        <v>658</v>
      </c>
      <c r="N16" s="534">
        <f ca="1">'Exhibit No.__(JRS-11) p1-8'!G1092</f>
        <v>2679</v>
      </c>
      <c r="O16" s="479">
        <f ca="1">'Exhibit No.__(JRS-11) p1-8'!G1095</f>
        <v>0.25</v>
      </c>
      <c r="P16" s="535"/>
      <c r="Q16" s="492" t="s">
        <v>658</v>
      </c>
      <c r="R16" s="534">
        <f ca="1">'Billing Determinants'!G1092</f>
        <v>2849</v>
      </c>
      <c r="S16" s="479">
        <f ca="1">'Billing Determinants'!G1095</f>
        <v>0.26</v>
      </c>
    </row>
    <row r="17" spans="2:21">
      <c r="C17" s="465">
        <v>700</v>
      </c>
      <c r="E17" s="484">
        <f>ROUND((B$15*C17),0)</f>
        <v>21000000</v>
      </c>
      <c r="F17" s="484"/>
      <c r="G17" s="580">
        <f ca="1">ROUND($E17*N$18/100+$B$15*N$17+$B$15*O$16+N$16,2)+$R$24</f>
        <v>1275416.5</v>
      </c>
      <c r="H17" s="580"/>
      <c r="I17" s="580">
        <f t="shared" ca="1" si="0"/>
        <v>1304176.5</v>
      </c>
      <c r="K17" s="487">
        <f ca="1">(I17-G17)/G17</f>
        <v>2.2549496576216476E-2</v>
      </c>
      <c r="M17" s="528" t="s">
        <v>396</v>
      </c>
      <c r="N17" s="534">
        <f ca="1">'Exhibit No.__(JRS-11) p1-8'!G1096</f>
        <v>7.74</v>
      </c>
      <c r="O17" s="540"/>
      <c r="P17" s="535"/>
      <c r="Q17" s="535"/>
      <c r="R17" s="534">
        <f ca="1">'Billing Determinants'!G1096</f>
        <v>7.92</v>
      </c>
      <c r="S17" s="540"/>
      <c r="U17" s="1088">
        <f ca="1">(R17-N17)/N17</f>
        <v>2.3255813953488334E-2</v>
      </c>
    </row>
    <row r="18" spans="2:21">
      <c r="G18" s="580"/>
      <c r="H18" s="580"/>
      <c r="I18" s="580"/>
      <c r="K18" s="487"/>
      <c r="M18" s="528" t="s">
        <v>366</v>
      </c>
      <c r="N18" s="543">
        <f ca="1">'Exhibit No.__(JRS-11) p1-8'!G1098+R20+R27</f>
        <v>4.9179999999999993</v>
      </c>
      <c r="O18" s="540"/>
      <c r="P18" s="535"/>
      <c r="Q18" s="535"/>
      <c r="R18" s="543">
        <f ca="1">'Billing Determinants'!G1098+'Billing Determinants'!G1100+R21+R27</f>
        <v>5.0269999999999992</v>
      </c>
      <c r="S18" s="540"/>
      <c r="U18" s="1088">
        <f ca="1">(R18-N18)/N18</f>
        <v>2.2163481089873933E-2</v>
      </c>
    </row>
    <row r="19" spans="2:21" ht="15.75" thickBot="1">
      <c r="B19" s="484">
        <v>40000</v>
      </c>
      <c r="C19" s="465">
        <v>300</v>
      </c>
      <c r="E19" s="484">
        <f>ROUND((B$19*C19),0)</f>
        <v>12000000</v>
      </c>
      <c r="F19" s="484"/>
      <c r="G19" s="580">
        <f ca="1">ROUND($E19*N$18/100+$B$19*N$17+$B$19*O$16+N$16,2)+$R$24</f>
        <v>912696.5</v>
      </c>
      <c r="H19" s="580"/>
      <c r="I19" s="580">
        <f ca="1">ROUND($E19*R$18/100+$B$19*R$17+$B$19*S$16+R$16,2)+$R$25</f>
        <v>933546.5</v>
      </c>
      <c r="K19" s="487">
        <f ca="1">(I19-G19)/G19</f>
        <v>2.2844395699994469E-2</v>
      </c>
      <c r="M19" s="561" t="s">
        <v>31</v>
      </c>
      <c r="N19" s="562" t="s">
        <v>31</v>
      </c>
      <c r="O19" s="546"/>
      <c r="P19" s="545"/>
      <c r="Q19" s="545"/>
      <c r="R19" s="562" t="s">
        <v>31</v>
      </c>
      <c r="S19" s="563"/>
    </row>
    <row r="20" spans="2:21">
      <c r="C20" s="465">
        <v>500</v>
      </c>
      <c r="E20" s="484">
        <f>ROUND((B$19*C20),0)</f>
        <v>20000000</v>
      </c>
      <c r="F20" s="484"/>
      <c r="G20" s="580">
        <f t="shared" ref="G20:G21" ca="1" si="1">ROUND($E20*N$18/100+$B$19*N$17+$B$19*O$16+N$16,2)+$R$24</f>
        <v>1306136.5</v>
      </c>
      <c r="H20" s="580"/>
      <c r="I20" s="580">
        <f t="shared" ref="I20:I21" ca="1" si="2">ROUND($E20*R$18/100+$B$19*R$17+$B$19*S$16+R$16,2)+$R$25</f>
        <v>1335706.5</v>
      </c>
      <c r="K20" s="487">
        <f ca="1">(I20-G20)/G20</f>
        <v>2.2639287700787783E-2</v>
      </c>
      <c r="O20" s="490" t="s">
        <v>194</v>
      </c>
      <c r="P20" s="490"/>
      <c r="Q20" s="490"/>
      <c r="R20" s="491">
        <v>0.26500000000000001</v>
      </c>
    </row>
    <row r="21" spans="2:21">
      <c r="C21" s="465">
        <v>700</v>
      </c>
      <c r="E21" s="484">
        <f>ROUND((B$19*C21),0)</f>
        <v>28000000</v>
      </c>
      <c r="F21" s="484"/>
      <c r="G21" s="580">
        <f t="shared" ca="1" si="1"/>
        <v>1699576.5</v>
      </c>
      <c r="H21" s="580"/>
      <c r="I21" s="580">
        <f t="shared" ca="1" si="2"/>
        <v>1737866.5</v>
      </c>
      <c r="K21" s="487">
        <f ca="1">(I21-G21)/G21</f>
        <v>2.2529141818564802E-2</v>
      </c>
      <c r="O21" s="490"/>
      <c r="P21" s="490"/>
      <c r="Q21" s="490"/>
      <c r="R21" s="491">
        <v>0.26500000000000001</v>
      </c>
    </row>
    <row r="22" spans="2:21">
      <c r="G22" s="580"/>
      <c r="H22" s="580"/>
      <c r="I22" s="580"/>
      <c r="K22" s="487"/>
      <c r="O22" s="490"/>
      <c r="P22" s="490"/>
      <c r="Q22" s="490"/>
      <c r="R22" s="494"/>
    </row>
    <row r="23" spans="2:21">
      <c r="B23" s="484">
        <v>50000</v>
      </c>
      <c r="C23" s="465">
        <v>300</v>
      </c>
      <c r="E23" s="484">
        <f>ROUND((B$23*C23),0)</f>
        <v>15000000</v>
      </c>
      <c r="F23" s="484"/>
      <c r="G23" s="580">
        <f ca="1">ROUND($E23*N$18/100+$B$23*N$17+$B$23*O$16+N$16,2)+$R$24</f>
        <v>1140136.5</v>
      </c>
      <c r="H23" s="580"/>
      <c r="I23" s="580">
        <f ca="1">ROUND($E23*R$18/100+$B$23*R$17+$B$23*S$16+R$16,2)+$R$25</f>
        <v>1166156.5</v>
      </c>
      <c r="K23" s="487">
        <f ca="1">(I23-G23)/G23</f>
        <v>2.2821828789798413E-2</v>
      </c>
      <c r="O23" s="465" t="s">
        <v>31</v>
      </c>
      <c r="P23" s="465" t="s">
        <v>31</v>
      </c>
      <c r="R23" s="465" t="s">
        <v>31</v>
      </c>
    </row>
    <row r="24" spans="2:21">
      <c r="C24" s="465">
        <v>500</v>
      </c>
      <c r="E24" s="484">
        <f>ROUND((B$23*C24),0)</f>
        <v>25000000</v>
      </c>
      <c r="F24" s="484"/>
      <c r="G24" s="580">
        <f t="shared" ref="G24:G25" ca="1" si="3">ROUND($E24*N$18/100+$B$23*N$17+$B$23*O$16+N$16,2)+$R$24</f>
        <v>1631936.5</v>
      </c>
      <c r="H24" s="580"/>
      <c r="I24" s="580">
        <f t="shared" ref="I24:I25" ca="1" si="4">ROUND($E24*R$18/100+$B$23*R$17+$B$23*S$16+R$16,2)+$R$25</f>
        <v>1668856.5</v>
      </c>
      <c r="K24" s="487">
        <f ca="1">(I24-G24)/G24</f>
        <v>2.2623429281715311E-2</v>
      </c>
      <c r="O24" s="465" t="s">
        <v>651</v>
      </c>
      <c r="R24" s="536">
        <f>'Low Income Prog YR 1'!D21</f>
        <v>257.5</v>
      </c>
      <c r="S24" s="465" t="s">
        <v>31</v>
      </c>
    </row>
    <row r="25" spans="2:21">
      <c r="C25" s="465">
        <v>700</v>
      </c>
      <c r="E25" s="484">
        <f>ROUND((B$23*C25),0)</f>
        <v>35000000</v>
      </c>
      <c r="F25" s="484"/>
      <c r="G25" s="580">
        <f t="shared" ca="1" si="3"/>
        <v>2123736.5</v>
      </c>
      <c r="H25" s="580"/>
      <c r="I25" s="580">
        <f t="shared" ca="1" si="4"/>
        <v>2171556.5</v>
      </c>
      <c r="K25" s="487">
        <f ca="1">(I25-G25)/G25</f>
        <v>2.2516917706127855E-2</v>
      </c>
      <c r="O25" s="465" t="s">
        <v>650</v>
      </c>
      <c r="P25" s="503"/>
      <c r="Q25" s="503"/>
      <c r="R25" s="536">
        <f>R24</f>
        <v>257.5</v>
      </c>
    </row>
    <row r="26" spans="2:21">
      <c r="G26" s="580"/>
      <c r="H26" s="580"/>
      <c r="I26" s="580"/>
      <c r="K26" s="487"/>
    </row>
    <row r="27" spans="2:21">
      <c r="B27" s="484">
        <v>60000</v>
      </c>
      <c r="C27" s="465">
        <v>300</v>
      </c>
      <c r="E27" s="484">
        <f>ROUND((B$27*C27),0)</f>
        <v>18000000</v>
      </c>
      <c r="F27" s="484"/>
      <c r="G27" s="580">
        <f ca="1">ROUND($E27*N$18/100+$B$27*N$17+$B$27*O$16+N$16,2)+$R$24</f>
        <v>1367576.5</v>
      </c>
      <c r="H27" s="580"/>
      <c r="I27" s="580">
        <f ca="1">ROUND($E27*R$18/100+$B$27*R$17+$B$27*S$16+R$16,2)+$R$25</f>
        <v>1398766.5</v>
      </c>
      <c r="K27" s="487">
        <f ca="1">(I27-G27)/G27</f>
        <v>2.2806768030892606E-2</v>
      </c>
      <c r="O27" s="753" t="s">
        <v>1039</v>
      </c>
      <c r="R27" s="465">
        <v>4.0000000000000001E-3</v>
      </c>
    </row>
    <row r="28" spans="2:21">
      <c r="C28" s="465">
        <v>500</v>
      </c>
      <c r="E28" s="484">
        <f>ROUND((B$27*C28),0)</f>
        <v>30000000</v>
      </c>
      <c r="F28" s="484"/>
      <c r="G28" s="580">
        <f t="shared" ref="G28:G29" ca="1" si="5">ROUND($E28*N$18/100+$B$27*N$17+$B$27*O$16+N$16,2)+$R$24</f>
        <v>1957736.5</v>
      </c>
      <c r="H28" s="580"/>
      <c r="I28" s="580">
        <f t="shared" ref="I28:I29" ca="1" si="6">ROUND($E28*R$18/100+$B$27*R$17+$B$27*S$16+R$16,2)+$R$25</f>
        <v>2002006.5</v>
      </c>
      <c r="K28" s="487">
        <f ca="1">(I28-G28)/G28</f>
        <v>2.2612849073406969E-2</v>
      </c>
      <c r="O28" s="753"/>
    </row>
    <row r="29" spans="2:21">
      <c r="C29" s="465">
        <v>700</v>
      </c>
      <c r="E29" s="484">
        <f>ROUND((B$27*C29),0)</f>
        <v>42000000</v>
      </c>
      <c r="F29" s="484"/>
      <c r="G29" s="580">
        <f t="shared" ca="1" si="5"/>
        <v>2547896.5</v>
      </c>
      <c r="H29" s="580"/>
      <c r="I29" s="580">
        <f t="shared" ca="1" si="6"/>
        <v>2605246.5</v>
      </c>
      <c r="K29" s="487">
        <f ca="1">(I29-G29)/G29</f>
        <v>2.2508763601661215E-2</v>
      </c>
    </row>
    <row r="30" spans="2:21">
      <c r="B30" s="477"/>
      <c r="C30" s="477"/>
      <c r="D30" s="477"/>
      <c r="E30" s="477"/>
      <c r="F30" s="477"/>
      <c r="G30" s="477"/>
      <c r="H30" s="477"/>
      <c r="I30" s="477"/>
      <c r="J30" s="477"/>
      <c r="K30" s="477"/>
      <c r="M30" s="1293" t="s">
        <v>917</v>
      </c>
      <c r="N30" s="587">
        <f ca="1">'Est Effect of Base Rate Inc'!V28</f>
        <v>2.3459545273723841E-2</v>
      </c>
    </row>
    <row r="31" spans="2:21">
      <c r="N31" s="1294" t="s">
        <v>31</v>
      </c>
    </row>
    <row r="32" spans="2:21">
      <c r="O32" s="753" t="s">
        <v>31</v>
      </c>
    </row>
    <row r="33" spans="2:11">
      <c r="B33" s="465" t="s">
        <v>516</v>
      </c>
    </row>
    <row r="34" spans="2:11">
      <c r="B34" s="552" t="s">
        <v>897</v>
      </c>
    </row>
    <row r="35" spans="2:11">
      <c r="B35" s="552"/>
    </row>
    <row r="36" spans="2:11">
      <c r="B36" s="499"/>
    </row>
    <row r="37" spans="2:11">
      <c r="B37" s="499"/>
    </row>
    <row r="38" spans="2:11">
      <c r="B38" s="499"/>
    </row>
    <row r="39" spans="2:11">
      <c r="B39" s="499"/>
    </row>
    <row r="40" spans="2:11">
      <c r="B40" s="499"/>
    </row>
    <row r="41" spans="2:11">
      <c r="B41" s="499"/>
    </row>
    <row r="42" spans="2:11">
      <c r="B42" s="499"/>
    </row>
    <row r="43" spans="2:11">
      <c r="B43" s="499"/>
      <c r="K43" s="753" t="s">
        <v>31</v>
      </c>
    </row>
    <row r="44" spans="2:11">
      <c r="B44" s="499"/>
    </row>
    <row r="45" spans="2:11">
      <c r="B45" s="499"/>
    </row>
    <row r="46" spans="2:11">
      <c r="B46" s="499"/>
    </row>
    <row r="47" spans="2:11">
      <c r="B47" s="499"/>
    </row>
    <row r="49" spans="16:17">
      <c r="P49" s="501"/>
      <c r="Q49" s="501"/>
    </row>
  </sheetData>
  <mergeCells count="2">
    <mergeCell ref="M13:O13"/>
    <mergeCell ref="P13:S13"/>
  </mergeCells>
  <printOptions horizontalCentered="1"/>
  <pageMargins left="0.5" right="0.5" top="0.5" bottom="0.5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 xsi:nil="true"/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Date1 xmlns="dc463f71-b30c-4ab2-9473-d307f9d35888">2017-08-02T07:00:00+00:00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152253</DocketNumber>
    <DelegatedOrder xmlns="dc463f71-b30c-4ab2-9473-d307f9d35888">false</DelegatedOrder>
    <SignificantOrder xmlns="dc463f71-b30c-4ab2-9473-d307f9d35888">false</Significant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9" ma:contentTypeDescription="" ma:contentTypeScope="" ma:versionID="bb6eb7831c5f97d5faa43925b617fec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7992EE6-45F1-4CE4-A3E5-E301FC2895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4CD4E02-518E-405D-BC57-C460B03B2402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6a7bd91e-004b-490a-8704-e368d63d59a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20E8CD3-3D94-447E-B3D2-D01CF80350E5}"/>
</file>

<file path=customXml/itemProps4.xml><?xml version="1.0" encoding="utf-8"?>
<ds:datastoreItem xmlns:ds="http://schemas.openxmlformats.org/officeDocument/2006/customXml" ds:itemID="{C08C2A03-FBEA-4389-ABDF-BA86EC1A73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44</vt:i4>
      </vt:variant>
    </vt:vector>
  </HeadingPairs>
  <TitlesOfParts>
    <vt:vector size="83" baseType="lpstr">
      <vt:lpstr>Est Effect of Base Rate Inc</vt:lpstr>
      <vt:lpstr>Billing Determinants</vt:lpstr>
      <vt:lpstr>Billing Comparison Sch 16</vt:lpstr>
      <vt:lpstr>Billing Comparison Sch 24</vt:lpstr>
      <vt:lpstr>Billing Comparison Sch 36</vt:lpstr>
      <vt:lpstr>Billing Comparison Sch 40</vt:lpstr>
      <vt:lpstr>Billing Comparison Sch 48 Sec</vt:lpstr>
      <vt:lpstr>Billing Comparison Sch 48 Pri</vt:lpstr>
      <vt:lpstr>Billing Comparison Sch 48 Ded</vt:lpstr>
      <vt:lpstr>Low Income Credit</vt:lpstr>
      <vt:lpstr>Stop Here</vt:lpstr>
      <vt:lpstr>Exhibit No.__(JRS-11) p1-8</vt:lpstr>
      <vt:lpstr>Rate Spread targets</vt:lpstr>
      <vt:lpstr>Rate Design Work eff 10-14-16</vt:lpstr>
      <vt:lpstr>Rate Design Work eff 9-15-17</vt:lpstr>
      <vt:lpstr>Low Income Prog YR 1</vt:lpstr>
      <vt:lpstr>Low Income Program YR 2</vt:lpstr>
      <vt:lpstr>Table 1-Revenues</vt:lpstr>
      <vt:lpstr>Table 1 - kWh</vt:lpstr>
      <vt:lpstr>Table 2</vt:lpstr>
      <vt:lpstr>Table 3</vt:lpstr>
      <vt:lpstr>WA SBC</vt:lpstr>
      <vt:lpstr>WA Depreciation</vt:lpstr>
      <vt:lpstr>WA Merwin</vt:lpstr>
      <vt:lpstr>305 VS COGNOS Revenue</vt:lpstr>
      <vt:lpstr>305 VS COGNOS kWh</vt:lpstr>
      <vt:lpstr>Rate Design Work-Res NM</vt:lpstr>
      <vt:lpstr>Temperature</vt:lpstr>
      <vt:lpstr>Temp. Adjustments</vt:lpstr>
      <vt:lpstr>305 Inputs</vt:lpstr>
      <vt:lpstr>Normalized Monthly revenue</vt:lpstr>
      <vt:lpstr>Normalized Monthly kWh</vt:lpstr>
      <vt:lpstr>Table A by class</vt:lpstr>
      <vt:lpstr>NPC Spread</vt:lpstr>
      <vt:lpstr>by rate</vt:lpstr>
      <vt:lpstr>by rate (2)</vt:lpstr>
      <vt:lpstr>SBC (Old)</vt:lpstr>
      <vt:lpstr>Billing Determinants (2)</vt:lpstr>
      <vt:lpstr>Blocking - detail</vt:lpstr>
      <vt:lpstr>'305 VS COGNOS kWh'!Print_Area</vt:lpstr>
      <vt:lpstr>'305 VS COGNOS Revenue'!Print_Area</vt:lpstr>
      <vt:lpstr>'Billing Comparison Sch 16'!Print_Area</vt:lpstr>
      <vt:lpstr>'Billing Comparison Sch 24'!Print_Area</vt:lpstr>
      <vt:lpstr>'Billing Comparison Sch 36'!Print_Area</vt:lpstr>
      <vt:lpstr>'Billing Comparison Sch 40'!Print_Area</vt:lpstr>
      <vt:lpstr>'Billing Comparison Sch 48 Ded'!Print_Area</vt:lpstr>
      <vt:lpstr>'Billing Comparison Sch 48 Pri'!Print_Area</vt:lpstr>
      <vt:lpstr>'Billing Comparison Sch 48 Sec'!Print_Area</vt:lpstr>
      <vt:lpstr>'Billing Determinants'!Print_Area</vt:lpstr>
      <vt:lpstr>'Billing Determinants (2)'!Print_Area</vt:lpstr>
      <vt:lpstr>'Blocking - detail'!Print_Area</vt:lpstr>
      <vt:lpstr>'Est Effect of Base Rate Inc'!Print_Area</vt:lpstr>
      <vt:lpstr>'Exhibit No.__(JRS-11) p1-8'!Print_Area</vt:lpstr>
      <vt:lpstr>'Low Income Credit'!Print_Area</vt:lpstr>
      <vt:lpstr>'Low Income Prog YR 1'!Print_Area</vt:lpstr>
      <vt:lpstr>'Low Income Program YR 2'!Print_Area</vt:lpstr>
      <vt:lpstr>'Normalized Monthly kWh'!Print_Area</vt:lpstr>
      <vt:lpstr>'Normalized Monthly revenue'!Print_Area</vt:lpstr>
      <vt:lpstr>'NPC Spread'!Print_Area</vt:lpstr>
      <vt:lpstr>'Rate Design Work eff 10-14-16'!Print_Area</vt:lpstr>
      <vt:lpstr>'Rate Design Work eff 9-15-17'!Print_Area</vt:lpstr>
      <vt:lpstr>'Rate Design Work-Res NM'!Print_Area</vt:lpstr>
      <vt:lpstr>'Rate Spread targets'!Print_Area</vt:lpstr>
      <vt:lpstr>'Table 1 - kWh'!Print_Area</vt:lpstr>
      <vt:lpstr>'Table 1-Revenues'!Print_Area</vt:lpstr>
      <vt:lpstr>'Table 2'!Print_Area</vt:lpstr>
      <vt:lpstr>'Table 3'!Print_Area</vt:lpstr>
      <vt:lpstr>'Table A by class'!Print_Area</vt:lpstr>
      <vt:lpstr>'WA Depreciation'!Print_Area</vt:lpstr>
      <vt:lpstr>'WA Merwin'!Print_Area</vt:lpstr>
      <vt:lpstr>'WA SBC'!Print_Area</vt:lpstr>
      <vt:lpstr>'Billing Determinants'!Print_Titles</vt:lpstr>
      <vt:lpstr>'Billing Determinants (2)'!Print_Titles</vt:lpstr>
      <vt:lpstr>'Blocking - detail'!Print_Titles</vt:lpstr>
      <vt:lpstr>'Exhibit No.__(JRS-11) p1-8'!Print_Titles</vt:lpstr>
      <vt:lpstr>'Rate Design Work eff 10-14-16'!Print_Titles</vt:lpstr>
      <vt:lpstr>'Rate Design Work eff 9-15-17'!Print_Titles</vt:lpstr>
      <vt:lpstr>'Rate Design Work-Res NM'!Print_Titles</vt:lpstr>
      <vt:lpstr>'Table 2'!Print_Titles</vt:lpstr>
      <vt:lpstr>'Table 3'!Print_Titles</vt:lpstr>
      <vt:lpstr>'Table A by class'!Print_Titles</vt:lpstr>
      <vt:lpstr>'Est Effect of Base Rate Inc'!TABLEA</vt:lpstr>
      <vt:lpstr>'Rate Spread targets'!TABLEA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2016-10-01T00:35:56Z</dcterms:created>
  <dcterms:modified xsi:type="dcterms:W3CDTF">2017-08-02T23:00:27Z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0x0101006E56B4D1795A2E4DB2F0B01679ED314A007595E2AA379E88449A4F511BF799667C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